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D:\PLANEACIÓN 1oficina\DERECHOS PETICION\MAYO 13 2022\"/>
    </mc:Choice>
  </mc:AlternateContent>
  <bookViews>
    <workbookView xWindow="0" yWindow="0" windowWidth="9255" windowHeight="6675" tabRatio="783" activeTab="5"/>
  </bookViews>
  <sheets>
    <sheet name="PAS 2020" sheetId="12" r:id="rId1"/>
    <sheet name="COAI 2020" sheetId="13" r:id="rId2"/>
    <sheet name="LINEAS OPERATIVAS" sheetId="10" r:id="rId3"/>
    <sheet name="DIMENSIONES" sheetId="9" r:id="rId4"/>
    <sheet name="FUENTES FINANCIACION" sheetId="11" r:id="rId5"/>
    <sheet name="SEGUIMIENTO EJECUCÓN PAS DICIEM" sheetId="15" r:id="rId6"/>
  </sheets>
  <externalReferences>
    <externalReference r:id="rId7"/>
  </externalReferences>
  <definedNames>
    <definedName name="_xlnm._FilterDatabase" localSheetId="1" hidden="1">'COAI 2020'!$A$4:$XFC$87</definedName>
    <definedName name="_xlnm._FilterDatabase" localSheetId="0" hidden="1">'PAS 2020'!$A$19:$AM$314</definedName>
    <definedName name="_xlnm._FilterDatabase" localSheetId="5" hidden="1">'SEGUIMIENTO EJECUCÓN PAS DICIEM'!$A$19:$AR$318</definedName>
    <definedName name="DIME">[1]DIMYCOMP!$B$2:$K$2</definedName>
    <definedName name="Dimensiones" localSheetId="5">#REF!</definedName>
    <definedName name="Dimensiones">#REF!</definedName>
  </definedNames>
  <calcPr calcId="162913" iterate="1" iterateCount="1000" calcOnSave="0"/>
</workbook>
</file>

<file path=xl/calcChain.xml><?xml version="1.0" encoding="utf-8"?>
<calcChain xmlns="http://schemas.openxmlformats.org/spreadsheetml/2006/main">
  <c r="AQ169" i="15" l="1"/>
  <c r="AQ170" i="15"/>
  <c r="AL169" i="15"/>
  <c r="AL167" i="15"/>
  <c r="AK172" i="15" l="1"/>
  <c r="AL179" i="15" l="1"/>
  <c r="AL152" i="15"/>
  <c r="AL159" i="15"/>
  <c r="AI158" i="15"/>
  <c r="AL158" i="15" s="1"/>
  <c r="AK136" i="15" l="1"/>
  <c r="AQ167" i="15" l="1"/>
  <c r="AQ53" i="15" l="1"/>
  <c r="AL53" i="15"/>
  <c r="AQ48" i="15"/>
  <c r="AL48" i="15"/>
  <c r="AK62" i="15" l="1"/>
  <c r="AK47" i="15"/>
  <c r="AJ45" i="15"/>
  <c r="AK32" i="15"/>
  <c r="AQ69" i="15" l="1"/>
  <c r="AL69" i="15"/>
  <c r="AL20" i="15" l="1"/>
  <c r="T22" i="12" l="1"/>
  <c r="AQ85" i="15" l="1"/>
  <c r="AQ78" i="15"/>
  <c r="AP78" i="15"/>
  <c r="AO77" i="15"/>
  <c r="AP77" i="15" s="1"/>
  <c r="AQ77" i="15" s="1"/>
  <c r="AO76" i="15"/>
  <c r="AP76" i="15" s="1"/>
  <c r="AQ76" i="15" s="1"/>
  <c r="AL82" i="15"/>
  <c r="AK82" i="15"/>
  <c r="AL78" i="15"/>
  <c r="AK78" i="15"/>
  <c r="AJ77" i="15"/>
  <c r="AK77" i="15" s="1"/>
  <c r="AL77" i="15" s="1"/>
  <c r="AJ76" i="15"/>
  <c r="AK76" i="15" l="1"/>
  <c r="AL76" i="15" s="1"/>
  <c r="AQ47" i="15"/>
  <c r="AQ50" i="15"/>
  <c r="AQ45" i="15"/>
  <c r="AQ44" i="15"/>
  <c r="AM44" i="15" s="1"/>
  <c r="AQ91" i="15" l="1"/>
  <c r="AL93" i="15"/>
  <c r="AL91" i="15"/>
  <c r="AO313" i="15" l="1"/>
  <c r="AA311" i="15"/>
  <c r="AA310" i="15"/>
  <c r="AA308" i="15"/>
  <c r="AA307" i="15"/>
  <c r="AE312" i="12"/>
  <c r="AE311" i="12"/>
  <c r="AE310" i="12"/>
  <c r="AE308" i="12"/>
  <c r="AE307" i="12"/>
  <c r="K312" i="12"/>
  <c r="K310" i="12"/>
  <c r="AK311" i="15"/>
  <c r="K308" i="12" l="1"/>
  <c r="K311" i="12"/>
  <c r="AQ289" i="15" l="1"/>
  <c r="AQ285" i="15"/>
  <c r="AL285" i="15"/>
  <c r="AM302" i="15" l="1"/>
  <c r="AQ301" i="15"/>
  <c r="AL301" i="15"/>
  <c r="AQ257" i="15" l="1"/>
  <c r="AQ224" i="15" l="1"/>
  <c r="AQ220" i="15"/>
  <c r="AL225" i="15"/>
  <c r="AL224" i="15"/>
  <c r="AL220" i="15"/>
  <c r="AQ200" i="15" l="1"/>
  <c r="AM215" i="15" l="1"/>
  <c r="AL217" i="15"/>
  <c r="AH215" i="15"/>
  <c r="AL208" i="15"/>
  <c r="AQ150" i="15" l="1"/>
  <c r="AQ145" i="15"/>
  <c r="AQ147" i="15"/>
  <c r="AM143" i="15"/>
  <c r="AQ139" i="15"/>
  <c r="AM141" i="15"/>
  <c r="AH143" i="15"/>
  <c r="AH141" i="15"/>
  <c r="AQ151" i="15" l="1"/>
  <c r="AQ152" i="15"/>
  <c r="AQ189" i="15" l="1"/>
  <c r="AQ182" i="15"/>
  <c r="AL185" i="15"/>
  <c r="AL176" i="15"/>
  <c r="AL133" i="15" l="1"/>
  <c r="AM237" i="15" l="1"/>
  <c r="AH237" i="15"/>
  <c r="AQ238" i="15"/>
  <c r="AL239" i="15"/>
  <c r="AH233" i="15"/>
  <c r="AM233" i="15"/>
  <c r="AL238" i="15"/>
  <c r="AQ252" i="15" l="1"/>
  <c r="AL253" i="15"/>
  <c r="AL252" i="15"/>
  <c r="AQ266" i="15" l="1"/>
  <c r="AL268" i="15"/>
  <c r="AA283" i="15" l="1"/>
  <c r="AA280" i="15"/>
  <c r="AA279" i="15"/>
  <c r="AA270" i="15"/>
  <c r="AA269" i="15"/>
  <c r="AA210" i="15"/>
  <c r="AA209" i="15"/>
  <c r="AA144" i="15"/>
  <c r="AA48" i="15"/>
  <c r="AA314" i="15" s="1"/>
  <c r="L312" i="15"/>
  <c r="L311" i="15"/>
  <c r="L308" i="15"/>
  <c r="L307" i="15"/>
  <c r="L283" i="15"/>
  <c r="L280" i="15"/>
  <c r="L279" i="15"/>
  <c r="L270" i="15"/>
  <c r="L269" i="15"/>
  <c r="L210" i="15"/>
  <c r="L209" i="15"/>
  <c r="L144" i="15"/>
  <c r="L48" i="15"/>
  <c r="L314" i="15" s="1"/>
  <c r="AE283" i="12"/>
  <c r="AE280" i="12"/>
  <c r="AE279" i="12"/>
  <c r="AE270" i="12"/>
  <c r="AE269" i="12"/>
  <c r="AE210" i="12"/>
  <c r="AE209" i="12"/>
  <c r="AE144" i="12"/>
  <c r="AE48" i="12"/>
  <c r="K210" i="12" l="1"/>
  <c r="K209" i="12"/>
  <c r="K269" i="12" l="1"/>
  <c r="K270" i="12"/>
  <c r="K144" i="12" l="1"/>
  <c r="AE314" i="12" l="1"/>
  <c r="AM282" i="15"/>
  <c r="AH282" i="15"/>
  <c r="AO247" i="15" l="1"/>
  <c r="AQ247" i="15" s="1"/>
  <c r="AJ247" i="15"/>
  <c r="AL247" i="15" s="1"/>
  <c r="AM26" i="15" l="1"/>
  <c r="AK21" i="15"/>
  <c r="AH81" i="15" l="1"/>
  <c r="AP93" i="15" l="1"/>
  <c r="AQ93" i="15" s="1"/>
  <c r="AK308" i="15" l="1"/>
  <c r="AK301" i="15" l="1"/>
  <c r="AH299" i="15"/>
  <c r="AK254" i="15" l="1"/>
  <c r="AK256" i="15"/>
  <c r="AK257" i="15"/>
  <c r="AK294" i="15" l="1"/>
  <c r="AK289" i="15" l="1"/>
  <c r="AK284" i="15"/>
  <c r="AL284" i="15" s="1"/>
  <c r="AK313" i="15" l="1"/>
  <c r="AK312" i="15"/>
  <c r="AL312" i="15" s="1"/>
  <c r="AP308" i="15"/>
  <c r="AQ308" i="15" s="1"/>
  <c r="AK300" i="15" l="1"/>
  <c r="AL300" i="15" s="1"/>
  <c r="AP299" i="15"/>
  <c r="AQ299" i="15" s="1"/>
  <c r="AK23" i="15" l="1"/>
  <c r="AK22" i="15"/>
  <c r="AK20" i="15"/>
  <c r="AK69" i="15" l="1"/>
  <c r="AK67" i="15"/>
  <c r="AH82" i="15" l="1"/>
  <c r="AP92" i="15" l="1"/>
  <c r="AQ92" i="15" s="1"/>
  <c r="AK91" i="15"/>
  <c r="AK92" i="15"/>
  <c r="AL92" i="15" s="1"/>
  <c r="AP94" i="15"/>
  <c r="AQ94" i="15" s="1"/>
  <c r="AK93" i="15"/>
  <c r="AH93" i="15" s="1"/>
  <c r="AK94" i="15"/>
  <c r="AL94" i="15" s="1"/>
  <c r="AO212" i="15" l="1"/>
  <c r="AP212" i="15" l="1"/>
  <c r="AQ212" i="15" s="1"/>
  <c r="AM101" i="15"/>
  <c r="AM102" i="15"/>
  <c r="AM103" i="15"/>
  <c r="AH102" i="15"/>
  <c r="AH103" i="15"/>
  <c r="AH101" i="15"/>
  <c r="AP203" i="15" l="1"/>
  <c r="AQ203" i="15" s="1"/>
  <c r="AP198" i="15"/>
  <c r="AQ198" i="15" s="1"/>
  <c r="AP199" i="15"/>
  <c r="AQ199" i="15" s="1"/>
  <c r="AP201" i="15"/>
  <c r="AQ201" i="15" s="1"/>
  <c r="AK199" i="15"/>
  <c r="AL199" i="15" s="1"/>
  <c r="AK200" i="15"/>
  <c r="AK201" i="15"/>
  <c r="AL201" i="15" s="1"/>
  <c r="AK198" i="15"/>
  <c r="AL198" i="15" s="1"/>
  <c r="AP226" i="15" l="1"/>
  <c r="AQ226" i="15" s="1"/>
  <c r="AP219" i="15" l="1"/>
  <c r="AQ219" i="15" s="1"/>
  <c r="AK226" i="15"/>
  <c r="AL226" i="15" s="1"/>
  <c r="AK219" i="15"/>
  <c r="AP235" i="15" l="1"/>
  <c r="AQ235" i="15" s="1"/>
  <c r="AK197" i="15" l="1"/>
  <c r="AK251" i="15" l="1"/>
  <c r="AL251" i="15" s="1"/>
  <c r="AH150" i="15" l="1"/>
  <c r="AH149" i="15"/>
  <c r="AM156" i="15" l="1"/>
  <c r="AP136" i="15" l="1"/>
  <c r="AQ136" i="15" s="1"/>
  <c r="AP133" i="15"/>
  <c r="AK127" i="15" l="1"/>
  <c r="AH127" i="15" s="1"/>
  <c r="AK214" i="15" l="1"/>
  <c r="AK213" i="15"/>
  <c r="AP269" i="15" l="1"/>
  <c r="AQ269" i="15" s="1"/>
  <c r="AK269" i="15"/>
  <c r="AL269" i="15" s="1"/>
  <c r="AP186" i="15" l="1"/>
  <c r="AP185" i="15"/>
  <c r="AQ185" i="15" s="1"/>
  <c r="AP183" i="15"/>
  <c r="AQ183" i="15" s="1"/>
  <c r="AP181" i="15"/>
  <c r="AM89" i="15" l="1"/>
  <c r="AH89" i="15"/>
  <c r="AM149" i="15" l="1"/>
  <c r="AM160" i="15" l="1"/>
  <c r="AH160" i="15"/>
  <c r="AH135" i="15" l="1"/>
  <c r="AM135" i="15"/>
  <c r="AK186" i="15" l="1"/>
  <c r="AK183" i="15"/>
  <c r="AL183" i="15" s="1"/>
  <c r="AH49" i="15" l="1"/>
  <c r="K307" i="12"/>
  <c r="K280" i="12"/>
  <c r="K279" i="12"/>
  <c r="T176" i="12"/>
  <c r="L318" i="15" l="1"/>
  <c r="AH313" i="15"/>
  <c r="AO312" i="15"/>
  <c r="AH312" i="15"/>
  <c r="AM311" i="15"/>
  <c r="AH311" i="15"/>
  <c r="AM310" i="15"/>
  <c r="AH310" i="15"/>
  <c r="AM309" i="15"/>
  <c r="AH309" i="15"/>
  <c r="AM308" i="15"/>
  <c r="AH308" i="15"/>
  <c r="AO307" i="15"/>
  <c r="AJ307" i="15"/>
  <c r="AO306" i="15"/>
  <c r="AI306" i="15"/>
  <c r="AM305" i="15"/>
  <c r="AH305" i="15"/>
  <c r="AM304" i="15"/>
  <c r="AH304" i="15"/>
  <c r="AO303" i="15"/>
  <c r="AJ303" i="15"/>
  <c r="AM301" i="15"/>
  <c r="AH301" i="15"/>
  <c r="AM300" i="15"/>
  <c r="AM299" i="15"/>
  <c r="AM298" i="15"/>
  <c r="AH298" i="15"/>
  <c r="AM297" i="15"/>
  <c r="AH297" i="15"/>
  <c r="AM296" i="15"/>
  <c r="AH296" i="15"/>
  <c r="AM295" i="15"/>
  <c r="AH295" i="15"/>
  <c r="AO294" i="15"/>
  <c r="AH294" i="15"/>
  <c r="AM293" i="15"/>
  <c r="AH293" i="15"/>
  <c r="AO292" i="15"/>
  <c r="AJ292" i="15"/>
  <c r="AK292" i="15" s="1"/>
  <c r="AM291" i="15"/>
  <c r="AH291" i="15"/>
  <c r="AM290" i="15"/>
  <c r="AH290" i="15"/>
  <c r="AM289" i="15"/>
  <c r="AH289" i="15"/>
  <c r="AM288" i="15"/>
  <c r="AH288" i="15"/>
  <c r="AM287" i="15"/>
  <c r="AH287" i="15"/>
  <c r="AM286" i="15"/>
  <c r="AH286" i="15"/>
  <c r="AM285" i="15"/>
  <c r="AH285" i="15"/>
  <c r="AO284" i="15"/>
  <c r="AH284" i="15"/>
  <c r="AM283" i="15"/>
  <c r="AH283" i="15"/>
  <c r="AM281" i="15"/>
  <c r="AH281" i="15"/>
  <c r="AM280" i="15"/>
  <c r="AH280" i="15"/>
  <c r="AM279" i="15"/>
  <c r="AH279" i="15"/>
  <c r="AM278" i="15"/>
  <c r="AH278" i="15"/>
  <c r="AM277" i="15"/>
  <c r="AH277" i="15"/>
  <c r="AM276" i="15"/>
  <c r="AH276" i="15"/>
  <c r="AO275" i="15"/>
  <c r="AJ275" i="15"/>
  <c r="AK275" i="15" s="1"/>
  <c r="AO274" i="15"/>
  <c r="AJ274" i="15"/>
  <c r="AM273" i="15"/>
  <c r="AH273" i="15"/>
  <c r="AM272" i="15"/>
  <c r="AH272" i="15"/>
  <c r="AO271" i="15"/>
  <c r="AJ271" i="15"/>
  <c r="AM270" i="15"/>
  <c r="AH270" i="15"/>
  <c r="AM269" i="15"/>
  <c r="AH269" i="15"/>
  <c r="AM268" i="15"/>
  <c r="AH268" i="15"/>
  <c r="AM267" i="15"/>
  <c r="AH267" i="15"/>
  <c r="AM266" i="15"/>
  <c r="AH266" i="15"/>
  <c r="AM265" i="15"/>
  <c r="AH265" i="15"/>
  <c r="AO264" i="15"/>
  <c r="AH264" i="15"/>
  <c r="AM263" i="15"/>
  <c r="AH263" i="15"/>
  <c r="AM262" i="15"/>
  <c r="AH262" i="15"/>
  <c r="AM261" i="15"/>
  <c r="AH261" i="15"/>
  <c r="AM260" i="15"/>
  <c r="AH260" i="15"/>
  <c r="AM259" i="15"/>
  <c r="AH259" i="15"/>
  <c r="AM258" i="15"/>
  <c r="AH258" i="15"/>
  <c r="AM257" i="15"/>
  <c r="AH257" i="15"/>
  <c r="AM256" i="15"/>
  <c r="AH256" i="15"/>
  <c r="AM255" i="15"/>
  <c r="AH255" i="15"/>
  <c r="AO254" i="15"/>
  <c r="AH254" i="15"/>
  <c r="AO253" i="15"/>
  <c r="AJ253" i="15"/>
  <c r="AH253" i="15" s="1"/>
  <c r="AM252" i="15"/>
  <c r="AH252" i="15"/>
  <c r="AO251" i="15"/>
  <c r="AH251" i="15"/>
  <c r="AM250" i="15"/>
  <c r="AH250" i="15"/>
  <c r="AM249" i="15"/>
  <c r="AH249" i="15"/>
  <c r="AM248" i="15"/>
  <c r="AH248" i="15"/>
  <c r="AM247" i="15"/>
  <c r="AH247" i="15"/>
  <c r="AN246" i="15"/>
  <c r="AI246" i="15"/>
  <c r="AO245" i="15"/>
  <c r="AI245" i="15"/>
  <c r="AJ245" i="15" s="1"/>
  <c r="AO244" i="15"/>
  <c r="AJ244" i="15"/>
  <c r="AH244" i="15" s="1"/>
  <c r="AM243" i="15"/>
  <c r="AH243" i="15"/>
  <c r="AM242" i="15"/>
  <c r="AH242" i="15"/>
  <c r="AM241" i="15"/>
  <c r="AH241" i="15"/>
  <c r="AM240" i="15"/>
  <c r="AH240" i="15"/>
  <c r="AM239" i="15"/>
  <c r="AH239" i="15"/>
  <c r="AM238" i="15"/>
  <c r="AH238" i="15"/>
  <c r="AM236" i="15"/>
  <c r="AH236" i="15"/>
  <c r="AM235" i="15"/>
  <c r="AJ235" i="15"/>
  <c r="AH235" i="15" s="1"/>
  <c r="AO234" i="15"/>
  <c r="AJ234" i="15"/>
  <c r="AM232" i="15"/>
  <c r="AH232" i="15"/>
  <c r="AM231" i="15"/>
  <c r="AH231" i="15"/>
  <c r="AO230" i="15"/>
  <c r="AJ230" i="15"/>
  <c r="AK230" i="15" s="1"/>
  <c r="AM229" i="15"/>
  <c r="AH229" i="15"/>
  <c r="AN228" i="15"/>
  <c r="AO228" i="15" s="1"/>
  <c r="AI228" i="15"/>
  <c r="AJ228" i="15" s="1"/>
  <c r="AO227" i="15"/>
  <c r="AJ227" i="15"/>
  <c r="AO226" i="15"/>
  <c r="AM226" i="15" s="1"/>
  <c r="AJ226" i="15"/>
  <c r="AH226" i="15" s="1"/>
  <c r="AM225" i="15"/>
  <c r="AH225" i="15"/>
  <c r="AM224" i="15"/>
  <c r="AH224" i="15"/>
  <c r="AO223" i="15"/>
  <c r="AJ223" i="15"/>
  <c r="AO222" i="15"/>
  <c r="AJ222" i="15"/>
  <c r="AO221" i="15"/>
  <c r="AJ221" i="15"/>
  <c r="AM220" i="15"/>
  <c r="AH220" i="15"/>
  <c r="AM219" i="15"/>
  <c r="AH219" i="15"/>
  <c r="AO218" i="15"/>
  <c r="AJ218" i="15"/>
  <c r="AO217" i="15"/>
  <c r="AJ217" i="15"/>
  <c r="AH217" i="15" s="1"/>
  <c r="AM216" i="15"/>
  <c r="AJ216" i="15"/>
  <c r="AO214" i="15"/>
  <c r="AJ214" i="15"/>
  <c r="AH214" i="15" s="1"/>
  <c r="AO213" i="15"/>
  <c r="AJ213" i="15"/>
  <c r="AH213" i="15" s="1"/>
  <c r="AJ212" i="15"/>
  <c r="AO211" i="15"/>
  <c r="AJ211" i="15"/>
  <c r="AO210" i="15"/>
  <c r="AJ210" i="15"/>
  <c r="AM209" i="15"/>
  <c r="AH209" i="15"/>
  <c r="AM208" i="15"/>
  <c r="AH208" i="15"/>
  <c r="AM207" i="15"/>
  <c r="AH207" i="15"/>
  <c r="AM206" i="15"/>
  <c r="AH206" i="15"/>
  <c r="AM205" i="15"/>
  <c r="AH205" i="15"/>
  <c r="AM204" i="15"/>
  <c r="AH204" i="15"/>
  <c r="AM203" i="15"/>
  <c r="AJ203" i="15"/>
  <c r="AO202" i="15"/>
  <c r="AJ202" i="15"/>
  <c r="AM201" i="15"/>
  <c r="AH201" i="15"/>
  <c r="AM200" i="15"/>
  <c r="AH200" i="15"/>
  <c r="AM199" i="15"/>
  <c r="AH199" i="15"/>
  <c r="AM198" i="15"/>
  <c r="AH198" i="15"/>
  <c r="AO197" i="15"/>
  <c r="AH197" i="15"/>
  <c r="AM196" i="15"/>
  <c r="AH196" i="15"/>
  <c r="AM195" i="15"/>
  <c r="AH195" i="15"/>
  <c r="AM194" i="15"/>
  <c r="AH194" i="15"/>
  <c r="AM193" i="15"/>
  <c r="AH193" i="15"/>
  <c r="AM192" i="15"/>
  <c r="AH192" i="15"/>
  <c r="AO191" i="15"/>
  <c r="AJ191" i="15"/>
  <c r="AK191" i="15" s="1"/>
  <c r="AM190" i="15"/>
  <c r="AH190" i="15"/>
  <c r="AM189" i="15"/>
  <c r="AH189" i="15"/>
  <c r="AM188" i="15"/>
  <c r="AH188" i="15"/>
  <c r="AM187" i="15"/>
  <c r="AH187" i="15"/>
  <c r="AM186" i="15"/>
  <c r="AH186" i="15"/>
  <c r="AM185" i="15"/>
  <c r="AH185" i="15"/>
  <c r="AO184" i="15"/>
  <c r="AJ184" i="15"/>
  <c r="AK184" i="15" s="1"/>
  <c r="AM183" i="15"/>
  <c r="AH183" i="15"/>
  <c r="AM182" i="15"/>
  <c r="AH182" i="15"/>
  <c r="AM181" i="15"/>
  <c r="AH181" i="15"/>
  <c r="AM180" i="15"/>
  <c r="AH180" i="15"/>
  <c r="AM179" i="15"/>
  <c r="AH179" i="15"/>
  <c r="AM178" i="15"/>
  <c r="AH178" i="15"/>
  <c r="AM177" i="15"/>
  <c r="AH177" i="15"/>
  <c r="AM176" i="15"/>
  <c r="AH176" i="15"/>
  <c r="AM175" i="15"/>
  <c r="AH175" i="15"/>
  <c r="AM174" i="15"/>
  <c r="AH174" i="15"/>
  <c r="AM173" i="15"/>
  <c r="AH173" i="15"/>
  <c r="AO172" i="15"/>
  <c r="AH172" i="15"/>
  <c r="AM171" i="15"/>
  <c r="AH171" i="15"/>
  <c r="AM170" i="15"/>
  <c r="AH170" i="15"/>
  <c r="AM169" i="15"/>
  <c r="AH169" i="15"/>
  <c r="AM168" i="15"/>
  <c r="AH168" i="15"/>
  <c r="AM167" i="15"/>
  <c r="AH167" i="15"/>
  <c r="AO166" i="15"/>
  <c r="AP166" i="15" s="1"/>
  <c r="AH166" i="15"/>
  <c r="AO165" i="15"/>
  <c r="AJ165" i="15"/>
  <c r="AO164" i="15"/>
  <c r="AJ164" i="15"/>
  <c r="AK164" i="15" s="1"/>
  <c r="AM163" i="15"/>
  <c r="AH163" i="15"/>
  <c r="AM162" i="15"/>
  <c r="AH162" i="15"/>
  <c r="AM161" i="15"/>
  <c r="AH161" i="15"/>
  <c r="AM159" i="15"/>
  <c r="AH159" i="15"/>
  <c r="AN158" i="15"/>
  <c r="AM157" i="15"/>
  <c r="AH157" i="15"/>
  <c r="AH156" i="15"/>
  <c r="AM155" i="15"/>
  <c r="AH155" i="15"/>
  <c r="AM154" i="15"/>
  <c r="AH154" i="15"/>
  <c r="AM153" i="15"/>
  <c r="AH153" i="15"/>
  <c r="AM152" i="15"/>
  <c r="AH152" i="15"/>
  <c r="AM151" i="15"/>
  <c r="AM150" i="15"/>
  <c r="AM148" i="15"/>
  <c r="AH148" i="15"/>
  <c r="AM147" i="15"/>
  <c r="AH147" i="15"/>
  <c r="AM146" i="15"/>
  <c r="AH146" i="15"/>
  <c r="AM145" i="15"/>
  <c r="AH145" i="15"/>
  <c r="AO144" i="15"/>
  <c r="AJ144" i="15"/>
  <c r="AK144" i="15" s="1"/>
  <c r="AJ142" i="15"/>
  <c r="AK142" i="15" s="1"/>
  <c r="AM140" i="15"/>
  <c r="AH140" i="15"/>
  <c r="AM139" i="15"/>
  <c r="AH139" i="15"/>
  <c r="AM138" i="15"/>
  <c r="AH138" i="15"/>
  <c r="AM137" i="15"/>
  <c r="AH137" i="15"/>
  <c r="AM136" i="15"/>
  <c r="AH136" i="15"/>
  <c r="AO134" i="15"/>
  <c r="AJ134" i="15"/>
  <c r="AM133" i="15"/>
  <c r="AH133" i="15"/>
  <c r="AM132" i="15"/>
  <c r="AH132" i="15"/>
  <c r="AM131" i="15"/>
  <c r="AH131" i="15"/>
  <c r="AM130" i="15"/>
  <c r="AH130" i="15"/>
  <c r="AO129" i="15"/>
  <c r="AJ129" i="15"/>
  <c r="AK129" i="15" s="1"/>
  <c r="AM128" i="15"/>
  <c r="AH128" i="15"/>
  <c r="AO127" i="15"/>
  <c r="AO126" i="15"/>
  <c r="AJ126" i="15"/>
  <c r="AL126" i="15" s="1"/>
  <c r="AM125" i="15"/>
  <c r="AH125" i="15"/>
  <c r="AM124" i="15"/>
  <c r="AH124" i="15"/>
  <c r="AM123" i="15"/>
  <c r="AH123" i="15"/>
  <c r="AM122" i="15"/>
  <c r="AH122" i="15"/>
  <c r="AM121" i="15"/>
  <c r="AH121" i="15"/>
  <c r="AM120" i="15"/>
  <c r="AH120" i="15"/>
  <c r="AO119" i="15"/>
  <c r="AJ119" i="15"/>
  <c r="AK119" i="15" s="1"/>
  <c r="AM118" i="15"/>
  <c r="AH118" i="15"/>
  <c r="AM117" i="15"/>
  <c r="AH117" i="15"/>
  <c r="AM116" i="15"/>
  <c r="AH116" i="15"/>
  <c r="AM115" i="15"/>
  <c r="AH115" i="15"/>
  <c r="AO114" i="15"/>
  <c r="AH114" i="15"/>
  <c r="AM113" i="15"/>
  <c r="AH113" i="15"/>
  <c r="AO112" i="15"/>
  <c r="AJ112" i="15"/>
  <c r="AM111" i="15"/>
  <c r="AH111" i="15"/>
  <c r="AM110" i="15"/>
  <c r="AH110" i="15"/>
  <c r="AM109" i="15"/>
  <c r="AH109" i="15"/>
  <c r="AM108" i="15"/>
  <c r="AH108" i="15"/>
  <c r="AO107" i="15"/>
  <c r="AJ107" i="15"/>
  <c r="AK107" i="15" s="1"/>
  <c r="AM106" i="15"/>
  <c r="AH106" i="15"/>
  <c r="AM105" i="15"/>
  <c r="AH105" i="15"/>
  <c r="AM104" i="15"/>
  <c r="AH104" i="15"/>
  <c r="AM100" i="15"/>
  <c r="AH100" i="15"/>
  <c r="AM99" i="15"/>
  <c r="AH99" i="15"/>
  <c r="AM98" i="15"/>
  <c r="AH98" i="15"/>
  <c r="AO97" i="15"/>
  <c r="AJ97" i="15"/>
  <c r="AK97" i="15" s="1"/>
  <c r="AM96" i="15"/>
  <c r="AH96" i="15"/>
  <c r="AO95" i="15"/>
  <c r="AJ95" i="15"/>
  <c r="AK95" i="15" s="1"/>
  <c r="AM94" i="15"/>
  <c r="AH94" i="15"/>
  <c r="AM93" i="15"/>
  <c r="AM92" i="15"/>
  <c r="AH92" i="15"/>
  <c r="AM91" i="15"/>
  <c r="AH91" i="15"/>
  <c r="AM90" i="15"/>
  <c r="AH90" i="15"/>
  <c r="AM88" i="15"/>
  <c r="AH88" i="15"/>
  <c r="AM87" i="15"/>
  <c r="AH87" i="15"/>
  <c r="AM86" i="15"/>
  <c r="AH86" i="15"/>
  <c r="AM85" i="15"/>
  <c r="AH85" i="15"/>
  <c r="AM84" i="15"/>
  <c r="AH84" i="15"/>
  <c r="AM83" i="15"/>
  <c r="AH83" i="15"/>
  <c r="AM82" i="15"/>
  <c r="AM81" i="15"/>
  <c r="AM80" i="15"/>
  <c r="AH80" i="15"/>
  <c r="AM79" i="15"/>
  <c r="AH79" i="15"/>
  <c r="AM78" i="15"/>
  <c r="AH78" i="15"/>
  <c r="AO75" i="15"/>
  <c r="AP75" i="15" s="1"/>
  <c r="AQ75" i="15" s="1"/>
  <c r="AH75" i="15"/>
  <c r="AM74" i="15"/>
  <c r="AH74" i="15"/>
  <c r="AM73" i="15"/>
  <c r="AH73" i="15"/>
  <c r="AM72" i="15"/>
  <c r="AH72" i="15"/>
  <c r="AM70" i="15"/>
  <c r="AH70" i="15"/>
  <c r="AM69" i="15"/>
  <c r="AH69" i="15"/>
  <c r="AM68" i="15"/>
  <c r="AH68" i="15"/>
  <c r="AO67" i="15"/>
  <c r="AH67" i="15"/>
  <c r="AO66" i="15"/>
  <c r="AJ66" i="15"/>
  <c r="AM65" i="15"/>
  <c r="AH65" i="15"/>
  <c r="AM64" i="15"/>
  <c r="AH64" i="15"/>
  <c r="AM63" i="15"/>
  <c r="AH63" i="15"/>
  <c r="AM60" i="15"/>
  <c r="AH60" i="15"/>
  <c r="AM59" i="15"/>
  <c r="AH59" i="15"/>
  <c r="AM58" i="15"/>
  <c r="AM57" i="15"/>
  <c r="AM56" i="15"/>
  <c r="AH56" i="15"/>
  <c r="AM55" i="15"/>
  <c r="AH55" i="15"/>
  <c r="AM54" i="15"/>
  <c r="AH54" i="15"/>
  <c r="AM53" i="15"/>
  <c r="AH53" i="15"/>
  <c r="AM52" i="15"/>
  <c r="AH52" i="15"/>
  <c r="AM51" i="15"/>
  <c r="AH51" i="15"/>
  <c r="AM49" i="15"/>
  <c r="AM46" i="15"/>
  <c r="AH46" i="15"/>
  <c r="AH44" i="15"/>
  <c r="AM43" i="15"/>
  <c r="AH43" i="15"/>
  <c r="AM42" i="15"/>
  <c r="AH42" i="15"/>
  <c r="AM41" i="15"/>
  <c r="AH41" i="15"/>
  <c r="AO40" i="15"/>
  <c r="AJ40" i="15"/>
  <c r="AK40" i="15" s="1"/>
  <c r="AM39" i="15"/>
  <c r="AM38" i="15"/>
  <c r="AH38" i="15"/>
  <c r="AM37" i="15"/>
  <c r="AH37" i="15"/>
  <c r="AM36" i="15"/>
  <c r="AM33" i="15"/>
  <c r="AH33" i="15"/>
  <c r="AM31" i="15"/>
  <c r="AH31" i="15"/>
  <c r="AM30" i="15"/>
  <c r="AH30" i="15"/>
  <c r="AM29" i="15"/>
  <c r="AH29" i="15"/>
  <c r="AM28" i="15"/>
  <c r="AH28" i="15"/>
  <c r="AO27" i="15"/>
  <c r="AH26" i="15"/>
  <c r="AO25" i="15"/>
  <c r="AJ25" i="15"/>
  <c r="AM24" i="15"/>
  <c r="AH24" i="15"/>
  <c r="AM23" i="15"/>
  <c r="AH23" i="15"/>
  <c r="AM22" i="15"/>
  <c r="AH22" i="15"/>
  <c r="AM21" i="15"/>
  <c r="AH21" i="15"/>
  <c r="AM20" i="15"/>
  <c r="AH20" i="15"/>
  <c r="I89" i="13"/>
  <c r="K283" i="12"/>
  <c r="T175" i="12"/>
  <c r="T174" i="12"/>
  <c r="K48" i="12"/>
  <c r="K314" i="12" s="1"/>
  <c r="AH58" i="15" l="1"/>
  <c r="AH57" i="15"/>
  <c r="AH36" i="15"/>
  <c r="AH39" i="15"/>
  <c r="AP67" i="15"/>
  <c r="AQ67" i="15" s="1"/>
  <c r="AM67" i="15" s="1"/>
  <c r="AK25" i="15"/>
  <c r="AL25" i="15" s="1"/>
  <c r="AH25" i="15" s="1"/>
  <c r="AP95" i="15"/>
  <c r="AQ95" i="15" s="1"/>
  <c r="AP40" i="15"/>
  <c r="AQ40" i="15" s="1"/>
  <c r="AP306" i="15"/>
  <c r="AQ306" i="15" s="1"/>
  <c r="AP307" i="15"/>
  <c r="AQ307" i="15" s="1"/>
  <c r="AP294" i="15"/>
  <c r="AQ294" i="15" s="1"/>
  <c r="AM294" i="15" s="1"/>
  <c r="AP284" i="15"/>
  <c r="AQ284" i="15" s="1"/>
  <c r="AK303" i="15"/>
  <c r="AL303" i="15" s="1"/>
  <c r="AH303" i="15" s="1"/>
  <c r="AP275" i="15"/>
  <c r="AQ275" i="15" s="1"/>
  <c r="AP221" i="15"/>
  <c r="AQ221" i="15" s="1"/>
  <c r="AQ217" i="15"/>
  <c r="AM217" i="15" s="1"/>
  <c r="AH107" i="15"/>
  <c r="AL112" i="15"/>
  <c r="AH112" i="15" s="1"/>
  <c r="AP119" i="15"/>
  <c r="AQ119" i="15" s="1"/>
  <c r="AM119" i="15" s="1"/>
  <c r="AP97" i="15"/>
  <c r="AQ97" i="15" s="1"/>
  <c r="AH158" i="15"/>
  <c r="AH126" i="15"/>
  <c r="AQ271" i="15"/>
  <c r="AM271" i="15" s="1"/>
  <c r="AL274" i="15"/>
  <c r="AH274" i="15" s="1"/>
  <c r="AQ274" i="15"/>
  <c r="AM274" i="15" s="1"/>
  <c r="AL271" i="15"/>
  <c r="AP27" i="15"/>
  <c r="AP303" i="15"/>
  <c r="AQ303" i="15" s="1"/>
  <c r="AM303" i="15" s="1"/>
  <c r="AP254" i="15"/>
  <c r="AH292" i="15"/>
  <c r="AP292" i="15"/>
  <c r="AH275" i="15"/>
  <c r="AP312" i="15"/>
  <c r="AQ312" i="15" s="1"/>
  <c r="AK307" i="15"/>
  <c r="AL307" i="15" s="1"/>
  <c r="AH40" i="15"/>
  <c r="AM61" i="15"/>
  <c r="AM62" i="15"/>
  <c r="AH61" i="15"/>
  <c r="AH27" i="15"/>
  <c r="AP25" i="15"/>
  <c r="AM45" i="15"/>
  <c r="AH48" i="15"/>
  <c r="AM50" i="15"/>
  <c r="AH45" i="15"/>
  <c r="AM48" i="15"/>
  <c r="AH50" i="15"/>
  <c r="AM47" i="15"/>
  <c r="AP66" i="15"/>
  <c r="AM75" i="15"/>
  <c r="AK66" i="15"/>
  <c r="AM32" i="15"/>
  <c r="AH32" i="15"/>
  <c r="AM77" i="15"/>
  <c r="AH76" i="15"/>
  <c r="AM76" i="15"/>
  <c r="AH77" i="15"/>
  <c r="AH95" i="15"/>
  <c r="AH35" i="15"/>
  <c r="AM35" i="15"/>
  <c r="AH34" i="15"/>
  <c r="AM34" i="15"/>
  <c r="AH97" i="15"/>
  <c r="AK202" i="15"/>
  <c r="AK203" i="15"/>
  <c r="AL203" i="15" s="1"/>
  <c r="AP202" i="15"/>
  <c r="AP222" i="15"/>
  <c r="AP223" i="15"/>
  <c r="AQ223" i="15" s="1"/>
  <c r="AP227" i="15"/>
  <c r="AK221" i="15"/>
  <c r="AL221" i="15" s="1"/>
  <c r="AK223" i="15"/>
  <c r="AK227" i="15"/>
  <c r="AK222" i="15"/>
  <c r="AL222" i="15" s="1"/>
  <c r="AH230" i="15"/>
  <c r="AP228" i="15"/>
  <c r="AQ228" i="15" s="1"/>
  <c r="AP230" i="15"/>
  <c r="AK228" i="15"/>
  <c r="AK234" i="15"/>
  <c r="AP234" i="15"/>
  <c r="AP107" i="15"/>
  <c r="AQ107" i="15" s="1"/>
  <c r="AP112" i="15"/>
  <c r="AQ112" i="15" s="1"/>
  <c r="AP197" i="15"/>
  <c r="AP114" i="15"/>
  <c r="AK165" i="15"/>
  <c r="AL165" i="15" s="1"/>
  <c r="AP165" i="15"/>
  <c r="AQ165" i="15" s="1"/>
  <c r="AM166" i="15"/>
  <c r="AP172" i="15"/>
  <c r="AP251" i="15"/>
  <c r="AP253" i="15"/>
  <c r="AH119" i="15"/>
  <c r="AP244" i="15"/>
  <c r="AQ244" i="15" s="1"/>
  <c r="AP245" i="15"/>
  <c r="AP264" i="15"/>
  <c r="AP144" i="15"/>
  <c r="AH142" i="15"/>
  <c r="AH144" i="15"/>
  <c r="AP158" i="15"/>
  <c r="AH164" i="15"/>
  <c r="AP164" i="15"/>
  <c r="AQ164" i="15" s="1"/>
  <c r="AP134" i="15"/>
  <c r="AQ134" i="15" s="1"/>
  <c r="AP127" i="15"/>
  <c r="AP129" i="15"/>
  <c r="AP126" i="15"/>
  <c r="AQ126" i="15" s="1"/>
  <c r="AH129" i="15"/>
  <c r="AK134" i="15"/>
  <c r="AL134" i="15" s="1"/>
  <c r="AK211" i="15"/>
  <c r="AH211" i="15" s="1"/>
  <c r="AK216" i="15"/>
  <c r="AH216" i="15" s="1"/>
  <c r="AP211" i="15"/>
  <c r="AM211" i="15" s="1"/>
  <c r="AP213" i="15"/>
  <c r="AQ213" i="15" s="1"/>
  <c r="AP218" i="15"/>
  <c r="AK210" i="15"/>
  <c r="AK218" i="15"/>
  <c r="AL218" i="15" s="1"/>
  <c r="AK212" i="15"/>
  <c r="AL212" i="15" s="1"/>
  <c r="AP210" i="15"/>
  <c r="AQ210" i="15" s="1"/>
  <c r="AM212" i="15"/>
  <c r="AP214" i="15"/>
  <c r="AP191" i="15"/>
  <c r="AQ191" i="15" s="1"/>
  <c r="AP184" i="15"/>
  <c r="AQ184" i="15" s="1"/>
  <c r="I91" i="13"/>
  <c r="K318" i="12"/>
  <c r="AJ306" i="15"/>
  <c r="AK306" i="15" s="1"/>
  <c r="AH245" i="15"/>
  <c r="AO246" i="15"/>
  <c r="AP246" i="15" s="1"/>
  <c r="AN316" i="15"/>
  <c r="AJ246" i="15"/>
  <c r="AK246" i="15" s="1"/>
  <c r="AH47" i="15"/>
  <c r="AM306" i="15" l="1"/>
  <c r="AM95" i="15"/>
  <c r="AQ66" i="15"/>
  <c r="AM66" i="15" s="1"/>
  <c r="AL66" i="15"/>
  <c r="AH66" i="15" s="1"/>
  <c r="AQ25" i="15"/>
  <c r="AM25" i="15" s="1"/>
  <c r="AQ27" i="15"/>
  <c r="AM27" i="15" s="1"/>
  <c r="AM40" i="15"/>
  <c r="AM312" i="15"/>
  <c r="AM307" i="15"/>
  <c r="AH307" i="15"/>
  <c r="AM284" i="15"/>
  <c r="AM275" i="15"/>
  <c r="AQ292" i="15"/>
  <c r="AM292" i="15" s="1"/>
  <c r="AM221" i="15"/>
  <c r="AQ254" i="15"/>
  <c r="AM254" i="15" s="1"/>
  <c r="AM223" i="15"/>
  <c r="AH222" i="15"/>
  <c r="AL223" i="15"/>
  <c r="AH223" i="15" s="1"/>
  <c r="AH221" i="15"/>
  <c r="AQ222" i="15"/>
  <c r="AM222" i="15" s="1"/>
  <c r="AQ227" i="15"/>
  <c r="AM227" i="15" s="1"/>
  <c r="AL227" i="15"/>
  <c r="AH227" i="15" s="1"/>
  <c r="AH203" i="15"/>
  <c r="AQ202" i="15"/>
  <c r="AM202" i="15" s="1"/>
  <c r="AL202" i="15"/>
  <c r="AH202" i="15" s="1"/>
  <c r="AM213" i="15"/>
  <c r="AH218" i="15"/>
  <c r="AM210" i="15"/>
  <c r="AH212" i="15"/>
  <c r="AQ218" i="15"/>
  <c r="AM218" i="15" s="1"/>
  <c r="AQ214" i="15"/>
  <c r="AM214" i="15" s="1"/>
  <c r="AL210" i="15"/>
  <c r="AH210" i="15" s="1"/>
  <c r="AQ144" i="15"/>
  <c r="AM144" i="15" s="1"/>
  <c r="AM112" i="15"/>
  <c r="AM107" i="15"/>
  <c r="AQ197" i="15"/>
  <c r="AM197" i="15" s="1"/>
  <c r="AM97" i="15"/>
  <c r="AQ114" i="15"/>
  <c r="AM114" i="15" s="1"/>
  <c r="AM164" i="15"/>
  <c r="AQ158" i="15"/>
  <c r="AM158" i="15" s="1"/>
  <c r="AM165" i="15"/>
  <c r="AH165" i="15"/>
  <c r="AQ172" i="15"/>
  <c r="AM172" i="15" s="1"/>
  <c r="AM191" i="15"/>
  <c r="AH191" i="15"/>
  <c r="AM184" i="15"/>
  <c r="AQ127" i="15"/>
  <c r="AM127" i="15" s="1"/>
  <c r="AH134" i="15"/>
  <c r="AQ129" i="15"/>
  <c r="AM129" i="15" s="1"/>
  <c r="AM134" i="15"/>
  <c r="AM126" i="15"/>
  <c r="AL246" i="15"/>
  <c r="AH246" i="15" s="1"/>
  <c r="AQ246" i="15"/>
  <c r="AM246" i="15" s="1"/>
  <c r="AM244" i="15"/>
  <c r="AQ245" i="15"/>
  <c r="AM245" i="15" s="1"/>
  <c r="AL234" i="15"/>
  <c r="AH234" i="15" s="1"/>
  <c r="AM228" i="15"/>
  <c r="AQ234" i="15"/>
  <c r="AM234" i="15" s="1"/>
  <c r="AQ230" i="15"/>
  <c r="AM230" i="15" s="1"/>
  <c r="AL228" i="15"/>
  <c r="AH228" i="15" s="1"/>
  <c r="AQ253" i="15"/>
  <c r="AM253" i="15" s="1"/>
  <c r="AQ251" i="15"/>
  <c r="AM251" i="15" s="1"/>
  <c r="AQ264" i="15"/>
  <c r="AM264" i="15" s="1"/>
  <c r="AH271" i="15"/>
  <c r="AH306" i="15"/>
  <c r="AH62" i="15"/>
  <c r="AH184" i="15"/>
  <c r="AL314" i="15" l="1"/>
  <c r="AH151" i="15"/>
  <c r="AO316" i="15" l="1"/>
  <c r="AM313" i="15" l="1"/>
  <c r="AH300" i="15" l="1"/>
  <c r="AH314" i="15" s="1"/>
  <c r="AO142" i="15"/>
  <c r="AP142" i="15" l="1"/>
  <c r="AQ142" i="15" s="1"/>
  <c r="AM142" i="15" s="1"/>
  <c r="AM314" i="15" s="1"/>
</calcChain>
</file>

<file path=xl/comments1.xml><?xml version="1.0" encoding="utf-8"?>
<comments xmlns="http://schemas.openxmlformats.org/spreadsheetml/2006/main">
  <authors>
    <author>YULIANA ANDREA BARRIENTOS VALENCIA</author>
    <author>PC</author>
    <author>User</author>
    <author>USUARI</author>
    <author>DAVID ARBOLEDA CARVAJAL</author>
    <author>Yuliana Barrientos</author>
    <author>Luz Dary</author>
    <author>Olga luz</author>
    <author>MERCEDES DEL SOCORRO RAMIREZ URAN</author>
    <author>YULY ALEXANDRA PORRAS CARDENAS</author>
    <author>LILIANA PATRICIA MEJIA VELEZ</author>
    <author>JUAN VICENTE LOPEZ SANCHEZ</author>
    <author>LUIS FERNANDO PALACIO TAMAYO</author>
  </authors>
  <commentList>
    <comment ref="J29" authorId="0" shapeId="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J30" authorId="0" shapeId="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J31" authorId="0" shapeId="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J32" authorId="0" shapeId="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J33" authorId="0" shapeId="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L34" authorId="1" shapeId="0">
      <text>
        <r>
          <rPr>
            <b/>
            <sz val="9"/>
            <color indexed="81"/>
            <rFont val="Tahoma"/>
            <family val="2"/>
          </rPr>
          <t>PC:</t>
        </r>
        <r>
          <rPr>
            <sz val="9"/>
            <color indexed="81"/>
            <rFont val="Tahoma"/>
            <family val="2"/>
          </rPr>
          <t xml:space="preserve">
en MGA es Apoyo a la Gestión</t>
        </r>
      </text>
    </comment>
    <comment ref="K36" authorId="2" shapeId="0">
      <text>
        <r>
          <rPr>
            <sz val="9"/>
            <color indexed="81"/>
            <rFont val="Tahoma"/>
            <family val="2"/>
          </rPr>
          <t xml:space="preserve">User: Mantenimiento plataforma @star 2020
</t>
        </r>
      </text>
    </comment>
    <comment ref="AE36" authorId="2" shapeId="0">
      <text>
        <r>
          <rPr>
            <sz val="9"/>
            <color indexed="81"/>
            <rFont val="Tahoma"/>
            <family val="2"/>
          </rPr>
          <t xml:space="preserve">User: Mantenimiento plataforma @star 2020
</t>
        </r>
      </text>
    </comment>
    <comment ref="K37" authorId="2" shapeId="0">
      <text>
        <r>
          <rPr>
            <sz val="9"/>
            <color indexed="81"/>
            <rFont val="Tahoma"/>
            <family val="2"/>
          </rPr>
          <t xml:space="preserve">User: reproducción plegables
</t>
        </r>
      </text>
    </comment>
    <comment ref="AE37" authorId="2" shapeId="0">
      <text>
        <r>
          <rPr>
            <sz val="9"/>
            <color indexed="81"/>
            <rFont val="Tahoma"/>
            <family val="2"/>
          </rPr>
          <t xml:space="preserve">User: reproducción plegables
</t>
        </r>
      </text>
    </comment>
    <comment ref="K44" authorId="3" shapeId="0">
      <text>
        <r>
          <rPr>
            <sz val="9"/>
            <color indexed="81"/>
            <rFont val="Tahoma"/>
            <family val="2"/>
          </rPr>
          <t>Destinación específica FRE - Compra de medicamentos Monopolio del Estado</t>
        </r>
      </text>
    </comment>
    <comment ref="AE44" authorId="3" shapeId="0">
      <text>
        <r>
          <rPr>
            <sz val="9"/>
            <color indexed="81"/>
            <rFont val="Tahoma"/>
            <family val="2"/>
          </rPr>
          <t>Destinación específica FRE - Compra de medicamentos Monopolio del Estado</t>
        </r>
      </text>
    </comment>
    <comment ref="K45" authorId="3" shapeId="0">
      <text>
        <r>
          <rPr>
            <sz val="9"/>
            <color indexed="81"/>
            <rFont val="Tahoma"/>
            <family val="2"/>
          </rPr>
          <t>Destinación específica FRE - Compra de medicamentos Monopolio del Estado</t>
        </r>
      </text>
    </comment>
    <comment ref="AE45" authorId="3" shapeId="0">
      <text>
        <r>
          <rPr>
            <sz val="9"/>
            <color indexed="81"/>
            <rFont val="Tahoma"/>
            <family val="2"/>
          </rPr>
          <t>Destinación específica FRE - Compra de medicamentos Monopolio del Estado</t>
        </r>
      </text>
    </comment>
    <comment ref="K47" authorId="4" shapeId="0">
      <text>
        <r>
          <rPr>
            <b/>
            <sz val="9"/>
            <color indexed="81"/>
            <rFont val="Tahoma"/>
            <family val="2"/>
          </rPr>
          <t>DAVID ARBOLEDA CARVAJAL:</t>
        </r>
        <r>
          <rPr>
            <sz val="9"/>
            <color indexed="81"/>
            <rFont val="Tahoma"/>
            <family val="2"/>
          </rPr>
          <t xml:space="preserve">
Nómina</t>
        </r>
      </text>
    </comment>
    <comment ref="AE47" authorId="4" shapeId="0">
      <text>
        <r>
          <rPr>
            <b/>
            <sz val="9"/>
            <color indexed="81"/>
            <rFont val="Tahoma"/>
            <family val="2"/>
          </rPr>
          <t>DAVID ARBOLEDA CARVAJAL:</t>
        </r>
        <r>
          <rPr>
            <sz val="9"/>
            <color indexed="81"/>
            <rFont val="Tahoma"/>
            <family val="2"/>
          </rPr>
          <t xml:space="preserve">
Nómina</t>
        </r>
      </text>
    </comment>
    <comment ref="K48" authorId="3" shapeId="0">
      <text>
        <r>
          <rPr>
            <sz val="9"/>
            <color indexed="81"/>
            <rFont val="Tahoma"/>
            <family val="2"/>
          </rPr>
          <t>Nómina</t>
        </r>
      </text>
    </comment>
    <comment ref="AE48" authorId="3" shapeId="0">
      <text>
        <r>
          <rPr>
            <sz val="9"/>
            <color indexed="81"/>
            <rFont val="Tahoma"/>
            <family val="2"/>
          </rPr>
          <t>Nómina</t>
        </r>
      </text>
    </comment>
    <comment ref="K49" authorId="3" shapeId="0">
      <text>
        <r>
          <rPr>
            <sz val="9"/>
            <color indexed="81"/>
            <rFont val="Tahoma"/>
            <family val="2"/>
          </rPr>
          <t>Destinación específica FRE - Tiquetes aéreos</t>
        </r>
      </text>
    </comment>
    <comment ref="AE49" authorId="3" shapeId="0">
      <text>
        <r>
          <rPr>
            <sz val="9"/>
            <color indexed="81"/>
            <rFont val="Tahoma"/>
            <family val="2"/>
          </rPr>
          <t>Destinación específica FRE - Tiquetes aéreos</t>
        </r>
      </text>
    </comment>
    <comment ref="K50" authorId="4" shapeId="0">
      <text>
        <r>
          <rPr>
            <b/>
            <sz val="9"/>
            <color indexed="81"/>
            <rFont val="Tahoma"/>
            <family val="2"/>
          </rPr>
          <t>DAVID ARBOLEDA CARVAJAL:</t>
        </r>
        <r>
          <rPr>
            <sz val="9"/>
            <color indexed="81"/>
            <rFont val="Tahoma"/>
            <family val="2"/>
          </rPr>
          <t xml:space="preserve">
20´000.000 Transporte terrestre
30´000.000 Viáticos iniciales</t>
        </r>
      </text>
    </comment>
    <comment ref="AE50" authorId="4" shapeId="0">
      <text>
        <r>
          <rPr>
            <b/>
            <sz val="9"/>
            <color indexed="81"/>
            <rFont val="Tahoma"/>
            <family val="2"/>
          </rPr>
          <t>DAVID ARBOLEDA CARVAJAL:</t>
        </r>
        <r>
          <rPr>
            <sz val="9"/>
            <color indexed="81"/>
            <rFont val="Tahoma"/>
            <family val="2"/>
          </rPr>
          <t xml:space="preserve">
20´000.000 Transporte terrestre
30´000.000 Viáticos iniciales</t>
        </r>
      </text>
    </comment>
    <comment ref="K52" authorId="4" shapeId="0">
      <text>
        <r>
          <rPr>
            <b/>
            <sz val="9"/>
            <color indexed="81"/>
            <rFont val="Tahoma"/>
            <family val="2"/>
          </rPr>
          <t>DAVID ARBOLEDA CARVAJAL:</t>
        </r>
        <r>
          <rPr>
            <sz val="9"/>
            <color indexed="81"/>
            <rFont val="Tahoma"/>
            <family val="2"/>
          </rPr>
          <t xml:space="preserve">
Análisis de laboratorio</t>
        </r>
      </text>
    </comment>
    <comment ref="AE52" authorId="4" shapeId="0">
      <text>
        <r>
          <rPr>
            <b/>
            <sz val="9"/>
            <color indexed="81"/>
            <rFont val="Tahoma"/>
            <family val="2"/>
          </rPr>
          <t>DAVID ARBOLEDA CARVAJAL:</t>
        </r>
        <r>
          <rPr>
            <sz val="9"/>
            <color indexed="81"/>
            <rFont val="Tahoma"/>
            <family val="2"/>
          </rPr>
          <t xml:space="preserve">
Análisis de laboratorio</t>
        </r>
      </text>
    </comment>
    <comment ref="K68" authorId="5" shapeId="0">
      <text>
        <r>
          <rPr>
            <b/>
            <sz val="9"/>
            <color indexed="81"/>
            <rFont val="Tahoma"/>
            <family val="2"/>
          </rPr>
          <t>Compra de insumos vacunación.</t>
        </r>
      </text>
    </comment>
    <comment ref="AE68" authorId="5" shapeId="0">
      <text>
        <r>
          <rPr>
            <b/>
            <sz val="9"/>
            <color indexed="81"/>
            <rFont val="Tahoma"/>
            <family val="2"/>
          </rPr>
          <t>Compra de insumos vacunación.</t>
        </r>
      </text>
    </comment>
    <comment ref="K69" authorId="5" shapeId="0">
      <text>
        <r>
          <rPr>
            <b/>
            <sz val="9"/>
            <color indexed="81"/>
            <rFont val="Tahoma"/>
            <family val="2"/>
          </rPr>
          <t>Contrato foco rabia, contrato uraba y bajo cauca.</t>
        </r>
      </text>
    </comment>
    <comment ref="AE69" authorId="5" shapeId="0">
      <text>
        <r>
          <rPr>
            <b/>
            <sz val="9"/>
            <color indexed="81"/>
            <rFont val="Tahoma"/>
            <family val="2"/>
          </rPr>
          <t>Contrato foco rabia, contrato uraba y bajo cauca.</t>
        </r>
      </text>
    </comment>
    <comment ref="K75" authorId="5" shapeId="0">
      <text>
        <r>
          <rPr>
            <b/>
            <sz val="9"/>
            <color indexed="81"/>
            <rFont val="Tahoma"/>
            <family val="2"/>
          </rPr>
          <t>Apoyo UdeA</t>
        </r>
      </text>
    </comment>
    <comment ref="AE75" authorId="5" shapeId="0">
      <text>
        <r>
          <rPr>
            <b/>
            <sz val="9"/>
            <color indexed="81"/>
            <rFont val="Tahoma"/>
            <family val="2"/>
          </rPr>
          <t>Apoyo UdeA</t>
        </r>
      </text>
    </comment>
    <comment ref="K81" authorId="5" shapeId="0">
      <text>
        <r>
          <rPr>
            <b/>
            <sz val="9"/>
            <color indexed="81"/>
            <rFont val="Tahoma"/>
            <family val="2"/>
          </rPr>
          <t>Contrato aguas de lastre</t>
        </r>
      </text>
    </comment>
    <comment ref="AE81" authorId="5" shapeId="0">
      <text>
        <r>
          <rPr>
            <b/>
            <sz val="9"/>
            <color indexed="81"/>
            <rFont val="Tahoma"/>
            <family val="2"/>
          </rPr>
          <t>Contrato aguas de lastre</t>
        </r>
      </text>
    </comment>
    <comment ref="K82" authorId="5" shapeId="0">
      <text>
        <r>
          <rPr>
            <b/>
            <sz val="9"/>
            <color indexed="81"/>
            <rFont val="Tahoma"/>
            <family val="2"/>
          </rPr>
          <t>Actividades cambio climatico</t>
        </r>
      </text>
    </comment>
    <comment ref="AE82" authorId="5" shapeId="0">
      <text>
        <r>
          <rPr>
            <b/>
            <sz val="9"/>
            <color indexed="81"/>
            <rFont val="Tahoma"/>
            <family val="2"/>
          </rPr>
          <t>Actividades cambio climatico</t>
        </r>
      </text>
    </comment>
    <comment ref="K83" authorId="5" shapeId="0">
      <text>
        <r>
          <rPr>
            <b/>
            <sz val="9"/>
            <color indexed="81"/>
            <rFont val="Tahoma"/>
            <family val="2"/>
          </rPr>
          <t>Caja Menor</t>
        </r>
      </text>
    </comment>
    <comment ref="AE83" authorId="5" shapeId="0">
      <text>
        <r>
          <rPr>
            <b/>
            <sz val="9"/>
            <color indexed="81"/>
            <rFont val="Tahoma"/>
            <family val="2"/>
          </rPr>
          <t>Caja Menor</t>
        </r>
      </text>
    </comment>
    <comment ref="K84" authorId="5" shapeId="0">
      <text>
        <r>
          <rPr>
            <b/>
            <sz val="9"/>
            <color indexed="81"/>
            <rFont val="Tahoma"/>
            <family val="2"/>
          </rPr>
          <t>Caja Menor</t>
        </r>
      </text>
    </comment>
    <comment ref="AE84" authorId="5" shapeId="0">
      <text>
        <r>
          <rPr>
            <b/>
            <sz val="9"/>
            <color indexed="81"/>
            <rFont val="Tahoma"/>
            <family val="2"/>
          </rPr>
          <t>Caja Menor</t>
        </r>
      </text>
    </comment>
    <comment ref="K85" authorId="5" shapeId="0">
      <text>
        <r>
          <rPr>
            <b/>
            <sz val="9"/>
            <color indexed="81"/>
            <rFont val="Tahoma"/>
            <family val="2"/>
          </rPr>
          <t>Soporte digital</t>
        </r>
      </text>
    </comment>
    <comment ref="AE85" authorId="5" shapeId="0">
      <text>
        <r>
          <rPr>
            <b/>
            <sz val="9"/>
            <color indexed="81"/>
            <rFont val="Tahoma"/>
            <family val="2"/>
          </rPr>
          <t>Soporte digital</t>
        </r>
      </text>
    </comment>
    <comment ref="K86" authorId="5" shapeId="0">
      <text>
        <r>
          <rPr>
            <b/>
            <sz val="9"/>
            <color indexed="81"/>
            <rFont val="Tahoma"/>
            <family val="2"/>
          </rPr>
          <t>Epidemiologia en Sanidad Portuaria</t>
        </r>
      </text>
    </comment>
    <comment ref="AE86" authorId="5" shapeId="0">
      <text>
        <r>
          <rPr>
            <b/>
            <sz val="9"/>
            <color indexed="81"/>
            <rFont val="Tahoma"/>
            <family val="2"/>
          </rPr>
          <t>Epidemiologia en Sanidad Portuaria</t>
        </r>
      </text>
    </comment>
    <comment ref="L99" authorId="6" shapeId="0">
      <text>
        <r>
          <rPr>
            <b/>
            <sz val="9"/>
            <color indexed="81"/>
            <rFont val="Tahoma"/>
            <family val="2"/>
          </rPr>
          <t>Luz Dary:</t>
        </r>
        <r>
          <rPr>
            <sz val="9"/>
            <color indexed="81"/>
            <rFont val="Tahoma"/>
            <family val="2"/>
          </rPr>
          <t xml:space="preserve">
ACTIVIDAD PARA EL COMPONENTE LABORAL</t>
        </r>
      </text>
    </comment>
    <comment ref="Y99" authorId="7" shapeId="0">
      <text>
        <r>
          <rPr>
            <b/>
            <sz val="9"/>
            <color indexed="81"/>
            <rFont val="Tahoma"/>
            <family val="2"/>
          </rPr>
          <t>Ana María: Concurrencia por tres meses a los 115 municipios</t>
        </r>
        <r>
          <rPr>
            <sz val="9"/>
            <color indexed="81"/>
            <rFont val="Tahoma"/>
            <family val="2"/>
          </rPr>
          <t xml:space="preserve">
</t>
        </r>
      </text>
    </comment>
    <comment ref="T157" authorId="8" shapeId="0">
      <text>
        <r>
          <rPr>
            <b/>
            <sz val="9"/>
            <color indexed="81"/>
            <rFont val="Tahoma"/>
            <family val="2"/>
          </rPr>
          <t xml:space="preserve">MERCEDES DEL SOCORRO RAMIREZ URAN: 19 EAPB y 20 DLS </t>
        </r>
        <r>
          <rPr>
            <sz val="9"/>
            <color indexed="81"/>
            <rFont val="Tahoma"/>
            <family val="2"/>
          </rPr>
          <t xml:space="preserve">
</t>
        </r>
      </text>
    </comment>
    <comment ref="T171" authorId="9" shapeId="0">
      <text>
        <r>
          <rPr>
            <sz val="9"/>
            <color indexed="81"/>
            <rFont val="Tahoma"/>
            <family val="2"/>
          </rPr>
          <t xml:space="preserve">
Corresponde a la suma de las ADQUISICIONES DE INSUMOS Y EL AOPOYO LOGISTICO DE EVENTOS EN LA SSA</t>
        </r>
      </text>
    </comment>
    <comment ref="K219" authorId="10" shapeId="0">
      <text>
        <r>
          <rPr>
            <b/>
            <sz val="9"/>
            <color indexed="81"/>
            <rFont val="Tahoma"/>
            <family val="2"/>
          </rPr>
          <t>LILIANA PATRICIA MEJIA VELEZ:</t>
        </r>
        <r>
          <rPr>
            <sz val="9"/>
            <color indexed="81"/>
            <rFont val="Tahoma"/>
            <family val="2"/>
          </rPr>
          <t xml:space="preserve">
$1.800.000.000 Recursos del Balance
$200.000.000 contrato actual UdeA</t>
        </r>
      </text>
    </comment>
    <comment ref="AE219" authorId="10" shapeId="0">
      <text>
        <r>
          <rPr>
            <b/>
            <sz val="9"/>
            <color indexed="81"/>
            <rFont val="Tahoma"/>
            <family val="2"/>
          </rPr>
          <t>LILIANA PATRICIA MEJIA VELEZ:</t>
        </r>
        <r>
          <rPr>
            <sz val="9"/>
            <color indexed="81"/>
            <rFont val="Tahoma"/>
            <family val="2"/>
          </rPr>
          <t xml:space="preserve">
$1.800.000.000 Recursos del Balance
$200.000.000 contrato actual UdeA</t>
        </r>
      </text>
    </comment>
    <comment ref="L289" authorId="11" shapeId="0">
      <text>
        <r>
          <rPr>
            <b/>
            <sz val="9"/>
            <color indexed="81"/>
            <rFont val="Tahoma"/>
            <family val="2"/>
          </rPr>
          <t>JUAN VICENTE LOPEZ SANCHEZ:</t>
        </r>
        <r>
          <rPr>
            <sz val="9"/>
            <color indexed="81"/>
            <rFont val="Tahoma"/>
            <family val="2"/>
          </rPr>
          <t xml:space="preserve">
Seguimiento a la Política Pública de Envejecimiento y Vejez  (transporte aéreo y terrestre) 
Investigación Manual de Indicadores de Calidad de Vida 
Evento académico Adultos Mayores</t>
        </r>
      </text>
    </comment>
    <comment ref="L304" authorId="12" shapeId="0">
      <text>
        <r>
          <rPr>
            <sz val="9"/>
            <color indexed="81"/>
            <rFont val="Tahoma"/>
            <family val="2"/>
          </rPr>
          <t xml:space="preserve">
• Base principal de operaciones del PAS: Arrendamiento, dotación y mantenimiento, entre otros aspectos.</t>
        </r>
      </text>
    </comment>
  </commentList>
</comments>
</file>

<file path=xl/comments2.xml><?xml version="1.0" encoding="utf-8"?>
<comments xmlns="http://schemas.openxmlformats.org/spreadsheetml/2006/main">
  <authors>
    <author>YULIANA ANDREA BARRIENTOS VALENCIA</author>
    <author>PC</author>
    <author>User</author>
    <author>USUARI</author>
    <author>DAVID ARBOLEDA CARVAJAL</author>
    <author>Yuliana Barrientos</author>
    <author>Luz Dary</author>
    <author>Olga luz</author>
    <author>S402</author>
    <author>MERCEDES DEL SOCORRO RAMIREZ URAN</author>
    <author>YULY ALEXANDRA PORRAS CARDENAS</author>
    <author>LILIANA PATRICIA MEJIA VELEZ</author>
    <author>JUAN VICENTE LOPEZ SANCHEZ</author>
    <author>LUIS FERNANDO PALACIO TAMAYO</author>
  </authors>
  <commentList>
    <comment ref="K29" authorId="0" shapeId="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K30" authorId="0" shapeId="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K31" authorId="0" shapeId="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K32" authorId="0" shapeId="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K33" authorId="0" shapeId="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M34" authorId="1" shapeId="0">
      <text>
        <r>
          <rPr>
            <b/>
            <sz val="9"/>
            <color indexed="81"/>
            <rFont val="Tahoma"/>
            <family val="2"/>
          </rPr>
          <t>PC:</t>
        </r>
        <r>
          <rPr>
            <sz val="9"/>
            <color indexed="81"/>
            <rFont val="Tahoma"/>
            <family val="2"/>
          </rPr>
          <t xml:space="preserve">
en MGA es Apoyo a la Gestión</t>
        </r>
      </text>
    </comment>
    <comment ref="L36" authorId="2" shapeId="0">
      <text>
        <r>
          <rPr>
            <sz val="9"/>
            <color indexed="81"/>
            <rFont val="Tahoma"/>
            <family val="2"/>
          </rPr>
          <t xml:space="preserve">User: Mantenimiento plataforma @star 2020
</t>
        </r>
      </text>
    </comment>
    <comment ref="AA36" authorId="2" shapeId="0">
      <text>
        <r>
          <rPr>
            <sz val="9"/>
            <color indexed="81"/>
            <rFont val="Tahoma"/>
            <family val="2"/>
          </rPr>
          <t xml:space="preserve">User: Mantenimiento plataforma @star 2020
</t>
        </r>
      </text>
    </comment>
    <comment ref="L37" authorId="2" shapeId="0">
      <text>
        <r>
          <rPr>
            <sz val="9"/>
            <color indexed="81"/>
            <rFont val="Tahoma"/>
            <family val="2"/>
          </rPr>
          <t xml:space="preserve">User: reproducción plegables
</t>
        </r>
      </text>
    </comment>
    <comment ref="AA37" authorId="2" shapeId="0">
      <text>
        <r>
          <rPr>
            <sz val="9"/>
            <color indexed="81"/>
            <rFont val="Tahoma"/>
            <family val="2"/>
          </rPr>
          <t xml:space="preserve">User: reproducción plegables
</t>
        </r>
      </text>
    </comment>
    <comment ref="L44" authorId="3" shapeId="0">
      <text>
        <r>
          <rPr>
            <sz val="9"/>
            <color indexed="81"/>
            <rFont val="Tahoma"/>
            <family val="2"/>
          </rPr>
          <t>Destinación específica FRE - Compra de medicamentos Monopolio del Estado</t>
        </r>
      </text>
    </comment>
    <comment ref="AA44" authorId="3" shapeId="0">
      <text>
        <r>
          <rPr>
            <sz val="9"/>
            <color indexed="81"/>
            <rFont val="Tahoma"/>
            <family val="2"/>
          </rPr>
          <t>Destinación específica FRE - Compra de medicamentos Monopolio del Estado</t>
        </r>
      </text>
    </comment>
    <comment ref="L45" authorId="3" shapeId="0">
      <text>
        <r>
          <rPr>
            <sz val="9"/>
            <color indexed="81"/>
            <rFont val="Tahoma"/>
            <family val="2"/>
          </rPr>
          <t>Destinación específica FRE - Compra de medicamentos Monopolio del Estado</t>
        </r>
      </text>
    </comment>
    <comment ref="AA45" authorId="3" shapeId="0">
      <text>
        <r>
          <rPr>
            <sz val="9"/>
            <color indexed="81"/>
            <rFont val="Tahoma"/>
            <family val="2"/>
          </rPr>
          <t>Destinación específica FRE - Compra de medicamentos Monopolio del Estado</t>
        </r>
      </text>
    </comment>
    <comment ref="L47" authorId="4" shapeId="0">
      <text>
        <r>
          <rPr>
            <b/>
            <sz val="9"/>
            <color indexed="81"/>
            <rFont val="Tahoma"/>
            <family val="2"/>
          </rPr>
          <t>DAVID ARBOLEDA CARVAJAL:</t>
        </r>
        <r>
          <rPr>
            <sz val="9"/>
            <color indexed="81"/>
            <rFont val="Tahoma"/>
            <family val="2"/>
          </rPr>
          <t xml:space="preserve">
Nómina</t>
        </r>
      </text>
    </comment>
    <comment ref="AA47" authorId="4" shapeId="0">
      <text>
        <r>
          <rPr>
            <b/>
            <sz val="9"/>
            <color indexed="81"/>
            <rFont val="Tahoma"/>
            <family val="2"/>
          </rPr>
          <t>DAVID ARBOLEDA CARVAJAL:</t>
        </r>
        <r>
          <rPr>
            <sz val="9"/>
            <color indexed="81"/>
            <rFont val="Tahoma"/>
            <family val="2"/>
          </rPr>
          <t xml:space="preserve">
Nómina</t>
        </r>
      </text>
    </comment>
    <comment ref="L48" authorId="3" shapeId="0">
      <text>
        <r>
          <rPr>
            <sz val="9"/>
            <color indexed="81"/>
            <rFont val="Tahoma"/>
            <family val="2"/>
          </rPr>
          <t>Nómina</t>
        </r>
      </text>
    </comment>
    <comment ref="AA48" authorId="3" shapeId="0">
      <text>
        <r>
          <rPr>
            <sz val="9"/>
            <color indexed="81"/>
            <rFont val="Tahoma"/>
            <family val="2"/>
          </rPr>
          <t>Nómina</t>
        </r>
      </text>
    </comment>
    <comment ref="L49" authorId="3" shapeId="0">
      <text>
        <r>
          <rPr>
            <sz val="9"/>
            <color indexed="81"/>
            <rFont val="Tahoma"/>
            <family val="2"/>
          </rPr>
          <t>Destinación específica FRE - Tiquetes aéreos</t>
        </r>
      </text>
    </comment>
    <comment ref="AA49" authorId="3" shapeId="0">
      <text>
        <r>
          <rPr>
            <sz val="9"/>
            <color indexed="81"/>
            <rFont val="Tahoma"/>
            <family val="2"/>
          </rPr>
          <t>Destinación específica FRE - Tiquetes aéreos</t>
        </r>
      </text>
    </comment>
    <comment ref="L50" authorId="4" shapeId="0">
      <text>
        <r>
          <rPr>
            <b/>
            <sz val="9"/>
            <color indexed="81"/>
            <rFont val="Tahoma"/>
            <family val="2"/>
          </rPr>
          <t>DAVID ARBOLEDA CARVAJAL:</t>
        </r>
        <r>
          <rPr>
            <sz val="9"/>
            <color indexed="81"/>
            <rFont val="Tahoma"/>
            <family val="2"/>
          </rPr>
          <t xml:space="preserve">
20´000.000 Transporte terrestre
30´000.000 Viáticos iniciales</t>
        </r>
      </text>
    </comment>
    <comment ref="AA50" authorId="4" shapeId="0">
      <text>
        <r>
          <rPr>
            <b/>
            <sz val="9"/>
            <color indexed="81"/>
            <rFont val="Tahoma"/>
            <family val="2"/>
          </rPr>
          <t>DAVID ARBOLEDA CARVAJAL:</t>
        </r>
        <r>
          <rPr>
            <sz val="9"/>
            <color indexed="81"/>
            <rFont val="Tahoma"/>
            <family val="2"/>
          </rPr>
          <t xml:space="preserve">
20´000.000 Transporte terrestre
30´000.000 Viáticos iniciales</t>
        </r>
      </text>
    </comment>
    <comment ref="L52" authorId="4" shapeId="0">
      <text>
        <r>
          <rPr>
            <b/>
            <sz val="9"/>
            <color indexed="81"/>
            <rFont val="Tahoma"/>
            <family val="2"/>
          </rPr>
          <t>DAVID ARBOLEDA CARVAJAL:</t>
        </r>
        <r>
          <rPr>
            <sz val="9"/>
            <color indexed="81"/>
            <rFont val="Tahoma"/>
            <family val="2"/>
          </rPr>
          <t xml:space="preserve">
Análisis de laboratorio</t>
        </r>
      </text>
    </comment>
    <comment ref="AA52" authorId="4" shapeId="0">
      <text>
        <r>
          <rPr>
            <b/>
            <sz val="9"/>
            <color indexed="81"/>
            <rFont val="Tahoma"/>
            <family val="2"/>
          </rPr>
          <t>DAVID ARBOLEDA CARVAJAL:</t>
        </r>
        <r>
          <rPr>
            <sz val="9"/>
            <color indexed="81"/>
            <rFont val="Tahoma"/>
            <family val="2"/>
          </rPr>
          <t xml:space="preserve">
Análisis de laboratorio</t>
        </r>
      </text>
    </comment>
    <comment ref="AI62" authorId="0" shapeId="0">
      <text>
        <r>
          <rPr>
            <b/>
            <sz val="12"/>
            <color indexed="81"/>
            <rFont val="Tahoma"/>
            <family val="2"/>
          </rPr>
          <t xml:space="preserve">Nomina de la profeesional Piedad Martinez
</t>
        </r>
      </text>
    </comment>
    <comment ref="L68" authorId="5" shapeId="0">
      <text>
        <r>
          <rPr>
            <b/>
            <sz val="9"/>
            <color indexed="81"/>
            <rFont val="Tahoma"/>
            <family val="2"/>
          </rPr>
          <t>Compra de insumos vacunación.</t>
        </r>
      </text>
    </comment>
    <comment ref="AA68" authorId="5" shapeId="0">
      <text>
        <r>
          <rPr>
            <b/>
            <sz val="9"/>
            <color indexed="81"/>
            <rFont val="Tahoma"/>
            <family val="2"/>
          </rPr>
          <t>Compra de insumos vacunación.</t>
        </r>
      </text>
    </comment>
    <comment ref="L69" authorId="5" shapeId="0">
      <text>
        <r>
          <rPr>
            <b/>
            <sz val="9"/>
            <color indexed="81"/>
            <rFont val="Tahoma"/>
            <family val="2"/>
          </rPr>
          <t>Contrato foco rabia, contrato uraba y bajo cauca.</t>
        </r>
      </text>
    </comment>
    <comment ref="AA69" authorId="5" shapeId="0">
      <text>
        <r>
          <rPr>
            <b/>
            <sz val="9"/>
            <color indexed="81"/>
            <rFont val="Tahoma"/>
            <family val="2"/>
          </rPr>
          <t>Contrato foco rabia, contrato uraba y bajo cauca.</t>
        </r>
      </text>
    </comment>
    <comment ref="AJ69" authorId="5" shapeId="0">
      <text>
        <r>
          <rPr>
            <b/>
            <sz val="9"/>
            <color indexed="81"/>
            <rFont val="Tahoma"/>
            <family val="2"/>
          </rPr>
          <t>Contrato foco rabia, contrato uraba y bajo cauca.</t>
        </r>
      </text>
    </comment>
    <comment ref="L75" authorId="5" shapeId="0">
      <text>
        <r>
          <rPr>
            <b/>
            <sz val="9"/>
            <color indexed="81"/>
            <rFont val="Tahoma"/>
            <family val="2"/>
          </rPr>
          <t>Apoyo UdeA</t>
        </r>
      </text>
    </comment>
    <comment ref="AA75" authorId="5" shapeId="0">
      <text>
        <r>
          <rPr>
            <b/>
            <sz val="9"/>
            <color indexed="81"/>
            <rFont val="Tahoma"/>
            <family val="2"/>
          </rPr>
          <t>Apoyo UdeA</t>
        </r>
      </text>
    </comment>
    <comment ref="AI75" authorId="5" shapeId="0">
      <text>
        <r>
          <rPr>
            <b/>
            <sz val="9"/>
            <color indexed="81"/>
            <rFont val="Tahoma"/>
            <family val="2"/>
          </rPr>
          <t>Apoyo UdeA</t>
        </r>
      </text>
    </comment>
    <comment ref="AI80" authorId="5" shapeId="0">
      <text>
        <r>
          <rPr>
            <b/>
            <sz val="9"/>
            <color indexed="81"/>
            <rFont val="Tahoma"/>
            <family val="2"/>
          </rPr>
          <t>Transporte terrestre</t>
        </r>
      </text>
    </comment>
    <comment ref="L81" authorId="5" shapeId="0">
      <text>
        <r>
          <rPr>
            <b/>
            <sz val="9"/>
            <color indexed="81"/>
            <rFont val="Tahoma"/>
            <family val="2"/>
          </rPr>
          <t>Contrato aguas de lastre</t>
        </r>
      </text>
    </comment>
    <comment ref="AA81" authorId="5" shapeId="0">
      <text>
        <r>
          <rPr>
            <b/>
            <sz val="9"/>
            <color indexed="81"/>
            <rFont val="Tahoma"/>
            <family val="2"/>
          </rPr>
          <t>Contrato aguas de lastre</t>
        </r>
      </text>
    </comment>
    <comment ref="L82" authorId="5" shapeId="0">
      <text>
        <r>
          <rPr>
            <b/>
            <sz val="9"/>
            <color indexed="81"/>
            <rFont val="Tahoma"/>
            <family val="2"/>
          </rPr>
          <t>Actividades cambio climatico</t>
        </r>
      </text>
    </comment>
    <comment ref="AA82" authorId="5" shapeId="0">
      <text>
        <r>
          <rPr>
            <b/>
            <sz val="9"/>
            <color indexed="81"/>
            <rFont val="Tahoma"/>
            <family val="2"/>
          </rPr>
          <t>Actividades cambio climatico</t>
        </r>
      </text>
    </comment>
    <comment ref="L83" authorId="5" shapeId="0">
      <text>
        <r>
          <rPr>
            <b/>
            <sz val="9"/>
            <color indexed="81"/>
            <rFont val="Tahoma"/>
            <family val="2"/>
          </rPr>
          <t>Caja Menor</t>
        </r>
      </text>
    </comment>
    <comment ref="AA83" authorId="5" shapeId="0">
      <text>
        <r>
          <rPr>
            <b/>
            <sz val="9"/>
            <color indexed="81"/>
            <rFont val="Tahoma"/>
            <family val="2"/>
          </rPr>
          <t>Caja Menor</t>
        </r>
      </text>
    </comment>
    <comment ref="L84" authorId="5" shapeId="0">
      <text>
        <r>
          <rPr>
            <b/>
            <sz val="9"/>
            <color indexed="81"/>
            <rFont val="Tahoma"/>
            <family val="2"/>
          </rPr>
          <t>Caja Menor</t>
        </r>
      </text>
    </comment>
    <comment ref="AA84" authorId="5" shapeId="0">
      <text>
        <r>
          <rPr>
            <b/>
            <sz val="9"/>
            <color indexed="81"/>
            <rFont val="Tahoma"/>
            <family val="2"/>
          </rPr>
          <t>Caja Menor</t>
        </r>
      </text>
    </comment>
    <comment ref="L85" authorId="5" shapeId="0">
      <text>
        <r>
          <rPr>
            <b/>
            <sz val="9"/>
            <color indexed="81"/>
            <rFont val="Tahoma"/>
            <family val="2"/>
          </rPr>
          <t>Soporte digital</t>
        </r>
      </text>
    </comment>
    <comment ref="AA85" authorId="5" shapeId="0">
      <text>
        <r>
          <rPr>
            <b/>
            <sz val="9"/>
            <color indexed="81"/>
            <rFont val="Tahoma"/>
            <family val="2"/>
          </rPr>
          <t>Soporte digital</t>
        </r>
      </text>
    </comment>
    <comment ref="L86" authorId="5" shapeId="0">
      <text>
        <r>
          <rPr>
            <b/>
            <sz val="9"/>
            <color indexed="81"/>
            <rFont val="Tahoma"/>
            <family val="2"/>
          </rPr>
          <t>Epidemiologia en Sanidad Portuaria</t>
        </r>
      </text>
    </comment>
    <comment ref="AA86" authorId="5" shapeId="0">
      <text>
        <r>
          <rPr>
            <b/>
            <sz val="9"/>
            <color indexed="81"/>
            <rFont val="Tahoma"/>
            <family val="2"/>
          </rPr>
          <t>Epidemiologia en Sanidad Portuaria</t>
        </r>
      </text>
    </comment>
    <comment ref="M99" authorId="6" shapeId="0">
      <text>
        <r>
          <rPr>
            <b/>
            <sz val="9"/>
            <color indexed="81"/>
            <rFont val="Tahoma"/>
            <family val="2"/>
          </rPr>
          <t>Luz Dary:</t>
        </r>
        <r>
          <rPr>
            <sz val="9"/>
            <color indexed="81"/>
            <rFont val="Tahoma"/>
            <family val="2"/>
          </rPr>
          <t xml:space="preserve">
ACTIVIDAD PARA EL COMPONENTE LABORAL</t>
        </r>
      </text>
    </comment>
    <comment ref="Z99" authorId="7" shapeId="0">
      <text>
        <r>
          <rPr>
            <b/>
            <sz val="9"/>
            <color indexed="81"/>
            <rFont val="Tahoma"/>
            <family val="2"/>
          </rPr>
          <t>Ana María: Concurrencia por tres meses a los 115 municipios</t>
        </r>
        <r>
          <rPr>
            <sz val="9"/>
            <color indexed="81"/>
            <rFont val="Tahoma"/>
            <family val="2"/>
          </rPr>
          <t xml:space="preserve">
</t>
        </r>
      </text>
    </comment>
    <comment ref="AL100" authorId="8" shapeId="0">
      <text>
        <r>
          <rPr>
            <b/>
            <sz val="9"/>
            <color indexed="81"/>
            <rFont val="Tahoma"/>
            <family val="2"/>
          </rPr>
          <t>S402:</t>
        </r>
        <r>
          <rPr>
            <sz val="9"/>
            <color indexed="81"/>
            <rFont val="Tahoma"/>
            <family val="2"/>
          </rPr>
          <t xml:space="preserve">
estos 100 pasan para aporte vigias cuandose paguen</t>
        </r>
      </text>
    </comment>
    <comment ref="U157" authorId="9" shapeId="0">
      <text>
        <r>
          <rPr>
            <b/>
            <sz val="9"/>
            <color indexed="81"/>
            <rFont val="Tahoma"/>
            <family val="2"/>
          </rPr>
          <t xml:space="preserve">MERCEDES DEL SOCORRO RAMIREZ URAN: 19 EAPB y 20 DLS </t>
        </r>
        <r>
          <rPr>
            <sz val="9"/>
            <color indexed="81"/>
            <rFont val="Tahoma"/>
            <family val="2"/>
          </rPr>
          <t xml:space="preserve">
</t>
        </r>
      </text>
    </comment>
    <comment ref="U171" authorId="10" shapeId="0">
      <text>
        <r>
          <rPr>
            <sz val="9"/>
            <color indexed="81"/>
            <rFont val="Tahoma"/>
            <family val="2"/>
          </rPr>
          <t xml:space="preserve">
Corresponde a la suma de las ADQUISICIONES DE INSUMOS Y EL AOPOYO LOGISTICO DE EVENTOS EN LA SSA</t>
        </r>
      </text>
    </comment>
    <comment ref="L219" authorId="11" shapeId="0">
      <text>
        <r>
          <rPr>
            <b/>
            <sz val="9"/>
            <color indexed="81"/>
            <rFont val="Tahoma"/>
            <family val="2"/>
          </rPr>
          <t>LILIANA PATRICIA MEJIA VELEZ:</t>
        </r>
        <r>
          <rPr>
            <sz val="9"/>
            <color indexed="81"/>
            <rFont val="Tahoma"/>
            <family val="2"/>
          </rPr>
          <t xml:space="preserve">
$1.800.000.000 Recursos del Balance
$200.000.000 contrato actual UdeA</t>
        </r>
      </text>
    </comment>
    <comment ref="AA219" authorId="11" shapeId="0">
      <text>
        <r>
          <rPr>
            <b/>
            <sz val="9"/>
            <color indexed="81"/>
            <rFont val="Tahoma"/>
            <family val="2"/>
          </rPr>
          <t>LILIANA PATRICIA MEJIA VELEZ:</t>
        </r>
        <r>
          <rPr>
            <sz val="9"/>
            <color indexed="81"/>
            <rFont val="Tahoma"/>
            <family val="2"/>
          </rPr>
          <t xml:space="preserve">
$1.800.000.000 Recursos del Balance
$200.000.000 contrato actual UdeA</t>
        </r>
      </text>
    </comment>
    <comment ref="M289" authorId="12" shapeId="0">
      <text>
        <r>
          <rPr>
            <b/>
            <sz val="9"/>
            <color indexed="81"/>
            <rFont val="Tahoma"/>
            <family val="2"/>
          </rPr>
          <t>JUAN VICENTE LOPEZ SANCHEZ:</t>
        </r>
        <r>
          <rPr>
            <sz val="9"/>
            <color indexed="81"/>
            <rFont val="Tahoma"/>
            <family val="2"/>
          </rPr>
          <t xml:space="preserve">
Seguimiento a la Política Pública de Envejecimiento y Vejez  (transporte aéreo y terrestre) 
Investigación Manual de Indicadores de Calidad de Vida 
Evento académico Adultos Mayores</t>
        </r>
      </text>
    </comment>
    <comment ref="M304" authorId="13" shapeId="0">
      <text>
        <r>
          <rPr>
            <sz val="9"/>
            <color indexed="81"/>
            <rFont val="Tahoma"/>
            <family val="2"/>
          </rPr>
          <t xml:space="preserve">
• Base principal de operaciones del PAS: Arrendamiento, dotación y mantenimiento, entre otros aspectos.</t>
        </r>
      </text>
    </comment>
  </commentList>
</comments>
</file>

<file path=xl/sharedStrings.xml><?xml version="1.0" encoding="utf-8"?>
<sst xmlns="http://schemas.openxmlformats.org/spreadsheetml/2006/main" count="12382" uniqueCount="1267">
  <si>
    <t>ENTIDAD TERRITORIAL</t>
  </si>
  <si>
    <t>DOCUMENTO</t>
  </si>
  <si>
    <t>MOMENTO</t>
  </si>
  <si>
    <t>1 - Programar</t>
  </si>
  <si>
    <t>PASO</t>
  </si>
  <si>
    <t>2 - Elaboración plan de acción en salud</t>
  </si>
  <si>
    <t>ACTIVIDAD</t>
  </si>
  <si>
    <t>5 - Elaboración y consolidación del plan de acción en salud</t>
  </si>
  <si>
    <t>Objetivos Estratégicos del PTS</t>
  </si>
  <si>
    <t>Dimensión PDSP</t>
  </si>
  <si>
    <t>Programa</t>
  </si>
  <si>
    <t>Meta Sanitaria del componente o meta de producto</t>
  </si>
  <si>
    <t>Descripción de la Actividad</t>
  </si>
  <si>
    <t>Unidad de Medida</t>
  </si>
  <si>
    <t>Trimestre 1</t>
  </si>
  <si>
    <t>Trimestre 2</t>
  </si>
  <si>
    <t>Trimestre 3</t>
  </si>
  <si>
    <t>Trimestre 4</t>
  </si>
  <si>
    <t>Línea Operativa PDSP</t>
  </si>
  <si>
    <t>Categoría  Operativa PDSP</t>
  </si>
  <si>
    <t>Fuente de Financiación</t>
  </si>
  <si>
    <t>Subcategoria Fuente de Financiación</t>
  </si>
  <si>
    <t>Total Recursos Programados (en pesos)</t>
  </si>
  <si>
    <t>Responsable Dependencia</t>
  </si>
  <si>
    <t>Responsable Cargo</t>
  </si>
  <si>
    <t>Nombres y Apellidos</t>
  </si>
  <si>
    <t>REALIZADO: DIRECCIÓN DE EPIDEMIOLOGIA Y DEMOGRAFIA - GRUPO DE PLANEACIÓN EN SALUD</t>
  </si>
  <si>
    <t>* ESTE FORMATO NO REEMPLAZA EL CARGUE DE INFORMACIÓN EN EL PORTAL WEB DE GESTIÓN PDSP, DEBE SER UTILIZADO COMO GUIA PARA EL DILIGENCIAMIENTO DEL PLAN DE ACCIÓN EN SALUD PARA EL POSTERIOR CARGUE EN LA PLATAFORMA DISPUESTA POR EL MINISTERIO DE SALUD Y PROTECCIÓN SOCIALEN EL SISPRO.</t>
  </si>
  <si>
    <t>Objetivos Sanitarios de la dimensión u objetivos de resultado</t>
  </si>
  <si>
    <t xml:space="preserve">FECHA DE FORMATO: 28/11/2017 </t>
  </si>
  <si>
    <t>CODIGO</t>
  </si>
  <si>
    <t>Salud ambiental</t>
  </si>
  <si>
    <t>Vida saludable y condiciones no transmisibles</t>
  </si>
  <si>
    <t>Convivencia social y salud mental</t>
  </si>
  <si>
    <t>Seguridad alimentaria y nutricional</t>
  </si>
  <si>
    <t>Sexualidad, derechos sexuales y reproductivos</t>
  </si>
  <si>
    <t>Vida saludable y enfermedades transmisibles</t>
  </si>
  <si>
    <t>Salud pública en emergencias y desastres</t>
  </si>
  <si>
    <t>Salud y ámbito laboral</t>
  </si>
  <si>
    <t>Transversal gestión diferencial de poblaciones vulnerables</t>
  </si>
  <si>
    <t>Fortalecimiento de la autoridad sanitaria para la gestión en salud</t>
  </si>
  <si>
    <t>Hábitat saludable</t>
  </si>
  <si>
    <t>Situaciones en salud relacionadas con condiciones ambientales</t>
  </si>
  <si>
    <t>Modos, condiciones y estilos de vida saludables</t>
  </si>
  <si>
    <t>Condiciones crónicas prevalentes</t>
  </si>
  <si>
    <t>Promoción de la salud mental y la convivencia</t>
  </si>
  <si>
    <t>Prevención y atención integral a problemas y trastornos mentales y a diferentes formas de violencia</t>
  </si>
  <si>
    <t>Disponibilidad y acceso a los alimentos</t>
  </si>
  <si>
    <t>Consumo y aprovechamiento biológico de alimentos</t>
  </si>
  <si>
    <t>Inocuidad y calidad de los alimentos</t>
  </si>
  <si>
    <t>Promoción de los derechos sexuales y reproductivos y equidad de género</t>
  </si>
  <si>
    <t>Prevención y atención integral en salud sexual y reproductiva desde un enfoque de derechos</t>
  </si>
  <si>
    <t>Enfermedades emergentes, re-emergentes y desatendidas</t>
  </si>
  <si>
    <t>Enfermedades inmunoprevenibles</t>
  </si>
  <si>
    <t>Condiciones y situaciones endemo- epidémicas</t>
  </si>
  <si>
    <t>Gestión integral de riesgos en emergencias y desastres</t>
  </si>
  <si>
    <t>Respuesta en salud ante situaciones de emergencias y desastres</t>
  </si>
  <si>
    <t>Seguridad y salud en el trabajo</t>
  </si>
  <si>
    <t>Situaciones prevalentes de origen laboral</t>
  </si>
  <si>
    <t>Desarrollo integral de las niñas, niños y adolescentes</t>
  </si>
  <si>
    <t>Envejecimiento y vejez</t>
  </si>
  <si>
    <t>Salud y género</t>
  </si>
  <si>
    <t>Salud en poblaciónes étnicas</t>
  </si>
  <si>
    <t>Discapacidad</t>
  </si>
  <si>
    <t>Víctimas del conflicto armado interno</t>
  </si>
  <si>
    <t>Fortalecimiento de la autoridad sanitaria</t>
  </si>
  <si>
    <t xml:space="preserve">CODIGO </t>
  </si>
  <si>
    <t>PIC - Rehabilitación basada en comunidad</t>
  </si>
  <si>
    <t>PIC - Prevención y control de vectores</t>
  </si>
  <si>
    <t>PIC - Conformación y fortalecimiento de redes sociales, comunitarias, sectoriales e intersectoriales</t>
  </si>
  <si>
    <t>PIC - Zonas de orientación y centros de escucha</t>
  </si>
  <si>
    <t>PIC - Información en salud</t>
  </si>
  <si>
    <t>PIC - Educación y comunicación en salud</t>
  </si>
  <si>
    <t>PIC - Intervención de la población trabajadora informal</t>
  </si>
  <si>
    <t>PIC - Canalización</t>
  </si>
  <si>
    <t>PIC - Caracterización social y ambiental</t>
  </si>
  <si>
    <t>PIC - Insumos</t>
  </si>
  <si>
    <t>PIC - Tamizaje</t>
  </si>
  <si>
    <t>PIC - Jornadas de salud</t>
  </si>
  <si>
    <t>PIC - Vacunación antirrábica</t>
  </si>
  <si>
    <t>PIC - Biológico</t>
  </si>
  <si>
    <t>PIC - Medicamentos</t>
  </si>
  <si>
    <t>GSP - Coordinación Intersectorial</t>
  </si>
  <si>
    <t>GSP - Desarrollo de capacidades</t>
  </si>
  <si>
    <t>GSP - Gestión administrativa y financiera</t>
  </si>
  <si>
    <t>GSP - Gestión del Aseguramiento</t>
  </si>
  <si>
    <t>GSP - Gestión del conocimiento</t>
  </si>
  <si>
    <t>GSP - Gestión de Insumos de interés en Salud Pública</t>
  </si>
  <si>
    <t>GSP - Gestión del talento humano</t>
  </si>
  <si>
    <t>GSP - Gestión de las Intervenciones colectivas</t>
  </si>
  <si>
    <t>GSP - Gestión de la prestación de servicios individuales</t>
  </si>
  <si>
    <t>GSP - Participación Social</t>
  </si>
  <si>
    <t>GSP - Planeación Integral en Salud</t>
  </si>
  <si>
    <t>GSP - Vigilancia en Salud Pública</t>
  </si>
  <si>
    <t>GSP - Inspección, Vigilancia y Control</t>
  </si>
  <si>
    <t>PDSPFuentesFinanciacion - Según resolución 4834 de 2015</t>
  </si>
  <si>
    <t>1. Recursos Provenientes del Sistema General de Participaciones (SGP), los estimará el MSPS a cada Entidad Territorial conforme  a la Ley 715 de 2001</t>
  </si>
  <si>
    <t>2. Transferencias en salud del Ministerio de Salud y Protección Social (MSPS)</t>
  </si>
  <si>
    <t>3. Rentas cedidas</t>
  </si>
  <si>
    <t>4. Recursos del Esfuerzo Propio Territorial</t>
  </si>
  <si>
    <t>5. Recursos de las Cajas de Compensación Familiar</t>
  </si>
  <si>
    <t>6. FOSYGA (% destinado a Entidad Territorial)</t>
  </si>
  <si>
    <t>7. Otros Recursos departamentales y/o distritales</t>
  </si>
  <si>
    <t>PDSPCategoriaFuenteFinanciacion - Según resolución 4834 de 2015</t>
  </si>
  <si>
    <t>Recursos provenientes del Sistema General de Participaciones para salud - SGP</t>
  </si>
  <si>
    <t>SGP - Salud Pública Vigencia Actual</t>
  </si>
  <si>
    <t>SGP - Salud Pública Vigencia Anteriores</t>
  </si>
  <si>
    <t>SGP - Prestacion de Servicios</t>
  </si>
  <si>
    <t>Recursos del SGP - Propósito General de Libre Destinación</t>
  </si>
  <si>
    <t>Recursos del Ministerio de Salud y Protección Social transferidos a las entidades territoriales</t>
  </si>
  <si>
    <t>Transferencias ETV Funcionamiento</t>
  </si>
  <si>
    <t>Transferencias LEPRA Funcionamiento</t>
  </si>
  <si>
    <t>Transferencias TBC Funcionamiento</t>
  </si>
  <si>
    <t>Transferencias ETV Inversión</t>
  </si>
  <si>
    <t>Transferencia ETV Inversión Excepcional</t>
  </si>
  <si>
    <t>IVA cedido de licores, vinos y aperitivos destinado a salud (IVA licores 100% salud; vinos, aperitivos y similares 70% salud)</t>
  </si>
  <si>
    <t>Ocho (8) puntos del impuesto al consumo de cervezas y sifones. (Leyes 223 de 1995 y 1393 de 2010)</t>
  </si>
  <si>
    <t>Loterías (foráneas, renta del monopolio, impuesto a ganadores, renta del monopolio utilidades y rifas y juegos promocionales). (Ley 643 de 2001)</t>
  </si>
  <si>
    <t>Derechos de explotación de juego de apuestas permanentes o chance. (Leyes 643 de 2001 y 1393 de 2010)</t>
  </si>
  <si>
    <t>Recursos transferidos por COLJUEGOS o ETESA en liquidación al Departamento-Monopolio de juegos de suerte y azar</t>
  </si>
  <si>
    <t>Sobretasa de cigarrillos</t>
  </si>
  <si>
    <t>Seis por ciento (6%) del impuesto al consumo de licores, vinos y aperitivos. (Ley 1393 de 2010)</t>
  </si>
  <si>
    <t>Recursos de excedentes de rentas cedidas. (Artículo 4, Ley 1608 de 2013)</t>
  </si>
  <si>
    <t>Recursos del esfuerzo propio departamental, municipal o distrital destinados al sector salud</t>
  </si>
  <si>
    <t>Recursos propios de la entidad territorial destinados a programas de protección social, inversión social en programas de infraestructura y mejoramiento de la calidad de vida, desarrollo urbano y rural, protección ambiental</t>
  </si>
  <si>
    <t>Rentas cedidas destinadas a salud, de los departamentos y el distrito capital</t>
  </si>
  <si>
    <t>Recursos del departamento o distrito</t>
  </si>
  <si>
    <t>Participación Municipal en las Rentas Departamentales</t>
  </si>
  <si>
    <t>Regalías destinadas a salud</t>
  </si>
  <si>
    <t>Ingresos Corrientes de Libre destinación</t>
  </si>
  <si>
    <t>Recursos del Balance</t>
  </si>
  <si>
    <t>Premios no cobrados</t>
  </si>
  <si>
    <t>Otras transferencias corrientes del nivel departametal para inversión en salud pública</t>
  </si>
  <si>
    <t>Otros recursos</t>
  </si>
  <si>
    <t>Recursos de las cajas de compensación familiar que administran el régimen subsidiado en salud</t>
  </si>
  <si>
    <t>Recursos de 1/4 de punto porcentual de las contribuciones parafiscales de las cajas de compensación familiar para salud</t>
  </si>
  <si>
    <t>Recursos de las cajas de compensación familiar para protección social</t>
  </si>
  <si>
    <t>Subcuenta de compensación</t>
  </si>
  <si>
    <t>Subcuenta de promoción</t>
  </si>
  <si>
    <t>Subcuenta de solidaridad</t>
  </si>
  <si>
    <t>Subcuenta ECAT</t>
  </si>
  <si>
    <t>Recursos del seguro obligatorio de accidentes de tránsito SOAT</t>
  </si>
  <si>
    <t>Recursos de promoción y prevención de aseguradoras de riesgos laborales ARL</t>
  </si>
  <si>
    <t>Recursos impuesto social a las armas y municiones y explosivos</t>
  </si>
  <si>
    <t>Recursos recaudados por concepto multas de la Ley 1335 de 2013</t>
  </si>
  <si>
    <t>Recursos provenientes de las cuentas maestras del régimen subsidiado, Ley 1608 de 2013:</t>
  </si>
  <si>
    <t>Recursos privados destinados a la inversión social del plan nacional de desarrollo: donaciones; inversión en programas de protección social</t>
  </si>
  <si>
    <t>Rendimientos financieros, recursos del balance</t>
  </si>
  <si>
    <t>Ingresos venta de servicios de Laboratorio de Salud Pública</t>
  </si>
  <si>
    <t>Otros recursos de banca nacional y multilateral</t>
  </si>
  <si>
    <t>Recursos de capital, ingresos corrientes de la entidad territorial, impuestos territoriales y otras rentas de las entidades territoriales</t>
  </si>
  <si>
    <t>Programa Territorial de Reorganización, Rediseño y modernización de redes de empresas sociales del Estado -ESE-, los Programas de Saneamiento Fiscal y Financiero y los que destinen a la prestación de servicios en salud atraves de ESE en condiciones de eficiencia. Asi como los recursos de Regalias que destinan a estos fines</t>
  </si>
  <si>
    <t xml:space="preserve">DIMENSION PDSP </t>
  </si>
  <si>
    <t>COMPONENTES DEL PDSP</t>
  </si>
  <si>
    <t>Promoción de la salud</t>
  </si>
  <si>
    <t>Gestión de riesgo en salud</t>
  </si>
  <si>
    <t>Gestión de la salud pública</t>
  </si>
  <si>
    <t>PDSP Categoria Linea Operativa</t>
  </si>
  <si>
    <t>PDSP Linea Operativa</t>
  </si>
  <si>
    <t>SALUD AMBIENTAL</t>
  </si>
  <si>
    <t>Analis calidad agua cons hum- urban</t>
  </si>
  <si>
    <t>Analis calidad agua pisc uso colectivo</t>
  </si>
  <si>
    <t>Asesoria y Asistencia a TAS</t>
  </si>
  <si>
    <t>Gestion del Proyecto</t>
  </si>
  <si>
    <t>Promocion Condiciones Sanitarias Agua</t>
  </si>
  <si>
    <t>Visita Inspeccion Sanitaria Acueductos</t>
  </si>
  <si>
    <t>NUMERO</t>
  </si>
  <si>
    <t>JHON WILLIAM TABARES</t>
  </si>
  <si>
    <t xml:space="preserve">A-.2.2.15.1  </t>
  </si>
  <si>
    <t>Nombre del Proyecto</t>
  </si>
  <si>
    <t>esarrollo de la IVC de la gestión interna de residuos hospitalarios y similares en establecimientos generadores Todo El Departamento, Antioquia, Occidente</t>
  </si>
  <si>
    <t>2016-05000-0210</t>
  </si>
  <si>
    <t>Vigilancia y Control Gestión Interna RHs.</t>
  </si>
  <si>
    <t>Control Residuos y Decomisos.</t>
  </si>
  <si>
    <t>Promoción sobre manejo y disposición RHS.</t>
  </si>
  <si>
    <t>Gestión Proyecto</t>
  </si>
  <si>
    <t>Viaticos y Gastos de Viaje</t>
  </si>
  <si>
    <t>A-.2.2.15.2</t>
  </si>
  <si>
    <t>CARLOS SAMUEL OSORIO</t>
  </si>
  <si>
    <t xml:space="preserve">Fortalecimiento de la inspección, vigilancia y control de la calidad del agua para consumo humano y uso recreativo Todo El Departamento </t>
  </si>
  <si>
    <t>Gestión del proyecto</t>
  </si>
  <si>
    <t>Apoyo a la gestión</t>
  </si>
  <si>
    <t>Compra-mantenimiento equipos e insumos</t>
  </si>
  <si>
    <t>IVAN ZEA</t>
  </si>
  <si>
    <t>Fortalecimiento de la vigilancia de la calidad e inocuidad de alimentos y bebidas Todo El Departamento</t>
  </si>
  <si>
    <t>Talento Humano (Personal Actividades Proyecto)</t>
  </si>
  <si>
    <t>Fomento uso seguro de sustan qcas</t>
  </si>
  <si>
    <t>IVC uso manejo sustancias químicas</t>
  </si>
  <si>
    <t>Asesoría y AT- apoyo logístico</t>
  </si>
  <si>
    <t>Fortalecimiento de la Vigilancia epidemiologica, prevención y control de las intoxicaciones por sustancias químicas en el Departamento de Antioquia-Talento Humano</t>
  </si>
  <si>
    <t>RENTAS CEDIDAS</t>
  </si>
  <si>
    <t xml:space="preserve">A-.2.2.15.2 </t>
  </si>
  <si>
    <t>ROSENDO OROZCO</t>
  </si>
  <si>
    <t>Fortalecimiento de la vigilancia sanitaria de la calidad de los medicamentos y afines</t>
  </si>
  <si>
    <t>Fondo Rotatorio de Estupefacientes</t>
  </si>
  <si>
    <t>Desarrollo Tecnológico-IVC</t>
  </si>
  <si>
    <t>Gestión del Proyecto</t>
  </si>
  <si>
    <t>Informació-Educación Comunicación en Salud</t>
  </si>
  <si>
    <t>RECURSOS PROPIOS</t>
  </si>
  <si>
    <t>Fortalecimiento de la Vigilancia Sanitaria en el uso de radiaciones y en la oferta de servicios de seguridad y salud en el trabajo Todo El Departamento, Antioquia, Occidente</t>
  </si>
  <si>
    <t>Apoyo a la Gestión, practicantes y otros</t>
  </si>
  <si>
    <t>Control Calidad Equipos RX y calibración</t>
  </si>
  <si>
    <t>Vigilancia Sanitaria (Rx y oferta SO Implementación Resolución 482 de 2018)</t>
  </si>
  <si>
    <t>Gestión Oferta Servi salud en el trabajo</t>
  </si>
  <si>
    <t>Información-Educación y Comunicación</t>
  </si>
  <si>
    <t xml:space="preserve">A.2.2.15.2  </t>
  </si>
  <si>
    <t>PIEDAD MARTINEZ</t>
  </si>
  <si>
    <t>Fortalecimiento de la gestión integral de las zoonosis Todo El Departamento, Antioquia, Occidente - Zoonosis</t>
  </si>
  <si>
    <t>Vacunación de Caninos y felinos(compra de biológicos, insumos,  red de frio)</t>
  </si>
  <si>
    <t>Vigilancia Activa enfermedades zoonoticas</t>
  </si>
  <si>
    <t>Información-educación-comunicación</t>
  </si>
  <si>
    <t>Intervencion de eventos zoonoticos</t>
  </si>
  <si>
    <t>Gestión del riesgo en salud</t>
  </si>
  <si>
    <t>Gestion del proyecto</t>
  </si>
  <si>
    <t>Verificación condiciones sanit establec</t>
  </si>
  <si>
    <t>Vigilan sanitaria termi-medios transp</t>
  </si>
  <si>
    <t>Actividades educación comunicación salud</t>
  </si>
  <si>
    <t>Suministros y Equipos</t>
  </si>
  <si>
    <t xml:space="preserve">Fortalecimiento de la prevención, vigilancia y control de los factores de riesgo sanitarios, ambientales y del consumo Todo El Departamento </t>
  </si>
  <si>
    <t>2016-05000-0179</t>
  </si>
  <si>
    <t>A.2.2.15.2</t>
  </si>
  <si>
    <t>YULIANA BARRIENTOS</t>
  </si>
  <si>
    <t xml:space="preserve"> Prevención y Promoción de las enfermedades transmitidas por vectores,EGI Todo El Departamento, Antioquia</t>
  </si>
  <si>
    <t>ARMANDO GALEANO</t>
  </si>
  <si>
    <t>A.2.2.20.3.1</t>
  </si>
  <si>
    <t>2016-05000-0092</t>
  </si>
  <si>
    <t>Talento humano</t>
  </si>
  <si>
    <t>Fortalecimiento de la estrategia de Atención Primaria en salud-renovada con enfoque integra Todo El Departamento</t>
  </si>
  <si>
    <t>GERENCIA DE SALUD PÚBLICA</t>
  </si>
  <si>
    <t>Talento Humano</t>
  </si>
  <si>
    <t xml:space="preserve"> Fortalecimiento estilos de vida saludable y atención de condiciones no trasmisibles, Antioquia, Occidente </t>
  </si>
  <si>
    <t>Dimension_vida_saludable_y_condiciones_no_transmisibles</t>
  </si>
  <si>
    <t>A.2.2.16.2</t>
  </si>
  <si>
    <t>2016-05000-0224</t>
  </si>
  <si>
    <t>Protección de la salud con perspectivas de género y enfoque etnico diferencial Todo El Departamento, Antioquia</t>
  </si>
  <si>
    <t>2016-05000-0239</t>
  </si>
  <si>
    <t>Talento Humano -Gestión del Proyecto</t>
  </si>
  <si>
    <t>Dimension_transversal_gestion_diferencial_de_poblaciones_vulnerables</t>
  </si>
  <si>
    <t xml:space="preserve"> Protección al desarrollo integral de los niños y niñas del Todo El Departamento, Antioquia, Occidente </t>
  </si>
  <si>
    <t xml:space="preserve">A.2.2.22.1 </t>
  </si>
  <si>
    <t>Arrendamiento de bien inmueble</t>
  </si>
  <si>
    <t>Gestión del Talento Humano</t>
  </si>
  <si>
    <t>Asesor y asiten técnica la red de labora</t>
  </si>
  <si>
    <t>Exámenes Vigilancia Salud Pública</t>
  </si>
  <si>
    <t>Control de calidad red de laboratorios</t>
  </si>
  <si>
    <t>Equipos, mantenimiento e insumos</t>
  </si>
  <si>
    <t xml:space="preserve">Fortalecimiento del Laboratorio Departamental de Salud Pública de Antioquia Todo El Departamento, Antioquia, Occidente </t>
  </si>
  <si>
    <t>A.2.2.23.2.1</t>
  </si>
  <si>
    <t>Resiliencia</t>
  </si>
  <si>
    <t>Fortalecimiento de La Convivencia Social y Salud Mental en Todo El Departamento,
Antioquia, Occidente</t>
  </si>
  <si>
    <t>Dimension_convivencia_social_y_salud_mental</t>
  </si>
  <si>
    <t>DORA GOMEZ</t>
  </si>
  <si>
    <t>Asesoria para competencia PAI y otras</t>
  </si>
  <si>
    <t>Gestionar insumos PAI y otras</t>
  </si>
  <si>
    <t xml:space="preserve"> Fortalecimiento de la vigilancia en salud pública a los actores SGSSS Todo El Departamento, Antioquia, Occidente </t>
  </si>
  <si>
    <t>2016-05000-0220</t>
  </si>
  <si>
    <t xml:space="preserve"> Fortalecimiento de la sexualidad y derechos sexuales y reproductivos Todo El Departamento, Antioquia, Occidente </t>
  </si>
  <si>
    <t>2016-05000-0221</t>
  </si>
  <si>
    <t>Dimension_sexualidad_derechos_sexuales_y_reproductivos</t>
  </si>
  <si>
    <t>2016-05000-0235</t>
  </si>
  <si>
    <t>MERCEDES RAMIREZ</t>
  </si>
  <si>
    <t>Fortalecimietno en alimentación y nutrición desde la salud Pública - Alimentación y Nutrición</t>
  </si>
  <si>
    <t>2016-05000-0240</t>
  </si>
  <si>
    <t>Dimension_seguridad_alimentaria_y_nutricional</t>
  </si>
  <si>
    <t xml:space="preserve">Vigilancia nutricional </t>
  </si>
  <si>
    <t xml:space="preserve">Fortalecimiento en IAMII </t>
  </si>
  <si>
    <t xml:space="preserve">Asesoría y asistencia técnica </t>
  </si>
  <si>
    <t>Recurso humano</t>
  </si>
  <si>
    <t>JOHANA CORTEZ</t>
  </si>
  <si>
    <t>Fortalecimiento del Aseguramiento en salud de la población del Departamento Antioquia</t>
  </si>
  <si>
    <t>Cofinanciacion del Aseguramiento-Regimen Subsidiado en el Departamento de Antioquia</t>
  </si>
  <si>
    <t>Personal de Aseguramiento</t>
  </si>
  <si>
    <t>Asesoria y Asistencia Tecnica</t>
  </si>
  <si>
    <t>DIRECCIÓN DE ATENCIÓN A  LAS PERSONAS</t>
  </si>
  <si>
    <t>PAULA ZAPATA GALLEGO</t>
  </si>
  <si>
    <t xml:space="preserve">Servicio Atencion en Salud a la Poblacion Pobre y vulnerable </t>
  </si>
  <si>
    <t>Contratación Baja Complejidad y/o documentos para ejecutar SGP Aportes Patronales</t>
  </si>
  <si>
    <t>Contratación mediana y alta  y/o documentos para ejecutar SGP Aportes Patronales</t>
  </si>
  <si>
    <t>Prestación de servicios por fuera de contratos</t>
  </si>
  <si>
    <t>Auditoría y Supervisión de la PSS  (Recurso humano, Viaticos, Transporte, Asesoria y Asistencia Tecnica y Practicantes)</t>
  </si>
  <si>
    <t>Apoyo a la gestión jurídica de tutelas</t>
  </si>
  <si>
    <t>Apoyo adminsitrativo a la prestación de servicios de salud</t>
  </si>
  <si>
    <t xml:space="preserve">A.2.4.7   </t>
  </si>
  <si>
    <t>Dimension_salud_publica_en_emergencias_y_desastres</t>
  </si>
  <si>
    <t>7.1 Gestión integral de riesgos en emergencias y desastres.</t>
  </si>
  <si>
    <t xml:space="preserve">A.2.4.14 </t>
  </si>
  <si>
    <t>Fortalecimiento de la red de servicios de salud de Departamento de Antioquia</t>
  </si>
  <si>
    <t>Gestion red de sangre</t>
  </si>
  <si>
    <t>Gestion de la Red de Transplantes</t>
  </si>
  <si>
    <t>Seguimiento y monitoreo PSFF</t>
  </si>
  <si>
    <t>Tramite y seguimi a recursos de estamp</t>
  </si>
  <si>
    <t>cofinanciación de ambulanciaas</t>
  </si>
  <si>
    <t xml:space="preserve">A.2.4.3    </t>
  </si>
  <si>
    <t>BEATRIZ LOPERA</t>
  </si>
  <si>
    <t xml:space="preserve"> Implementación y fortalecimiento del SOGC a los prestadores de servicios de salud en el Departamento de Antioquia</t>
  </si>
  <si>
    <t>Asesoria a prestadores serv salud</t>
  </si>
  <si>
    <t>Vigilancia a tribunales de etica.</t>
  </si>
  <si>
    <t xml:space="preserve">Visitas IVC y verificación a los PSS </t>
  </si>
  <si>
    <t>Tramite de PQRS</t>
  </si>
  <si>
    <t>Tramite  procesos administrativos sancionatorios</t>
  </si>
  <si>
    <t>Tramite de inscripción y novedades de PSS</t>
  </si>
  <si>
    <t xml:space="preserve">A.2.4.3 </t>
  </si>
  <si>
    <t>Implementación del sistema integrado de información en salud y servicios de Telemedicina departamento</t>
  </si>
  <si>
    <t>impletación de la telemedicina en la ESE</t>
  </si>
  <si>
    <t>Fortalecimiento de la estrategia de información, educación y comunicación de la Secretaria Seccional de Salud y Protección Social Todo El Departamento, Antioquia</t>
  </si>
  <si>
    <t>Gestión del Proyecto (Talento Humano)</t>
  </si>
  <si>
    <t>Actividades de IEC</t>
  </si>
  <si>
    <t>Eventos institucionales fortalecimiento</t>
  </si>
  <si>
    <t xml:space="preserve">A.2.2.23.1 </t>
  </si>
  <si>
    <t xml:space="preserve"> Fortalecimiento institucional de la Secretaría Seccional de Salud y Protección Social de Antioquia y de los actores del SGSSS Todo El Departamento</t>
  </si>
  <si>
    <t xml:space="preserve">Asesoria y asistencia técnica a las ESE, DLS, EPS y demàs actores del Sistema General de Seguridad social en Salud. </t>
  </si>
  <si>
    <t>Fortalecimiento del Recurso Humano y del Clima Laboral SSSA Antioquia</t>
  </si>
  <si>
    <t>Capacitación, Adiestrami Recurso Humano</t>
  </si>
  <si>
    <t xml:space="preserve">A-.2.4.7    </t>
  </si>
  <si>
    <t xml:space="preserve">Fortalecimiento institucional de la Secretaría Seccional de Salud y Protección Social de Antioquia </t>
  </si>
  <si>
    <t>2016-05000-0208</t>
  </si>
  <si>
    <t>2016-05000-0237</t>
  </si>
  <si>
    <t>2018-0035-0070</t>
  </si>
  <si>
    <t>Compra de equipos</t>
  </si>
  <si>
    <t>Fondo de la Vivienda</t>
  </si>
  <si>
    <t>pasivo prestacional</t>
  </si>
  <si>
    <t>Fondo de Investigación-colciencias</t>
  </si>
  <si>
    <t xml:space="preserve"> Indemnizaciones Sustitutivas (Pensiones)</t>
  </si>
  <si>
    <t>A.2.4.7</t>
  </si>
  <si>
    <t xml:space="preserve">Protección Población con discapacidad Todo El Departamento, Antioquia, Occidente </t>
  </si>
  <si>
    <t>Esperanza y superación</t>
  </si>
  <si>
    <t>A-.2.2.22.2</t>
  </si>
  <si>
    <t xml:space="preserve">JAIME VARGAS </t>
  </si>
  <si>
    <t>Protección del Envejecimiento y Vejez , Antioquia, Occidente</t>
  </si>
  <si>
    <t xml:space="preserve">A.2.4.13.3 </t>
  </si>
  <si>
    <t xml:space="preserve">Implementación de los Equipos Técnicos regionales para la recuperación de capacidades sanitarias basicas de entidades Territoriales en el Departamento de Antioquia </t>
  </si>
  <si>
    <t xml:space="preserve">A-.2.2.23.3  </t>
  </si>
  <si>
    <t>LUIS FERNANDO PALACIO</t>
  </si>
  <si>
    <t xml:space="preserve"> Apoyo a la prestación de servicios de baja complejidad a la población de difícil acceso Todo El Departamento, Antioquia, Occidente </t>
  </si>
  <si>
    <t>BRIGADAS DE SALUD</t>
  </si>
  <si>
    <t>TRANSPORTE  DE PACIENTES</t>
  </si>
  <si>
    <t xml:space="preserve">ATENCION DE URGENCIAS EMERGENCIAS , DESASTRES  Y RIESGOS </t>
  </si>
  <si>
    <t xml:space="preserve">APOYO HUMANITARIO </t>
  </si>
  <si>
    <t>APOYO  ADMVO DEL PAS</t>
  </si>
  <si>
    <t>GESTIÓN DE PROYECTO</t>
  </si>
  <si>
    <t xml:space="preserve"> Fortalecimiento de las TIC en la Secretaria Seccional de Salud y Protección Social Todo El Departamento</t>
  </si>
  <si>
    <t>2016-05000-0218</t>
  </si>
  <si>
    <t>Fortalecer el gobierno y estrategia de TI.</t>
  </si>
  <si>
    <t>Gestionar la información</t>
  </si>
  <si>
    <t>Fortalecer los componentes del sistema de información.</t>
  </si>
  <si>
    <t>Actualizar  la plataforma tecnológica de hardware, software, comunicaciones y redes.</t>
  </si>
  <si>
    <t>Fortalecer el uso y apropiación de las TIC.</t>
  </si>
  <si>
    <t>PATRICIA PAMPLONA</t>
  </si>
  <si>
    <t>Dimensión</t>
  </si>
  <si>
    <t>Código Programa</t>
  </si>
  <si>
    <t xml:space="preserve">Programa </t>
  </si>
  <si>
    <t>Componente</t>
  </si>
  <si>
    <t>Código subprograma</t>
  </si>
  <si>
    <t>Subprograma</t>
  </si>
  <si>
    <t>Código proyecto (BPI)</t>
  </si>
  <si>
    <t>Proyecto</t>
  </si>
  <si>
    <t>Apropiación Anual 
(Miles de Pesos)</t>
  </si>
  <si>
    <t>Fuente de Recursos</t>
  </si>
  <si>
    <t>DIMENSIÓN_DE_SALUD_AMBIENTAL</t>
  </si>
  <si>
    <t>HABITAT_SALUDABLE</t>
  </si>
  <si>
    <t>2016-05000-0090</t>
  </si>
  <si>
    <t xml:space="preserve">Fortalecimiento de la inspección, vigilancia y control de la calidad del agua para consumo humano y uso recreativo Todo El Departamento, Antioquia, Occidente </t>
  </si>
  <si>
    <t>Recursos_Provenientes_del_Sistema_General_de_Participaciones_SGP</t>
  </si>
  <si>
    <t>2016-05000-0095</t>
  </si>
  <si>
    <t>Fortalecimiento de la gestión integral de las zoonosis Todo El Departamento, Antioquia, Occidente</t>
  </si>
  <si>
    <t>Otros_Recursos_departamentales_y_o_distritales</t>
  </si>
  <si>
    <t>DIMENSIÓN_VIDA_SALUDABLE_Y_ENFERMEDADES_TRANSMISIBLES</t>
  </si>
  <si>
    <t>CONDICIONES_Y_SITUACIONES_ENDEMO_EPIDEMICAS</t>
  </si>
  <si>
    <t>Prevención y Promoción de las enfermedades transmitidas por vectores, EGI Todo El Departamento, Antioquia, Occidente</t>
  </si>
  <si>
    <t>Rentas_cedidas_Departamentos</t>
  </si>
  <si>
    <t>Transferencias_en_salud_del_Ministerio_de_Salud_y_Protección_Social_MSPS</t>
  </si>
  <si>
    <t>Fortalecimiento de la prevención, vigilancia y control de los factores de riesgo sanitarios, ambientales y del consumo Todo El Departamento, Antioquia, Occidente</t>
  </si>
  <si>
    <t>2016-05000-0088</t>
  </si>
  <si>
    <t>Fortalecimiento de la vigilancia de la calidad e inocuidad de alimentos y bebidas Todo El Departamento, Antioquia, Occidente</t>
  </si>
  <si>
    <t>2016-05000-0091</t>
  </si>
  <si>
    <t>Fortalecimiento de la vigilancia sanitaria de la calidad de los medicamentos y afines Todo El Departamento, Antioquia, Occidente</t>
  </si>
  <si>
    <t>2016-05000-0093</t>
  </si>
  <si>
    <t>2016-05000-0089</t>
  </si>
  <si>
    <t>Desarrollo de la IVC de la gestión interna de residuos hospitalarios y similares en establecimientos generadores Todo El Departamento, Antioquia, Occidente</t>
  </si>
  <si>
    <t>2016-05000-0103</t>
  </si>
  <si>
    <t>Fortalecimiento de la Vigilancia epidemiologica, prevención y control de las intoxicaciones por sustancias químicas en el Departamento de Antioquia</t>
  </si>
  <si>
    <t>DIMENSIÓN_DE_VIDA_SALUDABLE_Y_CONDICIONES_NO_TRANSMISIBLES</t>
  </si>
  <si>
    <t>MODOS_CONDICIONES_Y__ESTILOS_DE_VIDA_SALUDABLES</t>
  </si>
  <si>
    <t>Fortalecimiento estilos de vida saludable y atención de condiciones no trasmisibles, Antioquia, Occidente</t>
  </si>
  <si>
    <t>DIMENSIÓN_CONVIVENCIA_SOCIAL_Y_SALUD_MENTAL</t>
  </si>
  <si>
    <t>PROMOCION_DE_LA_SALUD_MENTAL_Y_LA_CONVIVENCIA</t>
  </si>
  <si>
    <t>2016050000238</t>
  </si>
  <si>
    <t>Fortalecimiento de La Convivencia Social y Salud Mental en Todo El Departamento, Antioquia, Occidente</t>
  </si>
  <si>
    <t>DIMENSIÓN_SEGURIDAD_ALIMENTARIA_Y_NUTRICIONAL</t>
  </si>
  <si>
    <t>CONSUMO_Y_APROVECHAMIENTO_BIOLOGICO_DE_ALIMENTOS</t>
  </si>
  <si>
    <t xml:space="preserve">Fortalecimietno en alimentación y nutrición desde la salud Pública </t>
  </si>
  <si>
    <t>DIMENSIÓN_SEXUALIDAD_DERECHOS_SEXUALES_Y_REPRODUCTIVOS</t>
  </si>
  <si>
    <t>PROMOCION_DE_LOS_DERECHOS_SEXUALES_Y_REPRODUCTIVOS_Y_EQUIDAD_DE_GENERO</t>
  </si>
  <si>
    <t>Fortalecimiento de la sexualidad y derechos sexuales y reproductivos Todo El Departamento, Antioquia, Occidente</t>
  </si>
  <si>
    <t>ENFERMEDADES_INMUNOPREVENIBLES</t>
  </si>
  <si>
    <t xml:space="preserve">Fortalecimiento de la gestión de las enfermedades inmunoprevenibles, Emergentes, Reemergentes y Desatendidas en Todo El Departamento Antioquia </t>
  </si>
  <si>
    <t>DIMENSIÓN_SALUD_PÚBLICA_EN_EMERGENCIAS_Y_DESASTRES</t>
  </si>
  <si>
    <t>GESTION_INTEGRAL_DE_RIESGOS_EN_EMERGENCIAS_Y_DESASTRES</t>
  </si>
  <si>
    <t>2016050000223</t>
  </si>
  <si>
    <t>Mejoramiento de la capacidad de respuesta institucional en salud ante emergencias y desastres, para impactar la mortalidad Medellín, Antioquia,</t>
  </si>
  <si>
    <t>DIMENSIÓN_TRANSVERSAL_GESTIÓN_DIFERENCIAL_DE_POBLACIONES_VULNERABLES</t>
  </si>
  <si>
    <t>DESARROLLO_INTEGRAL_DE_LAS_NIÑAS_NIÑOS_Y_ADOLESCENTES</t>
  </si>
  <si>
    <t>2016-05000-0231</t>
  </si>
  <si>
    <t>Protección al desarrollo integral de los niños y niñas del Todo El Departamento, Antioquia, Occident</t>
  </si>
  <si>
    <t>SALUD_Y_GENERO</t>
  </si>
  <si>
    <t>Protección de la salud con perspectivas de género y enfoque etnico diferencial Todo El Departamento, Antioquia, Occidente</t>
  </si>
  <si>
    <t>DIMENSIÓN_FORTALECIMIENTO_DE_LA_AUTORIDAD_SANITARIA_PARA_LA_GESTIÓN_EN_SALUD</t>
  </si>
  <si>
    <t>FORTALECIMIENTO_DE_LA_AUTORIDAD_SANITARIA</t>
  </si>
  <si>
    <t>2016-05000-0232</t>
  </si>
  <si>
    <t>2016-05000-0222</t>
  </si>
  <si>
    <t>Implementación del sistema integrado de información en salud y servicios de Telemedicina departamento  Antioquia</t>
  </si>
  <si>
    <t>2016-05000-0233</t>
  </si>
  <si>
    <t>Implementación y fortalecimiento del SOGC a los prestadores de servicios de salud en el Departamento de Antioquia</t>
  </si>
  <si>
    <t>Fortalecimiento institucional de la Secretaría Seccional de Salud y Protección Social de Antioquia y de los actores del SGSSS Todo El Departamento Antioquia</t>
  </si>
  <si>
    <t>2016-05000-0219</t>
  </si>
  <si>
    <t xml:space="preserve">Apoyo a la prestación de servicios de baja complejidad a la población de difícil acceso Todo El Departamento Antioquia </t>
  </si>
  <si>
    <t>Fortalecimiento de las TIC en la Secretaria Seccional de Salud y Protección Social Todo El Departamento, Antioquia</t>
  </si>
  <si>
    <t>2016-05000-0114</t>
  </si>
  <si>
    <t>Implementación de los Equipos Técnicos regionales para la recuperación de capacidades sanitarias basicas de entidades Territoriales en el Departamento de Antioquia</t>
  </si>
  <si>
    <t>2016-05000-0118</t>
  </si>
  <si>
    <t>Fortalecimiento del Laboratorio Departamental de Salud Pública de Antioquia Todo El Departamento, Antioquia,</t>
  </si>
  <si>
    <t>2016-05000-0236</t>
  </si>
  <si>
    <t>Fortalecimiento de la estrategia de Atención Primaria en salud-renovada con enfoque integral Todo El Departamento Antioquia</t>
  </si>
  <si>
    <t>Fortalecimiento de la vigilancia en salud pública a los actores SGSSS Todo El Departamento, Antioquia</t>
  </si>
  <si>
    <t>Servicio atención en salud a la población pobre y vulnerable Todo El Departamento, Antioquia</t>
  </si>
  <si>
    <t>2016-05000-0225</t>
  </si>
  <si>
    <t>ENVEJECIMIENTO_Y_VEJEZ</t>
  </si>
  <si>
    <t>2016-05000-0230</t>
  </si>
  <si>
    <t>Protección del Envejecimiento y Vejez , Antioquia</t>
  </si>
  <si>
    <t>DISCAPACIDAD</t>
  </si>
  <si>
    <t>2016-05000-0229</t>
  </si>
  <si>
    <t>Protección Población con discapacidad Todo El Departamento Antioquia</t>
  </si>
  <si>
    <t>TOTAL INVERSIÓN</t>
  </si>
  <si>
    <t>FUNCIONAMIENTO</t>
  </si>
  <si>
    <t>funcionamiento</t>
  </si>
  <si>
    <t>Gestión de proyecto</t>
  </si>
  <si>
    <t xml:space="preserve">NUMERO </t>
  </si>
  <si>
    <t>TOTAL COAI 2020</t>
  </si>
  <si>
    <t>Adquisicion, Adecuacion, Montaje Escuela Drogadiccion</t>
  </si>
  <si>
    <t>Valor apropiación año 2020 (en pesos)</t>
  </si>
  <si>
    <t>A-.2.2.15.1</t>
  </si>
  <si>
    <t>Cantidad Programada año 2020</t>
  </si>
  <si>
    <t xml:space="preserve">                                                         DOCUMENTO DE TRABAJO - 2020</t>
  </si>
  <si>
    <t xml:space="preserve">TABLA 13: CONSOLIDACIÓN DEL COMPONENTE OPERATIVO ANUAL DE INVERSIONES EN SALUD - COAI 
</t>
  </si>
  <si>
    <t>Año 2020</t>
  </si>
  <si>
    <t>Seguimiento a procesos de IVC</t>
  </si>
  <si>
    <t>A-.2.2.23.2.3</t>
  </si>
  <si>
    <t>Otras acciones IVC y A-AT-(practicantes)</t>
  </si>
  <si>
    <t xml:space="preserve">A-.2.2.21.1 </t>
  </si>
  <si>
    <t>Control poblacional caninos-felinos</t>
  </si>
  <si>
    <t>Gestión del Proyecto-Ay AT</t>
  </si>
  <si>
    <t>Apoyo a la Gestion</t>
  </si>
  <si>
    <t>Vigilancia Sanitaria Calidad del Aire - Ruido</t>
  </si>
  <si>
    <t>A-.2.2.20.3.1</t>
  </si>
  <si>
    <t>TRANSFERENCIA DE LA NACIÓN</t>
  </si>
  <si>
    <t xml:space="preserve">Viviendas con fumigación y promo salud </t>
  </si>
  <si>
    <t xml:space="preserve">A-.2.4.13.2  </t>
  </si>
  <si>
    <t>AY AT la estrategia CERS de los municipios del departamento</t>
  </si>
  <si>
    <t>IV  a los actores del SGSSS</t>
  </si>
  <si>
    <t>Ay AT a los  actores del SGSSS en Enfermedadesno transmisibles</t>
  </si>
  <si>
    <t>A-.2.2.16.1</t>
  </si>
  <si>
    <t>Fortalecer el sistema de información de cáncer (Registro poblacional) en el departamento de Antioquia</t>
  </si>
  <si>
    <t xml:space="preserve">Dllar estrategias en riesgos en salud </t>
  </si>
  <si>
    <t>Vigilancia Epid eventos interés  SP</t>
  </si>
  <si>
    <t xml:space="preserve">A-.2.4.13.3  </t>
  </si>
  <si>
    <t>IEC Material promoc enfoq gener</t>
  </si>
  <si>
    <t>A-.2.2.23.2.1</t>
  </si>
  <si>
    <t>A-.2.2.22.1</t>
  </si>
  <si>
    <t>Asesoría o Asistencia Técnica</t>
  </si>
  <si>
    <t>Vigilancia Epidemiológica</t>
  </si>
  <si>
    <t>Adquisición de insumos</t>
  </si>
  <si>
    <t>IEC</t>
  </si>
  <si>
    <t>IVC a rutas y actores SGSS</t>
  </si>
  <si>
    <t>A y AT a ESE y Admones Mpales</t>
  </si>
  <si>
    <t>A y At inclusión  enfoque de  genero</t>
  </si>
  <si>
    <t>Encuen Regiona salud enfoq Etnico</t>
  </si>
  <si>
    <t>Gestión del proyecto-Apoyo gestión</t>
  </si>
  <si>
    <t xml:space="preserve">A-.2.2.22.3 </t>
  </si>
  <si>
    <t>A-.2.2.17.1</t>
  </si>
  <si>
    <t>A-.2.2.22.3</t>
  </si>
  <si>
    <t>A y AT estrate politi nacion SPA</t>
  </si>
  <si>
    <t>AT rehabilit víctimas conflicto arm</t>
  </si>
  <si>
    <t>Talleres de asesoria y asistencia técnicas de la formulacion del PIC</t>
  </si>
  <si>
    <t xml:space="preserve">A-.2.2.23.2.4  </t>
  </si>
  <si>
    <t>Visitas de IV</t>
  </si>
  <si>
    <t>Vigilancia de eventos de interes en Salud Pública</t>
  </si>
  <si>
    <t>Generar información dinámica de eventos.</t>
  </si>
  <si>
    <t>Gestión del proyecto-Talento humano</t>
  </si>
  <si>
    <t xml:space="preserve">A-.2.2.23.2.4   </t>
  </si>
  <si>
    <t>Enfermedades Inmunoprevenibles</t>
  </si>
  <si>
    <t>A-.2.2.20.1</t>
  </si>
  <si>
    <t xml:space="preserve">Vigilancia SP planes PAI y otras </t>
  </si>
  <si>
    <t>Implementar protocolos IAAS en los municipios del departamento</t>
  </si>
  <si>
    <t>Gestión Administrativa seguir indicador</t>
  </si>
  <si>
    <t xml:space="preserve">A-.2.2.20.2.2 </t>
  </si>
  <si>
    <t>A-.2.2.18.2</t>
  </si>
  <si>
    <t xml:space="preserve">Información , Comunicación y Educación </t>
  </si>
  <si>
    <t xml:space="preserve">Articulación Intersectorial de la  Malnutrición en los menores de 5 años. </t>
  </si>
  <si>
    <t>A-.2.1.1</t>
  </si>
  <si>
    <t>A-.2.4.7</t>
  </si>
  <si>
    <t>ADRIANA MARIA GONZALEZ</t>
  </si>
  <si>
    <t xml:space="preserve">A-.2.2.19.1    </t>
  </si>
  <si>
    <t>vigilancia epidemiologica maternidad segura</t>
  </si>
  <si>
    <t xml:space="preserve">A-.2.2.19.2 </t>
  </si>
  <si>
    <t>AyAT en maternidad segura</t>
  </si>
  <si>
    <t>AyAT y Vigilancia Ep VIH-ITS</t>
  </si>
  <si>
    <t>A y AT y vigilancia epidemiologica servicios amigables.</t>
  </si>
  <si>
    <t>gestión de insumos-Apoyo logistico.</t>
  </si>
  <si>
    <t>Campaña IEC</t>
  </si>
  <si>
    <t>A-.2.3.1.1.3</t>
  </si>
  <si>
    <t>ANGELA PALACIO</t>
  </si>
  <si>
    <t xml:space="preserve">A-.2.4.7 </t>
  </si>
  <si>
    <t xml:space="preserve">ASESORÍA O ASISTENCIA TÉCNICA .
</t>
  </si>
  <si>
    <t>A-.2.4.14</t>
  </si>
  <si>
    <t xml:space="preserve">GESTIÓN DEL PROYECTO </t>
  </si>
  <si>
    <t xml:space="preserve">APOYO ADMINISTRATIVO </t>
  </si>
  <si>
    <t xml:space="preserve">GESTIÓN DEL RIESGO DE DESASTRES 
</t>
  </si>
  <si>
    <t xml:space="preserve">GESTIÓN DE SOLICITUDES DE SERVICIOS DE SALUD URGENTES Y ELECTIVOS
</t>
  </si>
  <si>
    <t xml:space="preserve">INSPECCIÓN Y VIGILANCIA 
</t>
  </si>
  <si>
    <t xml:space="preserve">FORTALECIMIENTO DEL CRUE </t>
  </si>
  <si>
    <t>GESTION DEL REGLAMENTO SANITARIO INTERNACIONAL</t>
  </si>
  <si>
    <t>A-.2.4.3</t>
  </si>
  <si>
    <t>LUCIA IBARRA</t>
  </si>
  <si>
    <t>DIRECCIÓN DE CALIDAD Y RED DE SERVICIOS</t>
  </si>
  <si>
    <t>Evaluacion  proyectos de dotación</t>
  </si>
  <si>
    <t xml:space="preserve">Cofinaciación proyectos de dotación </t>
  </si>
  <si>
    <t>Evaluacion  proyectos infraestructura</t>
  </si>
  <si>
    <t>cofinanciación a proyectos infraestructura</t>
  </si>
  <si>
    <t xml:space="preserve">A-.2.4.3 </t>
  </si>
  <si>
    <t>ANA MARIA PIEDRAHITA</t>
  </si>
  <si>
    <t xml:space="preserve">A-.2.2.23.1 </t>
  </si>
  <si>
    <t>A-.2.2.23.1</t>
  </si>
  <si>
    <t>DESPACHO</t>
  </si>
  <si>
    <t>ADRIANA PATRICIA ROJAS ESLAVA</t>
  </si>
  <si>
    <t>DIRECCIÓN GESTIÓN INTEGRAL DE RECURSOS</t>
  </si>
  <si>
    <t>NAIDA CECLIA CASTRO GARZON</t>
  </si>
  <si>
    <t xml:space="preserve">Fortalecimiento Insittucional </t>
  </si>
  <si>
    <t>HARLINTON SMITH ARANGO GOEZ</t>
  </si>
  <si>
    <t>Estrategia Información Educación y Comunicación.</t>
  </si>
  <si>
    <t>Asesoria y Asistencia Técnica RLCPD</t>
  </si>
  <si>
    <t>JUAN VICENTE LOPERA SANCHES</t>
  </si>
  <si>
    <t xml:space="preserve">A-.2.4.14    </t>
  </si>
  <si>
    <t xml:space="preserve">A-.2.2.23.4 </t>
  </si>
  <si>
    <t>Adquisición , construcción adecuacc áreas montaje administrativo, implementación y puesta funcionamiento Escuela
Contra Drogadicción Rionegro, Antioquia, Occidente</t>
  </si>
  <si>
    <t>A-.2.2.23.3</t>
  </si>
  <si>
    <t>BEATRIZ CARMONA MONSALVE</t>
  </si>
  <si>
    <t>MONICA DEL CARMEN GOMEZ ZULUAGA</t>
  </si>
  <si>
    <t>LAURA MUÑOZ</t>
  </si>
  <si>
    <t>RENTAS CEDDAS</t>
  </si>
  <si>
    <t xml:space="preserve"> Punto Final</t>
  </si>
  <si>
    <t>PORCENTAJE</t>
  </si>
  <si>
    <t>Informacion , Educacion y Comunicación, Campaña Polvora</t>
  </si>
  <si>
    <t>Imple PAPSIVI- Form Talento humano</t>
  </si>
  <si>
    <t>A-.2.4,7</t>
  </si>
  <si>
    <t>Indicador de meta sanitaria de dimensión(resultado)</t>
  </si>
  <si>
    <t>Objetivo sanitario del componente (producto)</t>
  </si>
  <si>
    <t>Indicador de producto</t>
  </si>
  <si>
    <t>Ambito territorial (Res 3202/16)</t>
  </si>
  <si>
    <t>Entornos (Res 3202/16)</t>
  </si>
  <si>
    <t>Momentos del curso de vida (Res 3202/16)</t>
  </si>
  <si>
    <t>Grupos étnicos</t>
  </si>
  <si>
    <t>APLICA PARA ACTIVIDADES CLASIFICADAS COMO PIC</t>
  </si>
  <si>
    <t>Código Rubro Presupuestal</t>
  </si>
  <si>
    <t xml:space="preserve">Componente </t>
  </si>
  <si>
    <t xml:space="preserve">Codigo FUT Salud Pública </t>
  </si>
  <si>
    <t>Codigo Fut OTRO</t>
  </si>
  <si>
    <t>FECHA DE FORMATO: 15/01/2020</t>
  </si>
  <si>
    <t>Promoción_de_la_salud_3</t>
  </si>
  <si>
    <t>Gestión_de_riesgo_en_salud_2</t>
  </si>
  <si>
    <t>Meta Sanitaria de la dimensión o meta de resultado</t>
  </si>
  <si>
    <t>A-.2.2.15.1  1116  0-SP3033  330101000  030009001</t>
  </si>
  <si>
    <t>Inspección, Vigilancia y Control</t>
  </si>
  <si>
    <t>Desarrollo de capacidades</t>
  </si>
  <si>
    <t xml:space="preserve">A-.2.2.15.1  1116  0-SP3033  330101000  030009090: </t>
  </si>
  <si>
    <t>A-.2.2.15.1  1116  0-O12611  330101000  030009095:</t>
  </si>
  <si>
    <t xml:space="preserve">Rentas cedidas </t>
  </si>
  <si>
    <t>A-.2.2.15.2      1116 0-SP3033 330101000 010024001</t>
  </si>
  <si>
    <t>A-.2.2.15.2      1116 0-SP3033 330101000 010024090</t>
  </si>
  <si>
    <t>A-.2.2.15.2      1116 0-OI2611 330101000 010024095</t>
  </si>
  <si>
    <t>Rentas cedidas</t>
  </si>
  <si>
    <t>A-.2.2.15.2     1116   0-SP3033  330101000  010019090</t>
  </si>
  <si>
    <t>A-.2.2.15.2     1116   0-OI2619  330101000  010019090</t>
  </si>
  <si>
    <t>Información-Educación y comunicación en salud (reproducción de plegables)</t>
  </si>
  <si>
    <t>A-.2.2.15.2     1116   0-OI2611  330101000  010019001</t>
  </si>
  <si>
    <t>Gestión del talento humano</t>
  </si>
  <si>
    <t>Gestión del conocimiento</t>
  </si>
  <si>
    <t xml:space="preserve">A-.2.2.15.2     1116   0-SP3033  330101000  010019001      </t>
  </si>
  <si>
    <t>Gestión de Insumos de interes en Salud Publica</t>
  </si>
  <si>
    <t>Mantenimiento de equipos</t>
  </si>
  <si>
    <t>A-.2.2.15.2      1116 0-SP3033 330101000 010026090 - Personal Intoxicaciones Quimicas</t>
  </si>
  <si>
    <t>A-.2.2.15.2      1116 0-OI2611 330101000 010026095 - Viaticos y gastos de Viaje Intoxicaciones Quimicas</t>
  </si>
  <si>
    <t>A-.2.2.15.2      1116 0-SP3033 330101000 010026001 - Intoxicaciones Quimicas</t>
  </si>
  <si>
    <t>Vigilancia en Salud Pública</t>
  </si>
  <si>
    <t>Paola Andrea Gómez Llano</t>
  </si>
  <si>
    <t xml:space="preserve">A-.2.2.15.2      1116 0-OI2608 330101000 010020001 </t>
  </si>
  <si>
    <t>A-.2.2.15.2      1116 4-OI2608 330101000 010020001</t>
  </si>
  <si>
    <t>A-.2.2.23.2.3    1116 0-SP3033 330101000 010020090</t>
  </si>
  <si>
    <t>A-.2.2.23.2.3   1116  0-OI2611  330101000  010020090</t>
  </si>
  <si>
    <t>A-.2.2.23.2.3    1116 0-OI2608 330101000 010020095</t>
  </si>
  <si>
    <t>A-.2.2.23.2.3   1116  0-OI2611  330101000  010020095</t>
  </si>
  <si>
    <t>A-.2.2.15.2      1116 0-SP3033 330101000 010020001</t>
  </si>
  <si>
    <t xml:space="preserve">A-.2.2.15.2      1116 0-OI2608 330101000 010020001  </t>
  </si>
  <si>
    <t>A-.2.2.15.2      1116 0-OI2606 330101000 010022001 - Vigilancia Sanitaria Radiaciones</t>
  </si>
  <si>
    <t>A-.2.2.15.2      1116 4-OI2606 330101000 010022001 - Vigilancia Sanitaria Radiaciones</t>
  </si>
  <si>
    <t>A-.2.2.21.1      1116 0-OI2611 330101000 010022090 - Personal Vigilancia Sanitaria Radiaciones</t>
  </si>
  <si>
    <t>A-.2.2.15.2      1116 0-OI2606 330101000 010022095 - Viaticos y Gastos de Viaje Vigilancia Sanitaria Radiaciones</t>
  </si>
  <si>
    <t>A-.2.2.21.1      1116 0-SP3033 330101000 010022090 - Personal Vigilancia Sanitaria Radiaciones</t>
  </si>
  <si>
    <t>A-.2.2.15.2      1116 0-OI2611 330101000 010022095 - Viaticos y Gastos de Viaje Vigilancia Sanitaria Radiaciones</t>
  </si>
  <si>
    <t>A-.2.2.21.1</t>
  </si>
  <si>
    <t>A-.2.2.21.2      1116 0-SP3033 330101000 010022001 - Vigilancia Sanitaria Radiaciones</t>
  </si>
  <si>
    <t xml:space="preserve">A-.2.2.21.2  </t>
  </si>
  <si>
    <t>A-.2.2.15.2      1116 0-SP3033 330101000 010023090 - Personal Zoonosis</t>
  </si>
  <si>
    <t>A-.2.2.15.2      1116 0-OI2611 330101000 010023095 - Viaticos y Gastos de Viaje Zoonosis</t>
  </si>
  <si>
    <t>Gloria Patricia Rámirez</t>
  </si>
  <si>
    <t>IGloria Patricia Rámirez</t>
  </si>
  <si>
    <t>A-.2.2.15.2      1116 0-OI2611 330101000 010023001 - Zoonosis</t>
  </si>
  <si>
    <t>A-.2.2.15.2      1116 0-SP3033 330101000 010023001 - Zoonosis</t>
  </si>
  <si>
    <t>A-.2.2.15.2      1116 0-OI2619 330101000 010023002 - Control Poblacional Caninos – Felinos - Ordenanza 61 de 2014</t>
  </si>
  <si>
    <t>A-.2.2.15.2      1116 0-SP3033 330101000 010030090 - Personal Saneamiento Ambiental</t>
  </si>
  <si>
    <t>A-.2.2.15.2      1116 0-OI2611 330101000 010030095 - Viaticos y Gastos de Viaje Sanidad Portuaria</t>
  </si>
  <si>
    <t>A-.2.2.15.2      1116 0-OI2619 330101000 010030095 - Viaticos y Gastos de Viaje Sanidad Portuaria</t>
  </si>
  <si>
    <t>A-.2.2.15.2      1116 4-OI2611 330101000 010030095 - Viaticos y Gastos de Viaje Sanidad Portuaria</t>
  </si>
  <si>
    <t>A-.2.2.15.2     1116    0-OI2619  330101000  010030095</t>
  </si>
  <si>
    <t>Monopolio a la Participacion y Distribución de los Licores</t>
  </si>
  <si>
    <t>A-.2.2.15.2      1116 0-SP3033 330101000 010030001 - Saneamiento Ambiental</t>
  </si>
  <si>
    <t>A-.2.2.15.2      1116 0-OI2611 330101000 010030001 - Saneamiento Ambiental</t>
  </si>
  <si>
    <t>A-.2.2.15.2      1116 0-OI3150 330101000 010030001 - Saneamiento Ambiental</t>
  </si>
  <si>
    <t>A-.2.2.20.3.1    1116 0-SP3033 330102000 010021090 - Personal Programa Malaria</t>
  </si>
  <si>
    <t>A-.2.2.20.3.1    1116 0-OI2611 330102000 010021095 - Viaticos y Gastos de Viaje Programa Malaria</t>
  </si>
  <si>
    <t>A-.2.2.20.3.1    1116 0-SP3033 330102000 010021001 - Programa Malaria</t>
  </si>
  <si>
    <t>A-.2.2.20.3.1    1116 0-SP3151 330102000 010021001 - Programa Malaria</t>
  </si>
  <si>
    <t xml:space="preserve"> Programa Malaria</t>
  </si>
  <si>
    <t>Programa Malaria</t>
  </si>
  <si>
    <t>Evaluación del riesgo de las ETV</t>
  </si>
  <si>
    <t xml:space="preserve">A-.2.4.13.2     1116 0-SP3033 010046001 010046090 </t>
  </si>
  <si>
    <t>A.2.4.13.2     1116 0-OI2611 010046095 010046095</t>
  </si>
  <si>
    <t>Ana Maria Escobar</t>
  </si>
  <si>
    <t>Gestión administrativa y financiera</t>
  </si>
  <si>
    <t>A.2.4.13.2  1116 0-SP3033 010046001</t>
  </si>
  <si>
    <t>A-.2.2.16.1      1116 0-SP3033 330102000 100029090 - Personal Estilos de Vida Saludable</t>
  </si>
  <si>
    <t>A-.2.2.16.2      1116 4-OI3150 330102000 100029001 - Estilos de Vida Saludable</t>
  </si>
  <si>
    <t>Diana Maria Gomez Ribón</t>
  </si>
  <si>
    <t>A-.2.2.16.2      1116 0-SP3033 330102000 100029001 - Estilos de Vida Saludable</t>
  </si>
  <si>
    <t>Coordinación Intersectoial</t>
  </si>
  <si>
    <t xml:space="preserve">Apoyo  para el desarrollo de la estrategia cero caries en  municipios  prorizados del Departamento </t>
  </si>
  <si>
    <t>A-.2.2.16.1      1116 0-OI2611 330102000 100029095 - Viaticos y Gastos de Viaje Estilos de Vida Saludable</t>
  </si>
  <si>
    <t>A-.2.4.13.3      1116 0-OI2611 330102000 070079095</t>
  </si>
  <si>
    <t>A-.2.4.13.3      1116 0-SP3033 330102000 070079090</t>
  </si>
  <si>
    <t xml:space="preserve">A-.2.4.13.3      1116 0-SP3033 330102000 070079001 </t>
  </si>
  <si>
    <t>A-.2.2.22.1      1116 0-SP3033 330102000 070078090  -  Personal Desarrollo Integral Niños y Niñas</t>
  </si>
  <si>
    <t>A-.2.2.22.1      1116 0-OI2611 330102000 070078095  -  Viaticos y Gastos de Viaje Desarrollo Integral Niños y Niñas</t>
  </si>
  <si>
    <t xml:space="preserve">A-.2.2.22.1      1116 0-SP3033 330102000 070078001  </t>
  </si>
  <si>
    <t>A-.2.2.23.2.1    1116 0-OI2611 330103000 010028001 - Laboratorio Departamental de Salud Publica</t>
  </si>
  <si>
    <t>A-.2.2.23.2.1    1116 0-OI2619 330103000 010028001 - Laboratorio Departamental de Salud Publica</t>
  </si>
  <si>
    <t>Sandra Cano</t>
  </si>
  <si>
    <t>A-.2.2.23.2.1    1116 0-SP3033 330103000 010028090 - Personal Laboratorio de Salud Publica</t>
  </si>
  <si>
    <t>A-.2.2.23.2.1    1116 0-OI2611 330103000 010028095 - Viaticos y Gastos de Viaje Laboratorio de Salud Publica</t>
  </si>
  <si>
    <t>A-.2.2.23.2.1    1116 0-OI2611 330103000 010028090 - Personal Laboratorio de Salud Publica</t>
  </si>
  <si>
    <t>A-.2.2.23.2.1    1116 0-SP3033 330103000 010028001 - Laboratorio Departamental de Salud Publica</t>
  </si>
  <si>
    <t>A-.2.2.23.2.1    1116 0-OI3150 330103000 010028001 - Laboratorio Departamental de Salud Publica</t>
  </si>
  <si>
    <t>Mantenimiento de Equipos</t>
  </si>
  <si>
    <t>A-.2.2.23.2.1    1116 4-OI2611 330103000 010028001 - Laboratorio Departamental de Salud Publica</t>
  </si>
  <si>
    <t>A-.2.2.22.3      1116 0-OI2611 330102000 100031095</t>
  </si>
  <si>
    <t>A-.2.2.17.1      1116 0-OI2611 330102000 100031095</t>
  </si>
  <si>
    <t>A-.2.2.17.2      1116 0-SP3033 330102000 100031002  -  Prevención Mental</t>
  </si>
  <si>
    <t>A y AT Salud Mental (Politica publica, Suicidio, Violencia)</t>
  </si>
  <si>
    <t xml:space="preserve">A-.2.2.22.3      1116 0-SP3033 330102000 100031003 </t>
  </si>
  <si>
    <t>Fortelecimiento de las lineas telefonicas</t>
  </si>
  <si>
    <t>Analis calidad agua cons hum- rural</t>
  </si>
  <si>
    <t>Gestión de prestación de servicios individuales</t>
  </si>
  <si>
    <t xml:space="preserve">A-.2.2.17.2   </t>
  </si>
  <si>
    <t>A-.2.2.23.2.4    1116 0-SP3033 330103000 010045001 - Vigilancia Epidemiologica</t>
  </si>
  <si>
    <t>A-.2.2.20.2.3    1116 4-SP3033 330102000 010045001 - Vigilancia Epidemiologica</t>
  </si>
  <si>
    <t>A-.2.2.20.2.3</t>
  </si>
  <si>
    <t>A-.2.2.23.2.4    1116 0-OI2619 330103000 010045095 - Viáticos y gastos de viaje Vigilancia Epidemiologica</t>
  </si>
  <si>
    <t>A-.2.2.23.2.4    1116 0-SP3033 330103000 010045090 - Personal Vigilancia Epidemiologica</t>
  </si>
  <si>
    <t>A-.2.2.19.1      1116 0-OI2611 330102000 010037095  -  Viaticos y Gastos de Viaje Salud Sexual y Reproductiva</t>
  </si>
  <si>
    <t>A-.2.2.19.1      1116 0-SP3033 330102000 010037090 - Personal Salud Sexual y Reproductiva</t>
  </si>
  <si>
    <t>A-.2.2.19.2      1116 0-SP3033 330102000 010037001</t>
  </si>
  <si>
    <t xml:space="preserve">A-.2.2.19.1      1116 0-SP3033 330102000 010037090  </t>
  </si>
  <si>
    <t>A-.2.2.19.2      1116 0-SP3033 330102000 010037001 - Salud Sexual Reproductiva</t>
  </si>
  <si>
    <t>A-.2.2.20.1      1116 0-SP3033 330102000 010036001 - Enfermedades Inmunoprevenibles</t>
  </si>
  <si>
    <t>A-.2.2.20.2.1    1116 0-SP3153 330102000 010036002 - Tuberculosis</t>
  </si>
  <si>
    <t>Transferencias Nivel Nacional - Tuberculosis</t>
  </si>
  <si>
    <t>A-.2.2.20.2.2    1116 0-SP3161 330102000 010036003 - Control Lepra</t>
  </si>
  <si>
    <t>A-.2.2.20.2.2</t>
  </si>
  <si>
    <t>Transferencias Nivel Nacional - Lepra</t>
  </si>
  <si>
    <t xml:space="preserve">A-.2.2.20.2.2    1116 4-SP3161 330102000 010036003 - Control Lepra </t>
  </si>
  <si>
    <t>A-.2.2.20.2.3    1116 0-OI1010 330102000 010036004 - Emergencias de Salud Pública de Interés Internacional NCOVID 19 - Coronavirus</t>
  </si>
  <si>
    <t>Recursos Propios del Departamento</t>
  </si>
  <si>
    <t>A-.2.2.20.2.3    1116 0-OI2619 330102000 010036004 - Emergencias de Salud Pública de Interés Internacional NCOVID 19 - Coronavirus</t>
  </si>
  <si>
    <t>A-.2.2.20.2.3    1116 4-SP1011 330102000 010036004 - Emergencias de Salud Pública de Interés Internacional NCOVID 19 - Coronavirus</t>
  </si>
  <si>
    <t>A-.2.2.20.2.3    1116 4-SP2611 330102000 010036004 - Emergencias de Salud Pública de Interés Internacional NCOVID 19 - Coronavirus</t>
  </si>
  <si>
    <t>A-.2.2.20.2.3    1116 4-SP3033 330102000 010036004 - Emergencias de Salud Pública de Interés Internacional NCOVID 19 - Coronavirus</t>
  </si>
  <si>
    <t>A-.2.2.20.2.3    1116 4-OI2052 330102000 010036004 - Emergencias de Salud Pública de Interés Internacional NCOVID 19 - Coronavirus</t>
  </si>
  <si>
    <t>Alcohol Potable Consumo Humano</t>
  </si>
  <si>
    <t>A-.2.2.20.2.3    1116 4-OI2053 330102000 010036004 - Emergencias de Salud Pública de Interés Internacional NCOVID 19 - Coronavirus</t>
  </si>
  <si>
    <t>A-.2.2.20.2.3    1116 4-OI2625 330102000 010036004 - Emergencias de Salud Pública de Interés Internacional NCOVID 19 - Coronavirus</t>
  </si>
  <si>
    <t>Transferencias Nivel Nacional - 5% IVA Licores</t>
  </si>
  <si>
    <t>A-.2.2.20.1      1116 0-OI3150 330102000 010036001 - Enfermedades Inmunoprevenibles</t>
  </si>
  <si>
    <t>A-.2.2.20.1      1116 0-SP3033 330102000 010036090 - Personal Enfermedades Inmunoprevenibles</t>
  </si>
  <si>
    <t>A-.2.2.20.1      1116 4-OI2611 330102000 010036095 - Viaticos y Gastos de Viaje Enfermedades Inmuniprevenibles</t>
  </si>
  <si>
    <t xml:space="preserve">A-.2.2.20.1 </t>
  </si>
  <si>
    <t>A-.2.2.18.2      1116 0-SP3033 330102000 070080001 - Alimentación y Nutrición</t>
  </si>
  <si>
    <t xml:space="preserve">A-.2.2.18.2  </t>
  </si>
  <si>
    <t>A-.2.2.18.2      1116 0-SP3033 330102000 070080090 - Alimentación y Nutrición</t>
  </si>
  <si>
    <t>A-.2.1.1         1116 1-OA2624 330103000 010039001</t>
  </si>
  <si>
    <t>Gestión del aseguramiento</t>
  </si>
  <si>
    <t>Superastro</t>
  </si>
  <si>
    <t>A-.2.1.1         1116 1-OA2616 330103000 010039004</t>
  </si>
  <si>
    <t>Compensacion  Ley 1393 de 2010</t>
  </si>
  <si>
    <t>A-.2.1.1         1116 4-OA2621 330103000 010039001</t>
  </si>
  <si>
    <t>A-.2.4.7         1116 0-OI2611 330103000 010039090</t>
  </si>
  <si>
    <t>A-.2.4.7         1116 0-OI2619 330103000 010039005</t>
  </si>
  <si>
    <t>Campañas de promoción a la afiliación al Sistema General de Seguridad Social de la Población Antioqueña</t>
  </si>
  <si>
    <t>A-.2.4.7         1116 0-OI2611 330103000 010039095</t>
  </si>
  <si>
    <t>Premios no Reclamados</t>
  </si>
  <si>
    <t>A-.2.1.1         1116 0-OA2611 330103000 010039001</t>
  </si>
  <si>
    <t xml:space="preserve">
A-.2.3.9         1116 0-PS3031 330103000 070056032 - Subsidio a la Oferta Municipios no Certificados
</t>
  </si>
  <si>
    <t>A-.2.3.1.3.1     1116 0-PS2619 330103000 070056024 - Baja Complejidad Red Privada</t>
  </si>
  <si>
    <t>A-.2.3.9</t>
  </si>
  <si>
    <t>A-.2.3.1.1.3     1116 0-PS2621 330103000 070056001 - Prestación de Servicios Red Pública</t>
  </si>
  <si>
    <t>A-.2.3.1.2.3     1116 0-PS3031 330103000 070056002 - Urgencias Red Publica
A-.2.3.1.3.3     1116 0-PS3031 330103000 070056004 - Urgencias Red Privada</t>
  </si>
  <si>
    <t xml:space="preserve">A-.2.3.1.2.3 
 A-.2.3.1.3.3 </t>
  </si>
  <si>
    <t xml:space="preserve">A-.2.3.2.5       1116 0-PS2619 330103000 070056028
A-.2.3.6         1116 0-PS2611 330103000 070056014
A-.2.3.6         1116 0-PS2619 330103000 070056014 
A-.2.3.6         1116 0-PS3142 330103000 070056014 
A-.2.4.7         1116 0-PS2619 330103000 070056021 
A-.2.3.6         1116 4-PS2609 330103000 070056014 
A-.2.3.6         1116 4-PS2616 330103000 070056014 
A-.2.3.6         1116 4-PS2619 330103000 070056014 
A-.2.3.1.1.3     1116 5-PS3034 330103000 070056020 
A-.2.3.1.2.1     1116 0-PS2619 330103000 070056031 
A-.2.3.1.2.3     1116 0-PS2621 330103000 070056002 
A-.2.3.1.4.3     1116 0-PS2621 330103000 070056004 
A-.2.3.6   1116 0-PS2621 330103000 070056014 
</t>
  </si>
  <si>
    <t>A-.2.3.2.5
A-.2.3.6
A-.2.4.7
A-.2.3.1.1.3
A-.2.3.1.2.1
A-.2.3.1.2.3
A-.2.3.1.4.3</t>
  </si>
  <si>
    <t xml:space="preserve">A-.2.4.7         1116 0-OI3152 330103000 070056013 - PROGRAMA INIMPUTABLES 
A-.2.4.7         1116 4-OI3150 330103000 070056013 - PROGRAMA INIMPUTABLES     </t>
  </si>
  <si>
    <t>Transferencias Nivel Nacional - Inimputables</t>
  </si>
  <si>
    <t>A-.2.4.7         1116 0-OI2611 330103000 070056091
A-.2.4.7         1116 0-OI2611 330103000 070056095 
 A-.2.4.7         1116 0-OI2619 330103000 070056022   
A-.2.4.7         1116 4-OI2619 330103000 070056091</t>
  </si>
  <si>
    <t>A-.2.4.7        1116 0-OI2619 330103000 070056090 - Personal Tutelas
A-.2.4.7         1116 4-OI2619 330103000 070056090 - Personal Tutelas</t>
  </si>
  <si>
    <t>A-.2.4.7         1116 0-OI2611 330103000 070056030 - Auditorias   
A-.2.4.7         1116 0-OI2619 330103000 070056030 - Auditoria
A-.2.4.7         1116 4-OI2619 330103000 070056030 - Auditorias</t>
  </si>
  <si>
    <t>A-.2.3.7         1116 4-PS3031 330103000 070056015 
A-.2.3.7         1116 0-PS3031 330103000 070056015</t>
  </si>
  <si>
    <t>A-.2.3.7</t>
  </si>
  <si>
    <t>A-.2.3.7         1116 0-PS3150 330103000 070056015 - Deudas No contempladas en el Plan de Beneficios de Salud PBS</t>
  </si>
  <si>
    <t xml:space="preserve">A-.2.3.7         1116 0-PS2619 330103000 070056015 
A-.2.3.7         1116 0-PS2611 330103000 070056015 
A-.2.3.7         1116 0-PS3142 330103000 070056015 
A-.2.3.7         1116 4-PS2611 330103000 070056015 
A-.2.3.7         1116 4-PS3142 330103000 070056015 </t>
  </si>
  <si>
    <t>gestión del talento humano</t>
  </si>
  <si>
    <t xml:space="preserve">A.2.4.14      1116 0-OI2611 330102000 230010001
A-.2.4.14        1116 4-OI2619 330102000 230010090 </t>
  </si>
  <si>
    <t>A-.2.4.14 1116 0-OI2619 330102000 230010095 - Viaticos y Gastos de Viaje CRUE
A-.2.4.14 1116 0-OI2611 330102000 230010090 - Personal CRUE</t>
  </si>
  <si>
    <t>Liliana Mejia</t>
  </si>
  <si>
    <t>A.2.4.14 1116 0-OI2611 330102000 230010090 - Personal CRUE
A.2.4.14 1116 0-OI2619 330102000 230010095 - Viaticos y Gastos de Viaje CRUE</t>
  </si>
  <si>
    <t>A.2.4.14 1116 0-OI2611 330102000 230010090 - Personal CRUE
A.2.4.14 1116 0-OI2611 330102000 230010001 - Centro Regulador de Urgencias y Electivas CRUE
A.2.4.14 1116 0-OI2619 330102000 230010095 Viaticos y Gastos de Viaje CRUE</t>
  </si>
  <si>
    <t>A.2.4.14 1116 0-OI2611 330102000 230010090 - Personal CRUE</t>
  </si>
  <si>
    <t>A.2.4.14 1116 0-OI2619 330102000 230010095 - Viaticos y Gastos de Viaje CRUE</t>
  </si>
  <si>
    <t>A.2.4.14 1116 0-OI2611 330102000 230010090 - Personal CRUE
A.2.4.14 1116 0-OI2619 330102000 230010095 - Viaticos y Gastos de Viaje CRUE</t>
  </si>
  <si>
    <t>A.2.4.14 1116 0-OI2611 330102000 230010001 - Centro Regulador de Urgencias y Electivas CRUE
A-.2.4.14        1116 4-OI2619 330102000 230010001 - Centro Regulador de Urgencias y Electivas CRUE</t>
  </si>
  <si>
    <t>GESTIÓN PARA EL PAGO DE LAS ATENCIONES DE URGENCIAS DE MIGRANTES DE PAÍSES FRONTERIZOS</t>
  </si>
  <si>
    <t>A.2.4.14 1116 4 - OI3150 330102000 230010002 - Migrantes</t>
  </si>
  <si>
    <t>A.2.4.14</t>
  </si>
  <si>
    <t xml:space="preserve">A-.2.4.3    1116 0-OI2619 330103000 010041091  
A-.2.4.3    1116 4-OI2611 330103000 010041001
A-.2.4.3    1116 0-OI2611 330103000 010041095  </t>
  </si>
  <si>
    <t>A-.2.4.3    1116 4-OI2613 330103000 010041001
A-.2.4.3     1116 0-OI2613 330103000 010041001</t>
  </si>
  <si>
    <t>Rentas Propias % Libre Destinacion</t>
  </si>
  <si>
    <t xml:space="preserve">A-.2.4.3         1116 0-SP3033 330103000 010041090  </t>
  </si>
  <si>
    <t>A-.2.4.3     1116 4-OI3150 330103000 010041001</t>
  </si>
  <si>
    <t xml:space="preserve">A-.2.4.7         1116 4-OI2630 330103000 010041004 
A-.2.4.7         1116 0-OI2630 330103000 010041004 </t>
  </si>
  <si>
    <t>Estampilla pro Hospitales Publicos</t>
  </si>
  <si>
    <t xml:space="preserve">A-.2.4.3         1116 0-OI2619 330103000 010041001  </t>
  </si>
  <si>
    <t xml:space="preserve">A-.2.4.3         1116 4-OI3142 330103000 010041005 - Ajuste Institucional E.S.E del Departamento                            
A-.2.4.3         1116 0-OI3142 330103000 010041005 - Ajuste Institucional E.S.E del Departamento </t>
  </si>
  <si>
    <t>Impoconsumo Vinos y Aperitivos</t>
  </si>
  <si>
    <t xml:space="preserve">A-.2.4.3   </t>
  </si>
  <si>
    <t xml:space="preserve">A-.2.4.3    1116 0-OI2052 330103000 010041001  
A-.2.4.3     1116 0-OI2053 330103000 010041001  -  
 </t>
  </si>
  <si>
    <t>A y AT a juntas directivas de la ESE  y PSFF</t>
  </si>
  <si>
    <t xml:space="preserve">A-.2.4.3         1116 0-OI2619 330103000 010042003              A-.2.4.3         1116 0-OI2619 330103000 010042001 </t>
  </si>
  <si>
    <t>A-.2.4.3         1116 0-OI2619 330103000 010042002</t>
  </si>
  <si>
    <t xml:space="preserve">A-.2.4.3         1116 0-OI2619 330103000 010042090                                              A-.2.4.3         1116 4-OI2619 330103000 010042090         </t>
  </si>
  <si>
    <t>A-.2.4.3         1116 0-OI2611 330103000 010042095 -
A-.2.4.3         1116 0-OI2611 330103000 010042090</t>
  </si>
  <si>
    <t>A-.2.4.3         1116 0-OI2611 330103000 010038090</t>
  </si>
  <si>
    <t xml:space="preserve">A-.2.4.3         1116 0-OI2619 330103000 010038095 </t>
  </si>
  <si>
    <t xml:space="preserve">A-.2.4.3         1116 0-OI2619 330103000 010038001 </t>
  </si>
  <si>
    <t>A-.2.2.23.1      1116 0-OI2619 330103000 010032090 - Informacion Educacion Comunicación (IEC)</t>
  </si>
  <si>
    <t>A-.2.2.23.1      1116 4-OI2619 330103000 010032090 - Informacion Educacion Comunicación (IEC)</t>
  </si>
  <si>
    <t>A-.2.2.23.1      1116 0-SP3033 330103000 010032001 - Informacion Educacion Comunicación (IEC)</t>
  </si>
  <si>
    <t>A-.2.2.23.1      1116 0-OI2619 330103000 010032001 - Informacion Educacion Comunicación (IEC)</t>
  </si>
  <si>
    <t>Educación y comunicación en salud</t>
  </si>
  <si>
    <t>Información en salud</t>
  </si>
  <si>
    <t>A-.2.2.23.1      1116 0-OI2611 330103000 010033001 - Asesoría Asistencia Técnica  ESE, Direcciones Locales de Salud</t>
  </si>
  <si>
    <t>Bienestar Social Servidores publicos,flia y jubilados</t>
  </si>
  <si>
    <t>Bienestar Social</t>
  </si>
  <si>
    <t xml:space="preserve">A-.2.4.7         1116 0-OI2601 330103000 100030001  </t>
  </si>
  <si>
    <t xml:space="preserve">A-.2.4.7         1116 0-OI2611 330103000 100030001 </t>
  </si>
  <si>
    <t xml:space="preserve">A-.2.4.7         1116 0-OI2619 330103000 100030005 </t>
  </si>
  <si>
    <t>A-.2.4.7         1116 4-OI2619 330103000 100030090</t>
  </si>
  <si>
    <t>A-.2.4.7         1116 0-OI2611 330103000 100030090</t>
  </si>
  <si>
    <t xml:space="preserve">A-.2.4.7         1116 0-OI2611 330103000 010053002 </t>
  </si>
  <si>
    <t>gestion documental</t>
  </si>
  <si>
    <t xml:space="preserve">A-.2.4.7         1116 4-OI2611 330103000 010053004 </t>
  </si>
  <si>
    <t xml:space="preserve">A-.2.4.7         1116 4-OI2603 330103000 010053003 </t>
  </si>
  <si>
    <t>A-.2.4.7         1116 0-OI2603 330103000 010053003</t>
  </si>
  <si>
    <t>A-.2.2.23.1      1116 4-OI2619 330103000 010053008</t>
  </si>
  <si>
    <t xml:space="preserve">A-.2.2.23.1      1116 4-OI2613 330103000 010053008 </t>
  </si>
  <si>
    <t>A-.2.2.23.1      1116 0-OI2612 330103000 010053005</t>
  </si>
  <si>
    <t>A-.2.2.23.1      1116 0-OI2621 330103000 010053005</t>
  </si>
  <si>
    <t>Rentas Cedidas - Ley 643</t>
  </si>
  <si>
    <t xml:space="preserve">A-.2.2.23.1      1116 4-OI2612 330103000 010053005 </t>
  </si>
  <si>
    <t xml:space="preserve">A-.2.2.23.1      1116 0-OI2611 330103000 010053007 </t>
  </si>
  <si>
    <t>A-.2.2.22.2      1116 0-SP3033 330301000 010040090 - Personal Discapacidad</t>
  </si>
  <si>
    <t>A-.2.2.22.2      1116 0-OI2611 330301000 010040095 - Viaticos y Gastos de Viaje Discapacidad</t>
  </si>
  <si>
    <t>A-.2.2.22.2      1116 0-OI2613 330301000 010040003</t>
  </si>
  <si>
    <t xml:space="preserve">A y AT politica publica de discapacidad y RLCPD </t>
  </si>
  <si>
    <t xml:space="preserve">A-.2.2.22.2 1116  0-OI2611 330301000  010040001 Discapcaidad.
</t>
  </si>
  <si>
    <t>A-.2.2.22.2      1116 4-OI3150 330301000 010040003</t>
  </si>
  <si>
    <t>A-.2.2.22.2      1116 0-SP3033 330301000 010040001 - Discapacidad</t>
  </si>
  <si>
    <t>A-.2.2.22.2      1116 4-OI3150 330301000 010040003 - Etnia Discapacidad Genero Niñez</t>
  </si>
  <si>
    <t>A-.2.4.13.3      1116 0-OI2611 330201000 070077090Personal Atención al Adulto Mayor</t>
  </si>
  <si>
    <t>A-.2.4.13.3      1116 0-OI2611 330201000 070077095Viaticos y Gastos de Viaje Atencion al Adulto Mayor</t>
  </si>
  <si>
    <t>Construcción y validación de un manual de indicadores de calidad de vida para la población adulta mayor del Departamento de Antioquia</t>
  </si>
  <si>
    <t>A-.2.4.13.3      1116 0-OI2611 330201000 070077001 - Protección del Envejecimiento - Atencion al Adulto Mayor</t>
  </si>
  <si>
    <t>A-.2.4.13.3      1116 0-OI2620 330201000 070077002</t>
  </si>
  <si>
    <t xml:space="preserve"> Municipios cofinanciados Cofinanciación para construcción Centros dias (Infraestructura)</t>
  </si>
  <si>
    <t>Estampilla pro CBA Adulto Mayor</t>
  </si>
  <si>
    <t>Seguimiento a la Política Pública de Envejecimiento y Vejez</t>
  </si>
  <si>
    <t>Municipios cofinanciados   cofinaciación para Promocion del envejecimiento activo y saludable (proyectos sociales)</t>
  </si>
  <si>
    <t>A-.2.4.13.3      1116 0-OI2620 330201000 070077003</t>
  </si>
  <si>
    <t>A-.2.2.23.3      1116 0-OI2611 330103000 010027095 - Viaticos y Gastos de Viaje  Equipos Regionales</t>
  </si>
  <si>
    <t>A-.2.2.23.3      1116 0-OI2619 330103000 010027090 - Personal Equipos Regionales</t>
  </si>
  <si>
    <t>A-.2.4.14        1116 0-OI2619 330103000 010035001</t>
  </si>
  <si>
    <t xml:space="preserve">A-.2.4.14        1116 4-OI2611 330103000 010035001 </t>
  </si>
  <si>
    <t xml:space="preserve">A-.2.4.14        1116 0-OI2611 330103000 010035001 </t>
  </si>
  <si>
    <t xml:space="preserve">A-.2.4.14        1116 0-OI2611 330103000 010035090
</t>
  </si>
  <si>
    <t>MEJORAS  Y MANTENIMIENTO A LA INFRAESTRUCTURA FISÍCA DEL HANGAR.</t>
  </si>
  <si>
    <t>A-.2.2.23.4 /1116/0-SP3033/330103000/010034090</t>
  </si>
  <si>
    <t>A-.2.2.23.4/1116/0-OI2619/330103000/010034090</t>
  </si>
  <si>
    <t>A-.2.2.23.4 /1116/0-SP3033/330103000/010034002</t>
  </si>
  <si>
    <t>A-.2.2.23.4/1116/0-OI2619/330103000/010034095</t>
  </si>
  <si>
    <t>Análisis políticas públicas SPA</t>
  </si>
  <si>
    <t>Articulación</t>
  </si>
  <si>
    <t>Fabio de Jesús Villa Rodríguez</t>
  </si>
  <si>
    <t xml:space="preserve">Investigaciones </t>
  </si>
  <si>
    <t xml:space="preserve">Estrategias </t>
  </si>
  <si>
    <t>A-.2.4.7         1116 0-OI2619 330102000 010055001</t>
  </si>
  <si>
    <r>
      <t>A-.2.2.23.4/1116/0-OI2619/330103000/010034002
A-.2.2.23.4/1116/</t>
    </r>
    <r>
      <rPr>
        <b/>
        <sz val="11"/>
        <rFont val="Calibri"/>
        <family val="2"/>
        <scheme val="minor"/>
      </rPr>
      <t>4-OI261</t>
    </r>
    <r>
      <rPr>
        <sz val="11"/>
        <rFont val="Calibri"/>
        <family val="2"/>
        <scheme val="minor"/>
      </rPr>
      <t>1/330103000/010034002
A-.2.2.23.4/1116/4-OI2619/330103000/010034002</t>
    </r>
  </si>
  <si>
    <t>Licencias de Rayos X</t>
  </si>
  <si>
    <t>x</t>
  </si>
  <si>
    <t>CESAR TORO</t>
  </si>
  <si>
    <t>DIRECCIÓN DE FACTORES DE RIESGO</t>
  </si>
  <si>
    <t>SUBSECRETARIA DE SALUD Y PROTECCIÓN SOCIAL</t>
  </si>
  <si>
    <t>PROFESIONAL UNIVERSITARIO</t>
  </si>
  <si>
    <t>PROFESIONAL ESPECIALIZADO</t>
  </si>
  <si>
    <t>COORDINACIÓN LABORATORIO</t>
  </si>
  <si>
    <t>GERENTE ESCUELA</t>
  </si>
  <si>
    <t>LILIANA ARIAS</t>
  </si>
  <si>
    <t>PROFESIONAL AREA DE LA SALUD</t>
  </si>
  <si>
    <t>Condiciones y situaciones endemo-epidémicas.</t>
  </si>
  <si>
    <t>VIDA SALUDABLE Y ENFERMEDADES TRANSMISIBLES</t>
  </si>
  <si>
    <t>2019-00305-0039</t>
  </si>
  <si>
    <t>Salud ambiental y factores de riesgos</t>
  </si>
  <si>
    <t>Salud para el alma, salud mental y convivencia</t>
  </si>
  <si>
    <t>Mejoramiento de la situación de salud de Antioquia</t>
  </si>
  <si>
    <t>Fortalecimiento de la red de prestadores de servicios de salud</t>
  </si>
  <si>
    <t>Autoridad sanitaria -  gobernanza</t>
  </si>
  <si>
    <t>Atención primaria en salud: acercando los servicios sociales de salud a la población antioqueña</t>
  </si>
  <si>
    <t xml:space="preserve">Aseguramiento de la población al sistema general de seguridad social en salud </t>
  </si>
  <si>
    <t xml:space="preserve">Antioquia reivindicando los derechos del adulto mayor </t>
  </si>
  <si>
    <t>Apoyo intersectorial a la población con discapacidad</t>
  </si>
  <si>
    <t>Habitat  saludable</t>
  </si>
  <si>
    <t>Salud Ambiental</t>
  </si>
  <si>
    <t>Situaciones de salud relacionadas con condiciones ambientales</t>
  </si>
  <si>
    <t>Modos, condiciones, y estilos de vida salubable</t>
  </si>
  <si>
    <t>Condiciones cronicas prevalentes</t>
  </si>
  <si>
    <t>salud y poblaciones etnicas -género</t>
  </si>
  <si>
    <t>Salud y poblaciones etnicas</t>
  </si>
  <si>
    <t>Primera infancia</t>
  </si>
  <si>
    <t>Promoción de la salud Mental y la convivencia</t>
  </si>
  <si>
    <t>Prevención y atención integral a los problemas y transtornos mentales y a diferentes formas de violencia</t>
  </si>
  <si>
    <t>Consumo y aprovechamiento biologico</t>
  </si>
  <si>
    <t xml:space="preserve"> Gestion integral de riesgos en emergencias y desastres</t>
  </si>
  <si>
    <t xml:space="preserve">Respuestas en salud ante emergencias y desastres </t>
  </si>
  <si>
    <t>Envejecimiento y Vejez</t>
  </si>
  <si>
    <t>SGP Ley 715 de 2001</t>
  </si>
  <si>
    <t>Recursos provenientes del Sistema General de Participaciones para salud - SGP Salud Publica</t>
  </si>
  <si>
    <t>Programas de la Nacion - Salud Publica</t>
  </si>
  <si>
    <t>Recursos provenientes del Sistema General de Participaciones para salud - SGP Sobsidio a la Oferta</t>
  </si>
  <si>
    <t>Recursos provenientes del Sistema General de Participaciones para salud - SGP Oferta</t>
  </si>
  <si>
    <t>Fortalecimiento del Laboratorio Departamental de Salud Pública de Antioquia Todo El Departamento, Antioquia, Occidente</t>
  </si>
  <si>
    <t>INOCUIDAD_Y_CALIDAD_DE_ALIMENTOS</t>
  </si>
  <si>
    <t>Telesalud</t>
  </si>
  <si>
    <t xml:space="preserve">Cantidad Trimestre 1 </t>
  </si>
  <si>
    <t>Cantidad Trimestre 2</t>
  </si>
  <si>
    <t>Cantidad Trimestre 3</t>
  </si>
  <si>
    <t>Cantidad Trimestre 4</t>
  </si>
  <si>
    <t xml:space="preserve">Total de Recursos Comprometidos
(en pesos) </t>
  </si>
  <si>
    <t>Recursos Comprometidos Trimestre 1 (en pesos)</t>
  </si>
  <si>
    <t>Recursos Comprometidos Trimestre 2 (en pesos)</t>
  </si>
  <si>
    <t>Recursos Comprometidos Trimestre 3 (en pesos)</t>
  </si>
  <si>
    <t>Recursos Comprometidos Trimestre 4 (en pesos)</t>
  </si>
  <si>
    <t xml:space="preserve">Total de Recursos Ejecutados / Pagados
(en pesos) </t>
  </si>
  <si>
    <t xml:space="preserve">Recursos Pagados Trimestre 1 (en pesos) </t>
  </si>
  <si>
    <t>Recursos Pagados Trimestre 2 (en pesos)</t>
  </si>
  <si>
    <t>Recursos Pagados Trimestre 3 (en pesos)</t>
  </si>
  <si>
    <t>Recursos Pagados Trimestre 4 (en pesos)</t>
  </si>
  <si>
    <t xml:space="preserve">Adecuar las condiciones sociales, ambientales, sanitarias y alimentarias, las cuales evidencian atmósfera, suelo, recursos hídricos menos contaminados, además sin cambios extremos en los patrones meteorológicos aunado a suficientes políticas energéticas. Además de una infraestructura vial y vías de acceso en mejor estado para el acceso a los servicios de salud por parte de la población y la comercialización de los productos agrícolas del pequeño productor. Adicional, a una infraestructura de los servicios públicos suficiente y continua(agua potable) especialmente en los hogares de la zona rural, Complementario a esto, se hace un uso adecuado de las sustancias químicas y biológicas y sus residuos, por parte de los actores responsables del territorio, diversidad en la producción y comercialización de los alimentos, debido a escasas practicas relacionadas con la migración de cultivos ilícitos, minería, deforestación y ganadería extensiva generando un efecto directo en la disponibilidad suficiente y acceso adecuado a los alimentos, (Seguridad Alimentaria y Nutricional) en la población antioqueña. Lo anterior, disminuye los riesgos químicos, físicos y biológicos, la morbimortalidad por enfermedades transmisibles, la malnutrición por déficit y la carencia específica y enfermedades crónicas en la población </t>
  </si>
  <si>
    <t>A-.2.2.15.1  1116  0-SP3033  330101000  030009090</t>
  </si>
  <si>
    <t>Fortalecimiento del sistema de información para la promoción de la salud y gestión del riesgo colectivo en los diferentes entornos</t>
  </si>
  <si>
    <t xml:space="preserve">Adecuar el compromiso y apropiación de los actores del sistema en las competencias de Inspección, Vigilancia y Control, incremento de las capacidades básicas en los territorios que favoreciendo la efectiva prestación de los servicios de salud; empoderamiento por parte de los profesionales para una atención de calidad de los servicios de salud y con enfoque diferencial, así como incorporar estrategias de Información, Educación y Comunicación(IEC) de gran impacto entorno a la promoción, prevención y la gestión del riesgo en la salud pública; además suficiente articulación intersectorial para garantizar un servicio integral a través de adecuadas redes integradas para facilitar el acceso de la población a la prestación de los servicios de salud con calidad y oportunidad. </t>
  </si>
  <si>
    <t xml:space="preserve">Impactar positivamente en las estrategias del manejo del conflicto armado en Antioquia frente al desplazamiento forzado, la extrema pobreza, la migración interna a la ciudad de la población rural, la disfunción familiar, las condiciones de vulnerabilidad, las necesidades básicas insatisfechas, la estrechez territorial étnica; aunado al conocimiento del modelo de atención con enfoque diferencial y poblacional, contribuyó al goce efectivo del derecho a la salud por parte de la población, evidenciando reducción en las tasas de los trastornos mentales, en el consumo de sustancias psicoactivas licitas e ilícitas y en las manifestaciones de las diferentes formas de violencia (física, psicológica, negligencia y abandono, sexual, económica), y la presencia institucional con la implementación de la normatividad vigente, reflejada en la suficiente asignación de recursos económicos, integrado al talento humano con formación en habilidades en el desarrollo de programas y proyectos con estrategias diferenciales y de contexto que han promovido el bienestar integral del individuo, la adopción de estilos de vida saludable y el acceso oportuno a los servicios de salud.El impacto positivo de las estrategias del manejo del conflicto armado en Antioquia frente al desplazamiento forzado, la extrema pobreza, la migración interna a la ciudad de la población rural, la disfunción familiar, las condiciones de vulnerabilidad, las necesidades básicas insatisfechas, la estrechez territorial étnica; aunado al conocimiento del modelo de atención con enfoque diferencial y poblacional, contribuyó al goce efectivo del derecho a la salud por parte de la población, evidenciando reducción en las tasas de los trastornos mentales, en el consumo de sustancias psicoactivas licitas e ilícitas y en las manifestaciones de las diferentes formas de violencia (física, psicológica, negligencia y abandono, sexual, económica), y la presencia institucional con la implementación de la normatividad vigente, reflejada en la suficiente asignación de recursos económicos, integrado al talento humano con formación en habilidades en el desarrollo de programas y proyectos con estrategias diferenciales y de contexto que han promovido el bienestar integral del individuo, la adopción de estilos de vida saludable y el acceso oportuno a los servicios de salud. </t>
  </si>
  <si>
    <t>Asegurar las acciones diferenciales a través de la implementación de la ruta integral de atención en salud materna perinatal para la población étnica tendiente a garantizar el goce efectivo de la salud, mejorar las condiciones de vida y salud y lograr cero tolerancia con la morbilidad y mortalidad evitables.</t>
  </si>
  <si>
    <t xml:space="preserve">Implementar modelos educativos incluyentes e integradores que reconozcan y aborden la diversidad cultural y poblacional de los diferentes territorios del departamento unido a la articulación intersectorial e interdisciplinaria, que generen acciones para promover el autocuidado, los hábitos y estilos de vida saludables, en los entornos hogar, educativo, comunitario, institucional y laboral; la participación social y el reconocimiento de los derechos y deberes en la población antioqueña, para el goce efectivo de la salud. </t>
  </si>
  <si>
    <t>A 2023, disminuir la tasa de mortalidad por suicidios y lesiones autoinfligidas al 4,7 por 100000 habitantes</t>
  </si>
  <si>
    <t>Contribuir con la implementación del modelo de intervención en salud mental (resiliencia) en articulación con la secretaría de educación.</t>
  </si>
  <si>
    <t>Promover la cualificación del recurso humano con formación profesional idónea (profesionales del área psicosocial), para mejorar la capacidad de respuesta institucional y comunitaria.</t>
  </si>
  <si>
    <t>Fortalecer la gestión institucional y comunitaria, para garantizar la atención integral e integrada  en los diferentes territorios del departamento  porque cuenta con infraestructura física, recursos tecnológicos, humanos y financieros.</t>
  </si>
  <si>
    <t>Porcentaje de  diseño metodológico con estrategia enfocada en la reducción del daño y de para población menor de 14 años, elaborado</t>
  </si>
  <si>
    <t xml:space="preserve"> Realizar procesos investigativos y recolección de información que permitan la gestión y apropiación social del conocimiento y la generación de estrategias, que impacten el consumo problemático de sustancias psicoactivas y otras adicciones.</t>
  </si>
  <si>
    <t xml:space="preserve">Fortalecer los sistemas de respuesta a emergencias y desastres, implementando el Sistema de Emergencias Médicas, como modelo integral que responde de manera oportuna en la atención de urgencias.   </t>
  </si>
  <si>
    <t>Mortalidad por emergencias y desastres</t>
  </si>
  <si>
    <t>Fortalecer los sistemas de respuesta a emergencias y desastres, al articular los planes hospitalarios de emergencias con las herramientas de gestión del riesgo municipal, y al incluir acciones que garanticen la disposición de suministro seguro, oportuno y suficiente de sangre y componentes sanguíneos en los centros de atención hospitalaria.</t>
  </si>
  <si>
    <t>Fortalecer los sistemas de respuesta a emergencias y desastres, al aplicar el Índice de Seguridad Hospitalaria en los Hospitales priorizados del Programa Hospitales Seguros, como estrategia de atención, reconstrucción y recuperación</t>
  </si>
  <si>
    <t>Fortalecer los sistemas de respuesta a emergencias y desastres, con la implementación de acciones de vigilancia y control en la prestación de los servicios de salud en el Departamento.</t>
  </si>
  <si>
    <t>Fortalecer los sistemas de respuesta a emergencias y desastres,  a través del Centro Regulador de Urgencias, Emergencias y Desastres -CRUE-, como unidad de carácter operativo no asistencial y articular acciones para el acceso a los servicios de urgencias y la atención en salud de la población afectada en situaciones de emergencia o desastre.</t>
  </si>
  <si>
    <t>A 2023, se logra que el 100% de las entidades territoriales en salud respondan con eficacia ante emergencias y desastres, logrando disminuir la tasa de mortalidad a 3.5 por cada 100.000 habitantes.</t>
  </si>
  <si>
    <t>Tasa de suicidio</t>
  </si>
  <si>
    <t xml:space="preserve">Incidencia de violencia intrafamiliar </t>
  </si>
  <si>
    <t xml:space="preserve">Incidencia de violencia sexual </t>
  </si>
  <si>
    <t>Porcentaje de Padres involucrados (Escala 5 a 7)</t>
  </si>
  <si>
    <t>Promover la cualificacion del recursos humano  con formación profesional idonea (profesionales del área psicosocial), para mejorar la capacidad de respuesta institucional y comunitaria.</t>
  </si>
  <si>
    <t>Desarrollar habilidades y capacidades técnicas a los diferentes actores de los 125 municipios a través de asesoría y asistencia técnica para el fortalecimiento de la promoción y prevención en salud mental y la ruta de atención de trastorno mentales</t>
  </si>
  <si>
    <t>Fortalecer la capacidad de gestión administrativa en salud, desde el nivel sectorial e intersectorial a través del CRUE Departamental, disminuyendo la tasa de mortalidad por emergencias y desastres</t>
  </si>
  <si>
    <t>Realizaremos acciones de información, educación y comunicación dirigidas a los vendedores informales de alimentos para lograr su adherencia a la normatividad sanitaria relacionada (ventas de alimentos en vía pública)</t>
  </si>
  <si>
    <t>Implementar en las Empresas Sociales del Estado (ESE) del departamento de Antioquia la estrategia de Instituciones Amigas de la Mujer y la Infancia Integral (IAMII) con mira a mejorar la práctica de la lactancia materna y el nivel de aprovechamiento y utilización biológica de los alimentos en la población.</t>
  </si>
  <si>
    <t>Fortalecer en los actores del Sistema General de Seguridad Social en Salud, los protocolos de vigilancia y atención en el ámbito de la alimentación y nutrición, con miras a mejorar el nivel de aprovechamiento y utilización biológica de los alimentos en la población.</t>
  </si>
  <si>
    <t>A 2023, mantener la incidencia en Enfermedades de Transmisión por Alimentos en 22 por 100 mil habitantes</t>
  </si>
  <si>
    <t>A 2023, reducir la mortalidad infantil evitable por desnutrición en forma progresiva: el 30% en el 2013, el 50% en el 2015 y el 100% en 2020.</t>
  </si>
  <si>
    <t>A 2023, mantener en &lt;10% la proporción de bajo peso al nacer.</t>
  </si>
  <si>
    <t xml:space="preserve">Bajo peso al nacer a término </t>
  </si>
  <si>
    <t>Mortalidad por Desnutrición en menores de 5 años</t>
  </si>
  <si>
    <t>Incidencia de desnutrición aguda en población menor de 5 años</t>
  </si>
  <si>
    <t>Incidencia en ETA (enfermedades transmitidas por alimentos y agua) en la población de los municipios categoría 4,5 y 6</t>
  </si>
  <si>
    <t>Instituciones Contribuir al mejoramiento de la malnutrición por déficit, por exceso o carencia especifica en diferentes grupos poblacionales, en el Departamento de Antioquia</t>
  </si>
  <si>
    <t>Contribuir al mejoramiento de la malnutrición por déficit, por exceso o carencia especifica en diferentes grupos poblacionales, en el Departamento de Antioquia</t>
  </si>
  <si>
    <t>Número de Instituciones Prestadoras de Servicios de Salud (IPS) con la estrategia de Instituciones Amigas de la Mujer y la Infancia Integral (IAMI) implementada.</t>
  </si>
  <si>
    <t>Porcentaje de Direcciones locales de salud y Empresas Sociales del Estado (ESE)
públicas con implementación de los lineamentos de vigilancia y atención de la
malnutrición por déficit o por exceso y alimentación saludable</t>
  </si>
  <si>
    <t>Numero de visitas de inspección, vigilancia y control realizadas a establecimientos de almacenamiento, comercialización y  expendio de alimentos y bebidas del sector</t>
  </si>
  <si>
    <t>gastronómico, incluido el transporte de los mismos</t>
  </si>
  <si>
    <t>Condiciones sanitarias adecuadas en los proceso de elaboración, conservación almacenamiento, comercialización, expendio y transporte de los alimentos en los municipios categoria 4,5 y 6. del departamento de Antioquia</t>
  </si>
  <si>
    <t>Desarrollar e implementar estrategias para garantizar el acceso a la atención preconcepción, prenatal, del parto y del puerperio, y la prevención del aborto inseguro, por personal calificado, que favorezca la detección precoz de los riesgos y la atención oportuna, en el marco del sistema obligatorio de garantía de la calidad y estrategias de atención primaria en salud (APS) para la maternidad segura en Antioquia.</t>
  </si>
  <si>
    <t xml:space="preserve">Promover la articulación sectorial, transitoria y comunitaria para la afectación de los determinantes sociales, programáticos e individuales que inciden en la epidemia de Infecciones de Transmisión Sexual ITS-VIH/SIDA, con énfasis en poblaciones en contextos de mayor vulnerabilidad, garantizando el acceso a la prevención y a la atención integral en salud, y fortaleciendo los sistemas de seguimiento y evaluación. </t>
  </si>
  <si>
    <t xml:space="preserve">Promover la implementación y el acceso a los servicios integrales en Salud Sexual y Reproductiva de la población de adolescentes y jóvenes, con énfasis en la población de 10 a 19 años, para la detección y atención de los factores de riesgo y el estímulo de los factores protectores. </t>
  </si>
  <si>
    <t>Para el año 2023, la mortalidad materna evitable será inferior a 150 muertes anuales</t>
  </si>
  <si>
    <t>Mortalidad materna por causas directas</t>
  </si>
  <si>
    <t>Letalidad por MME-SAT (Morbilidad materna extrema en sistema de alerta temprana)</t>
  </si>
  <si>
    <t>Incidencia de VIH</t>
  </si>
  <si>
    <t>Embarazos de 15-19 Años</t>
  </si>
  <si>
    <t>Embarazos de 10-14 Años</t>
  </si>
  <si>
    <t>Contribuir en el mejoramiento de las condiciones de Vida y salud sexual y Reproductiva de la población antioqueña en el marco de la Política PAIS, MIAS, RIAS y MAITE</t>
  </si>
  <si>
    <t>Porcentaje de Instituciones Prestadoras de Servicios de Salud (IPS)    con desarrollo de capacidades en lineamientos, guías, rutas y protocolos para maternidad segura, infecciones de trasmisión sexual (ITS), planificación familiar y otros</t>
  </si>
  <si>
    <t>Fortalecer el sector salud a través de la Estrategia Atención Integrada de Enfermedades Prevalentes de la Infancia (AIEPI) clínico y comunitario, para que este se constituya en un entorno que reconozca a las niñas, niños y adolescentes como sujetos de derechos y favorezca la provisión de atención humanizada y que cumpla con los atributos de calidad, de acuerdo con las particularidades poblacionales y territoriales, orientada a los resultados en salud y al acortamiento de brechas de inequidad en el departamento de Antioquia.</t>
  </si>
  <si>
    <t>Logar que los entes territoriales y/o municipales reciban asesoría y asistencia técnica para la implementación de la política atención integral a la primera Infancia (AIPI), propiciando la identificación de prioridades de política pública a partir del análisis de situación de los derechos y el seguimiento de los resultados en salud de las niñas, los niños y adolescentes, fortaleciendo el proceso de gestión, análisis y retroalimentación de la información, generación de conocimiento y vigilancia en salud pública.</t>
  </si>
  <si>
    <t>Lograr la participación en los espacios intersectoriales y sectoriales de construcción, análisis y evaluación de las políticas públicas, programas, planes y proyectos, orientados a alcanzar el desarrollo integral de las niñas, niños y adolescentes, a través de los procesos de gestión de las políticas públicas, en coordinación y alineación con el sector privado, la cooperación y la comunidad.</t>
  </si>
  <si>
    <t>En el año 2020 se tendrán metas diferenciales de mortalidad infantil por territorio y para el 2023 se tendrá una disminución del gradiente diferencial de esta mortalidad.</t>
  </si>
  <si>
    <t>Mortalidad en menores de 5 años</t>
  </si>
  <si>
    <t>Mortalidad en menores de 1 año</t>
  </si>
  <si>
    <t>Mortalidad en menores de 5 años por IRA (Infección respiratoria aguda)</t>
  </si>
  <si>
    <t>Mortalidad en menores de 5 años por EDA (Enfermedad diarreica aguda)</t>
  </si>
  <si>
    <t>Porcentaje de Direcciones locales de salud y Empresas Sociales del Estado (ESE) públicas con implementación de los lineamentos de vigilancia y atención de la</t>
  </si>
  <si>
    <t>malnutrición por déficit o por exceso y alimentación saludable</t>
  </si>
  <si>
    <t>A 2023 el Departamento contará con un modelo de atención en salud adecuada con enfoque de género.</t>
  </si>
  <si>
    <t>Mortalidad en menores de cinco años en diferentes grupos étnicos</t>
  </si>
  <si>
    <t>Mortalidad en menores de cinco años en diferentes grupos étnico</t>
  </si>
  <si>
    <t>Implementar Modelos de acción integral territorial en salud en el departamento de Antioquia de acuerdo al enfoque diferencial étnico y de género</t>
  </si>
  <si>
    <t>Porcentaje de Empresas Sociales del Estado (ESE) de municipios con población étnica con ruta integral de atención en salud materno perinatal adaptada e implementada</t>
  </si>
  <si>
    <t>Promover la formulación del plan territorial de discapacidad en los municipios, a través acuerdos intersectoriales en el marco de las competencias institucionales del nivel territorial para promover los procesos de inclusión social de las personas en situación de discapacidad.</t>
  </si>
  <si>
    <t>A 2023, se contará con un adecuado modelo de atención integral en salud para personas en situación de discapacidad, que permita promover el desarrollo de políticas públicas  orientadas a mejorar las condiciones y entornos cotidianos para su desarrollo integral, para garantizar servicios de salud accesibles e incluyentes y asegurar la calidad y disponibilidad de los servicios y de la oferta de habilitación y rehabilitación centrada en las necesidades y características de las personas en situación de discapacidad y en el fortalecimiento de sus capacidades</t>
  </si>
  <si>
    <t>Cobertura de personas con discapacidad afiliadas al Sistema General de Seguridad Social en Salud</t>
  </si>
  <si>
    <t>Cobertura en el Registro de Localización y Caracterización de Personas con Discapacidad (RLCPD)</t>
  </si>
  <si>
    <t xml:space="preserve">Inclusión social de la población con discapacidad en el Departamento de Antioquia </t>
  </si>
  <si>
    <t>Numero de Municipios y/o Distrito con Plan Territorial de Discapacidad formulado</t>
  </si>
  <si>
    <t>Fortalecer la atención integral y la prestación de servicios para la población mayor de 60 años, articulando las acciones de asesoría y asistencia técnica a los Municipios, articulando y apoyando los programas locales, desarrollados a través del conjunto de procedimientos, protocolos e infraestructura física, técnica y administrativa de los Centros Día/Vida.</t>
  </si>
  <si>
    <t>Al 2023, se habrán diseñado estrategias de comunicación por medios masivos y alternativos de comunicación para promover los derechos, el respeto y la dignificación de las personas mayores</t>
  </si>
  <si>
    <t>Población adulta mayor en situación de vulnerabilidad, que viven un proceso de envejecimiento digno, activo y saludable en centros día-vida y centros de protección social al adulto mayor (CPSAM)</t>
  </si>
  <si>
    <t>Fortalecer la atención, la protección social, los derechos y la participación de la población Adulta Mayor mediante la asesoría y asistencia técnica, inspección y vigilancia y cofinanciación de proyectos en el Antioquia.</t>
  </si>
  <si>
    <t>Municipios y/o Distrito con proyectos presentados y aprobados, cofinanciados por el Departamento de Antioquia para el bienestar de la población adulta mayor</t>
  </si>
  <si>
    <t>Promover estrategias de estilos de vida saludable a través de la intervención intersectorial y apropiadas por la comunidad</t>
  </si>
  <si>
    <t>A 2023, disminuir la tasa de mortalidad por infarto agudo de miocardio a 50,77 por 100.000 habitantes.</t>
  </si>
  <si>
    <t>Mortalidad por IAM (Infarto Agudo de Miocardio)</t>
  </si>
  <si>
    <t>Mortalidad por EPOC (Enfermedad Pulmonar Obstructiva Crónica)</t>
  </si>
  <si>
    <t>Mortalidad por cáncer de mama</t>
  </si>
  <si>
    <t>Mortalidad por cáncer en menores de 18 años</t>
  </si>
  <si>
    <t>Disminuir la mortalidad por enfermedades no transmisibles en el departamento de Antioquia</t>
  </si>
  <si>
    <t>Garantizar de manera efectiva el acceso a los planes de beneficio en salud (individuales y colectivos) para toda la población a través de la realización de  Asistencia Técnica a los actores del Sistema para la elaboración e implementación de la Política de Participación Social en Salud, en los 125 municipios del departamento</t>
  </si>
  <si>
    <t>A 2023, se cuenta con cobertura universal en salud con acceso efectivo a los servicios de atención equiparables entre zona urbana y rural y entre el quintil más pobre y el quintil más rico.</t>
  </si>
  <si>
    <t>Hogares con riesgo psicosocial alto, intervenidos en la dinámica familiar por medio de la estrategia primaria en salud (APS)</t>
  </si>
  <si>
    <t>Fortalecer el ejercicio de Inspección y vigilancia con el fin de mantener y mejorar las condiciones del aseguramiento en el SGSSS de la población del Departamento</t>
  </si>
  <si>
    <t>Realizar la vigilancia de los eventos de interés en salud pública con talento humano en las áreas administrativas y de apoyo técnico al laboratorio competente, suficiente y calificado sobre la base de una formación y experiencia apropiada, demostrada según el cargo lo requiera, en procura de recuperar las capacidades básicas indelegables de la autoridad sanitaria.
Desarrollar las actividades del laboratorio en instalaciones físicas organizadas por secciones y áreas funcionales con su respectiva dotación, equipamiento tecnológico, mantenimiento y sistemas de comunicación y registro, para garantizar de manera efectiva la vigilancia de los eventos de interés en salud pública a toda la población.</t>
  </si>
  <si>
    <t>Realizar la vigilancia de los eventos de interés en salud pública con talento humano en las áreas administrativas y de apoyo técnico al laboratorio competente, suficiente y calificado sobre la base de una formación y experiencia apropiada, demostrada según el cargo lo requiera, en procura de recuperar las capacidades básicas indelegables de la autoridad sanitaria.</t>
  </si>
  <si>
    <t>Desarrollar las actividades del laboratorio en instalaciones físicas organizadas por secciones y áreas funcionales con su respectiva dotación, equipamiento tecnológico, mantenimiento y sistemas de comunicación y registro, para garantizar de manera efectiva la vigilancia de los eventos de interés en salud pública a toda la población.</t>
  </si>
  <si>
    <t>A 2023, el departamento de Antioquia opera el Sistema de Vigilancia en Salud Pública en todo el territorio nacional, y lo  integra a los sistemas de vigilancia y control anitarios, e inspección, vigilancia y control, en coordinación con las entidades territoriales, las aseguradoras, o quien haga sus veces, los prestadores de servicios de salud, los rganismos de control y los institutos adscritos.</t>
  </si>
  <si>
    <t>Cumplimiento de los estándares de calidad de los laboratorios de salud pública</t>
  </si>
  <si>
    <t>Mejorar la capacidad analítica del Laboratorio Departamental de salud pública de Antioquia para dar respuesta a las necesidades del Sistema de Vigilancia en salud pública en el marco de la seguridad</t>
  </si>
  <si>
    <t>Porcentaje de Procedimientos técnicos implementados en las pruebas realizadas para la vigilancia de los eventos de Interés en salud pública y vigilancia y control sanitario</t>
  </si>
  <si>
    <t>Mortalidad evitable Grupos C, D5 y D6</t>
  </si>
  <si>
    <t>Población afiliada al Sistema de Seguridad Social en Salud</t>
  </si>
  <si>
    <t>Porcentaje de Direcciones Locales de Salud y Empresas Administradoras de Planes de Beneficios (EAPB) con presencia en el territorio inspeccionadas y vigiladas</t>
  </si>
  <si>
    <t>Gestionar los recursos suficientes para sanear la deuda del Departamento con la red de prestadores de servicios de salud; para la prestación de los servicios salud que requiere la población pobre que persiste sin afiliación al Sistema General de Seguridad Social en Salud y para el fortalecimiento institucional de la Secretaría Seccional de Salud y Protección Social de Antioquia.</t>
  </si>
  <si>
    <t>Gestionar los recursos suficientes para sanear la deuda del Departamento con la red de prestadores de servicios de salud; para la prestación de los servicios salud que requiere la población pobre que persiste sin afiliación al Sistema General de Seguridad Social en Salud y para el fortalecimiento institucional de la Secretaría Seccional de Salud y Protección Social de Antioquia.
Red: Fortalecer la red pública de hospitales de Antioquia con dotación, infraestructura, procesos internos y eficiencia administrativa y complementar la red de servicios de tal forma que responda a las reales necesidades de servicios de salud en las subregiones de Antioquia, incentivando la apertura de servicios que se consideran críticos y prioritarios. 
PAS: Intervenir con el programa aéreo social a las comunidades vulnerables indígenas, afrodescendientes, campesinas entre otras, con escasa presencia del Estado cuyos determinantes sociales no han permitido mejorar sus condiciones de vida, con el fin de disminuir el riesgo primario en la población, es decir, la aparición de nueva morbilidad, evidenciada por la disminución de la incidencia de los eventos.</t>
  </si>
  <si>
    <t xml:space="preserve"> Mejorar el acceso a los servicios de salud para la población no afiliada que es responsabilidad del Departamento y para la población afilada sistema general de seguridad social</t>
  </si>
  <si>
    <t>Numero de Población atendida en salud con recursos del departamento</t>
  </si>
  <si>
    <t>Fortalecer la red pública de Antioquia con dotación, infraestructura, procesos internos y eficiencia administrativa y complementar la red de servicios de tal forma que responda a las reales necesidades de servicios de salud en las subregiones de Antioquia, incentivando la apertura de servicios que se consideran críticos y prioritarios.</t>
  </si>
  <si>
    <t>A 2023, se ha implementado el Sistema de Garantía de la Calidad en los servicios de Salud individuales y colectivos.</t>
  </si>
  <si>
    <t>Mejorar el acceso a los servicios de salud para la población no afiliada que es responsabilidad del Departamento y para la población afilada sistema general de seguridad social</t>
  </si>
  <si>
    <t>Recuperar el liderazgo de la Secretaría Seccional de Salud y Protección Social de Antioquia en el proceso de planeación interna y frente a
los actores del sistema en el Departamento- Contribuir en el mejoramiento de las condiciones de salud pública de la población antioqueña a través de la implementación de la Política de Atención Integral en Salud (PAIS) ademas de recuperar el liderazgo de la Secretaría Seccional de Salud y Protección Social de Antioquia en el proceso de planeación interna y frente a los actores del sistema en el Departamento.</t>
  </si>
  <si>
    <t>Empresas Sociales del Estado priorizadas con recursos asignados y ejecutados para fortalecer la red se servicios</t>
  </si>
  <si>
    <t xml:space="preserve">Desarrollar estrategias de articulación e implementación de modelos prospectivos y proactivos con enfoque territorial y diferencial asumiendo el liderazgo de la planeación del sector a nivel del departamento en la Secretaría Seccional de Salud y Protección Social de Antioquia. </t>
  </si>
  <si>
    <t>Porcentaje de Cumplimiento de los reportes, informes y otros, definidos en la norma que sean competencia de la Secretaría Seccional de Salud y Protección Social de Antioquia</t>
  </si>
  <si>
    <t>Asesorar y acompañar a las Empresas Sociales del Estado garantizando recurso humano y financiero para que realicen efectivamente las adecuaciones técnicas, tecnológicas y locativas, en sus procesos internos, para adelantar la habilitación del servicio de Telemedicina (Telesalud) y prestar el servicio en condiciones de calidad.</t>
  </si>
  <si>
    <t>Avance en la interoperabilidad con entidades del sector salud, utilizando plataformas digitales en los componentes o procesos priorizados</t>
  </si>
  <si>
    <t>Incrementar y fortalecer el talento humano para desarrollar cabalmente las responsabilidades como ente rector de la salud en el territorio</t>
  </si>
  <si>
    <t>Incremento de los recursos financieros gestionados para la Secretaria Seccional de Salud y Protección Social</t>
  </si>
  <si>
    <t>Mejorar el acceso a los servicios de salud para la población no afiliada que es responsabilidad del Departamento y para la población afilada sistema general de seguridad socia</t>
  </si>
  <si>
    <t xml:space="preserve">Desarrollar gestión eficiente de la ejecución de los recursos para agua potable y saneamiento básico </t>
  </si>
  <si>
    <t>A 2023, el 100% de las direcciones territoriales de salud contarán con mapas de riesgo y vigilancia de la calidad del agua para consumo humano.</t>
  </si>
  <si>
    <t>Fortalecer el Modelo de Inspección, Vigilancia y Control Sanitario de la Calidad del Agua para Consumo Humano y Uso Recreativo que permitan una adecuada evaluación del riesgo y notificación oportuna para la toma de medidas preventiva y correctivas</t>
  </si>
  <si>
    <t>Índice de Riesgo Calidad del Agua para consumo humano (IRCA) urbano</t>
  </si>
  <si>
    <t>Índice de Riesgo Calidad del Agua para consumo humano (IRCA) rural</t>
  </si>
  <si>
    <t>Numero de muestras para evaluar el Índice de Riesgo de la Calidad del Agua para Consumo Humano y Uso Recreativo</t>
  </si>
  <si>
    <t>Realizar actividades de inspección, vigilancia y control y de asesoría y asistencia técnica a los establecimientos comercializadores y usuarios de medicamentos y otros productos farmacéuticos en Antioquia, con el fin de intervenir los determinantes sanitarios y ambientales de la salud relacionados con las sustancias y productos químicos, residuos peligrosos, nanotecnologías y dispositivos médicos de uso estético y cosmético.</t>
  </si>
  <si>
    <t>A 2023, se implementan estrategias intersectoriales encaminadas a proteger la salud de la población y el bienestar humano asociado a los contaminantes presentes en el aire.</t>
  </si>
  <si>
    <t>Cobertura de establecimientos de comercialización y distribución de productos farmacéuticos, vigilados y controlados</t>
  </si>
  <si>
    <t>Establecimientos de interés sanitario vigilados y controlados  en los municipios categoría 4,5,6</t>
  </si>
  <si>
    <t>Mejorar de las condiciones sanitarias y ambientales que afectan la salud de la población antioqueña.</t>
  </si>
  <si>
    <t>Porcentaje de Planes de Gestión integral de Establecimientos Generadores de Residuos Hospitalarios y similares, requeridos,</t>
  </si>
  <si>
    <t>Fortalecer la gestión intersectorial para el cumplimiento de los compromisos nacionales e internacionales relacionados con agendas, acuerdos y convenios sobre la salud ambiental, contando con espacios intersectoriales, el apoyo de la academia y diferentes sectores a lo largo del territorio departamental para la apropiación del conocimiento en efectos de la salud asociados a la calidad del aire, contando con recursos económicos, talento humano capacitado y uso de las TICs.</t>
  </si>
  <si>
    <t>A 2023, se habrá priorizado las entidades territoriales según problemáticas de salud ambiental relacionadas con sustancias químicas, minería, exposición a mercurio, agroindustria, industria pecuaria, desarrollos tecnológicos y otros procesos, y el seguimiento a su implementación, con el propósito de una atención integral de los determinantes ambientales de la salud.</t>
  </si>
  <si>
    <t>Incidencia de intoxicaciones por sustancias químicas</t>
  </si>
  <si>
    <t>Mejorar las condiciones sanitarias y ambientales que afectan la salud de la población que se encuentra expuesta a los factores de riesgo químico en los diferentes entornos, comportamientos humanos, manejo inadecuado o  inseguro de estas sustancias</t>
  </si>
  <si>
    <t>Porcentaje de Campañas de información, educación y comunicación en factores de riesgo del ambiente, consumo
(medicamentos y alimentos), vectores y zoonos</t>
  </si>
  <si>
    <t xml:space="preserve">Intervenir los factores de riesgo ambiental y sanitarios asociados a los eventos de intoxicación por sustancias químicas para que se disminuya el porcentaje de incidencia en el Departamento de Antioquia, mediante el seguimiento y análisis de los eventos que se presenten </t>
  </si>
  <si>
    <t>A 2023, Antioquia contará con estudios de la carga ambiental de la enfermedad y costos en salud de los eventos priorizados relacionados con el agua, el aire, el saneamiento básico, la seguridad química, el riesgo biológico y tecnológico, con estrategias de intervención en el ámbito territorial.</t>
  </si>
  <si>
    <t>Mejorar las condiciones sanitarias y promover el uso adecuado de los productos farmacéuticos en el departamento de Antioquia</t>
  </si>
  <si>
    <t>Número de visitas a a establecimientos de comercialización y distribución de productos farmacéuticos inspeccionados, vigilados y
controlados</t>
  </si>
  <si>
    <t>Determinar la carga ambiental de las enfermedades prioritarias en salud pública relacionadas con factores ambientales, a nivel territorial, para lo cual se deberá realizar un estudio de carga ambiental de la enfermedad atribuible a los principales factores de riesgo ambientales a los cuales está expuesta la población.</t>
  </si>
  <si>
    <t>Mejorar las condiciones sanitarias y ambientales que afectan la salud de la poblacion.</t>
  </si>
  <si>
    <t>Número de Instituciones con fuentes emisoras de radiaciones ionizantes y de la oferta de servicios de seguridad y salud en el trabajo, que cumplen con la norma de protección
radiológica y seguridad</t>
  </si>
  <si>
    <t>Número de Instituciones con fuentes emisoras de radiaciones ionizantes y de la oferta de servicios de seguridad y salud en el trabajo, que cumplen con la norma de protección</t>
  </si>
  <si>
    <t xml:space="preserve">Intervenir con enfoque diferencial los determinantes sanitarios y ambientales de la salud relacionados con la calidad del aire, el ruido y las radiaciones electromagnéticas, los impactos del urbanismo, las condiciones de la ruralidad, las características de la movilidad, las condiciones de la vivienda y espacios públicos, involucrando recursos económicos para realizar estrategias de información, educación y comunicación –IEC- entorno a la promoción de la salud. </t>
  </si>
  <si>
    <t xml:space="preserve">Fortalecer la capacidad de adaptación, preparación y apropiación frente a los impactos en salud asociados a la crisis climatica y calidad del aire en el Departameno de Antioquia </t>
  </si>
  <si>
    <t xml:space="preserve">1. Cobertura de municipios y/o Distrito asistidos técnicamente en torno a cambio climático y sus efectos en salud.
2. Capacidad de respuesta ante la atención de los eventos asociados a crisis climática en emergencias y desastres 
3. Cobertura de municipios y/o Distrito asistidos técnicamente en torno a los efectos en salud asociados a la calidad del aire </t>
  </si>
  <si>
    <t>Municipios y/o Distrito de categorías 4, 5 y 6 capacitados en los efectos en salud relacionados con la calidad del aire</t>
  </si>
  <si>
    <t>Identificar y prevenir las amenazas para la salud proveniente de la actual crisis climática para lo cual se debe fortalecer la capacidad de atención y respuesta de las instituciones prestadoras de servicios de salud entorno a las  emergencias y desastres, contando con recurso humano suficiente de planta y con las competencias necesarias  para generar capacidades en las instituciones prestadoras de servicios de salud  y para el abordaje y la gestión integral de  los riesgos provenientes del fenómeno de cambio climático.</t>
  </si>
  <si>
    <t>A 2023, establecimientos de interés sanitarios vigilados y controlados en un 80% para aquellos de alto riesgo, y un 40% para aquellos de bajo riesgo según censo nacional y/o territorial</t>
  </si>
  <si>
    <t xml:space="preserve"> Realizar inspección, vigilancia, control en los establecimientos que ofrecen bienes y servicios en cada uno de los municipios categoría 4, 5 y 6 para mejorar condiciones ambientales que contribuyan a la salud pública, obteniendo así la transformación.</t>
  </si>
  <si>
    <t>Número de Terminales terrestres, marítimas, aéreos y medios de transporte vigilados y controlados de acuerdo con los estándares sanitarioscategoría 4, 5 y 6 para mejorar condiciones ambientales que contribuyan a la salud pública, obteniendo así la transformación</t>
  </si>
  <si>
    <t>A 2023, la estrategia de gestión integrada para la vigilancia, promoción de la salud, prevención y control de las Enfermedades Transmitidas por Vectores y las Zoonosis, está implementada intersectorialmente en todo el territorio departamental.</t>
  </si>
  <si>
    <t>Realizar vigilancia activa y control de focos de eventos zoonóticos de interés en salud pública con recurso humano suficiente y capacitado, para contribuir a la reducción de enfermedades como leptospirosis y brucelosis.</t>
  </si>
  <si>
    <t>A 2023, la estrategia de gestión integrada para la vigilancia, promoción de la salud, prevención y control de las Enfermedades Transmitidas por Vectores y las Zoonosis, está implementada intersectorialmente en todo el territorio departamental</t>
  </si>
  <si>
    <t>Incidencia de leptospirosis</t>
  </si>
  <si>
    <t xml:space="preserve">Incidencia de brucelosis </t>
  </si>
  <si>
    <t xml:space="preserve">Incidencia de casos de malaria </t>
  </si>
  <si>
    <t>ncidencia de casos de dengue</t>
  </si>
  <si>
    <t xml:space="preserve">Incidencia de casos de  leishmaniasis </t>
  </si>
  <si>
    <t>Fortalecer la gestión integral de las Zoonosis en Antioquia.</t>
  </si>
  <si>
    <t>Controlar las enfermedades transmisibles que deterioran el bienestar de la población Antioqueña.</t>
  </si>
  <si>
    <t>Numero de Campañas para la tenencia responsable de animales de compañía, protección animal, bienestar animal y seguridad social, realizadas</t>
  </si>
  <si>
    <t xml:space="preserve">Acciones de control en vectores (fumigación y/o promoción de la salud) </t>
  </si>
  <si>
    <t>Crear condiciones y capacidades en el sector y en otros sectores, organizaciones, instituciones, servicios de salud y en la comunidad, con la disponibilidad de recurso humano idóneo y capacitado para la gestión de planes, programas y proyectos que reduzcan las exposiciones y vulnerabilidades diferenciales de la población a las enfermedades transmisibles.</t>
  </si>
  <si>
    <t>Garantizar y materializar el derecho de la población colombiana a vivir libre de enfermedades transmisibles en todas las etapas del ciclo de vida y en los territorios cotidianos, con enfoque diferencial y de equidad, mediante la transformación positiva de situaciones y condiciones endémicas, epidémicas, emergentes, re-emergentes y desatendidas, para favorecer el desarrollo humano, social y sostenible.</t>
  </si>
  <si>
    <t>A 2023, se logra un avance progresivo y sostenido en la implementación de planes regionales o locales para la prevención y la contención de los patógenos emergentes y re-emergentes de alta transmisibilidad y potencial epidémico en el 100% de las entidades territoriales.</t>
  </si>
  <si>
    <t>Mortalidad por tuberculosis</t>
  </si>
  <si>
    <t>Muestras analizadas para evaluar el Índice de Riesgo de la Calidad del Agua para Consumo Humano y Uso Recreativo</t>
  </si>
  <si>
    <t>Acueductos vigilados, inspeccionados y controlados en los municipios</t>
  </si>
  <si>
    <t>Planes de gestión integral de establecimientos generadores de residuos hospitalarios y similares requeridos, revisados y evaluados</t>
  </si>
  <si>
    <t>Inspección, vigilancia y control realizadas a establecimientos de almacenamiento, comercialización y expendio de alimentos y bebidas del sector gastronómico, incluido el transporte de los mismos</t>
  </si>
  <si>
    <t>Eventos de intoxicación por sustancias químicas vigilados y controlados</t>
  </si>
  <si>
    <t>Campañas de información, educación y comunicación en factores de riesgo del ambiente, consumo (medicamentos y alimentos), vectores y zoonosis *</t>
  </si>
  <si>
    <t xml:space="preserve">Visitas a establecimientos de comercialización y distribución de productos farmacéuticos inspeccionados, vigilados y controlados      </t>
  </si>
  <si>
    <t xml:space="preserve">Instituciones con fuentes emisoras de radiaciones ionizantes y de la oferta de servicios de seguridad y salud en el trabajo, que cumplen con la norma de protección radiológica y seguridad </t>
  </si>
  <si>
    <t>Campañas para la tenencia responsable de animales de compañía, protección animal, bienestar animal y seguridad social, realizadas</t>
  </si>
  <si>
    <t>Caninos y felinos esterilizados</t>
  </si>
  <si>
    <t>Estimación de población canina y felina en Municipios priorizados</t>
  </si>
  <si>
    <t>Albergues para animales domésticos vigilados</t>
  </si>
  <si>
    <t>Terminales terrestres, marítimas, aéreos y medios de transporte vigilados y controlados de acuerdo con los estándares sanitarios</t>
  </si>
  <si>
    <t xml:space="preserve">Municipios y/o Distrito de categorías 4, 5 y 6 capacitados en los efectos en salud relacionados con la calidad del aire 
Formulación del Plan de Adaptación al Cambio Climático desde el componente de Salud Ambiental
Implementación del Plan de Adaptación al Cambio Climático desde el componente de Salud Ambiental
Número total de municipios con planes de emergencia hospitalarios evaluados que cumplen con la guía hospitalaria para la gestión del riesgo de desastres
</t>
  </si>
  <si>
    <t xml:space="preserve">Estrategia de Atención Primaria en Salud, articulada a los programas bandera del Plan de Desarrollo Departamental </t>
  </si>
  <si>
    <t xml:space="preserve">Municipios y/o Distrito con el modelo de Atención Primaria en Salud (APS) ajustado </t>
  </si>
  <si>
    <t>Municipios y/o distrito con instrumentos con intervención en riesgos en el entorno laboral por medio de la estrategia APS (atención primeria en Salud)</t>
  </si>
  <si>
    <t>Municipios y/o Distrito con la estrategia de Ciudades, entornos y ruralidades (CERS) implementadas</t>
  </si>
  <si>
    <t>Instituciones Prestadoras de Servicios de Salud (IPS) públicas con asesoría en la implementación de la ruta para la población con riesgo o presencia de cáncer específicas de mama</t>
  </si>
  <si>
    <t>Instituciones Prestadoras de Servicios de Salud (IPS)   públicas y privadas con asesoría en la implementación de la ruta para la población con riesgo o presencia de cáncer específicas en menores de 18 años</t>
  </si>
  <si>
    <t>Asesorías y asistencias técnicas en prevención de enfermedades crónicas:  infarto agudo de miocardio (IAM),  diabetes mellitus tipo II (DMTII) y atención para tabaquismo</t>
  </si>
  <si>
    <t>Empresas Sociales del Estado (ESE) de municipios con población étnica con ruta integral de atención en salud materno perinatal adaptada e implementada</t>
  </si>
  <si>
    <t>Instituciones Prestadoras de
Servicios de Salud (IPS) con la estrategia de
Instituciones Amigas de la Mujer y la Infancia
Integral (IAMI) implementada</t>
  </si>
  <si>
    <t>Procedimientos técnicos
implementados en las pruebas realizadas
para la vigilancia de los eventos de Interés
en salud pública y vigilancia y control
sanitario</t>
  </si>
  <si>
    <t>Mujeres que solicitan teleapoyo sobre las distintas formas de violencia y/o problemas en salud mental, orientadas</t>
  </si>
  <si>
    <t>Municipios y/o Distrito con estrategia de resiliencia implementada</t>
  </si>
  <si>
    <t>Municipios asesorados y asistidos técnicamente en salud mental y convivencia</t>
  </si>
  <si>
    <t xml:space="preserve">Política departamental de salud mental armonizada con la Política integral para la prevención y atención del consumo de sustancias psicoactivas  </t>
  </si>
  <si>
    <t>Población víctima atendida en el departamento</t>
  </si>
  <si>
    <t>Diseño metodológico con estrategia enfocada en la reducción del daño y de para población menor de 14 años, elaborado</t>
  </si>
  <si>
    <t>Instituciones Prestadoras de Servicios de Salud (IPS) públicas, con implementación de la ruta de promoción y mantenimiento para la salud</t>
  </si>
  <si>
    <t>Direcciones locales, Instituciones Prestadoras de servicios de salud y Entidades Administradoras de Planes Beneficios inspeccionadas y vigilados</t>
  </si>
  <si>
    <t>Cumplimiento en el envío de las unidades de análisis de eventos de interés en salud pública</t>
  </si>
  <si>
    <t>Instituciones Prestadoras de
Servicios de Salud (IPS) con desarrollo de
capacidades en lineamientos, guías, rutas y
protocolos para maternidad segura,
infecciones de trasmisión sexual (ITS),
planificación familiar y otros</t>
  </si>
  <si>
    <t>Coberturas de vacunación en el grupo de 1 año con SRP (Sarampión, rubeola, parotiditis) (triple viral)</t>
  </si>
  <si>
    <t>Implementación del programa de prevención y control de infecciones asociadas a la atención en salud (IAAS), resistencia microbiana y consumo de antibióticos en instituciones de salud de alta y media complejidad</t>
  </si>
  <si>
    <t>Cumplimiento en la vigilancia centinela de enfermedad Sincitial- Infección Respiratoria Aguda Grave (ESI-IRAG)</t>
  </si>
  <si>
    <t>Direcciones locales de salud y Empresas Sociales del Estado (ESE) públicas con implementación de los lineamentos de vigilancia y atención de la malnutrición por déficit o por exceso y alimentación saludable</t>
  </si>
  <si>
    <t>Instituciones Prestadoras de Servicios de Salud (IPS) con la estrategia de  Instituciones Amigas de la Mujer y la Infancia Integral (IAMI) implementada</t>
  </si>
  <si>
    <t>Direcciones Locales de Salud y Empresas Administradoras de Planes de Beneficios (EAPB) con presencia en el territorio inspeccionadas y vigiladas</t>
  </si>
  <si>
    <t>Población atendida en salud con recursos del departamento</t>
  </si>
  <si>
    <t>Municipios y/o Distrito con sistema de emergencias médicas implementado y auditado</t>
  </si>
  <si>
    <t>Oportunidad en la respuesta a las solicitudes de servicios de salud en el Centro Regulador de emergencias y desastres y atenciones urgentes y electivas (CRUE y CRAE)</t>
  </si>
  <si>
    <t>Cumplimiento de las acciones definidas por el Reglamento Sanitario Internacional</t>
  </si>
  <si>
    <t>Visitas de verificación de condiciones de habilitación</t>
  </si>
  <si>
    <t>Cumplimiento de investigaciones administrativas adelantadas en los términos de la Ley</t>
  </si>
  <si>
    <t>Centros de rehabilitación virtual priorizados implementados</t>
  </si>
  <si>
    <t>Cumplimiento de Empresas sociales del estado (ESE) priorizadas con servicios habilitados en modalidad de telemedicina</t>
  </si>
  <si>
    <t>Encuesta de valoración del impacto de las campañas publicitarias implementadas</t>
  </si>
  <si>
    <t>Campañas publicitarias implementadas</t>
  </si>
  <si>
    <t>Cumplimiento de los compromisos pactados en las asesorías y asistencias técnicas po la Secrearia Seccional de Salud y Protección Social
Cumplimiento de los reportes, informes y otros, definidos en la norma que sean competencia de la Secretaría Seccional de Salud y Protección Social de Antioquia
Cumplimiento de los reportes, informes y otros, definidos en la norma que sean competencia de la Secretaría Seccional de Salud y Protección Social de Antioquia</t>
  </si>
  <si>
    <t>Cumplimiento del Plan Integral de Capacitaciones (PIC)</t>
  </si>
  <si>
    <t xml:space="preserve">Incremento de los recursos financieros gestionados para la Secretaria Seccional de Salud y Protección Social </t>
  </si>
  <si>
    <t>Empresas Sociales del Estado formadas en atención diferencial para la población con discapacidad</t>
  </si>
  <si>
    <t>Empresas Sociales del Estado con modalidad de Telesalud para la población con discapacidad</t>
  </si>
  <si>
    <t>Municipios y/o Distrito con Plan Territorial de Discapacidad formulado</t>
  </si>
  <si>
    <t>Empresas Sociales del Estado con asesoría y asistencia técnica a cerca del proceso administrativo de la certificación de discapacidad</t>
  </si>
  <si>
    <t xml:space="preserve">Municipios y/o distrito con con asesoría y asistencia técnica en implementación de la estrategia
Rehabilitación Basada en Comunidad (RBC
</t>
  </si>
  <si>
    <t>Personas asesoradas en participación y garantía derechos de la población de adultos mayores</t>
  </si>
  <si>
    <t>Entidades territoriales, instituciones y organizaciones de la sociedad civil, asesoradas en rutas de atención para el restablecimiento de derechos de la población adulto mayor</t>
  </si>
  <si>
    <t>Centros de protección social, centros vida e instituciones de cuidado de la población adulto mayor vigilados</t>
  </si>
  <si>
    <t>Secretarias de Salud y
Direcciones Locales de Salud asistidas
técnicamente en la implementación de
Política de Participación Social en Salud
(PPSS)</t>
  </si>
  <si>
    <t>1. Empresas Sociales del Estado
(ESE) asistidas técnicamente en la
implementación de la Política de
Participación Social en Salud (PPSS)
2. Empresas Administradoras de
Planes de Beneficio con (EAPB) asistidas
técnicamente en la implementación de la
Política de Participación Social en Salud
(PPSS)</t>
  </si>
  <si>
    <t>Planes de intervenciones sociales ejecutados para las comunidades vulnerables con difícil acceso, priorizadas del Departamento</t>
  </si>
  <si>
    <t>Diagnóstico y caracterización de la población asistida en el programa aéreo social</t>
  </si>
  <si>
    <t>Arquitectura empresarial definida y documentos que guíen la estrategia y den directrices para el manejo departamental de la información en salud basada en tecnologías de la información</t>
  </si>
  <si>
    <t>Acciones, instrumentos y servicios de información implementados para el análisis, uso y divulgación de la información de manera periódica y sistemática</t>
  </si>
  <si>
    <t>Componentes priorizados de tecnologías de la información (TI) desarrollados, implementados y/o articulados para el fortalecimiento del sistema de información</t>
  </si>
  <si>
    <t>Infraestructura tecnológica renovada y mantenida</t>
  </si>
  <si>
    <t>Servidores  que utilizan las plataformas colaborativas y software implementados en la entidad</t>
  </si>
  <si>
    <t>1. Canalizaciones efectivas dirigidas a diferentes sectores
2. Direcciones locales con desarrollo de
capacidades para viabilizar normatividad
y lineamientos en salud y ámbito laboral</t>
  </si>
  <si>
    <t xml:space="preserve">Porcentaje de Estrategias de Atención Primaria en Salud, articulada a los programas bandera del Plan de Desarrollo Departamental </t>
  </si>
  <si>
    <t>porcentaje de Municipios y/o Distrito con el modelo de Atención Primaria en Salud (APS) ajustado</t>
  </si>
  <si>
    <t>Porcentaje de Municipios y/o distrito con instrumentos con intervención en riesgos en el entorno laboral por medio de la estrategia APS (atención primeria en Salud)</t>
  </si>
  <si>
    <t>Porcentaje de Municipios y/o Distrito con la estrategia de Ciudades, entornos y ruralidades (CERS) implementadas</t>
  </si>
  <si>
    <t>Porcentaje de Instituciones Prestadoras de Servicios de Salud (IPS) públicas con asesoría en la implementación de la ruta para la población con riesgo o presencia de cáncer específicas de mama</t>
  </si>
  <si>
    <t>Numero de Asesorías y asistencias técnicas en prevención de enfermedades crónicas:  infarto agudo de miocardio (IAM),  diabetes mellitus tipo II (DMTII) y atención para tabaquismo</t>
  </si>
  <si>
    <t>Numero de Población víctima atendida en el departamento</t>
  </si>
  <si>
    <t>Porcentaje de Municipios asesorados y asistidos técnicamente en salud mental y convivencia</t>
  </si>
  <si>
    <t>Porcentaje de Mujeres que solicitan teleapoyo sobre las distintas formas de violencia y/o problemas en salud mental, orientadas</t>
  </si>
  <si>
    <t>Porcentaje de Municipios y/o Distrito con estrategia de resiliencia implementada</t>
  </si>
  <si>
    <t>Porcentaje de Política departamental de salud mental armonizada con la Política integral para la prevención y atención del consumo de sustancias psicoactivas</t>
  </si>
  <si>
    <t>Porcentaje de Instituciones Prestadoras de Servicios de Salud (IPS) públicas, con implementación de la ruta de promoción y mantenimiento para la salud</t>
  </si>
  <si>
    <t>porcentaje de Cumplimiento en el envío de las unidades de análisis de eventos de interés en salud pública</t>
  </si>
  <si>
    <t>Porcentaje de Coberturas de vacunación en el grupo de 1 año con SRP (Sarampión, rubeola, parotiditis) (triple viral)</t>
  </si>
  <si>
    <t>Porcentaje de Cumplimiento en la vigilancia centinela de enfermedad Sincitial- Infección Respiratoria Aguda Grave (ESI-IRAG)</t>
  </si>
  <si>
    <t xml:space="preserve"> Educación y comunicacion en salud</t>
  </si>
  <si>
    <t>Información y comunicación</t>
  </si>
  <si>
    <t>Gestión de la salud publica</t>
  </si>
  <si>
    <t>Coordinación intersectorial</t>
  </si>
  <si>
    <t>Inspección vigilancia y control</t>
  </si>
  <si>
    <t>Prevención y control de vectores</t>
  </si>
  <si>
    <t>Intervención de la Población Trabajadora Informal</t>
  </si>
  <si>
    <t>Comformación y fortalecimiento de redes sociales, comunitarias, sectoriales e intersectoriales</t>
  </si>
  <si>
    <t>Jornadas en salud</t>
  </si>
  <si>
    <t>Coordinacion intersectorial</t>
  </si>
  <si>
    <t>Coordinación Intersectorial</t>
  </si>
  <si>
    <t>Informacion en salud</t>
  </si>
  <si>
    <t>Rehabilitación  basada en la Comunidad</t>
  </si>
  <si>
    <t>Gestion del riesgo en salud</t>
  </si>
  <si>
    <t>Gestion del conocimiento</t>
  </si>
  <si>
    <t>Vigilancia en salud pública</t>
  </si>
  <si>
    <t>Promoción de la Salud</t>
  </si>
  <si>
    <t>Gestión de la Salud Pública</t>
  </si>
  <si>
    <t>Gestión de la prestación de servicios individuales</t>
  </si>
  <si>
    <t>Gestion administrativa y financiera</t>
  </si>
  <si>
    <t>Información en Salud</t>
  </si>
  <si>
    <t>Información en alud</t>
  </si>
  <si>
    <t xml:space="preserve">A-.2.4.3         1116 0-OI2619 330103000 010042003             
 A-.2.4.3         1116 0-OI2619 330103000 010042001 </t>
  </si>
  <si>
    <t xml:space="preserve">A-.2.4.3         1116 0-OI2619 330103000 010042090                                              
A-.2.4.3         1116 4-OI2619 330103000 010042090
A-.2.4.3         1116 0-OI2611 330103000 010042090         </t>
  </si>
  <si>
    <t>A-.2.4.3         1116 0-OI2611 330103000 010042095</t>
  </si>
  <si>
    <t>decuar el compromiso y apropiación de los actores del sistema en las competencias de Inspección, Vigilancia y Control, incremento de las capacidades básicas en los territorios que favoreciendo la efectiva prestación de los servicios de salud; empoderamiento por parte de los profesionales para una atención de calidad de los servicios de salud y con enfoque diferencial, así como incorporar estrategias de Información, Educación y Comunicación(IEC) de gran impacto entorno a la promoción, prevención y la gestión del riesgo en la salud pública; además suficiente articulación intersectorial para garantizar un servicio integral a través de adecuadas redes integradas para facilitar el acceso de la población a la prestación de los servicios de salud con calidad y oportunidad.</t>
  </si>
  <si>
    <t xml:space="preserve">Fortalecimiento de la vigilancia en salud pública a los actores SGSSS Todo El Departamento, Antioquia, Occidente </t>
  </si>
  <si>
    <t>Gestion de la salud pública</t>
  </si>
  <si>
    <t xml:space="preserve">Vigilancia en salud pública </t>
  </si>
  <si>
    <t xml:space="preserve">Promocion de la Salud </t>
  </si>
  <si>
    <t xml:space="preserve">Urbano </t>
  </si>
  <si>
    <t xml:space="preserve">hogar  </t>
  </si>
  <si>
    <t>todos</t>
  </si>
  <si>
    <r>
      <rPr>
        <sz val="11"/>
        <color rgb="FFFF0000"/>
        <rFont val="Calibri"/>
        <family val="2"/>
        <scheme val="minor"/>
      </rPr>
      <t>Gestión del talento humano</t>
    </r>
    <r>
      <rPr>
        <sz val="11"/>
        <rFont val="Calibri"/>
        <family val="2"/>
        <scheme val="minor"/>
      </rPr>
      <t xml:space="preserve">  </t>
    </r>
  </si>
  <si>
    <t xml:space="preserve">Gestión del talento humano </t>
  </si>
  <si>
    <t>Institucinal</t>
  </si>
  <si>
    <t>NA</t>
  </si>
  <si>
    <t>Gestión de insumos de interes en salud pública</t>
  </si>
  <si>
    <t>Urbano y rural</t>
  </si>
  <si>
    <t>Hogar y educativo</t>
  </si>
  <si>
    <t xml:space="preserve">Infancia, adolescencia </t>
  </si>
  <si>
    <t>Todos</t>
  </si>
  <si>
    <t>Hogar</t>
  </si>
  <si>
    <t>Urbano</t>
  </si>
  <si>
    <t>Laboral</t>
  </si>
  <si>
    <t>Institucional</t>
  </si>
  <si>
    <t>Urbano y Rural</t>
  </si>
  <si>
    <t xml:space="preserve">Hogar , educativo y Comunitario </t>
  </si>
  <si>
    <t xml:space="preserve">indigena </t>
  </si>
  <si>
    <t>Gestión del riesgo es salud</t>
  </si>
  <si>
    <t>hogar  educativo</t>
  </si>
  <si>
    <t>Primera infancia e infancia</t>
  </si>
  <si>
    <t>Hogar , educativo</t>
  </si>
  <si>
    <t>Zonas de orientación y Centros de escucha</t>
  </si>
  <si>
    <t>Zonas de orientación y centros de escucha</t>
  </si>
  <si>
    <t>Urbana</t>
  </si>
  <si>
    <t>Hogar, Laboral y comunitario</t>
  </si>
  <si>
    <t>Coodinación Intersectorial</t>
  </si>
  <si>
    <t>Gestión  prestación de servicios individuales</t>
  </si>
  <si>
    <t>Urbaqno y rural</t>
  </si>
  <si>
    <t>Gestión de administrativa y financiera</t>
  </si>
  <si>
    <t>Gestión  Administrativa y Financiera</t>
  </si>
  <si>
    <t xml:space="preserve">A-.2.4.14        1116 0-OI2611 330103000 010035090
A-.2.4.14        1116 0-OI2611 330103000 010035095 
</t>
  </si>
  <si>
    <t xml:space="preserve">A-.2.2.22.3      1116 0-OI2611 330102000 100031095 </t>
  </si>
  <si>
    <t>A-.2.2.22.3      1116 0-SP3033 330102000 100031090 - Personal Salud Menta</t>
  </si>
  <si>
    <t>A-.2.2.22.3      1116 4-OI3150 330102000 100031003</t>
  </si>
  <si>
    <t>A-.2.4.13.3      1116 4-OI2620 330201000 070077002</t>
  </si>
  <si>
    <t>A-.2.4.13.3      1116 0-OI2620 330201000 070077002 -</t>
  </si>
  <si>
    <t>A-.2.4.13.3      1116 4-OI2620 330201000 070077003</t>
  </si>
  <si>
    <t xml:space="preserve">A-.2.2.17.2 </t>
  </si>
  <si>
    <t>A-.2.2.17.1      1116 0-SP3033 330102000 100031090 - Personal Salud Mental - Victimas del Conflicto Armado</t>
  </si>
  <si>
    <t>A-.2.2.17.2      1116 0-OI2619 330102000 100031001 - Prevención del Tabaquismo, Alcoholismo y demás</t>
  </si>
  <si>
    <t>A-.2.2.17.2      1116 0-SP3033 330102000 100031002 - Victimas del Conflicto Armado</t>
  </si>
  <si>
    <t>Asesoría y Asistencia Técnica en la implementacion de la Política Pública de Participación  Social en Salud (PPSS)</t>
  </si>
  <si>
    <t>Asesoría y asistencia técnica en los procesos administrativos - financieros</t>
  </si>
  <si>
    <t xml:space="preserve">Promoción de la Salud </t>
  </si>
  <si>
    <t>A-.2.2.17.1      1116 0-SP3033 330102000 100031002 - Victimas del Conflicto Armado</t>
  </si>
  <si>
    <t xml:space="preserve">Seguimiento en Salud mental a familias en confinamiento y con alto riesgo Psicosocial </t>
  </si>
  <si>
    <t>Evidencia acciones transversalización APS</t>
  </si>
  <si>
    <t>Diseño revisión ajuste entorno laboral x medio APS</t>
  </si>
  <si>
    <t>Construcón lineamientos y documentos técnicos para el ajuste del modelo APS</t>
  </si>
  <si>
    <t>Construción lineamientos y documentos técnicos para el ajuste del modelo APS</t>
  </si>
  <si>
    <t xml:space="preserve">A-.2.2.23.4/1116/0-OI2619/330103000/010034002
</t>
  </si>
  <si>
    <t>A-.2.2.23.4/1116/4-OI2613/330103000/010034002</t>
  </si>
  <si>
    <t>A-.2.2.23.3      1116 0-SP3033 330103000 010027090</t>
  </si>
  <si>
    <t>A-.2.2.15.2     1116   4-O3150  330101000  010019001</t>
  </si>
  <si>
    <t>EJECUCÓN PAS</t>
  </si>
  <si>
    <t xml:space="preserve">Fortalecer los sistemas de respuesta a emergencias y desastres, implementando el Sistema de Emergencias Médicas, como modelo integral que responde de manera oportuna en la atención de urgencias. </t>
  </si>
  <si>
    <t>A 2023, se logrará que el 100% de las entidades territoriales cuenten con sistema de emergencias médicas implementado y auditado</t>
  </si>
  <si>
    <t>A 2023,  lograr el 100% del Cumplimiento de las acciones definidas por el Reglamento Sanitario Internacional</t>
  </si>
  <si>
    <t>A 2023, se logra el 90% de Oportunidad en la respuesta a las solicitudes de servicios de salud en el Centro Regulador de emergencias y desastres y atenciones urgentes y electivas (CRUE y CRAE)</t>
  </si>
  <si>
    <t xml:space="preserve">Contribuir con la implementación del modelo de intervención en salud mental (resiliencia) en articulación con la secretaría de educación. </t>
  </si>
  <si>
    <t xml:space="preserve">Realizar procesos investigativos y recolección de información que permitan la gestión y apropiación social del conocimiento y la generación de estrategias, que impacten el consumo problemático de sustancias psicoactivas y otras adicciones. </t>
  </si>
  <si>
    <t>A 2023 se logrará el diseño metodológico con estrategia enfocada en la reducción del daño y de para población menor de 14 años, elaborado</t>
  </si>
  <si>
    <t xml:space="preserve">A-.2.2.23.2.1    1116 0-OI1010 330103000 010028001 </t>
  </si>
  <si>
    <t>PROPIOS</t>
  </si>
  <si>
    <t>A-.2.2.23.2.4    1116 0-OI1010 330103000 010045001 - Vigilancia Epidemiologica</t>
  </si>
  <si>
    <t>A-.2.4.13.2      1116 4-OI2611 330102000 010046001</t>
  </si>
  <si>
    <t xml:space="preserve">A-.2.4.13.2      1116 0-OI1010 330102000 010046001 </t>
  </si>
  <si>
    <t>A-.2.2.17.2      1116 0-OI1010 330102000 100031002 -</t>
  </si>
  <si>
    <t>Fortalecimiento de la Vigilancia de los efectos en salud y riesgos asociados a causa de la crisis climática y calidad del aire</t>
  </si>
  <si>
    <t>Funcionamiento</t>
  </si>
  <si>
    <t xml:space="preserve">A-.2.4.14        1116 0-OI2611 330103000 010035095 
</t>
  </si>
  <si>
    <r>
      <t xml:space="preserve">A-.2.2.23.4/1116/0-OI2619/330103000/010034002
</t>
    </r>
    <r>
      <rPr>
        <sz val="10"/>
        <color rgb="FFFF0000"/>
        <rFont val="Arial"/>
        <family val="2"/>
      </rPr>
      <t>A-.2.2.23.4/1116/0-OI2619/330103000/010034090</t>
    </r>
  </si>
  <si>
    <t>FINANCIERO</t>
  </si>
  <si>
    <t>Dirección</t>
  </si>
  <si>
    <t>Factores de Riesgo</t>
  </si>
  <si>
    <t>Calidad y Red</t>
  </si>
  <si>
    <t>Atención a las personas</t>
  </si>
  <si>
    <t>Salud Publica</t>
  </si>
  <si>
    <t>GIR</t>
  </si>
  <si>
    <t>Subsecretaria</t>
  </si>
  <si>
    <t>1116 0-OI3150 330103000 010041006 COVID19</t>
  </si>
  <si>
    <t>A-.2.2.17.1      1116 0-OI1010 330102000 100031 - Fortalecimiento y Prevención Salud Mental</t>
  </si>
  <si>
    <t>Pago obligaciones salariales empleados y contratistas (IPS Universitaria)</t>
  </si>
  <si>
    <t xml:space="preserve">A-.2.3.7         1116 0-OI3150 330103000 070056033 </t>
  </si>
  <si>
    <t>Actvidad Etnias</t>
  </si>
  <si>
    <t xml:space="preserve">A-.2.2.22.2      1116 4-OI3150 330301000 010040003 - Etnia Discapacidad Genero Niñez
</t>
  </si>
  <si>
    <t xml:space="preserve">A-.2.4.3         1116 0-OI3142 330103000 010041005 - Ajuste Institucional E.S.E del Departamento 
</t>
  </si>
  <si>
    <t>º</t>
  </si>
  <si>
    <t>A-.2.3.1.2.3     1116 0-PS3031 330103000 070056002 - Urgencias Red Publica
A-.2.3.1.3.3     1116 0-PS3031 330103000 070056004 - Urgencias Red Privada
A-.2.3.1.1.3     1116 5-PS3034 330103000 070056020 - SGP Salud Aportes Patronales</t>
  </si>
  <si>
    <t xml:space="preserve">A-.2.4.13.3      1116 4-OI2620 330201000 070077002 </t>
  </si>
  <si>
    <t>6.935,6 </t>
  </si>
  <si>
    <t xml:space="preserve">Apoyo a la gestión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</si>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</sst>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 #,##0;[Red]\-&quot;$&quot;\ #,##0"/>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_-&quot;$&quot;* #,##0_-;\-&quot;$&quot;* #,##0_-;_-&quot;$&quot;* &quot;-&quot;_-;_-@_-"/>
    <numFmt numFmtId="168" formatCode="_-&quot;$&quot;* #,##0.00_-;\-&quot;$&quot;* #,##0.00_-;_-&quot;$&quot;* &quot;-&quot;??_-;_-@_-"/>
    <numFmt numFmtId="169" formatCode="_(&quot;$&quot;\ * #,##0_);_(&quot;$&quot;\ * \(#,##0\);_(&quot;$&quot;\ * &quot;-&quot;??_);_(@_)"/>
    <numFmt numFmtId="170" formatCode="#,##0.0"/>
    <numFmt numFmtId="171" formatCode="_(* #,##0_);_(* \(#,##0\);_(* &quot;-&quot;??_);_(@_)"/>
    <numFmt numFmtId="172" formatCode="&quot;$&quot;\ #,##0.00"/>
    <numFmt numFmtId="173" formatCode="#,##0.000"/>
    <numFmt numFmtId="174" formatCode="_ &quot;$&quot;\ * #,##0.00_ ;_ &quot;$&quot;\ * \-#,##0.00_ ;_ &quot;$&quot;\ * &quot;-&quot;??_ ;_ @_ "/>
    <numFmt numFmtId="175" formatCode="_ * #,##0_ ;_ * \-#,##0_ ;_ * &quot;-&quot;??_ ;_ @_ "/>
    <numFmt numFmtId="176" formatCode="_(&quot;$&quot;\ * #,##0.0_);_(&quot;$&quot;\ * \(#,##0.0\);_(&quot;$&quot;\ * &quot;-&quot;??_);_(@_)"/>
  </numFmts>
  <fonts count="59"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Calibri"/>
      <family val="2"/>
    </font>
    <font>
      <b/>
      <sz val="11"/>
      <name val="Calibri"/>
      <family val="2"/>
    </font>
    <font>
      <b/>
      <sz val="11"/>
      <color theme="0"/>
      <name val="Calibri"/>
      <family val="2"/>
      <scheme val="minor"/>
    </font>
    <font>
      <sz val="11"/>
      <color rgb="FF000000"/>
      <name val="Calibri"/>
      <family val="2"/>
      <scheme val="minor"/>
    </font>
    <font>
      <sz val="11"/>
      <name val="Calibri"/>
      <family val="2"/>
    </font>
    <font>
      <sz val="11"/>
      <name val="Calibri"/>
      <family val="2"/>
    </font>
    <font>
      <sz val="10"/>
      <color theme="1"/>
      <name val="Arial"/>
      <family val="2"/>
    </font>
    <font>
      <sz val="10"/>
      <name val="Arial"/>
      <family val="2"/>
    </font>
    <font>
      <b/>
      <sz val="9"/>
      <color indexed="81"/>
      <name val="Tahoma"/>
      <family val="2"/>
    </font>
    <font>
      <sz val="9"/>
      <color indexed="81"/>
      <name val="Tahoma"/>
      <family val="2"/>
    </font>
    <font>
      <sz val="11"/>
      <name val="Calibri"/>
      <family val="2"/>
      <scheme val="minor"/>
    </font>
    <font>
      <b/>
      <sz val="11"/>
      <name val="Calibri"/>
      <family val="2"/>
      <scheme val="minor"/>
    </font>
    <font>
      <b/>
      <sz val="10"/>
      <name val="Arial"/>
      <family val="2"/>
    </font>
    <font>
      <b/>
      <sz val="22"/>
      <color theme="4" tint="-0.499984740745262"/>
      <name val="Verdana"/>
      <family val="2"/>
    </font>
    <font>
      <b/>
      <sz val="16"/>
      <color theme="0"/>
      <name val="Verdana"/>
      <family val="2"/>
    </font>
    <font>
      <b/>
      <sz val="11"/>
      <color rgb="FFFF0000"/>
      <name val="Times"/>
    </font>
    <font>
      <b/>
      <sz val="11"/>
      <color theme="4" tint="-0.499984740745262"/>
      <name val="Verdana"/>
      <family val="2"/>
    </font>
    <font>
      <sz val="11"/>
      <color theme="0"/>
      <name val="Times"/>
    </font>
    <font>
      <b/>
      <sz val="11"/>
      <color theme="0"/>
      <name val="Times"/>
    </font>
    <font>
      <sz val="11"/>
      <color theme="1"/>
      <name val="Times"/>
    </font>
    <font>
      <sz val="11"/>
      <color rgb="FF002060"/>
      <name val="Times"/>
    </font>
    <font>
      <b/>
      <sz val="11"/>
      <color rgb="FF002060"/>
      <name val="Times"/>
    </font>
    <font>
      <b/>
      <sz val="10"/>
      <color theme="1"/>
      <name val="Arial"/>
      <family val="2"/>
    </font>
    <font>
      <sz val="18"/>
      <name val="Calibri"/>
      <family val="2"/>
    </font>
    <font>
      <b/>
      <sz val="11"/>
      <color theme="0"/>
      <name val="Calibri"/>
      <family val="2"/>
    </font>
    <font>
      <sz val="11"/>
      <color theme="0"/>
      <name val="Calibri"/>
      <family val="2"/>
    </font>
    <font>
      <sz val="11"/>
      <name val="Calibri"/>
      <family val="2"/>
    </font>
    <font>
      <sz val="10"/>
      <name val="MS Sans Serif"/>
      <family val="2"/>
    </font>
    <font>
      <sz val="11"/>
      <color rgb="FFFF0000"/>
      <name val="Calibri"/>
      <family val="2"/>
      <scheme val="minor"/>
    </font>
    <font>
      <b/>
      <sz val="11"/>
      <color theme="1"/>
      <name val="Calibri"/>
      <family val="2"/>
      <scheme val="minor"/>
    </font>
    <font>
      <sz val="11"/>
      <color theme="1"/>
      <name val="Arial"/>
      <family val="2"/>
    </font>
    <font>
      <sz val="10"/>
      <color theme="1"/>
      <name val="Calibri"/>
      <family val="2"/>
      <scheme val="minor"/>
    </font>
    <font>
      <b/>
      <sz val="12"/>
      <color indexed="81"/>
      <name val="Tahoma"/>
      <family val="2"/>
    </font>
    <font>
      <sz val="11"/>
      <name val="Arial"/>
      <family val="2"/>
    </font>
    <font>
      <sz val="14"/>
      <color theme="1"/>
      <name val="Calibri"/>
      <family val="2"/>
      <scheme val="minor"/>
    </font>
    <font>
      <sz val="10"/>
      <name val="Calibri"/>
      <family val="2"/>
      <scheme val="minor"/>
    </font>
    <font>
      <sz val="11"/>
      <name val="Calibri"/>
      <family val="2"/>
    </font>
    <font>
      <b/>
      <sz val="11"/>
      <color rgb="FF555555"/>
      <name val="Segoe UI"/>
      <family val="2"/>
    </font>
    <font>
      <b/>
      <sz val="10"/>
      <color theme="1"/>
      <name val="Arial"/>
      <family val="2"/>
    </font>
    <font>
      <sz val="10"/>
      <color rgb="FFFF0000"/>
      <name val="Arial"/>
      <family val="2"/>
    </font>
  </fonts>
  <fills count="23">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00AAC9"/>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0"/>
      </patternFill>
    </fill>
    <fill>
      <patternFill patternType="solid">
        <fgColor theme="0"/>
        <bgColor theme="4" tint="0.79998168889431442"/>
      </patternFill>
    </fill>
    <fill>
      <patternFill patternType="solid">
        <fgColor theme="5" tint="0.39997558519241921"/>
        <bgColor indexed="64"/>
      </patternFill>
    </fill>
    <fill>
      <patternFill patternType="solid">
        <fgColor rgb="FFECEEEF"/>
      </patternFill>
    </fill>
    <fill>
      <patternFill patternType="solid">
        <fgColor theme="8" tint="0.39997558519241921"/>
        <bgColor indexed="64"/>
      </patternFill>
    </fill>
    <fill>
      <patternFill patternType="solid">
        <fgColor theme="4" tint="0.39997558519241921"/>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rgb="FF969696"/>
      </left>
      <right style="thin">
        <color rgb="FF969696"/>
      </right>
      <top style="thin">
        <color rgb="FF969696"/>
      </top>
      <bottom style="thin">
        <color rgb="FF969696"/>
      </bottom>
      <diagonal/>
    </border>
    <border>
      <left style="thin">
        <color indexed="64"/>
      </left>
      <right style="thin">
        <color indexed="64"/>
      </right>
      <top style="thin">
        <color rgb="FF969696"/>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61">
    <xf numFmtId="0" fontId="0" fillId="0" borderId="0"/>
    <xf numFmtId="166" fontId="24"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0" fontId="26" fillId="0" borderId="0"/>
    <xf numFmtId="0" fontId="26" fillId="0" borderId="0"/>
    <xf numFmtId="167" fontId="45" fillId="0" borderId="0" applyFont="0" applyFill="0" applyBorder="0" applyAlignment="0" applyProtection="0"/>
    <xf numFmtId="0" fontId="26" fillId="0" borderId="0"/>
    <xf numFmtId="166" fontId="18"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0" fontId="17" fillId="0" borderId="0"/>
    <xf numFmtId="9" fontId="26" fillId="0" borderId="0" applyFont="0" applyFill="0" applyBorder="0" applyAlignment="0" applyProtection="0"/>
    <xf numFmtId="9" fontId="26"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173" fontId="26" fillId="0" borderId="0" applyFont="0" applyFill="0" applyBorder="0" applyAlignment="0" applyProtection="0"/>
    <xf numFmtId="40" fontId="46" fillId="0" borderId="0" applyFont="0" applyFill="0" applyBorder="0" applyAlignment="0" applyProtection="0"/>
    <xf numFmtId="165" fontId="26" fillId="0" borderId="0" applyFont="0" applyFill="0" applyBorder="0" applyAlignment="0" applyProtection="0"/>
    <xf numFmtId="174" fontId="26" fillId="0" borderId="0" applyFont="0" applyFill="0" applyBorder="0" applyAlignment="0" applyProtection="0"/>
    <xf numFmtId="168" fontId="17" fillId="0" borderId="0" applyFont="0" applyFill="0" applyBorder="0" applyAlignment="0" applyProtection="0"/>
    <xf numFmtId="0" fontId="46" fillId="0" borderId="0"/>
    <xf numFmtId="0" fontId="26" fillId="0" borderId="0"/>
    <xf numFmtId="0" fontId="26" fillId="0" borderId="0"/>
    <xf numFmtId="0" fontId="17" fillId="0" borderId="0"/>
    <xf numFmtId="0" fontId="17" fillId="0" borderId="0"/>
    <xf numFmtId="0" fontId="17" fillId="0" borderId="0"/>
    <xf numFmtId="0" fontId="26" fillId="0" borderId="0"/>
    <xf numFmtId="0" fontId="46" fillId="0" borderId="0"/>
    <xf numFmtId="43" fontId="17" fillId="0" borderId="0" applyFont="0" applyFill="0" applyBorder="0" applyAlignment="0" applyProtection="0"/>
    <xf numFmtId="0" fontId="16" fillId="0" borderId="0"/>
    <xf numFmtId="41" fontId="16" fillId="0" borderId="0" applyFont="0" applyFill="0" applyBorder="0" applyAlignment="0" applyProtection="0"/>
    <xf numFmtId="44" fontId="16" fillId="0" borderId="0" applyFont="0" applyFill="0" applyBorder="0" applyAlignment="0" applyProtection="0"/>
    <xf numFmtId="0" fontId="23" fillId="0" borderId="0"/>
    <xf numFmtId="166"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7" fontId="23" fillId="0" borderId="0" applyFont="0" applyFill="0" applyBorder="0" applyAlignment="0" applyProtection="0"/>
    <xf numFmtId="166" fontId="13" fillId="0" borderId="0" applyFont="0" applyFill="0" applyBorder="0" applyAlignment="0" applyProtection="0"/>
    <xf numFmtId="44" fontId="13" fillId="0" borderId="0" applyFont="0" applyFill="0" applyBorder="0" applyAlignment="0" applyProtection="0"/>
    <xf numFmtId="0" fontId="13" fillId="0" borderId="0"/>
    <xf numFmtId="165" fontId="13" fillId="0" borderId="0" applyFont="0" applyFill="0" applyBorder="0" applyAlignment="0" applyProtection="0"/>
    <xf numFmtId="166" fontId="13" fillId="0" borderId="0" applyFont="0" applyFill="0" applyBorder="0" applyAlignment="0" applyProtection="0"/>
    <xf numFmtId="9" fontId="55" fillId="0" borderId="0" applyFont="0" applyFill="0" applyBorder="0" applyAlignment="0" applyProtection="0"/>
    <xf numFmtId="0" fontId="26" fillId="0" borderId="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cellStyleXfs>
  <cellXfs count="953">
    <xf numFmtId="0" fontId="0" fillId="0" borderId="0" xfId="0" applyNumberFormat="1" applyFont="1"/>
    <xf numFmtId="0" fontId="0" fillId="0" borderId="0" xfId="0" applyNumberFormat="1" applyFont="1"/>
    <xf numFmtId="0" fontId="0" fillId="0" borderId="0" xfId="0" applyNumberFormat="1" applyFont="1" applyAlignment="1">
      <alignment vertical="center" wrapText="1"/>
    </xf>
    <xf numFmtId="0" fontId="21" fillId="2" borderId="1" xfId="0" applyFont="1" applyFill="1" applyBorder="1" applyAlignment="1">
      <alignment horizontal="center"/>
    </xf>
    <xf numFmtId="0" fontId="0" fillId="0" borderId="1" xfId="0" applyBorder="1" applyAlignment="1">
      <alignment horizontal="center"/>
    </xf>
    <xf numFmtId="0" fontId="0" fillId="0" borderId="1" xfId="0" applyFont="1" applyFill="1" applyBorder="1" applyAlignment="1">
      <alignment horizontal="left" wrapText="1"/>
    </xf>
    <xf numFmtId="0" fontId="0" fillId="0" borderId="1" xfId="0" applyNumberFormat="1" applyBorder="1" applyAlignment="1">
      <alignment horizontal="left"/>
    </xf>
    <xf numFmtId="0" fontId="0" fillId="0" borderId="1" xfId="0" applyFont="1" applyFill="1" applyBorder="1" applyAlignment="1">
      <alignment horizontal="center" wrapText="1"/>
    </xf>
    <xf numFmtId="0" fontId="22" fillId="0" borderId="1" xfId="0" applyFont="1" applyBorder="1" applyAlignment="1">
      <alignment vertical="center"/>
    </xf>
    <xf numFmtId="0" fontId="0" fillId="0" borderId="1" xfId="0" applyBorder="1"/>
    <xf numFmtId="0" fontId="21"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xf>
    <xf numFmtId="0" fontId="0" fillId="3" borderId="1" xfId="0" applyNumberFormat="1" applyFont="1" applyFill="1" applyBorder="1"/>
    <xf numFmtId="0" fontId="23" fillId="3" borderId="1" xfId="0" applyNumberFormat="1" applyFont="1" applyFill="1" applyBorder="1"/>
    <xf numFmtId="0" fontId="0" fillId="3" borderId="1" xfId="0" applyNumberFormat="1" applyFont="1" applyFill="1" applyBorder="1" applyAlignment="1">
      <alignment wrapText="1"/>
    </xf>
    <xf numFmtId="0" fontId="25" fillId="3" borderId="0" xfId="0" applyFont="1" applyFill="1" applyBorder="1"/>
    <xf numFmtId="0" fontId="0" fillId="0" borderId="0" xfId="0"/>
    <xf numFmtId="0" fontId="25" fillId="3" borderId="0" xfId="0" applyFont="1" applyFill="1"/>
    <xf numFmtId="0" fontId="34" fillId="0" borderId="0" xfId="0" applyFont="1" applyFill="1" applyAlignment="1">
      <alignment horizontal="justify" vertical="top"/>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6" fillId="0" borderId="0" xfId="0" applyFont="1" applyFill="1" applyAlignment="1">
      <alignment horizontal="justify" vertical="top" wrapText="1"/>
    </xf>
    <xf numFmtId="0" fontId="37" fillId="5" borderId="7"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8" fillId="0" borderId="0" xfId="0" applyFont="1" applyFill="1" applyAlignment="1">
      <alignment horizontal="justify" vertical="top" wrapText="1"/>
    </xf>
    <xf numFmtId="0" fontId="39" fillId="0" borderId="10" xfId="0" applyFont="1" applyFill="1" applyBorder="1" applyAlignment="1">
      <alignment horizontal="left" vertical="center" wrapText="1"/>
    </xf>
    <xf numFmtId="0" fontId="39" fillId="0" borderId="11" xfId="0" applyFont="1" applyBorder="1" applyAlignment="1">
      <alignment horizontal="left" vertical="center" wrapText="1"/>
    </xf>
    <xf numFmtId="0" fontId="39" fillId="0" borderId="11" xfId="0" applyFont="1" applyFill="1" applyBorder="1" applyAlignment="1">
      <alignment horizontal="left" vertical="center" wrapText="1"/>
    </xf>
    <xf numFmtId="1" fontId="39" fillId="0" borderId="1" xfId="0" applyNumberFormat="1" applyFont="1" applyBorder="1" applyAlignment="1">
      <alignment horizontal="left" vertical="center" wrapText="1"/>
    </xf>
    <xf numFmtId="0" fontId="39" fillId="6" borderId="1" xfId="0" applyFont="1" applyFill="1" applyBorder="1" applyAlignment="1" applyProtection="1">
      <alignment horizontal="left" vertical="center" wrapText="1"/>
    </xf>
    <xf numFmtId="0" fontId="39" fillId="0" borderId="12"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Fill="1" applyBorder="1" applyAlignment="1">
      <alignment horizontal="left" vertical="center" wrapText="1"/>
    </xf>
    <xf numFmtId="0" fontId="39" fillId="0" borderId="14" xfId="0" applyFont="1" applyFill="1" applyBorder="1" applyAlignment="1">
      <alignment horizontal="left" vertical="center" wrapText="1"/>
    </xf>
    <xf numFmtId="0" fontId="39" fillId="0" borderId="1" xfId="0" applyFont="1" applyBorder="1" applyAlignment="1" applyProtection="1">
      <alignment horizontal="left" vertical="center" wrapText="1"/>
    </xf>
    <xf numFmtId="0" fontId="39" fillId="0" borderId="1" xfId="0" applyFont="1" applyFill="1" applyBorder="1" applyAlignment="1" applyProtection="1">
      <alignment horizontal="left" vertical="center" wrapText="1"/>
    </xf>
    <xf numFmtId="0" fontId="39" fillId="3" borderId="1" xfId="0" applyFont="1" applyFill="1" applyBorder="1" applyAlignment="1">
      <alignment horizontal="left" vertical="center" wrapText="1"/>
    </xf>
    <xf numFmtId="0" fontId="39" fillId="0" borderId="13" xfId="0" applyFont="1" applyFill="1" applyBorder="1" applyAlignment="1" applyProtection="1">
      <alignment horizontal="left" vertical="center" wrapText="1"/>
    </xf>
    <xf numFmtId="0" fontId="39" fillId="6" borderId="1" xfId="0" applyFont="1" applyFill="1" applyBorder="1" applyAlignment="1">
      <alignment horizontal="left" vertical="center" wrapText="1"/>
    </xf>
    <xf numFmtId="0" fontId="40" fillId="0" borderId="1" xfId="0" applyFont="1" applyBorder="1" applyAlignment="1">
      <alignment horizontal="left" vertical="center" wrapText="1"/>
    </xf>
    <xf numFmtId="0" fontId="39" fillId="0" borderId="15" xfId="0" applyFont="1" applyFill="1" applyBorder="1" applyAlignment="1">
      <alignment horizontal="left" vertical="center" wrapText="1"/>
    </xf>
    <xf numFmtId="0" fontId="39" fillId="0" borderId="16" xfId="0" applyFont="1" applyBorder="1" applyAlignment="1">
      <alignment horizontal="left" vertical="center" wrapText="1"/>
    </xf>
    <xf numFmtId="0" fontId="39" fillId="0" borderId="16" xfId="0" applyFont="1" applyFill="1" applyBorder="1" applyAlignment="1">
      <alignment horizontal="left" vertical="center" wrapText="1"/>
    </xf>
    <xf numFmtId="0" fontId="39" fillId="0" borderId="17" xfId="0" applyFont="1" applyFill="1" applyBorder="1" applyAlignment="1">
      <alignment horizontal="left" vertical="center" wrapText="1"/>
    </xf>
    <xf numFmtId="0" fontId="38" fillId="0" borderId="0" xfId="0" applyFont="1" applyAlignment="1">
      <alignment horizontal="justify" vertical="top" wrapText="1"/>
    </xf>
    <xf numFmtId="0" fontId="38" fillId="0" borderId="0" xfId="0" applyFont="1" applyAlignment="1">
      <alignment vertical="top" wrapText="1"/>
    </xf>
    <xf numFmtId="0" fontId="38" fillId="0" borderId="0" xfId="0" applyFont="1" applyAlignment="1">
      <alignment horizontal="center" vertical="top" wrapText="1"/>
    </xf>
    <xf numFmtId="172" fontId="39" fillId="0" borderId="1" xfId="0" applyNumberFormat="1" applyFont="1" applyBorder="1" applyAlignment="1">
      <alignment horizontal="left" vertical="center" wrapText="1"/>
    </xf>
    <xf numFmtId="0" fontId="39" fillId="0" borderId="18" xfId="0" applyFont="1" applyFill="1" applyBorder="1" applyAlignment="1">
      <alignment horizontal="left" vertical="center" wrapText="1"/>
    </xf>
    <xf numFmtId="0" fontId="39" fillId="0" borderId="19" xfId="0" applyFont="1" applyFill="1" applyBorder="1" applyAlignment="1">
      <alignment horizontal="left" vertical="center" wrapText="1"/>
    </xf>
    <xf numFmtId="0" fontId="39" fillId="0" borderId="0" xfId="0" applyFont="1" applyFill="1" applyBorder="1" applyAlignment="1">
      <alignment horizontal="left" vertical="center" wrapText="1"/>
    </xf>
    <xf numFmtId="3" fontId="38" fillId="0" borderId="0" xfId="0" applyNumberFormat="1" applyFont="1" applyFill="1" applyAlignment="1">
      <alignment horizontal="justify" vertical="top" wrapText="1"/>
    </xf>
    <xf numFmtId="0" fontId="0" fillId="3" borderId="1" xfId="0" applyNumberFormat="1" applyFont="1" applyFill="1" applyBorder="1" applyAlignment="1">
      <alignment horizontal="center" vertical="center"/>
    </xf>
    <xf numFmtId="0" fontId="0" fillId="3" borderId="0" xfId="0" applyNumberFormat="1" applyFont="1" applyFill="1"/>
    <xf numFmtId="1" fontId="39" fillId="0" borderId="1" xfId="0" applyNumberFormat="1" applyFont="1" applyBorder="1" applyAlignment="1">
      <alignment horizontal="center" vertical="center" wrapText="1"/>
    </xf>
    <xf numFmtId="0" fontId="19" fillId="3" borderId="0" xfId="0" applyNumberFormat="1" applyFont="1" applyFill="1" applyAlignment="1">
      <alignment horizontal="left" vertical="center" wrapText="1" indent="50"/>
    </xf>
    <xf numFmtId="0" fontId="0" fillId="3" borderId="0" xfId="0" applyNumberFormat="1" applyFont="1" applyFill="1" applyAlignment="1">
      <alignment horizontal="center" vertical="center"/>
    </xf>
    <xf numFmtId="0" fontId="0" fillId="3" borderId="0" xfId="0" applyNumberFormat="1" applyFont="1" applyFill="1"/>
    <xf numFmtId="0" fontId="0" fillId="3" borderId="0" xfId="0" applyNumberFormat="1" applyFont="1" applyFill="1" applyAlignment="1">
      <alignment horizontal="left" vertical="center" wrapText="1"/>
    </xf>
    <xf numFmtId="0" fontId="20" fillId="3" borderId="0" xfId="0" applyNumberFormat="1" applyFont="1" applyFill="1" applyAlignment="1"/>
    <xf numFmtId="0" fontId="19" fillId="3" borderId="0" xfId="0" applyNumberFormat="1" applyFont="1" applyFill="1" applyAlignment="1">
      <alignment indent="50"/>
    </xf>
    <xf numFmtId="0" fontId="0" fillId="3" borderId="0" xfId="0" applyNumberFormat="1" applyFont="1" applyFill="1" applyAlignment="1">
      <alignment vertical="center" wrapText="1"/>
    </xf>
    <xf numFmtId="0" fontId="19" fillId="3" borderId="0" xfId="0" applyNumberFormat="1" applyFont="1" applyFill="1" applyAlignment="1">
      <alignment horizontal="left" indent="50"/>
    </xf>
    <xf numFmtId="0" fontId="20" fillId="7" borderId="1" xfId="0" applyNumberFormat="1" applyFont="1" applyFill="1" applyBorder="1" applyAlignment="1">
      <alignment horizontal="center" vertical="center" wrapText="1"/>
    </xf>
    <xf numFmtId="0" fontId="0" fillId="3" borderId="0" xfId="0" applyNumberFormat="1" applyFont="1" applyFill="1" applyAlignment="1">
      <alignment horizontal="center" vertical="center" wrapText="1"/>
    </xf>
    <xf numFmtId="3" fontId="0" fillId="3" borderId="1" xfId="0" applyNumberFormat="1" applyFont="1" applyFill="1" applyBorder="1"/>
    <xf numFmtId="0" fontId="0" fillId="3" borderId="1" xfId="0" applyNumberFormat="1" applyFont="1" applyFill="1" applyBorder="1" applyAlignment="1">
      <alignment horizontal="center" vertical="center"/>
    </xf>
    <xf numFmtId="0" fontId="42" fillId="3" borderId="1" xfId="0" applyNumberFormat="1" applyFont="1" applyFill="1" applyBorder="1"/>
    <xf numFmtId="3" fontId="31" fillId="3" borderId="1" xfId="0" applyNumberFormat="1" applyFont="1" applyFill="1" applyBorder="1" applyAlignment="1">
      <alignment vertical="center"/>
    </xf>
    <xf numFmtId="3" fontId="41" fillId="8" borderId="1" xfId="0" applyNumberFormat="1" applyFont="1" applyFill="1" applyBorder="1" applyAlignment="1">
      <alignment vertical="center"/>
    </xf>
    <xf numFmtId="0" fontId="0" fillId="3" borderId="0" xfId="0" applyNumberFormat="1" applyFont="1" applyFill="1"/>
    <xf numFmtId="0" fontId="0" fillId="3" borderId="0" xfId="0" applyNumberFormat="1" applyFont="1" applyFill="1" applyAlignment="1">
      <alignment wrapText="1"/>
    </xf>
    <xf numFmtId="0" fontId="0" fillId="3" borderId="0" xfId="0" applyNumberFormat="1" applyFont="1" applyFill="1"/>
    <xf numFmtId="0" fontId="0" fillId="3" borderId="0" xfId="0" applyNumberFormat="1" applyFont="1" applyFill="1" applyAlignment="1">
      <alignment vertical="center"/>
    </xf>
    <xf numFmtId="0" fontId="19" fillId="3" borderId="0" xfId="0" applyNumberFormat="1" applyFont="1" applyFill="1" applyAlignment="1">
      <alignment indent="50"/>
    </xf>
    <xf numFmtId="0" fontId="19" fillId="3" borderId="0" xfId="0" applyNumberFormat="1" applyFont="1" applyFill="1" applyAlignment="1">
      <alignment horizontal="left" vertical="center" wrapText="1" indent="50"/>
    </xf>
    <xf numFmtId="0" fontId="0" fillId="3" borderId="0" xfId="0" applyNumberFormat="1" applyFont="1" applyFill="1" applyAlignment="1">
      <alignment horizontal="left" vertical="center" wrapText="1"/>
    </xf>
    <xf numFmtId="0" fontId="0" fillId="3" borderId="0" xfId="0" applyNumberFormat="1" applyFont="1" applyFill="1"/>
    <xf numFmtId="0" fontId="20" fillId="3" borderId="0" xfId="0" applyNumberFormat="1" applyFont="1" applyFill="1" applyAlignment="1">
      <alignment horizontal="left" vertical="center" wrapText="1"/>
    </xf>
    <xf numFmtId="3" fontId="19" fillId="3" borderId="1" xfId="0" applyNumberFormat="1" applyFont="1" applyFill="1" applyBorder="1"/>
    <xf numFmtId="0" fontId="0" fillId="3" borderId="0" xfId="0" applyNumberFormat="1" applyFont="1" applyFill="1" applyBorder="1"/>
    <xf numFmtId="0" fontId="19" fillId="3" borderId="0" xfId="0" applyNumberFormat="1" applyFont="1" applyFill="1" applyBorder="1" applyAlignment="1">
      <alignment horizontal="center" vertical="center"/>
    </xf>
    <xf numFmtId="0" fontId="19" fillId="0" borderId="0" xfId="0" applyNumberFormat="1" applyFont="1" applyAlignment="1">
      <alignment horizontal="left" vertical="center" wrapText="1" indent="50"/>
    </xf>
    <xf numFmtId="0" fontId="44" fillId="0" borderId="0" xfId="0" applyNumberFormat="1" applyFont="1"/>
    <xf numFmtId="0" fontId="0" fillId="0" borderId="0" xfId="0" applyNumberFormat="1" applyFont="1" applyAlignment="1">
      <alignment horizontal="center"/>
    </xf>
    <xf numFmtId="0" fontId="44" fillId="0" borderId="0" xfId="0" applyNumberFormat="1" applyFont="1" applyAlignment="1">
      <alignment horizontal="center"/>
    </xf>
    <xf numFmtId="0" fontId="0" fillId="0" borderId="0" xfId="0" applyNumberFormat="1" applyFont="1" applyAlignment="1">
      <alignment horizontal="left" vertical="center" wrapText="1"/>
    </xf>
    <xf numFmtId="0" fontId="19" fillId="0" borderId="0" xfId="0" applyNumberFormat="1" applyFont="1"/>
    <xf numFmtId="0" fontId="19" fillId="0" borderId="0" xfId="0" applyNumberFormat="1" applyFont="1" applyAlignment="1">
      <alignment indent="50"/>
    </xf>
    <xf numFmtId="0" fontId="19" fillId="0" borderId="0" xfId="0" applyNumberFormat="1" applyFont="1" applyAlignment="1"/>
    <xf numFmtId="0" fontId="19" fillId="0" borderId="0" xfId="0" applyNumberFormat="1" applyFont="1" applyAlignment="1">
      <alignment horizontal="left" indent="50"/>
    </xf>
    <xf numFmtId="0" fontId="19" fillId="0" borderId="0" xfId="0" applyNumberFormat="1" applyFont="1" applyAlignment="1">
      <alignment vertical="center" wrapText="1"/>
    </xf>
    <xf numFmtId="0" fontId="43" fillId="0" borderId="0" xfId="0" applyNumberFormat="1" applyFont="1" applyAlignment="1">
      <alignment vertical="center" wrapText="1"/>
    </xf>
    <xf numFmtId="0" fontId="19" fillId="0" borderId="0" xfId="0" applyNumberFormat="1" applyFont="1" applyAlignment="1">
      <alignment horizontal="center" vertical="center" wrapText="1"/>
    </xf>
    <xf numFmtId="0" fontId="43" fillId="0" borderId="0" xfId="0" applyNumberFormat="1" applyFont="1" applyAlignment="1">
      <alignment horizontal="center" vertical="center" wrapText="1"/>
    </xf>
    <xf numFmtId="0" fontId="0" fillId="3" borderId="0" xfId="0" applyNumberFormat="1" applyFont="1" applyFill="1" applyAlignment="1">
      <alignment horizontal="center" vertical="center"/>
    </xf>
    <xf numFmtId="0" fontId="0" fillId="0" borderId="1" xfId="0" applyBorder="1" applyAlignment="1">
      <alignment wrapText="1"/>
    </xf>
    <xf numFmtId="49" fontId="29" fillId="3" borderId="1" xfId="0" applyNumberFormat="1"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protection locked="0"/>
    </xf>
    <xf numFmtId="0" fontId="29" fillId="3" borderId="1" xfId="4" applyFont="1" applyFill="1" applyBorder="1" applyAlignment="1" applyProtection="1">
      <alignment horizontal="center" vertical="center" wrapText="1"/>
      <protection locked="0"/>
    </xf>
    <xf numFmtId="0" fontId="29" fillId="3" borderId="1" xfId="0" applyNumberFormat="1" applyFont="1" applyFill="1" applyBorder="1" applyAlignment="1" applyProtection="1">
      <alignment horizontal="center" vertical="center" wrapText="1"/>
      <protection locked="0"/>
    </xf>
    <xf numFmtId="3" fontId="48" fillId="14" borderId="1" xfId="0" applyNumberFormat="1" applyFont="1" applyFill="1" applyBorder="1" applyAlignment="1">
      <alignment vertical="center"/>
    </xf>
    <xf numFmtId="0" fontId="30" fillId="7" borderId="1" xfId="0" applyNumberFormat="1" applyFont="1" applyFill="1" applyBorder="1" applyAlignment="1">
      <alignment horizontal="center" vertical="center" wrapText="1"/>
    </xf>
    <xf numFmtId="0" fontId="30" fillId="3" borderId="1" xfId="0" applyNumberFormat="1" applyFont="1" applyFill="1" applyBorder="1" applyAlignment="1">
      <alignment horizontal="center" vertical="center" wrapText="1"/>
    </xf>
    <xf numFmtId="0" fontId="30" fillId="10" borderId="1" xfId="0" applyNumberFormat="1" applyFont="1" applyFill="1" applyBorder="1" applyAlignment="1" applyProtection="1">
      <alignment horizontal="center" vertical="center" wrapText="1"/>
    </xf>
    <xf numFmtId="0" fontId="30" fillId="10" borderId="1" xfId="0" applyNumberFormat="1" applyFont="1" applyFill="1" applyBorder="1" applyAlignment="1">
      <alignment horizontal="center" vertical="center" wrapText="1"/>
    </xf>
    <xf numFmtId="0" fontId="29" fillId="3" borderId="1" xfId="0" applyNumberFormat="1" applyFont="1" applyFill="1" applyBorder="1" applyAlignment="1">
      <alignment horizontal="center" vertical="center" wrapText="1"/>
    </xf>
    <xf numFmtId="169" fontId="16" fillId="3" borderId="1" xfId="2" applyNumberFormat="1" applyFont="1" applyFill="1" applyBorder="1" applyAlignment="1" applyProtection="1">
      <alignment horizontal="center" vertical="center"/>
    </xf>
    <xf numFmtId="0" fontId="29" fillId="3" borderId="1" xfId="0" applyNumberFormat="1" applyFont="1" applyFill="1" applyBorder="1" applyAlignment="1">
      <alignment horizontal="center" vertical="center"/>
    </xf>
    <xf numFmtId="3" fontId="29" fillId="12" borderId="1" xfId="4" applyNumberFormat="1" applyFont="1" applyFill="1" applyBorder="1" applyAlignment="1" applyProtection="1">
      <alignment vertical="center" wrapText="1"/>
      <protection locked="0"/>
    </xf>
    <xf numFmtId="0" fontId="29" fillId="3" borderId="1" xfId="0" applyNumberFormat="1" applyFont="1" applyFill="1" applyBorder="1"/>
    <xf numFmtId="0" fontId="29" fillId="3" borderId="1" xfId="0" applyNumberFormat="1" applyFont="1" applyFill="1" applyBorder="1" applyAlignment="1">
      <alignment vertical="center" wrapText="1"/>
    </xf>
    <xf numFmtId="169" fontId="16" fillId="3" borderId="1" xfId="2" applyNumberFormat="1" applyFont="1" applyFill="1" applyBorder="1" applyAlignment="1">
      <alignment horizontal="center" vertical="center" wrapText="1"/>
    </xf>
    <xf numFmtId="0" fontId="29" fillId="3" borderId="1" xfId="0" applyNumberFormat="1" applyFont="1" applyFill="1" applyBorder="1" applyAlignment="1">
      <alignment horizontal="left" vertical="center" wrapText="1"/>
    </xf>
    <xf numFmtId="1" fontId="29" fillId="3" borderId="1" xfId="4" applyNumberFormat="1" applyFont="1" applyFill="1" applyBorder="1" applyAlignment="1" applyProtection="1">
      <alignment horizontal="center" vertical="center" wrapText="1"/>
      <protection locked="0"/>
    </xf>
    <xf numFmtId="0" fontId="29" fillId="0" borderId="1" xfId="0" applyNumberFormat="1" applyFont="1" applyBorder="1" applyAlignment="1">
      <alignment vertical="center" wrapText="1"/>
    </xf>
    <xf numFmtId="167" fontId="29" fillId="12" borderId="1" xfId="6" applyFont="1" applyFill="1" applyBorder="1" applyAlignment="1">
      <alignment horizontal="center" vertical="center" wrapText="1"/>
    </xf>
    <xf numFmtId="3" fontId="30" fillId="3" borderId="1" xfId="0" applyNumberFormat="1" applyFont="1" applyFill="1" applyBorder="1"/>
    <xf numFmtId="1" fontId="29" fillId="3" borderId="1" xfId="0" applyNumberFormat="1" applyFont="1" applyFill="1" applyBorder="1" applyAlignment="1" applyProtection="1">
      <alignment horizontal="center" vertical="center" wrapText="1"/>
      <protection locked="0"/>
    </xf>
    <xf numFmtId="169" fontId="16" fillId="3" borderId="1" xfId="2" applyNumberFormat="1" applyFont="1" applyFill="1" applyBorder="1" applyAlignment="1" applyProtection="1">
      <alignment horizontal="center" vertical="center" wrapText="1"/>
    </xf>
    <xf numFmtId="169" fontId="16" fillId="13" borderId="1" xfId="2" applyNumberFormat="1" applyFont="1" applyFill="1" applyBorder="1" applyAlignment="1" applyProtection="1">
      <alignment horizontal="center" vertical="center" wrapText="1"/>
      <protection locked="0"/>
    </xf>
    <xf numFmtId="169" fontId="29" fillId="3" borderId="1" xfId="2" applyNumberFormat="1" applyFont="1" applyFill="1" applyBorder="1" applyAlignment="1" applyProtection="1">
      <alignment vertical="center" wrapText="1"/>
      <protection locked="0"/>
    </xf>
    <xf numFmtId="165" fontId="29" fillId="3" borderId="1" xfId="2" applyFont="1" applyFill="1" applyBorder="1" applyAlignment="1" applyProtection="1">
      <alignment horizontal="justify" vertical="center" wrapText="1"/>
      <protection locked="0"/>
    </xf>
    <xf numFmtId="169" fontId="29" fillId="3" borderId="1" xfId="2" applyNumberFormat="1" applyFont="1" applyFill="1" applyBorder="1" applyAlignment="1" applyProtection="1">
      <alignment horizontal="center" vertical="center"/>
      <protection locked="0"/>
    </xf>
    <xf numFmtId="169" fontId="16" fillId="3" borderId="1" xfId="0" applyNumberFormat="1" applyFont="1" applyFill="1" applyBorder="1" applyAlignment="1" applyProtection="1">
      <alignment horizontal="center" vertical="center" wrapText="1"/>
      <protection locked="0"/>
    </xf>
    <xf numFmtId="169" fontId="29" fillId="3" borderId="1" xfId="2" applyNumberFormat="1" applyFont="1" applyFill="1" applyBorder="1" applyAlignment="1" applyProtection="1">
      <alignment horizontal="center" vertical="center" wrapText="1"/>
    </xf>
    <xf numFmtId="169" fontId="29" fillId="13" borderId="1" xfId="0" applyNumberFormat="1" applyFont="1" applyFill="1" applyBorder="1" applyAlignment="1" applyProtection="1">
      <alignment horizontal="center" vertical="center" wrapText="1"/>
      <protection locked="0"/>
    </xf>
    <xf numFmtId="169" fontId="16" fillId="3" borderId="1" xfId="2" applyNumberFormat="1" applyFont="1" applyFill="1" applyBorder="1" applyAlignment="1" applyProtection="1">
      <alignment vertical="center" wrapText="1"/>
    </xf>
    <xf numFmtId="1" fontId="16" fillId="3" borderId="1" xfId="2" applyNumberFormat="1" applyFont="1" applyFill="1" applyBorder="1" applyAlignment="1" applyProtection="1">
      <alignment horizontal="center" vertical="center" wrapText="1"/>
      <protection locked="0"/>
    </xf>
    <xf numFmtId="3" fontId="16" fillId="3" borderId="1" xfId="0" applyNumberFormat="1" applyFont="1" applyFill="1" applyBorder="1" applyAlignment="1">
      <alignment horizontal="center" vertical="center"/>
    </xf>
    <xf numFmtId="2" fontId="29" fillId="3" borderId="1" xfId="0" applyNumberFormat="1" applyFont="1" applyFill="1" applyBorder="1" applyAlignment="1" applyProtection="1">
      <alignment horizontal="center" vertical="center" wrapText="1"/>
      <protection locked="0"/>
    </xf>
    <xf numFmtId="0" fontId="29" fillId="3" borderId="1" xfId="33" applyFont="1" applyFill="1" applyBorder="1" applyAlignment="1" applyProtection="1">
      <alignment horizontal="left" vertical="center" wrapText="1"/>
      <protection locked="0"/>
    </xf>
    <xf numFmtId="1" fontId="29" fillId="3" borderId="1" xfId="2" applyNumberFormat="1" applyFont="1" applyFill="1" applyBorder="1" applyAlignment="1" applyProtection="1">
      <alignment horizontal="center" vertical="center" wrapText="1"/>
      <protection locked="0"/>
    </xf>
    <xf numFmtId="37" fontId="16" fillId="3" borderId="1" xfId="0" applyNumberFormat="1" applyFont="1" applyFill="1" applyBorder="1" applyAlignment="1" applyProtection="1">
      <alignment vertical="center" wrapText="1"/>
      <protection locked="0"/>
    </xf>
    <xf numFmtId="0" fontId="29" fillId="3" borderId="1" xfId="5" applyFont="1" applyFill="1" applyBorder="1" applyAlignment="1">
      <alignment horizontal="center" vertical="center" wrapText="1"/>
    </xf>
    <xf numFmtId="169" fontId="29" fillId="3" borderId="1" xfId="9" applyNumberFormat="1" applyFont="1" applyFill="1" applyBorder="1" applyAlignment="1" applyProtection="1">
      <alignment vertical="center" wrapText="1"/>
      <protection locked="0"/>
    </xf>
    <xf numFmtId="0" fontId="29" fillId="3" borderId="1" xfId="9" applyNumberFormat="1" applyFont="1" applyFill="1" applyBorder="1" applyAlignment="1" applyProtection="1">
      <alignment vertical="center" wrapText="1"/>
      <protection locked="0"/>
    </xf>
    <xf numFmtId="3" fontId="29" fillId="3" borderId="1" xfId="0" applyNumberFormat="1" applyFont="1" applyFill="1" applyBorder="1" applyAlignment="1" applyProtection="1">
      <alignment horizontal="center" vertical="center" wrapText="1"/>
      <protection locked="0"/>
    </xf>
    <xf numFmtId="0" fontId="29" fillId="3" borderId="1" xfId="0" applyFont="1" applyFill="1" applyBorder="1" applyAlignment="1" applyProtection="1">
      <alignment vertical="center" wrapText="1"/>
      <protection locked="0"/>
    </xf>
    <xf numFmtId="169" fontId="29" fillId="3" borderId="1" xfId="2" applyNumberFormat="1" applyFont="1" applyFill="1" applyBorder="1" applyAlignment="1" applyProtection="1">
      <alignment horizontal="center" vertical="center" wrapText="1"/>
      <protection locked="0"/>
    </xf>
    <xf numFmtId="169" fontId="16" fillId="3" borderId="1" xfId="2" applyNumberFormat="1" applyFont="1" applyFill="1" applyBorder="1" applyAlignment="1" applyProtection="1">
      <alignment horizontal="center" vertical="center" wrapText="1"/>
      <protection locked="0"/>
    </xf>
    <xf numFmtId="3" fontId="29" fillId="3" borderId="1" xfId="3" applyNumberFormat="1" applyFont="1" applyFill="1" applyBorder="1" applyAlignment="1">
      <alignment horizontal="center" vertical="center" wrapText="1"/>
    </xf>
    <xf numFmtId="167" fontId="29" fillId="3" borderId="1" xfId="6" applyFont="1" applyFill="1" applyBorder="1" applyAlignment="1" applyProtection="1">
      <alignment horizontal="center" vertical="center" wrapText="1"/>
      <protection locked="0"/>
    </xf>
    <xf numFmtId="169" fontId="29" fillId="3" borderId="1" xfId="0" applyNumberFormat="1" applyFont="1" applyFill="1" applyBorder="1" applyAlignment="1" applyProtection="1">
      <alignment horizontal="center" vertical="center" wrapText="1"/>
      <protection locked="0"/>
    </xf>
    <xf numFmtId="169" fontId="29" fillId="3" borderId="1" xfId="0" applyNumberFormat="1" applyFont="1" applyFill="1" applyBorder="1" applyAlignment="1" applyProtection="1">
      <alignment horizontal="center" vertical="center"/>
      <protection locked="0"/>
    </xf>
    <xf numFmtId="169" fontId="29" fillId="3" borderId="1" xfId="9" applyNumberFormat="1" applyFont="1" applyFill="1" applyBorder="1" applyAlignment="1" applyProtection="1">
      <alignment horizontal="center" vertical="center" wrapText="1"/>
      <protection locked="0"/>
    </xf>
    <xf numFmtId="169" fontId="16" fillId="3" borderId="1" xfId="2" applyNumberFormat="1" applyFont="1" applyFill="1" applyBorder="1" applyAlignment="1" applyProtection="1">
      <alignment horizontal="center" vertical="center"/>
      <protection locked="0"/>
    </xf>
    <xf numFmtId="3" fontId="16" fillId="3" borderId="1" xfId="3" applyNumberFormat="1" applyFont="1" applyFill="1" applyBorder="1" applyAlignment="1">
      <alignment horizontal="center" vertical="center"/>
    </xf>
    <xf numFmtId="169" fontId="29" fillId="3" borderId="1" xfId="9" applyNumberFormat="1" applyFont="1" applyFill="1" applyBorder="1" applyAlignment="1" applyProtection="1">
      <alignment horizontal="center" vertical="center"/>
      <protection locked="0"/>
    </xf>
    <xf numFmtId="3" fontId="29" fillId="3" borderId="1" xfId="0" applyNumberFormat="1" applyFont="1" applyFill="1" applyBorder="1" applyAlignment="1">
      <alignment horizontal="center" vertical="center"/>
    </xf>
    <xf numFmtId="169" fontId="16" fillId="3" borderId="1" xfId="9" applyNumberFormat="1" applyFont="1" applyFill="1" applyBorder="1" applyAlignment="1">
      <alignment horizontal="center" vertical="center"/>
    </xf>
    <xf numFmtId="169" fontId="16" fillId="3" borderId="1" xfId="9" applyNumberFormat="1" applyFont="1" applyFill="1" applyBorder="1" applyAlignment="1" applyProtection="1">
      <alignment horizontal="center" vertical="center"/>
      <protection locked="0"/>
    </xf>
    <xf numFmtId="3" fontId="29" fillId="3" borderId="1" xfId="0" applyNumberFormat="1" applyFont="1" applyFill="1" applyBorder="1"/>
    <xf numFmtId="0" fontId="29" fillId="3" borderId="3" xfId="0" applyFont="1" applyFill="1" applyBorder="1" applyAlignment="1" applyProtection="1">
      <alignment vertical="center" wrapText="1"/>
      <protection locked="0"/>
    </xf>
    <xf numFmtId="0" fontId="29" fillId="3" borderId="2" xfId="0" applyFont="1" applyFill="1" applyBorder="1" applyAlignment="1" applyProtection="1">
      <alignment vertical="center" wrapText="1"/>
      <protection locked="0"/>
    </xf>
    <xf numFmtId="49" fontId="29" fillId="3" borderId="1" xfId="0" applyNumberFormat="1" applyFont="1" applyFill="1" applyBorder="1" applyAlignment="1" applyProtection="1">
      <alignment vertical="center" wrapText="1"/>
      <protection locked="0"/>
    </xf>
    <xf numFmtId="0" fontId="29" fillId="3" borderId="3" xfId="4" applyFont="1" applyFill="1" applyBorder="1" applyAlignment="1" applyProtection="1">
      <alignment vertical="center" wrapText="1"/>
      <protection locked="0"/>
    </xf>
    <xf numFmtId="0" fontId="29" fillId="3" borderId="1" xfId="4" applyFont="1" applyFill="1" applyBorder="1" applyAlignment="1" applyProtection="1">
      <alignment vertical="center" wrapText="1"/>
      <protection locked="0"/>
    </xf>
    <xf numFmtId="0" fontId="30" fillId="9" borderId="1" xfId="0" applyNumberFormat="1" applyFont="1" applyFill="1" applyBorder="1" applyAlignment="1">
      <alignment horizontal="center" vertical="center" wrapText="1"/>
    </xf>
    <xf numFmtId="0" fontId="23" fillId="0" borderId="0" xfId="0" applyNumberFormat="1" applyFont="1" applyAlignment="1">
      <alignment horizontal="center" vertical="center" wrapText="1"/>
    </xf>
    <xf numFmtId="0" fontId="0" fillId="3" borderId="1" xfId="0" applyNumberFormat="1" applyFont="1" applyFill="1" applyBorder="1" applyAlignment="1">
      <alignment vertical="center"/>
    </xf>
    <xf numFmtId="167" fontId="35" fillId="0" borderId="8" xfId="0" applyNumberFormat="1" applyFont="1" applyFill="1" applyBorder="1" applyAlignment="1">
      <alignment horizontal="center" vertical="center" wrapText="1"/>
    </xf>
    <xf numFmtId="167" fontId="37" fillId="5" borderId="8" xfId="0" applyNumberFormat="1" applyFont="1" applyFill="1" applyBorder="1" applyAlignment="1">
      <alignment horizontal="center" vertical="center" wrapText="1"/>
    </xf>
    <xf numFmtId="167" fontId="39" fillId="16" borderId="1" xfId="0" applyNumberFormat="1" applyFont="1" applyFill="1" applyBorder="1" applyAlignment="1">
      <alignment horizontal="center" vertical="center" wrapText="1"/>
    </xf>
    <xf numFmtId="167" fontId="39" fillId="15" borderId="1" xfId="0" applyNumberFormat="1" applyFont="1" applyFill="1" applyBorder="1" applyAlignment="1">
      <alignment horizontal="center" vertical="center" wrapText="1"/>
    </xf>
    <xf numFmtId="167" fontId="39" fillId="0" borderId="1" xfId="0" applyNumberFormat="1" applyFont="1" applyBorder="1" applyAlignment="1">
      <alignment horizontal="center" vertical="center" wrapText="1"/>
    </xf>
    <xf numFmtId="167" fontId="39" fillId="0" borderId="1" xfId="0" applyNumberFormat="1" applyFont="1" applyBorder="1" applyAlignment="1">
      <alignment horizontal="right" vertical="center" wrapText="1"/>
    </xf>
    <xf numFmtId="167" fontId="0" fillId="0" borderId="1" xfId="0" applyNumberFormat="1" applyFont="1" applyBorder="1"/>
    <xf numFmtId="167" fontId="39" fillId="0" borderId="16" xfId="0" applyNumberFormat="1" applyFont="1" applyBorder="1" applyAlignment="1">
      <alignment horizontal="right" vertical="center" wrapText="1"/>
    </xf>
    <xf numFmtId="167" fontId="38" fillId="0" borderId="0" xfId="0" applyNumberFormat="1" applyFont="1" applyAlignment="1">
      <alignment horizontal="center" vertical="top" wrapText="1"/>
    </xf>
    <xf numFmtId="167" fontId="0" fillId="0" borderId="0" xfId="0" applyNumberFormat="1"/>
    <xf numFmtId="0" fontId="39" fillId="0" borderId="1" xfId="0" applyFont="1" applyBorder="1" applyAlignment="1">
      <alignment horizontal="center" vertical="center" wrapText="1"/>
    </xf>
    <xf numFmtId="0" fontId="39" fillId="6" borderId="1" xfId="0" applyFont="1" applyFill="1" applyBorder="1" applyAlignment="1" applyProtection="1">
      <alignment horizontal="center" vertical="center" wrapText="1"/>
    </xf>
    <xf numFmtId="0" fontId="49" fillId="3" borderId="2" xfId="0" applyFont="1" applyFill="1" applyBorder="1" applyAlignment="1">
      <alignment horizontal="left" vertical="center" wrapText="1"/>
    </xf>
    <xf numFmtId="0" fontId="29" fillId="3" borderId="1" xfId="0" applyNumberFormat="1" applyFont="1" applyFill="1" applyBorder="1" applyAlignment="1">
      <alignment horizontal="center" vertical="center" wrapText="1"/>
    </xf>
    <xf numFmtId="0" fontId="29" fillId="3" borderId="3" xfId="4" applyFont="1" applyFill="1" applyBorder="1" applyAlignment="1" applyProtection="1">
      <alignment horizontal="center" vertical="center" wrapText="1"/>
      <protection locked="0"/>
    </xf>
    <xf numFmtId="49" fontId="29" fillId="3" borderId="1" xfId="0" applyNumberFormat="1" applyFont="1" applyFill="1" applyBorder="1" applyAlignment="1" applyProtection="1">
      <alignment horizontal="center" vertical="center" wrapText="1"/>
      <protection locked="0"/>
    </xf>
    <xf numFmtId="0" fontId="29" fillId="3" borderId="1" xfId="4" applyFont="1" applyFill="1" applyBorder="1" applyAlignment="1" applyProtection="1">
      <alignment horizontal="center" vertical="center" wrapText="1"/>
      <protection locked="0"/>
    </xf>
    <xf numFmtId="49" fontId="29" fillId="3" borderId="2" xfId="0" applyNumberFormat="1" applyFont="1" applyFill="1" applyBorder="1" applyAlignment="1" applyProtection="1">
      <alignment horizontal="center" vertical="center" wrapText="1"/>
      <protection locked="0"/>
    </xf>
    <xf numFmtId="0" fontId="22" fillId="3" borderId="1" xfId="0" applyNumberFormat="1" applyFont="1" applyFill="1" applyBorder="1" applyAlignment="1">
      <alignment horizontal="center" vertical="center" wrapText="1"/>
    </xf>
    <xf numFmtId="49" fontId="29" fillId="3" borderId="1" xfId="0" applyNumberFormat="1" applyFont="1" applyFill="1" applyBorder="1" applyAlignment="1" applyProtection="1">
      <alignment horizontal="center" vertical="center" wrapText="1"/>
      <protection locked="0"/>
    </xf>
    <xf numFmtId="0" fontId="29" fillId="3" borderId="1" xfId="4" applyFont="1" applyFill="1" applyBorder="1" applyAlignment="1" applyProtection="1">
      <alignment horizontal="center" vertical="center" wrapText="1"/>
      <protection locked="0"/>
    </xf>
    <xf numFmtId="0" fontId="29" fillId="3" borderId="1" xfId="0" applyNumberFormat="1" applyFont="1" applyFill="1" applyBorder="1" applyAlignment="1">
      <alignment horizontal="left" vertical="center" wrapText="1"/>
    </xf>
    <xf numFmtId="49" fontId="29" fillId="3" borderId="1" xfId="0" applyNumberFormat="1" applyFont="1" applyFill="1" applyBorder="1" applyAlignment="1" applyProtection="1">
      <alignment horizontal="center" vertical="center" wrapText="1"/>
      <protection locked="0"/>
    </xf>
    <xf numFmtId="0" fontId="29" fillId="3" borderId="1" xfId="4" applyFont="1" applyFill="1" applyBorder="1" applyAlignment="1" applyProtection="1">
      <alignment horizontal="left" vertical="center" wrapText="1"/>
      <protection locked="0"/>
    </xf>
    <xf numFmtId="0" fontId="29" fillId="0" borderId="1" xfId="0" applyNumberFormat="1" applyFont="1" applyBorder="1" applyAlignment="1">
      <alignment horizontal="center" vertical="center" wrapText="1"/>
    </xf>
    <xf numFmtId="0" fontId="29" fillId="3" borderId="1" xfId="0" applyNumberFormat="1" applyFont="1" applyFill="1" applyBorder="1" applyAlignment="1">
      <alignment horizontal="center" vertical="center" wrapText="1"/>
    </xf>
    <xf numFmtId="0" fontId="29" fillId="3" borderId="1" xfId="0" applyNumberFormat="1"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protection locked="0"/>
    </xf>
    <xf numFmtId="49" fontId="29" fillId="3" borderId="1" xfId="0" applyNumberFormat="1" applyFont="1" applyFill="1" applyBorder="1" applyAlignment="1" applyProtection="1">
      <alignment horizontal="center" vertical="center" wrapText="1"/>
      <protection locked="0"/>
    </xf>
    <xf numFmtId="0" fontId="29" fillId="3" borderId="1" xfId="4" applyFont="1" applyFill="1" applyBorder="1" applyAlignment="1" applyProtection="1">
      <alignment horizontal="center" vertical="center" wrapText="1"/>
      <protection locked="0"/>
    </xf>
    <xf numFmtId="0" fontId="0" fillId="0" borderId="22" xfId="0" applyNumberFormat="1" applyFont="1" applyBorder="1" applyAlignment="1" applyProtection="1">
      <alignment vertical="top" wrapText="1"/>
    </xf>
    <xf numFmtId="0" fontId="29" fillId="3" borderId="3" xfId="0" applyNumberFormat="1" applyFont="1" applyFill="1" applyBorder="1" applyAlignment="1">
      <alignment horizontal="center" vertical="center" wrapText="1"/>
    </xf>
    <xf numFmtId="49" fontId="29" fillId="3" borderId="3" xfId="0" applyNumberFormat="1"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49" fontId="29" fillId="3" borderId="1" xfId="0" applyNumberFormat="1"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protection locked="0"/>
    </xf>
    <xf numFmtId="0" fontId="29" fillId="3" borderId="1" xfId="0" applyNumberFormat="1" applyFont="1" applyFill="1" applyBorder="1" applyAlignment="1" applyProtection="1">
      <alignment horizontal="center" vertical="center" wrapText="1"/>
      <protection locked="0"/>
    </xf>
    <xf numFmtId="0" fontId="29" fillId="3" borderId="1" xfId="0" applyNumberFormat="1" applyFont="1" applyFill="1" applyBorder="1" applyAlignment="1">
      <alignment horizontal="center" vertical="center" wrapText="1"/>
    </xf>
    <xf numFmtId="0" fontId="29" fillId="0" borderId="3" xfId="0" applyNumberFormat="1" applyFont="1" applyBorder="1" applyAlignment="1">
      <alignment horizontal="center" vertical="center" wrapText="1"/>
    </xf>
    <xf numFmtId="0" fontId="29" fillId="0" borderId="1" xfId="0" applyFont="1" applyFill="1" applyBorder="1" applyAlignment="1" applyProtection="1">
      <alignment horizontal="center" vertical="center" wrapText="1"/>
      <protection locked="0"/>
    </xf>
    <xf numFmtId="0" fontId="29" fillId="0" borderId="1" xfId="0" applyNumberFormat="1" applyFont="1" applyBorder="1" applyAlignment="1">
      <alignment horizontal="center" vertical="center" wrapText="1"/>
    </xf>
    <xf numFmtId="0" fontId="19" fillId="3" borderId="0" xfId="0" applyNumberFormat="1" applyFont="1" applyFill="1" applyAlignment="1">
      <alignment horizontal="left" vertical="center"/>
    </xf>
    <xf numFmtId="0" fontId="0" fillId="3" borderId="0" xfId="0" applyNumberFormat="1" applyFont="1" applyFill="1" applyAlignment="1">
      <alignment horizontal="left" vertical="center"/>
    </xf>
    <xf numFmtId="0" fontId="0" fillId="3" borderId="0" xfId="0" applyNumberFormat="1" applyFont="1" applyFill="1" applyAlignment="1"/>
    <xf numFmtId="0" fontId="0" fillId="3" borderId="1" xfId="0" applyNumberFormat="1" applyFont="1" applyFill="1" applyBorder="1" applyAlignment="1"/>
    <xf numFmtId="0" fontId="29" fillId="3" borderId="1" xfId="0" applyNumberFormat="1" applyFont="1" applyFill="1" applyBorder="1" applyAlignment="1">
      <alignment horizontal="center" vertical="center" wrapText="1"/>
    </xf>
    <xf numFmtId="0" fontId="29" fillId="3" borderId="3" xfId="0" applyNumberFormat="1" applyFont="1" applyFill="1" applyBorder="1" applyAlignment="1">
      <alignment horizontal="center" vertical="center" wrapText="1"/>
    </xf>
    <xf numFmtId="0" fontId="29" fillId="3" borderId="1" xfId="0" applyNumberFormat="1" applyFont="1" applyFill="1" applyBorder="1" applyAlignment="1" applyProtection="1">
      <alignment horizontal="center" vertical="center" wrapText="1"/>
      <protection locked="0"/>
    </xf>
    <xf numFmtId="164" fontId="29" fillId="12" borderId="1" xfId="3" applyFont="1" applyFill="1" applyBorder="1" applyAlignment="1">
      <alignment horizontal="center" vertical="center" wrapText="1"/>
    </xf>
    <xf numFmtId="0" fontId="29" fillId="3" borderId="1"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9" fillId="3" borderId="3" xfId="4" applyFont="1" applyFill="1" applyBorder="1" applyAlignment="1" applyProtection="1">
      <alignment horizontal="center" vertical="center" wrapText="1"/>
      <protection locked="0"/>
    </xf>
    <xf numFmtId="49" fontId="29" fillId="3" borderId="1" xfId="0" applyNumberFormat="1" applyFont="1" applyFill="1" applyBorder="1" applyAlignment="1" applyProtection="1">
      <alignment horizontal="center" vertical="center" wrapText="1"/>
      <protection locked="0"/>
    </xf>
    <xf numFmtId="49" fontId="29" fillId="3" borderId="3" xfId="0" applyNumberFormat="1" applyFont="1" applyFill="1" applyBorder="1" applyAlignment="1" applyProtection="1">
      <alignment horizontal="center" vertical="center" wrapText="1"/>
      <protection locked="0"/>
    </xf>
    <xf numFmtId="49" fontId="29" fillId="3" borderId="2" xfId="0" applyNumberFormat="1" applyFont="1" applyFill="1" applyBorder="1" applyAlignment="1" applyProtection="1">
      <alignment horizontal="center" vertical="center" wrapText="1"/>
      <protection locked="0"/>
    </xf>
    <xf numFmtId="0" fontId="29" fillId="3" borderId="1" xfId="0" applyNumberFormat="1" applyFont="1" applyFill="1" applyBorder="1" applyAlignment="1">
      <alignment horizontal="left" vertical="center" wrapText="1"/>
    </xf>
    <xf numFmtId="0" fontId="29" fillId="3" borderId="1" xfId="4" applyFont="1" applyFill="1" applyBorder="1" applyAlignment="1" applyProtection="1">
      <alignment horizontal="center" vertical="center" wrapText="1"/>
      <protection locked="0"/>
    </xf>
    <xf numFmtId="164" fontId="29" fillId="13" borderId="1" xfId="3" applyFont="1" applyFill="1" applyBorder="1" applyAlignment="1">
      <alignment horizontal="center" vertical="center" wrapText="1"/>
    </xf>
    <xf numFmtId="0" fontId="29" fillId="3" borderId="3" xfId="4" applyFont="1" applyFill="1" applyBorder="1" applyAlignment="1" applyProtection="1">
      <alignment vertical="center" wrapText="1"/>
      <protection locked="0"/>
    </xf>
    <xf numFmtId="169" fontId="16" fillId="13" borderId="1" xfId="2" applyNumberFormat="1" applyFont="1" applyFill="1" applyBorder="1" applyAlignment="1">
      <alignment horizontal="center" vertical="center" wrapText="1"/>
    </xf>
    <xf numFmtId="0" fontId="29" fillId="0" borderId="1" xfId="0" applyNumberFormat="1" applyFont="1" applyBorder="1" applyAlignment="1">
      <alignment horizontal="center" vertical="center" wrapText="1"/>
    </xf>
    <xf numFmtId="169" fontId="16" fillId="13" borderId="1" xfId="2" applyNumberFormat="1"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protection locked="0"/>
    </xf>
    <xf numFmtId="169" fontId="16" fillId="12" borderId="1" xfId="2" applyNumberFormat="1" applyFont="1" applyFill="1" applyBorder="1" applyAlignment="1" applyProtection="1">
      <alignment horizontal="center" vertical="center" wrapText="1"/>
    </xf>
    <xf numFmtId="0" fontId="22" fillId="3" borderId="1" xfId="0" applyNumberFormat="1" applyFont="1" applyFill="1" applyBorder="1" applyAlignment="1">
      <alignment horizontal="center" vertical="center" wrapText="1"/>
    </xf>
    <xf numFmtId="0" fontId="29" fillId="13" borderId="1" xfId="0" applyNumberFormat="1" applyFont="1" applyFill="1" applyBorder="1" applyAlignment="1">
      <alignment horizontal="center" vertical="center" wrapText="1"/>
    </xf>
    <xf numFmtId="3" fontId="29" fillId="13" borderId="1" xfId="3" applyNumberFormat="1" applyFont="1" applyFill="1" applyBorder="1" applyAlignment="1">
      <alignment horizontal="center" vertical="center" wrapText="1"/>
    </xf>
    <xf numFmtId="169" fontId="16" fillId="12" borderId="1" xfId="0" applyNumberFormat="1" applyFont="1" applyFill="1" applyBorder="1" applyAlignment="1" applyProtection="1">
      <alignment horizontal="center" vertical="center" wrapText="1"/>
      <protection locked="0"/>
    </xf>
    <xf numFmtId="0" fontId="29" fillId="12" borderId="1" xfId="0" applyNumberFormat="1" applyFont="1" applyFill="1" applyBorder="1" applyAlignment="1">
      <alignment horizontal="center" vertical="center" wrapText="1"/>
    </xf>
    <xf numFmtId="0" fontId="29" fillId="0" borderId="3" xfId="0" applyNumberFormat="1" applyFont="1" applyBorder="1" applyAlignment="1">
      <alignment horizontal="center" vertical="center" wrapText="1"/>
    </xf>
    <xf numFmtId="0" fontId="29" fillId="3" borderId="1" xfId="4" applyFont="1" applyFill="1" applyBorder="1" applyAlignment="1" applyProtection="1">
      <alignment horizontal="left" vertical="center" wrapText="1"/>
      <protection locked="0"/>
    </xf>
    <xf numFmtId="0" fontId="0" fillId="3" borderId="3" xfId="0" applyNumberFormat="1" applyFont="1" applyFill="1" applyBorder="1" applyAlignment="1">
      <alignment horizontal="center" wrapText="1"/>
    </xf>
    <xf numFmtId="0" fontId="23" fillId="3" borderId="0" xfId="0" applyNumberFormat="1" applyFont="1" applyFill="1" applyAlignment="1">
      <alignment wrapText="1"/>
    </xf>
    <xf numFmtId="0" fontId="14" fillId="3" borderId="1" xfId="0" applyFont="1" applyFill="1" applyBorder="1" applyAlignment="1">
      <alignment horizontal="center" vertical="center" wrapText="1"/>
    </xf>
    <xf numFmtId="0" fontId="23" fillId="3" borderId="0" xfId="0" applyNumberFormat="1" applyFont="1" applyFill="1" applyAlignment="1">
      <alignment horizontal="center" vertical="center" wrapText="1"/>
    </xf>
    <xf numFmtId="0" fontId="23" fillId="0" borderId="22" xfId="0" applyNumberFormat="1" applyFont="1" applyBorder="1" applyAlignment="1" applyProtection="1">
      <alignment vertical="top" wrapText="1"/>
    </xf>
    <xf numFmtId="0" fontId="29" fillId="3" borderId="2" xfId="0" applyNumberFormat="1" applyFont="1" applyFill="1" applyBorder="1" applyAlignment="1">
      <alignment horizontal="center" vertical="center" wrapText="1"/>
    </xf>
    <xf numFmtId="49" fontId="29" fillId="3" borderId="2" xfId="0" applyNumberFormat="1" applyFont="1" applyFill="1" applyBorder="1" applyAlignment="1" applyProtection="1">
      <alignment horizontal="center" vertical="center" wrapText="1"/>
      <protection locked="0"/>
    </xf>
    <xf numFmtId="0" fontId="29" fillId="3" borderId="2" xfId="4" applyFont="1" applyFill="1" applyBorder="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0" fontId="29" fillId="0" borderId="2" xfId="0" applyNumberFormat="1" applyFont="1" applyBorder="1" applyAlignment="1">
      <alignment horizontal="center" vertical="center" wrapText="1"/>
    </xf>
    <xf numFmtId="0" fontId="29" fillId="3" borderId="3" xfId="0" applyFont="1" applyFill="1" applyBorder="1" applyAlignment="1">
      <alignment horizontal="center" vertical="center" wrapText="1"/>
    </xf>
    <xf numFmtId="164" fontId="29" fillId="12" borderId="1" xfId="3"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 xfId="0" applyFont="1" applyFill="1" applyBorder="1" applyAlignment="1">
      <alignment horizontal="left" vertical="center" wrapText="1"/>
    </xf>
    <xf numFmtId="0" fontId="50" fillId="3" borderId="1" xfId="0" applyFont="1" applyFill="1" applyBorder="1" applyAlignment="1">
      <alignment horizontal="center" vertical="center" wrapText="1"/>
    </xf>
    <xf numFmtId="0" fontId="29" fillId="3" borderId="3" xfId="0" applyFont="1" applyFill="1" applyBorder="1" applyAlignment="1" applyProtection="1">
      <alignment vertical="top" wrapText="1"/>
      <protection locked="0"/>
    </xf>
    <xf numFmtId="0" fontId="29" fillId="3" borderId="1" xfId="0" applyFont="1" applyFill="1" applyBorder="1" applyAlignment="1" applyProtection="1">
      <alignment horizontal="left" vertical="top" wrapText="1"/>
      <protection locked="0"/>
    </xf>
    <xf numFmtId="0" fontId="29" fillId="0" borderId="1" xfId="0" applyNumberFormat="1" applyFont="1" applyBorder="1" applyAlignment="1">
      <alignment horizontal="left" vertical="top" wrapText="1"/>
    </xf>
    <xf numFmtId="0" fontId="29" fillId="3" borderId="1" xfId="0" applyFont="1" applyFill="1" applyBorder="1" applyAlignment="1" applyProtection="1">
      <alignment horizontal="left" vertical="center" wrapText="1"/>
      <protection locked="0"/>
    </xf>
    <xf numFmtId="0" fontId="54" fillId="0" borderId="1" xfId="0" applyFont="1" applyFill="1" applyBorder="1" applyAlignment="1">
      <alignment horizontal="center" vertical="center" wrapText="1"/>
    </xf>
    <xf numFmtId="49" fontId="29" fillId="3" borderId="1" xfId="0" applyNumberFormat="1" applyFont="1" applyFill="1" applyBorder="1" applyAlignment="1" applyProtection="1">
      <alignment vertical="center" wrapText="1"/>
    </xf>
    <xf numFmtId="169" fontId="29" fillId="13" borderId="1" xfId="2" applyNumberFormat="1" applyFont="1" applyFill="1" applyBorder="1" applyAlignment="1" applyProtection="1">
      <alignment horizontal="center" vertical="center" wrapText="1"/>
      <protection locked="0"/>
    </xf>
    <xf numFmtId="167" fontId="29" fillId="12" borderId="1" xfId="6" applyFont="1" applyFill="1" applyBorder="1" applyAlignment="1" applyProtection="1">
      <alignment horizontal="center" vertical="center" wrapText="1"/>
      <protection locked="0"/>
    </xf>
    <xf numFmtId="169" fontId="16" fillId="13" borderId="1" xfId="2" applyNumberFormat="1" applyFont="1" applyFill="1" applyBorder="1" applyAlignment="1" applyProtection="1">
      <alignment vertical="center" wrapText="1"/>
      <protection locked="0"/>
    </xf>
    <xf numFmtId="165" fontId="29" fillId="12" borderId="1" xfId="2" applyFont="1" applyFill="1" applyBorder="1" applyAlignment="1" applyProtection="1">
      <alignment vertical="center" wrapText="1"/>
      <protection locked="0"/>
    </xf>
    <xf numFmtId="3" fontId="16" fillId="13" borderId="1" xfId="0" applyNumberFormat="1" applyFont="1" applyFill="1" applyBorder="1" applyAlignment="1">
      <alignment horizontal="right" vertical="center" wrapText="1"/>
    </xf>
    <xf numFmtId="3" fontId="16" fillId="13" borderId="1" xfId="3" applyNumberFormat="1" applyFont="1" applyFill="1" applyBorder="1" applyAlignment="1">
      <alignment horizontal="right" vertical="center" wrapText="1"/>
    </xf>
    <xf numFmtId="44" fontId="16" fillId="13" borderId="1" xfId="35" applyFont="1" applyFill="1" applyBorder="1" applyAlignment="1">
      <alignment vertical="center" wrapText="1"/>
    </xf>
    <xf numFmtId="169" fontId="29" fillId="13" borderId="1" xfId="9" applyNumberFormat="1" applyFont="1" applyFill="1" applyBorder="1" applyAlignment="1" applyProtection="1">
      <alignment vertical="center" wrapText="1"/>
      <protection locked="0"/>
    </xf>
    <xf numFmtId="171" fontId="29" fillId="13" borderId="1" xfId="10" applyNumberFormat="1" applyFont="1" applyFill="1" applyBorder="1" applyAlignment="1">
      <alignment horizontal="center" vertical="center" wrapText="1"/>
    </xf>
    <xf numFmtId="169" fontId="29" fillId="12" borderId="1" xfId="9" applyNumberFormat="1" applyFont="1" applyFill="1" applyBorder="1" applyAlignment="1" applyProtection="1">
      <alignment vertical="center" wrapText="1"/>
      <protection locked="0"/>
    </xf>
    <xf numFmtId="3" fontId="29" fillId="12" borderId="1" xfId="0" applyNumberFormat="1" applyFont="1" applyFill="1" applyBorder="1" applyAlignment="1">
      <alignment vertical="center" wrapText="1"/>
    </xf>
    <xf numFmtId="169" fontId="16" fillId="12" borderId="1" xfId="9" applyNumberFormat="1" applyFont="1" applyFill="1" applyBorder="1" applyAlignment="1" applyProtection="1">
      <alignment vertical="center" wrapText="1"/>
      <protection locked="0"/>
    </xf>
    <xf numFmtId="169" fontId="29" fillId="13" borderId="1" xfId="2" applyNumberFormat="1" applyFont="1" applyFill="1" applyBorder="1" applyAlignment="1" applyProtection="1">
      <alignment vertical="center" wrapText="1"/>
      <protection locked="0"/>
    </xf>
    <xf numFmtId="0" fontId="19" fillId="3" borderId="0" xfId="36" applyNumberFormat="1" applyFont="1" applyFill="1" applyAlignment="1">
      <alignment horizontal="left" vertical="center" wrapText="1" indent="50"/>
    </xf>
    <xf numFmtId="0" fontId="23" fillId="3" borderId="0" xfId="36" applyNumberFormat="1" applyFont="1" applyFill="1"/>
    <xf numFmtId="0" fontId="23" fillId="3" borderId="0" xfId="36" applyNumberFormat="1" applyFont="1" applyFill="1" applyAlignment="1">
      <alignment horizontal="center" vertical="center"/>
    </xf>
    <xf numFmtId="167" fontId="23" fillId="3" borderId="0" xfId="36" applyNumberFormat="1" applyFont="1" applyFill="1" applyAlignment="1">
      <alignment horizontal="center" vertical="center"/>
    </xf>
    <xf numFmtId="0" fontId="23" fillId="3" borderId="0" xfId="36" applyNumberFormat="1" applyFont="1" applyFill="1" applyAlignment="1">
      <alignment horizontal="left" vertical="center" wrapText="1"/>
    </xf>
    <xf numFmtId="0" fontId="19" fillId="3" borderId="0" xfId="36" applyNumberFormat="1" applyFont="1" applyFill="1" applyAlignment="1"/>
    <xf numFmtId="0" fontId="19" fillId="3" borderId="0" xfId="36" applyNumberFormat="1" applyFont="1" applyFill="1" applyAlignment="1">
      <alignment indent="50"/>
    </xf>
    <xf numFmtId="0" fontId="23" fillId="3" borderId="0" xfId="36" applyNumberFormat="1" applyFont="1" applyFill="1" applyAlignment="1">
      <alignment vertical="center" wrapText="1"/>
    </xf>
    <xf numFmtId="0" fontId="19" fillId="3" borderId="0" xfId="36" applyNumberFormat="1" applyFont="1" applyFill="1" applyAlignment="1">
      <alignment horizontal="left" indent="50"/>
    </xf>
    <xf numFmtId="0" fontId="19" fillId="3" borderId="0" xfId="36" applyNumberFormat="1" applyFont="1" applyFill="1" applyAlignment="1">
      <alignment horizontal="left" vertical="center" wrapText="1"/>
    </xf>
    <xf numFmtId="0" fontId="19" fillId="0" borderId="0" xfId="36" applyNumberFormat="1" applyFont="1" applyAlignment="1">
      <alignment horizontal="left" vertical="center" wrapText="1" indent="50"/>
    </xf>
    <xf numFmtId="0" fontId="23" fillId="0" borderId="0" xfId="36" applyNumberFormat="1" applyFont="1"/>
    <xf numFmtId="0" fontId="44" fillId="0" borderId="0" xfId="36" applyNumberFormat="1" applyFont="1"/>
    <xf numFmtId="0" fontId="23" fillId="0" borderId="0" xfId="36" applyNumberFormat="1" applyFont="1" applyAlignment="1">
      <alignment horizontal="center"/>
    </xf>
    <xf numFmtId="0" fontId="23" fillId="0" borderId="0" xfId="36" applyNumberFormat="1" applyFont="1" applyAlignment="1">
      <alignment horizontal="center" vertical="center"/>
    </xf>
    <xf numFmtId="167" fontId="23" fillId="0" borderId="0" xfId="36" applyNumberFormat="1" applyFont="1" applyAlignment="1">
      <alignment horizontal="center" vertical="center"/>
    </xf>
    <xf numFmtId="0" fontId="23" fillId="0" borderId="0" xfId="36" applyNumberFormat="1" applyFont="1" applyAlignment="1">
      <alignment horizontal="left" vertical="center" wrapText="1"/>
    </xf>
    <xf numFmtId="0" fontId="19" fillId="0" borderId="0" xfId="36" applyNumberFormat="1" applyFont="1"/>
    <xf numFmtId="0" fontId="19" fillId="0" borderId="0" xfId="36" applyNumberFormat="1" applyFont="1" applyAlignment="1">
      <alignment indent="50"/>
    </xf>
    <xf numFmtId="0" fontId="23" fillId="0" borderId="0" xfId="36" applyNumberFormat="1" applyFont="1" applyAlignment="1">
      <alignment vertical="center" wrapText="1"/>
    </xf>
    <xf numFmtId="0" fontId="19" fillId="0" borderId="0" xfId="36" applyNumberFormat="1" applyFont="1" applyAlignment="1"/>
    <xf numFmtId="0" fontId="19" fillId="0" borderId="0" xfId="36" applyNumberFormat="1" applyFont="1" applyAlignment="1">
      <alignment horizontal="left" indent="50"/>
    </xf>
    <xf numFmtId="0" fontId="19" fillId="0" borderId="0" xfId="36" applyNumberFormat="1" applyFont="1" applyAlignment="1">
      <alignment vertical="center" wrapText="1"/>
    </xf>
    <xf numFmtId="0" fontId="43" fillId="0" borderId="0" xfId="36" applyNumberFormat="1" applyFont="1" applyAlignment="1">
      <alignment vertical="center" wrapText="1"/>
    </xf>
    <xf numFmtId="0" fontId="19" fillId="0" borderId="0" xfId="36" applyNumberFormat="1" applyFont="1" applyAlignment="1">
      <alignment horizontal="center" vertical="center" wrapText="1"/>
    </xf>
    <xf numFmtId="167" fontId="19" fillId="0" borderId="0" xfId="36" applyNumberFormat="1" applyFont="1" applyAlignment="1">
      <alignment horizontal="center" vertical="center" wrapText="1"/>
    </xf>
    <xf numFmtId="0" fontId="19" fillId="7" borderId="1" xfId="36" applyNumberFormat="1" applyFont="1" applyFill="1" applyBorder="1" applyAlignment="1">
      <alignment horizontal="center" vertical="center" wrapText="1"/>
    </xf>
    <xf numFmtId="0" fontId="19" fillId="3" borderId="0" xfId="36" applyNumberFormat="1" applyFont="1" applyFill="1" applyBorder="1" applyAlignment="1">
      <alignment horizontal="center" vertical="center"/>
    </xf>
    <xf numFmtId="0" fontId="30" fillId="7" borderId="1" xfId="36" applyNumberFormat="1" applyFont="1" applyFill="1" applyBorder="1" applyAlignment="1">
      <alignment horizontal="center" vertical="center" wrapText="1"/>
    </xf>
    <xf numFmtId="0" fontId="30" fillId="3" borderId="1" xfId="36" applyNumberFormat="1" applyFont="1" applyFill="1" applyBorder="1" applyAlignment="1">
      <alignment horizontal="center" vertical="center" wrapText="1"/>
    </xf>
    <xf numFmtId="0" fontId="30" fillId="9" borderId="1" xfId="36" applyNumberFormat="1" applyFont="1" applyFill="1" applyBorder="1" applyAlignment="1">
      <alignment horizontal="center" vertical="center" wrapText="1"/>
    </xf>
    <xf numFmtId="0" fontId="30" fillId="10" borderId="1" xfId="36" applyNumberFormat="1" applyFont="1" applyFill="1" applyBorder="1" applyAlignment="1" applyProtection="1">
      <alignment horizontal="center" vertical="center" wrapText="1"/>
    </xf>
    <xf numFmtId="0" fontId="30" fillId="10" borderId="1" xfId="36" applyNumberFormat="1" applyFont="1" applyFill="1" applyBorder="1" applyAlignment="1">
      <alignment horizontal="center" vertical="center" wrapText="1"/>
    </xf>
    <xf numFmtId="0" fontId="19" fillId="17" borderId="7" xfId="36" applyNumberFormat="1" applyFont="1" applyFill="1" applyBorder="1" applyAlignment="1">
      <alignment horizontal="center" vertical="center" wrapText="1"/>
    </xf>
    <xf numFmtId="0" fontId="19" fillId="17" borderId="8" xfId="36" applyNumberFormat="1" applyFont="1" applyFill="1" applyBorder="1" applyAlignment="1">
      <alignment horizontal="center" vertical="center" wrapText="1"/>
    </xf>
    <xf numFmtId="167" fontId="19" fillId="17" borderId="8" xfId="36" applyNumberFormat="1" applyFont="1" applyFill="1" applyBorder="1" applyAlignment="1">
      <alignment horizontal="center" vertical="center" wrapText="1"/>
    </xf>
    <xf numFmtId="167" fontId="19" fillId="17" borderId="21" xfId="36" applyNumberFormat="1" applyFont="1" applyFill="1" applyBorder="1" applyAlignment="1">
      <alignment horizontal="center" vertical="center" wrapText="1"/>
    </xf>
    <xf numFmtId="167" fontId="19" fillId="17" borderId="7" xfId="36" applyNumberFormat="1" applyFont="1" applyFill="1" applyBorder="1" applyAlignment="1">
      <alignment horizontal="center" vertical="center" wrapText="1"/>
    </xf>
    <xf numFmtId="0" fontId="19" fillId="17" borderId="9" xfId="36" applyNumberFormat="1" applyFont="1" applyFill="1" applyBorder="1" applyAlignment="1">
      <alignment horizontal="center" vertical="center" wrapText="1"/>
    </xf>
    <xf numFmtId="0" fontId="23" fillId="3" borderId="0" xfId="36" applyNumberFormat="1" applyFont="1" applyFill="1" applyAlignment="1">
      <alignment horizontal="center" vertical="center" wrapText="1"/>
    </xf>
    <xf numFmtId="0" fontId="23" fillId="3" borderId="1" xfId="36" applyNumberFormat="1" applyFont="1" applyFill="1" applyBorder="1"/>
    <xf numFmtId="169" fontId="23" fillId="3" borderId="0" xfId="36" applyNumberFormat="1" applyFont="1" applyFill="1"/>
    <xf numFmtId="169" fontId="29" fillId="3" borderId="1" xfId="38" applyNumberFormat="1" applyFont="1" applyFill="1" applyBorder="1" applyAlignment="1" applyProtection="1">
      <alignment vertical="center" wrapText="1"/>
      <protection locked="0"/>
    </xf>
    <xf numFmtId="165" fontId="29" fillId="3" borderId="1" xfId="38" applyFont="1" applyFill="1" applyBorder="1" applyAlignment="1" applyProtection="1">
      <alignment horizontal="justify" vertical="center" wrapText="1"/>
      <protection locked="0"/>
    </xf>
    <xf numFmtId="0" fontId="29" fillId="3" borderId="1" xfId="36" applyNumberFormat="1" applyFont="1" applyFill="1" applyBorder="1" applyAlignment="1">
      <alignment vertical="center" wrapText="1"/>
    </xf>
    <xf numFmtId="0" fontId="23" fillId="3" borderId="0" xfId="36" applyNumberFormat="1" applyFont="1" applyFill="1" applyAlignment="1">
      <alignment vertical="center"/>
    </xf>
    <xf numFmtId="0" fontId="23" fillId="18" borderId="0" xfId="36" applyNumberFormat="1" applyFont="1" applyFill="1"/>
    <xf numFmtId="0" fontId="29" fillId="3" borderId="1" xfId="36" applyNumberFormat="1" applyFont="1" applyFill="1" applyBorder="1"/>
    <xf numFmtId="3" fontId="31" fillId="3" borderId="1" xfId="36" applyNumberFormat="1" applyFont="1" applyFill="1" applyBorder="1" applyAlignment="1">
      <alignment vertical="center"/>
    </xf>
    <xf numFmtId="3" fontId="41" fillId="8" borderId="1" xfId="36" applyNumberFormat="1" applyFont="1" applyFill="1" applyBorder="1" applyAlignment="1">
      <alignment vertical="center"/>
    </xf>
    <xf numFmtId="0" fontId="42" fillId="3" borderId="1" xfId="36" applyNumberFormat="1" applyFont="1" applyFill="1" applyBorder="1"/>
    <xf numFmtId="3" fontId="48" fillId="14" borderId="1" xfId="36" applyNumberFormat="1" applyFont="1" applyFill="1" applyBorder="1" applyAlignment="1">
      <alignment vertical="center"/>
    </xf>
    <xf numFmtId="3" fontId="19" fillId="3" borderId="1" xfId="36" applyNumberFormat="1" applyFont="1" applyFill="1" applyBorder="1"/>
    <xf numFmtId="3" fontId="23" fillId="3" borderId="1" xfId="36" applyNumberFormat="1" applyFont="1" applyFill="1" applyBorder="1"/>
    <xf numFmtId="0" fontId="23" fillId="3" borderId="0" xfId="36" applyNumberFormat="1" applyFont="1" applyFill="1" applyBorder="1"/>
    <xf numFmtId="49" fontId="47" fillId="3" borderId="1" xfId="0" applyNumberFormat="1" applyFont="1" applyFill="1" applyBorder="1" applyAlignment="1" applyProtection="1">
      <alignment horizontal="center" vertical="center" wrapText="1"/>
      <protection locked="0"/>
    </xf>
    <xf numFmtId="0" fontId="47" fillId="3" borderId="1" xfId="0" applyFont="1" applyFill="1" applyBorder="1" applyAlignment="1" applyProtection="1">
      <alignment vertical="center" wrapText="1"/>
      <protection locked="0"/>
    </xf>
    <xf numFmtId="170" fontId="12" fillId="3" borderId="1" xfId="0" applyNumberFormat="1" applyFont="1" applyFill="1" applyBorder="1" applyAlignment="1" applyProtection="1">
      <alignment vertical="center" wrapText="1"/>
      <protection locked="0"/>
    </xf>
    <xf numFmtId="1" fontId="12" fillId="3" borderId="1" xfId="0" applyNumberFormat="1" applyFont="1" applyFill="1" applyBorder="1" applyAlignment="1" applyProtection="1">
      <alignment horizontal="center" vertical="center" wrapText="1"/>
      <protection locked="0"/>
    </xf>
    <xf numFmtId="169" fontId="26" fillId="3" borderId="1" xfId="2" applyNumberFormat="1" applyFont="1" applyFill="1" applyBorder="1" applyAlignment="1" applyProtection="1">
      <alignment vertical="center"/>
      <protection locked="0"/>
    </xf>
    <xf numFmtId="167" fontId="23" fillId="3" borderId="0" xfId="36" applyNumberFormat="1" applyFont="1" applyFill="1"/>
    <xf numFmtId="164" fontId="29" fillId="3" borderId="1" xfId="0" applyNumberFormat="1" applyFont="1" applyFill="1" applyBorder="1" applyAlignment="1">
      <alignment horizontal="center" vertical="center" wrapText="1"/>
    </xf>
    <xf numFmtId="169" fontId="29" fillId="3" borderId="1" xfId="0" applyNumberFormat="1" applyFont="1" applyFill="1" applyBorder="1" applyAlignment="1" applyProtection="1">
      <alignment vertical="center" wrapText="1"/>
      <protection locked="0"/>
    </xf>
    <xf numFmtId="37" fontId="29" fillId="3" borderId="1" xfId="0" applyNumberFormat="1" applyFont="1" applyFill="1" applyBorder="1" applyAlignment="1" applyProtection="1">
      <alignment vertical="center" wrapText="1"/>
      <protection locked="0"/>
    </xf>
    <xf numFmtId="0" fontId="29" fillId="3" borderId="0" xfId="0" applyNumberFormat="1" applyFont="1" applyFill="1" applyBorder="1" applyAlignment="1">
      <alignment horizontal="center" vertical="center" wrapText="1"/>
    </xf>
    <xf numFmtId="37" fontId="16" fillId="3" borderId="1" xfId="0" applyNumberFormat="1" applyFont="1" applyFill="1" applyBorder="1" applyAlignment="1" applyProtection="1">
      <alignment horizontal="center" vertical="center" wrapText="1"/>
      <protection locked="0"/>
    </xf>
    <xf numFmtId="37" fontId="11" fillId="3" borderId="1" xfId="0" applyNumberFormat="1" applyFont="1" applyFill="1" applyBorder="1" applyAlignment="1" applyProtection="1">
      <alignment horizontal="center" vertical="center" wrapText="1"/>
      <protection locked="0"/>
    </xf>
    <xf numFmtId="0" fontId="29" fillId="3" borderId="3" xfId="0" applyNumberFormat="1" applyFont="1" applyFill="1" applyBorder="1" applyAlignment="1">
      <alignment horizontal="center" vertical="center" wrapText="1"/>
    </xf>
    <xf numFmtId="169" fontId="16" fillId="12" borderId="3" xfId="2" applyNumberFormat="1" applyFont="1" applyFill="1" applyBorder="1" applyAlignment="1" applyProtection="1">
      <alignment horizontal="center" vertical="center" wrapText="1"/>
    </xf>
    <xf numFmtId="0" fontId="29" fillId="3" borderId="3" xfId="4" applyFont="1" applyFill="1" applyBorder="1" applyAlignment="1" applyProtection="1">
      <alignment horizontal="center" vertical="center" wrapText="1"/>
      <protection locked="0"/>
    </xf>
    <xf numFmtId="0" fontId="0" fillId="3" borderId="20" xfId="0" applyNumberFormat="1" applyFont="1" applyFill="1" applyBorder="1" applyAlignment="1">
      <alignment horizontal="center" vertical="center" wrapText="1"/>
    </xf>
    <xf numFmtId="0" fontId="29" fillId="3" borderId="3" xfId="0" applyFont="1" applyFill="1" applyBorder="1" applyAlignment="1" applyProtection="1">
      <alignment horizontal="center" vertical="center" wrapText="1"/>
      <protection locked="0"/>
    </xf>
    <xf numFmtId="1" fontId="29" fillId="3" borderId="3" xfId="0" applyNumberFormat="1"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protection locked="0"/>
    </xf>
    <xf numFmtId="164" fontId="29" fillId="12" borderId="1" xfId="3" applyFont="1" applyFill="1" applyBorder="1" applyAlignment="1">
      <alignment horizontal="center" vertical="center" wrapText="1"/>
    </xf>
    <xf numFmtId="49" fontId="29" fillId="3" borderId="1" xfId="0" applyNumberFormat="1" applyFont="1" applyFill="1" applyBorder="1" applyAlignment="1" applyProtection="1">
      <alignment horizontal="center" vertical="center" wrapText="1"/>
      <protection locked="0"/>
    </xf>
    <xf numFmtId="0" fontId="29" fillId="3" borderId="1" xfId="0" applyNumberFormat="1" applyFont="1" applyFill="1" applyBorder="1" applyAlignment="1">
      <alignment horizontal="left" vertical="center" wrapText="1"/>
    </xf>
    <xf numFmtId="0" fontId="29" fillId="3" borderId="1" xfId="4" applyFont="1" applyFill="1" applyBorder="1" applyAlignment="1" applyProtection="1">
      <alignment horizontal="center" vertical="center" wrapText="1"/>
      <protection locked="0"/>
    </xf>
    <xf numFmtId="0" fontId="23" fillId="3" borderId="20" xfId="0" applyNumberFormat="1" applyFont="1" applyFill="1" applyBorder="1" applyAlignment="1">
      <alignment horizontal="center" wrapText="1"/>
    </xf>
    <xf numFmtId="0" fontId="0" fillId="3" borderId="20" xfId="0" applyNumberFormat="1" applyFont="1" applyFill="1" applyBorder="1" applyAlignment="1">
      <alignment horizontal="center" wrapText="1"/>
    </xf>
    <xf numFmtId="164" fontId="29" fillId="12" borderId="3" xfId="3" applyFont="1" applyFill="1" applyBorder="1" applyAlignment="1">
      <alignment horizontal="center" vertical="center" wrapText="1"/>
    </xf>
    <xf numFmtId="170" fontId="10" fillId="3" borderId="1" xfId="0" applyNumberFormat="1" applyFont="1" applyFill="1" applyBorder="1" applyAlignment="1" applyProtection="1">
      <alignment horizontal="center" vertical="center" wrapText="1"/>
      <protection locked="0"/>
    </xf>
    <xf numFmtId="170" fontId="10" fillId="3" borderId="2" xfId="0" applyNumberFormat="1" applyFont="1" applyFill="1" applyBorder="1" applyAlignment="1" applyProtection="1">
      <alignment horizontal="center" vertical="center" wrapText="1"/>
      <protection locked="0"/>
    </xf>
    <xf numFmtId="169" fontId="8" fillId="3" borderId="1" xfId="2" applyNumberFormat="1" applyFont="1" applyFill="1" applyBorder="1" applyAlignment="1" applyProtection="1">
      <alignment vertical="center" wrapText="1"/>
    </xf>
    <xf numFmtId="0" fontId="29" fillId="3" borderId="20" xfId="0" applyFont="1" applyFill="1" applyBorder="1" applyAlignment="1" applyProtection="1">
      <alignment vertical="center" wrapText="1"/>
      <protection locked="0"/>
    </xf>
    <xf numFmtId="3" fontId="0" fillId="3" borderId="1" xfId="0" applyNumberFormat="1" applyFill="1" applyBorder="1" applyAlignment="1">
      <alignment vertical="center"/>
    </xf>
    <xf numFmtId="167" fontId="38" fillId="0" borderId="0" xfId="0" applyNumberFormat="1" applyFont="1" applyFill="1" applyAlignment="1">
      <alignment horizontal="justify" vertical="top" wrapText="1"/>
    </xf>
    <xf numFmtId="4" fontId="56" fillId="0" borderId="0" xfId="0" applyNumberFormat="1" applyFont="1"/>
    <xf numFmtId="0" fontId="7" fillId="3" borderId="1" xfId="0" applyFont="1" applyFill="1" applyBorder="1" applyAlignment="1">
      <alignment horizontal="center" vertical="center" wrapText="1"/>
    </xf>
    <xf numFmtId="0" fontId="29" fillId="3" borderId="3" xfId="0" applyNumberFormat="1" applyFont="1" applyFill="1" applyBorder="1" applyAlignment="1">
      <alignment horizontal="center" vertical="center" wrapText="1"/>
    </xf>
    <xf numFmtId="49" fontId="29" fillId="3" borderId="1" xfId="0" applyNumberFormat="1"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protection locked="0"/>
    </xf>
    <xf numFmtId="0" fontId="29" fillId="3" borderId="3" xfId="4" applyFont="1" applyFill="1" applyBorder="1" applyAlignment="1" applyProtection="1">
      <alignment vertical="center" wrapText="1"/>
      <protection locked="0"/>
    </xf>
    <xf numFmtId="0" fontId="0" fillId="3" borderId="0" xfId="0" applyNumberFormat="1" applyFont="1" applyFill="1" applyAlignment="1">
      <alignment horizontal="center" vertical="center"/>
    </xf>
    <xf numFmtId="0" fontId="29" fillId="3" borderId="3" xfId="4" applyFont="1" applyFill="1" applyBorder="1" applyAlignment="1" applyProtection="1">
      <alignment vertical="center" wrapText="1"/>
      <protection locked="0"/>
    </xf>
    <xf numFmtId="0" fontId="22" fillId="3" borderId="1" xfId="0" applyNumberFormat="1" applyFont="1" applyFill="1" applyBorder="1" applyAlignment="1">
      <alignment vertical="center" wrapText="1"/>
    </xf>
    <xf numFmtId="169" fontId="16" fillId="12" borderId="1" xfId="2" applyNumberFormat="1" applyFont="1" applyFill="1" applyBorder="1" applyAlignment="1" applyProtection="1">
      <alignment vertical="center" wrapText="1"/>
    </xf>
    <xf numFmtId="0" fontId="29" fillId="3" borderId="3" xfId="0" applyNumberFormat="1" applyFont="1" applyFill="1" applyBorder="1" applyAlignment="1">
      <alignment vertical="center" wrapText="1"/>
    </xf>
    <xf numFmtId="0" fontId="29" fillId="0" borderId="3" xfId="0" applyNumberFormat="1" applyFont="1" applyFill="1" applyBorder="1" applyAlignment="1">
      <alignment vertical="center" wrapText="1"/>
    </xf>
    <xf numFmtId="0" fontId="12" fillId="3" borderId="3" xfId="0" applyNumberFormat="1" applyFont="1" applyFill="1" applyBorder="1" applyAlignment="1">
      <alignment vertical="center" wrapText="1"/>
    </xf>
    <xf numFmtId="0" fontId="29" fillId="3" borderId="2" xfId="0" applyNumberFormat="1" applyFont="1" applyFill="1" applyBorder="1" applyAlignment="1">
      <alignment vertical="center" wrapText="1"/>
    </xf>
    <xf numFmtId="0" fontId="29" fillId="3" borderId="1" xfId="0" applyNumberFormat="1" applyFont="1" applyFill="1" applyBorder="1" applyAlignment="1" applyProtection="1">
      <alignment vertical="center" wrapText="1"/>
      <protection locked="0"/>
    </xf>
    <xf numFmtId="0" fontId="29" fillId="3" borderId="3" xfId="0" applyNumberFormat="1" applyFont="1" applyFill="1" applyBorder="1" applyAlignment="1" applyProtection="1">
      <alignment vertical="center" wrapText="1"/>
      <protection locked="0"/>
    </xf>
    <xf numFmtId="49" fontId="16" fillId="3" borderId="1" xfId="0" applyNumberFormat="1" applyFont="1" applyFill="1" applyBorder="1" applyAlignment="1" applyProtection="1">
      <alignment vertical="center" wrapText="1"/>
    </xf>
    <xf numFmtId="49" fontId="12" fillId="3" borderId="3" xfId="0" applyNumberFormat="1" applyFont="1" applyFill="1" applyBorder="1" applyAlignment="1" applyProtection="1">
      <alignment vertical="center" wrapText="1"/>
    </xf>
    <xf numFmtId="49" fontId="12" fillId="3" borderId="1" xfId="0" applyNumberFormat="1" applyFont="1" applyFill="1" applyBorder="1" applyAlignment="1" applyProtection="1">
      <alignment vertical="center" wrapText="1"/>
    </xf>
    <xf numFmtId="169" fontId="16" fillId="13" borderId="1" xfId="2" applyNumberFormat="1" applyFont="1" applyFill="1" applyBorder="1" applyAlignment="1" applyProtection="1">
      <alignment vertical="center" wrapText="1"/>
    </xf>
    <xf numFmtId="49" fontId="29" fillId="3" borderId="3" xfId="0" applyNumberFormat="1" applyFont="1" applyFill="1" applyBorder="1" applyAlignment="1" applyProtection="1">
      <alignment vertical="center" wrapText="1"/>
      <protection locked="0"/>
    </xf>
    <xf numFmtId="0" fontId="16" fillId="3" borderId="1" xfId="0" applyFont="1" applyFill="1" applyBorder="1" applyAlignment="1" applyProtection="1">
      <alignment vertical="center" wrapText="1"/>
      <protection locked="0"/>
    </xf>
    <xf numFmtId="0" fontId="12" fillId="3" borderId="1" xfId="0" applyFont="1" applyFill="1" applyBorder="1" applyAlignment="1" applyProtection="1">
      <alignment vertical="center" wrapText="1"/>
      <protection locked="0"/>
    </xf>
    <xf numFmtId="0" fontId="12" fillId="3" borderId="3" xfId="0" applyFont="1" applyFill="1" applyBorder="1" applyAlignment="1" applyProtection="1">
      <alignment vertical="center" wrapText="1"/>
      <protection locked="0"/>
    </xf>
    <xf numFmtId="0" fontId="50" fillId="0" borderId="3" xfId="0" applyFont="1" applyFill="1" applyBorder="1" applyAlignment="1">
      <alignment vertical="center" wrapText="1"/>
    </xf>
    <xf numFmtId="0" fontId="47" fillId="3" borderId="1" xfId="0" applyNumberFormat="1" applyFont="1" applyFill="1" applyBorder="1" applyAlignment="1">
      <alignment vertical="center" wrapText="1"/>
    </xf>
    <xf numFmtId="169" fontId="16" fillId="13" borderId="1" xfId="2" applyNumberFormat="1" applyFont="1" applyFill="1" applyBorder="1" applyAlignment="1">
      <alignment vertical="center" wrapText="1"/>
    </xf>
    <xf numFmtId="3" fontId="29" fillId="13" borderId="1" xfId="3" applyNumberFormat="1" applyFont="1" applyFill="1" applyBorder="1" applyAlignment="1">
      <alignment vertical="center" wrapText="1"/>
    </xf>
    <xf numFmtId="170" fontId="29" fillId="3" borderId="3" xfId="0" applyNumberFormat="1" applyFont="1" applyFill="1" applyBorder="1" applyAlignment="1" applyProtection="1">
      <alignment vertical="center" wrapText="1"/>
      <protection locked="0"/>
    </xf>
    <xf numFmtId="170" fontId="29" fillId="3" borderId="1" xfId="0" applyNumberFormat="1" applyFont="1" applyFill="1" applyBorder="1" applyAlignment="1" applyProtection="1">
      <alignment vertical="center" wrapText="1"/>
      <protection locked="0"/>
    </xf>
    <xf numFmtId="170" fontId="12" fillId="3" borderId="3" xfId="0" applyNumberFormat="1" applyFont="1" applyFill="1" applyBorder="1" applyAlignment="1" applyProtection="1">
      <alignment vertical="center" wrapText="1"/>
      <protection locked="0"/>
    </xf>
    <xf numFmtId="169" fontId="16" fillId="12" borderId="1" xfId="0" applyNumberFormat="1" applyFont="1" applyFill="1" applyBorder="1" applyAlignment="1" applyProtection="1">
      <alignment vertical="center" wrapText="1"/>
      <protection locked="0"/>
    </xf>
    <xf numFmtId="169" fontId="16" fillId="12" borderId="1" xfId="2" applyNumberFormat="1" applyFont="1" applyFill="1" applyBorder="1" applyAlignment="1">
      <alignment vertical="center" wrapText="1"/>
    </xf>
    <xf numFmtId="0" fontId="0" fillId="3" borderId="3" xfId="0" applyNumberFormat="1" applyFont="1" applyFill="1" applyBorder="1" applyAlignment="1">
      <alignment wrapText="1"/>
    </xf>
    <xf numFmtId="0" fontId="29" fillId="0" borderId="3" xfId="0" applyNumberFormat="1" applyFont="1" applyBorder="1" applyAlignment="1">
      <alignment vertical="center" wrapText="1"/>
    </xf>
    <xf numFmtId="3" fontId="29" fillId="12" borderId="1" xfId="3" applyNumberFormat="1" applyFont="1" applyFill="1" applyBorder="1" applyAlignment="1">
      <alignment vertical="center" wrapText="1"/>
    </xf>
    <xf numFmtId="164" fontId="29" fillId="12" borderId="1" xfId="3" applyFont="1" applyFill="1" applyBorder="1" applyAlignment="1">
      <alignment vertical="center" wrapText="1"/>
    </xf>
    <xf numFmtId="0" fontId="29" fillId="3" borderId="1" xfId="0" applyFont="1" applyFill="1" applyBorder="1" applyAlignment="1" applyProtection="1">
      <alignment vertical="top" wrapText="1"/>
      <protection locked="0"/>
    </xf>
    <xf numFmtId="0" fontId="30" fillId="3" borderId="1" xfId="0" applyFont="1" applyFill="1" applyBorder="1" applyAlignment="1" applyProtection="1">
      <alignment vertical="center" wrapText="1"/>
      <protection locked="0"/>
    </xf>
    <xf numFmtId="164" fontId="29" fillId="13" borderId="1" xfId="3" applyFont="1" applyFill="1" applyBorder="1" applyAlignment="1">
      <alignment vertical="center" wrapText="1"/>
    </xf>
    <xf numFmtId="2" fontId="29" fillId="3" borderId="1" xfId="0" applyNumberFormat="1" applyFont="1" applyFill="1" applyBorder="1" applyAlignment="1" applyProtection="1">
      <alignment vertical="center" wrapText="1"/>
      <protection locked="0"/>
    </xf>
    <xf numFmtId="0" fontId="29" fillId="3" borderId="2" xfId="0" applyFont="1" applyFill="1" applyBorder="1" applyAlignment="1" applyProtection="1">
      <alignment vertical="top" wrapText="1"/>
      <protection locked="0"/>
    </xf>
    <xf numFmtId="3" fontId="29" fillId="13" borderId="1" xfId="0" applyNumberFormat="1" applyFont="1" applyFill="1" applyBorder="1" applyAlignment="1">
      <alignment vertical="center" wrapText="1"/>
    </xf>
    <xf numFmtId="164" fontId="29" fillId="12" borderId="1" xfId="0" applyNumberFormat="1" applyFont="1" applyFill="1" applyBorder="1" applyAlignment="1">
      <alignment vertical="center" wrapText="1"/>
    </xf>
    <xf numFmtId="0" fontId="23" fillId="3" borderId="3" xfId="0" applyNumberFormat="1" applyFont="1" applyFill="1" applyBorder="1" applyAlignment="1">
      <alignment wrapText="1"/>
    </xf>
    <xf numFmtId="0" fontId="0" fillId="0" borderId="23" xfId="0" applyNumberFormat="1" applyFont="1" applyBorder="1" applyAlignment="1" applyProtection="1">
      <alignment vertical="top" wrapText="1"/>
    </xf>
    <xf numFmtId="169" fontId="16" fillId="12" borderId="3" xfId="2" applyNumberFormat="1" applyFont="1" applyFill="1" applyBorder="1" applyAlignment="1" applyProtection="1">
      <alignment vertical="center" wrapText="1"/>
    </xf>
    <xf numFmtId="0" fontId="0" fillId="3" borderId="1" xfId="0" applyNumberFormat="1" applyFont="1" applyFill="1" applyBorder="1" applyAlignment="1">
      <alignment vertical="center" wrapText="1"/>
    </xf>
    <xf numFmtId="169" fontId="29" fillId="12" borderId="3" xfId="2" applyNumberFormat="1" applyFont="1" applyFill="1" applyBorder="1" applyAlignment="1" applyProtection="1">
      <alignment vertical="center" wrapText="1"/>
      <protection locked="0"/>
    </xf>
    <xf numFmtId="1" fontId="29" fillId="3" borderId="3" xfId="0" applyNumberFormat="1" applyFont="1" applyFill="1" applyBorder="1" applyAlignment="1" applyProtection="1">
      <alignment vertical="center" wrapText="1"/>
      <protection locked="0"/>
    </xf>
    <xf numFmtId="0" fontId="29" fillId="0" borderId="3" xfId="0" applyFont="1" applyFill="1" applyBorder="1" applyAlignment="1" applyProtection="1">
      <alignment vertical="center" wrapText="1"/>
      <protection locked="0"/>
    </xf>
    <xf numFmtId="170" fontId="47" fillId="3" borderId="1" xfId="0" applyNumberFormat="1" applyFont="1" applyFill="1" applyBorder="1" applyAlignment="1" applyProtection="1">
      <alignment vertical="center" wrapText="1"/>
      <protection locked="0"/>
    </xf>
    <xf numFmtId="0" fontId="47" fillId="3" borderId="1" xfId="0" applyFont="1" applyFill="1" applyBorder="1" applyAlignment="1">
      <alignment vertical="center" wrapText="1"/>
    </xf>
    <xf numFmtId="0" fontId="29" fillId="3" borderId="3" xfId="0" applyFont="1" applyFill="1" applyBorder="1" applyAlignment="1">
      <alignment vertical="center" wrapText="1"/>
    </xf>
    <xf numFmtId="0" fontId="29" fillId="3" borderId="3" xfId="4" applyFont="1" applyFill="1" applyBorder="1" applyAlignment="1" applyProtection="1">
      <alignment vertical="center" wrapText="1"/>
      <protection locked="0"/>
    </xf>
    <xf numFmtId="0" fontId="29" fillId="3" borderId="3"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9" fontId="29" fillId="3" borderId="3" xfId="0" applyNumberFormat="1" applyFont="1" applyFill="1" applyBorder="1" applyAlignment="1" applyProtection="1">
      <alignment horizontal="center" vertical="center" wrapText="1"/>
      <protection locked="0"/>
    </xf>
    <xf numFmtId="49" fontId="29" fillId="3" borderId="2" xfId="0" applyNumberFormat="1"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164" fontId="29" fillId="13" borderId="1" xfId="3" applyFont="1" applyFill="1" applyBorder="1" applyAlignment="1">
      <alignment horizontal="center" vertical="center" wrapText="1"/>
    </xf>
    <xf numFmtId="0" fontId="29" fillId="3" borderId="1" xfId="0" applyFont="1" applyFill="1" applyBorder="1" applyAlignment="1" applyProtection="1">
      <alignment horizontal="center" vertical="center" wrapText="1"/>
      <protection locked="0"/>
    </xf>
    <xf numFmtId="49" fontId="29" fillId="3" borderId="1" xfId="0" applyNumberFormat="1" applyFont="1" applyFill="1" applyBorder="1" applyAlignment="1" applyProtection="1">
      <alignment horizontal="center" vertical="center" wrapText="1"/>
      <protection locked="0"/>
    </xf>
    <xf numFmtId="170" fontId="12" fillId="3" borderId="1" xfId="0" applyNumberFormat="1" applyFont="1" applyFill="1" applyBorder="1" applyAlignment="1" applyProtection="1">
      <alignment horizontal="center" vertical="center" wrapText="1"/>
      <protection locked="0"/>
    </xf>
    <xf numFmtId="0" fontId="29" fillId="3" borderId="1"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0" fontId="29" fillId="3" borderId="1" xfId="4" applyFont="1" applyFill="1" applyBorder="1" applyAlignment="1" applyProtection="1">
      <alignment horizontal="center" vertical="center" wrapText="1"/>
      <protection locked="0"/>
    </xf>
    <xf numFmtId="0" fontId="29" fillId="3" borderId="1" xfId="0" applyNumberFormat="1" applyFont="1" applyFill="1" applyBorder="1" applyAlignment="1">
      <alignment horizontal="left" vertical="center" wrapText="1"/>
    </xf>
    <xf numFmtId="164" fontId="29" fillId="12" borderId="1" xfId="3" applyFont="1" applyFill="1" applyBorder="1" applyAlignment="1">
      <alignment horizontal="center" vertical="center" wrapText="1"/>
    </xf>
    <xf numFmtId="0" fontId="29" fillId="3" borderId="3" xfId="4" applyFont="1" applyFill="1" applyBorder="1" applyAlignment="1" applyProtection="1">
      <alignment vertical="center" wrapText="1"/>
      <protection locked="0"/>
    </xf>
    <xf numFmtId="0" fontId="29" fillId="3" borderId="20" xfId="4" applyFont="1" applyFill="1" applyBorder="1" applyAlignment="1" applyProtection="1">
      <alignment vertical="center" wrapText="1"/>
      <protection locked="0"/>
    </xf>
    <xf numFmtId="0" fontId="29" fillId="3" borderId="2" xfId="4" applyFont="1" applyFill="1" applyBorder="1" applyAlignment="1" applyProtection="1">
      <alignment vertical="center" wrapText="1"/>
      <protection locked="0"/>
    </xf>
    <xf numFmtId="0" fontId="29" fillId="13" borderId="1" xfId="0" applyNumberFormat="1" applyFont="1" applyFill="1" applyBorder="1" applyAlignment="1">
      <alignment horizontal="center" vertical="center" wrapText="1"/>
    </xf>
    <xf numFmtId="170" fontId="47" fillId="3" borderId="1" xfId="0" applyNumberFormat="1" applyFont="1" applyFill="1" applyBorder="1" applyAlignment="1" applyProtection="1">
      <alignment horizontal="center" vertical="center" wrapText="1"/>
      <protection locked="0"/>
    </xf>
    <xf numFmtId="0" fontId="47" fillId="3" borderId="1" xfId="0" applyFont="1" applyFill="1" applyBorder="1" applyAlignment="1" applyProtection="1">
      <alignment horizontal="center" vertical="center" wrapText="1"/>
      <protection locked="0"/>
    </xf>
    <xf numFmtId="0" fontId="16"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3" borderId="0" xfId="0" applyNumberFormat="1" applyFont="1" applyFill="1" applyAlignment="1">
      <alignment horizontal="center" vertical="center"/>
    </xf>
    <xf numFmtId="164" fontId="29" fillId="3" borderId="1" xfId="3" applyFont="1" applyFill="1" applyBorder="1" applyAlignment="1">
      <alignment horizontal="center" vertical="center" wrapText="1"/>
    </xf>
    <xf numFmtId="0" fontId="16"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1" xfId="36" applyFont="1" applyFill="1" applyBorder="1" applyAlignment="1" applyProtection="1">
      <alignment horizontal="center" vertical="center" wrapText="1"/>
      <protection locked="0"/>
    </xf>
    <xf numFmtId="49" fontId="16" fillId="3" borderId="1" xfId="0" applyNumberFormat="1" applyFont="1" applyFill="1" applyBorder="1" applyAlignment="1" applyProtection="1">
      <alignment horizontal="center" vertical="center" wrapText="1"/>
    </xf>
    <xf numFmtId="49" fontId="12" fillId="3" borderId="1" xfId="0" applyNumberFormat="1"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47" fillId="3" borderId="1" xfId="0" applyNumberFormat="1" applyFont="1" applyFill="1" applyBorder="1" applyAlignment="1">
      <alignment horizontal="center" vertical="center" wrapText="1"/>
    </xf>
    <xf numFmtId="169" fontId="16" fillId="13" borderId="1" xfId="2" applyNumberFormat="1" applyFont="1" applyFill="1" applyBorder="1" applyAlignment="1" applyProtection="1">
      <alignment horizontal="center" vertical="center" wrapText="1"/>
    </xf>
    <xf numFmtId="0" fontId="23" fillId="3" borderId="20" xfId="0" applyNumberFormat="1" applyFont="1" applyFill="1" applyBorder="1" applyAlignment="1">
      <alignment wrapText="1"/>
    </xf>
    <xf numFmtId="49" fontId="29" fillId="3" borderId="1" xfId="0" applyNumberFormat="1" applyFont="1" applyFill="1" applyBorder="1" applyAlignment="1" applyProtection="1">
      <alignment horizontal="center" vertical="center" wrapText="1"/>
      <protection locked="0"/>
    </xf>
    <xf numFmtId="0" fontId="23" fillId="3" borderId="20" xfId="0" applyNumberFormat="1" applyFont="1" applyFill="1" applyBorder="1" applyAlignment="1">
      <alignment vertical="center" wrapText="1"/>
    </xf>
    <xf numFmtId="0" fontId="29" fillId="3" borderId="1" xfId="0" applyFont="1" applyFill="1" applyBorder="1" applyAlignment="1">
      <alignment vertical="center" wrapText="1"/>
    </xf>
    <xf numFmtId="0" fontId="0" fillId="3" borderId="20" xfId="0" applyNumberFormat="1" applyFont="1" applyFill="1" applyBorder="1" applyAlignment="1">
      <alignment wrapText="1"/>
    </xf>
    <xf numFmtId="169" fontId="29" fillId="13" borderId="1" xfId="0" applyNumberFormat="1" applyFont="1" applyFill="1" applyBorder="1" applyAlignment="1">
      <alignment vertical="center" wrapText="1"/>
    </xf>
    <xf numFmtId="164" fontId="29" fillId="3" borderId="1" xfId="3" applyFont="1" applyFill="1" applyBorder="1" applyAlignment="1">
      <alignment vertical="center" wrapText="1"/>
    </xf>
    <xf numFmtId="164" fontId="29" fillId="3" borderId="3" xfId="3" applyFont="1" applyFill="1" applyBorder="1" applyAlignment="1">
      <alignment vertical="center" wrapText="1"/>
    </xf>
    <xf numFmtId="0" fontId="0" fillId="3" borderId="23" xfId="0" applyNumberFormat="1" applyFont="1" applyFill="1" applyBorder="1" applyAlignment="1">
      <alignment wrapText="1"/>
    </xf>
    <xf numFmtId="0" fontId="16" fillId="3" borderId="1" xfId="0" applyNumberFormat="1" applyFont="1" applyFill="1" applyBorder="1" applyAlignment="1">
      <alignment vertical="center" wrapText="1"/>
    </xf>
    <xf numFmtId="0" fontId="9" fillId="3" borderId="1" xfId="0" applyFont="1" applyFill="1" applyBorder="1" applyAlignment="1">
      <alignment vertical="center" wrapText="1"/>
    </xf>
    <xf numFmtId="0" fontId="12" fillId="3" borderId="1" xfId="0" applyFont="1" applyFill="1" applyBorder="1" applyAlignment="1">
      <alignment vertical="center" wrapText="1"/>
    </xf>
    <xf numFmtId="0" fontId="12" fillId="3" borderId="3" xfId="0" applyFont="1" applyFill="1" applyBorder="1" applyAlignment="1">
      <alignment vertical="center" wrapText="1"/>
    </xf>
    <xf numFmtId="169" fontId="16" fillId="3" borderId="1" xfId="2" applyNumberFormat="1" applyFont="1" applyFill="1" applyBorder="1" applyAlignment="1" applyProtection="1">
      <alignment vertical="center" wrapText="1"/>
      <protection locked="0"/>
    </xf>
    <xf numFmtId="37" fontId="15" fillId="3" borderId="1" xfId="0" applyNumberFormat="1" applyFont="1" applyFill="1" applyBorder="1" applyAlignment="1" applyProtection="1">
      <alignment horizontal="center" vertical="center" wrapText="1"/>
      <protection locked="0"/>
    </xf>
    <xf numFmtId="0" fontId="29" fillId="3" borderId="1" xfId="7" applyFont="1" applyFill="1" applyBorder="1" applyAlignment="1">
      <alignment horizontal="left" vertical="center" wrapText="1"/>
    </xf>
    <xf numFmtId="3" fontId="29" fillId="3" borderId="1" xfId="4" applyNumberFormat="1" applyFont="1" applyFill="1" applyBorder="1" applyAlignment="1" applyProtection="1">
      <alignment vertical="center" wrapText="1"/>
      <protection locked="0"/>
    </xf>
    <xf numFmtId="0" fontId="0" fillId="3" borderId="1" xfId="0" applyFill="1" applyBorder="1" applyAlignment="1">
      <alignment wrapText="1"/>
    </xf>
    <xf numFmtId="0" fontId="29" fillId="3" borderId="1" xfId="0" applyFont="1" applyFill="1" applyBorder="1" applyAlignment="1">
      <alignment wrapText="1"/>
    </xf>
    <xf numFmtId="165" fontId="29" fillId="3" borderId="1" xfId="2" applyFont="1" applyFill="1" applyBorder="1" applyAlignment="1" applyProtection="1">
      <alignment vertical="center"/>
      <protection locked="0"/>
    </xf>
    <xf numFmtId="0" fontId="16" fillId="3" borderId="1" xfId="0" applyFont="1" applyFill="1" applyBorder="1" applyAlignment="1">
      <alignment wrapText="1"/>
    </xf>
    <xf numFmtId="3" fontId="16" fillId="3" borderId="1" xfId="0" applyNumberFormat="1" applyFont="1" applyFill="1" applyBorder="1" applyAlignment="1">
      <alignment horizontal="right" vertical="center"/>
    </xf>
    <xf numFmtId="3" fontId="16" fillId="3" borderId="1" xfId="3" applyNumberFormat="1" applyFont="1" applyFill="1" applyBorder="1" applyAlignment="1">
      <alignment horizontal="right" vertical="center"/>
    </xf>
    <xf numFmtId="169" fontId="26" fillId="3" borderId="3" xfId="0" applyNumberFormat="1" applyFont="1" applyFill="1" applyBorder="1" applyAlignment="1" applyProtection="1">
      <alignment vertical="center" wrapText="1"/>
      <protection locked="0"/>
    </xf>
    <xf numFmtId="44" fontId="16" fillId="3" borderId="1" xfId="35" applyFont="1" applyFill="1" applyBorder="1" applyAlignment="1">
      <alignment vertical="center"/>
    </xf>
    <xf numFmtId="0" fontId="16" fillId="3" borderId="1" xfId="33" applyFont="1" applyFill="1" applyBorder="1" applyAlignment="1">
      <alignment vertical="center" wrapText="1"/>
    </xf>
    <xf numFmtId="0" fontId="29" fillId="3" borderId="1" xfId="2" applyNumberFormat="1" applyFont="1" applyFill="1" applyBorder="1" applyAlignment="1" applyProtection="1">
      <alignment horizontal="center" vertical="center" wrapText="1"/>
      <protection locked="0"/>
    </xf>
    <xf numFmtId="0" fontId="29" fillId="3" borderId="1" xfId="0" applyFont="1" applyFill="1" applyBorder="1" applyAlignment="1" applyProtection="1">
      <alignment wrapText="1"/>
      <protection locked="0"/>
    </xf>
    <xf numFmtId="169" fontId="16" fillId="3" borderId="1" xfId="0" applyNumberFormat="1" applyFont="1" applyFill="1" applyBorder="1" applyAlignment="1" applyProtection="1">
      <alignment vertical="center" wrapText="1"/>
      <protection locked="0"/>
    </xf>
    <xf numFmtId="0" fontId="29" fillId="3" borderId="1" xfId="0" applyFont="1" applyFill="1" applyBorder="1" applyAlignment="1">
      <alignment horizontal="left" vertical="center" wrapText="1"/>
    </xf>
    <xf numFmtId="171" fontId="29" fillId="3" borderId="1" xfId="1" applyNumberFormat="1" applyFont="1" applyFill="1" applyBorder="1" applyAlignment="1" applyProtection="1">
      <alignment vertical="center" wrapText="1"/>
      <protection locked="0"/>
    </xf>
    <xf numFmtId="171" fontId="29" fillId="3" borderId="1" xfId="1" applyNumberFormat="1" applyFont="1" applyFill="1" applyBorder="1" applyAlignment="1" applyProtection="1">
      <alignment horizontal="center" vertical="center" wrapText="1"/>
      <protection locked="0"/>
    </xf>
    <xf numFmtId="169" fontId="29" fillId="3" borderId="1" xfId="9" applyNumberFormat="1" applyFont="1" applyFill="1" applyBorder="1" applyAlignment="1" applyProtection="1">
      <alignment vertical="center"/>
      <protection locked="0"/>
    </xf>
    <xf numFmtId="1" fontId="29" fillId="3" borderId="1" xfId="0" applyNumberFormat="1" applyFont="1" applyFill="1" applyBorder="1" applyAlignment="1" applyProtection="1">
      <alignment vertical="center" wrapText="1"/>
      <protection locked="0"/>
    </xf>
    <xf numFmtId="3" fontId="29" fillId="3" borderId="1" xfId="0" applyNumberFormat="1" applyFont="1" applyFill="1" applyBorder="1" applyAlignment="1">
      <alignment vertical="center"/>
    </xf>
    <xf numFmtId="37" fontId="29" fillId="3" borderId="1" xfId="9" applyNumberFormat="1" applyFont="1" applyFill="1" applyBorder="1" applyAlignment="1" applyProtection="1">
      <alignment vertical="center" wrapText="1"/>
      <protection locked="0"/>
    </xf>
    <xf numFmtId="37" fontId="16" fillId="3" borderId="1" xfId="0" applyNumberFormat="1" applyFont="1" applyFill="1" applyBorder="1" applyAlignment="1" applyProtection="1">
      <alignment vertical="top" wrapText="1"/>
      <protection locked="0"/>
    </xf>
    <xf numFmtId="169" fontId="16" fillId="3" borderId="1" xfId="9" applyNumberFormat="1" applyFont="1" applyFill="1" applyBorder="1" applyAlignment="1" applyProtection="1">
      <alignment vertical="center"/>
      <protection locked="0"/>
    </xf>
    <xf numFmtId="0" fontId="29" fillId="3" borderId="1" xfId="36" applyFont="1" applyFill="1" applyBorder="1" applyAlignment="1" applyProtection="1">
      <alignment vertical="center" wrapText="1"/>
      <protection locked="0"/>
    </xf>
    <xf numFmtId="169" fontId="25" fillId="3" borderId="1" xfId="2" applyNumberFormat="1" applyFont="1" applyFill="1" applyBorder="1" applyAlignment="1" applyProtection="1">
      <alignment vertical="center"/>
      <protection locked="0"/>
    </xf>
    <xf numFmtId="1" fontId="26" fillId="3" borderId="1" xfId="0" applyNumberFormat="1" applyFont="1" applyFill="1" applyBorder="1" applyAlignment="1" applyProtection="1">
      <alignment horizontal="center" vertical="center" wrapText="1"/>
      <protection locked="0"/>
    </xf>
    <xf numFmtId="0" fontId="26" fillId="3" borderId="1" xfId="0" applyFont="1" applyFill="1" applyBorder="1" applyAlignment="1" applyProtection="1">
      <alignment horizontal="center" vertical="center" wrapText="1"/>
      <protection locked="0"/>
    </xf>
    <xf numFmtId="169" fontId="29" fillId="3" borderId="1" xfId="2" applyNumberFormat="1" applyFont="1" applyFill="1" applyBorder="1" applyAlignment="1" applyProtection="1">
      <alignment vertical="center"/>
      <protection locked="0"/>
    </xf>
    <xf numFmtId="167" fontId="29" fillId="3" borderId="1" xfId="6" applyFont="1" applyFill="1" applyBorder="1" applyAlignment="1">
      <alignment horizontal="center" vertical="center" wrapText="1"/>
    </xf>
    <xf numFmtId="0" fontId="38" fillId="3" borderId="0" xfId="0" applyFont="1" applyFill="1" applyAlignment="1">
      <alignment horizontal="justify" vertical="top" wrapText="1"/>
    </xf>
    <xf numFmtId="0" fontId="0" fillId="0" borderId="3" xfId="0" applyBorder="1" applyAlignment="1">
      <alignment wrapText="1"/>
    </xf>
    <xf numFmtId="0" fontId="0" fillId="0" borderId="2" xfId="0" applyBorder="1" applyAlignment="1">
      <alignment wrapText="1"/>
    </xf>
    <xf numFmtId="0" fontId="23" fillId="0" borderId="1" xfId="0" applyNumberFormat="1" applyFont="1" applyBorder="1" applyAlignment="1">
      <alignment horizontal="center" vertical="center" wrapText="1"/>
    </xf>
    <xf numFmtId="0" fontId="29" fillId="0" borderId="3" xfId="0" applyNumberFormat="1" applyFont="1" applyBorder="1" applyAlignment="1">
      <alignment vertical="top" wrapText="1"/>
    </xf>
    <xf numFmtId="169" fontId="13" fillId="3" borderId="1" xfId="38" applyNumberFormat="1" applyFont="1" applyFill="1" applyBorder="1" applyAlignment="1" applyProtection="1">
      <alignment vertical="center" wrapText="1"/>
    </xf>
    <xf numFmtId="0" fontId="29" fillId="3" borderId="1" xfId="0" applyNumberFormat="1" applyFont="1" applyFill="1" applyBorder="1" applyAlignment="1">
      <alignment horizontal="center" vertical="center" wrapText="1"/>
    </xf>
    <xf numFmtId="49" fontId="29" fillId="3" borderId="1" xfId="0" applyNumberFormat="1" applyFont="1" applyFill="1" applyBorder="1" applyAlignment="1" applyProtection="1">
      <alignment horizontal="center" vertical="center" wrapText="1"/>
      <protection locked="0"/>
    </xf>
    <xf numFmtId="170" fontId="12" fillId="3" borderId="1" xfId="0" applyNumberFormat="1" applyFont="1" applyFill="1" applyBorder="1" applyAlignment="1" applyProtection="1">
      <alignment horizontal="center" vertical="center" wrapText="1"/>
      <protection locked="0"/>
    </xf>
    <xf numFmtId="0" fontId="29" fillId="3" borderId="3" xfId="0" applyNumberFormat="1" applyFont="1" applyFill="1" applyBorder="1" applyAlignment="1">
      <alignment horizontal="center" vertical="center" wrapText="1"/>
    </xf>
    <xf numFmtId="0" fontId="29" fillId="3" borderId="1" xfId="0" applyFont="1" applyFill="1" applyBorder="1" applyAlignment="1" applyProtection="1">
      <alignment horizontal="center" vertical="center" wrapText="1"/>
      <protection locked="0"/>
    </xf>
    <xf numFmtId="0" fontId="29" fillId="3" borderId="3" xfId="4" applyFont="1" applyFill="1" applyBorder="1" applyAlignment="1" applyProtection="1">
      <alignment horizontal="center" vertical="center" wrapText="1"/>
      <protection locked="0"/>
    </xf>
    <xf numFmtId="0" fontId="29" fillId="3" borderId="1" xfId="0" applyNumberFormat="1" applyFont="1" applyFill="1" applyBorder="1" applyAlignment="1">
      <alignment horizontal="left" vertical="center" wrapText="1"/>
    </xf>
    <xf numFmtId="0" fontId="29" fillId="3" borderId="1" xfId="4" applyFont="1" applyFill="1" applyBorder="1" applyAlignment="1" applyProtection="1">
      <alignment horizontal="center" vertical="center" wrapText="1"/>
      <protection locked="0"/>
    </xf>
    <xf numFmtId="0" fontId="0" fillId="3" borderId="0" xfId="0" applyNumberFormat="1" applyFont="1" applyFill="1" applyAlignment="1">
      <alignment horizontal="center" vertical="center"/>
    </xf>
    <xf numFmtId="3" fontId="0" fillId="0" borderId="1" xfId="0" applyNumberFormat="1" applyBorder="1" applyAlignment="1">
      <alignment vertical="center"/>
    </xf>
    <xf numFmtId="0" fontId="6" fillId="3" borderId="1" xfId="0" applyFont="1" applyFill="1" applyBorder="1" applyAlignment="1">
      <alignment wrapText="1"/>
    </xf>
    <xf numFmtId="49" fontId="29" fillId="3" borderId="20" xfId="0" applyNumberFormat="1" applyFont="1" applyFill="1" applyBorder="1" applyAlignment="1" applyProtection="1">
      <alignment vertical="center" wrapText="1"/>
      <protection locked="0"/>
    </xf>
    <xf numFmtId="0" fontId="29" fillId="0" borderId="20" xfId="0" applyNumberFormat="1" applyFont="1" applyBorder="1" applyAlignment="1">
      <alignment vertical="center" wrapText="1"/>
    </xf>
    <xf numFmtId="169" fontId="6" fillId="3" borderId="1" xfId="2" applyNumberFormat="1" applyFont="1" applyFill="1" applyBorder="1" applyAlignment="1" applyProtection="1">
      <alignment vertical="center" wrapText="1"/>
    </xf>
    <xf numFmtId="49" fontId="29" fillId="3" borderId="1" xfId="0" applyNumberFormat="1" applyFont="1" applyFill="1" applyBorder="1" applyAlignment="1" applyProtection="1">
      <alignment horizontal="center" vertical="center" wrapText="1"/>
      <protection locked="0"/>
    </xf>
    <xf numFmtId="0" fontId="29" fillId="3" borderId="1" xfId="0" applyNumberFormat="1" applyFont="1" applyFill="1" applyBorder="1" applyAlignment="1">
      <alignment horizontal="center" vertical="center" wrapText="1"/>
    </xf>
    <xf numFmtId="0" fontId="29" fillId="3" borderId="1" xfId="0" applyFont="1" applyFill="1" applyBorder="1" applyAlignment="1" applyProtection="1">
      <alignment horizontal="center" vertical="center" wrapText="1"/>
      <protection locked="0"/>
    </xf>
    <xf numFmtId="170" fontId="12" fillId="3" borderId="1" xfId="0" applyNumberFormat="1" applyFont="1" applyFill="1" applyBorder="1" applyAlignment="1" applyProtection="1">
      <alignment horizontal="center" vertical="center" wrapText="1"/>
      <protection locked="0"/>
    </xf>
    <xf numFmtId="44" fontId="0" fillId="0" borderId="0" xfId="0" applyNumberFormat="1"/>
    <xf numFmtId="169" fontId="5" fillId="13" borderId="1" xfId="2" applyNumberFormat="1" applyFont="1" applyFill="1" applyBorder="1" applyAlignment="1" applyProtection="1">
      <alignment horizontal="center" vertical="center" wrapText="1"/>
    </xf>
    <xf numFmtId="49" fontId="29" fillId="3" borderId="0" xfId="0" applyNumberFormat="1" applyFont="1" applyFill="1" applyBorder="1" applyAlignment="1" applyProtection="1">
      <alignment horizontal="center" vertical="center" wrapText="1"/>
      <protection locked="0"/>
    </xf>
    <xf numFmtId="169" fontId="29" fillId="16" borderId="1" xfId="2" applyNumberFormat="1" applyFont="1" applyFill="1" applyBorder="1" applyAlignment="1" applyProtection="1">
      <alignment horizontal="center" vertical="center"/>
      <protection locked="0"/>
    </xf>
    <xf numFmtId="0" fontId="29" fillId="3" borderId="1" xfId="0" applyNumberFormat="1" applyFont="1" applyFill="1" applyBorder="1" applyAlignment="1">
      <alignment horizontal="left" vertical="center" wrapText="1"/>
    </xf>
    <xf numFmtId="49" fontId="29" fillId="3" borderId="1" xfId="0" applyNumberFormat="1" applyFont="1" applyFill="1" applyBorder="1" applyAlignment="1" applyProtection="1">
      <alignment horizontal="center" vertical="center" wrapText="1"/>
      <protection locked="0"/>
    </xf>
    <xf numFmtId="0" fontId="29" fillId="3" borderId="1" xfId="0" applyNumberFormat="1" applyFont="1" applyFill="1" applyBorder="1" applyAlignment="1">
      <alignment horizontal="center" vertical="center" wrapText="1"/>
    </xf>
    <xf numFmtId="0" fontId="29" fillId="3" borderId="1" xfId="0" applyFont="1" applyFill="1" applyBorder="1" applyAlignment="1" applyProtection="1">
      <alignment horizontal="center" vertical="center" wrapText="1"/>
      <protection locked="0"/>
    </xf>
    <xf numFmtId="0" fontId="29" fillId="3" borderId="1" xfId="0" applyNumberFormat="1" applyFont="1" applyFill="1" applyBorder="1" applyAlignment="1">
      <alignment horizontal="center" vertical="center" wrapText="1"/>
    </xf>
    <xf numFmtId="0" fontId="29" fillId="3" borderId="1" xfId="0" applyNumberFormat="1" applyFont="1" applyFill="1" applyBorder="1" applyAlignment="1">
      <alignment horizontal="center" vertical="center" wrapText="1"/>
    </xf>
    <xf numFmtId="164" fontId="29" fillId="3" borderId="1" xfId="3" applyFont="1" applyFill="1" applyBorder="1" applyAlignment="1">
      <alignment horizontal="center" vertical="center" wrapText="1"/>
    </xf>
    <xf numFmtId="0" fontId="0" fillId="3" borderId="0" xfId="0" applyNumberFormat="1" applyFont="1" applyFill="1" applyAlignment="1">
      <alignment horizontal="center" vertical="center"/>
    </xf>
    <xf numFmtId="0" fontId="29" fillId="3" borderId="1" xfId="4" applyFont="1" applyFill="1" applyBorder="1" applyAlignment="1" applyProtection="1">
      <alignment horizontal="center" vertical="center" wrapText="1"/>
      <protection locked="0"/>
    </xf>
    <xf numFmtId="49" fontId="29" fillId="3" borderId="1" xfId="0" applyNumberFormat="1" applyFont="1" applyFill="1" applyBorder="1" applyAlignment="1" applyProtection="1">
      <alignment horizontal="center" vertical="center" wrapText="1"/>
      <protection locked="0"/>
    </xf>
    <xf numFmtId="169" fontId="4" fillId="12" borderId="3" xfId="2" applyNumberFormat="1" applyFont="1" applyFill="1" applyBorder="1" applyAlignment="1" applyProtection="1">
      <alignment vertical="center" wrapText="1"/>
    </xf>
    <xf numFmtId="0" fontId="29" fillId="0" borderId="2" xfId="0" applyNumberFormat="1" applyFont="1" applyBorder="1" applyAlignment="1">
      <alignment vertical="top" wrapText="1"/>
    </xf>
    <xf numFmtId="3" fontId="25" fillId="0" borderId="1" xfId="2" applyNumberFormat="1" applyFont="1" applyFill="1" applyBorder="1" applyAlignment="1" applyProtection="1">
      <alignment vertical="center"/>
    </xf>
    <xf numFmtId="169" fontId="25" fillId="0" borderId="1" xfId="2" applyNumberFormat="1" applyFont="1" applyFill="1" applyBorder="1" applyAlignment="1" applyProtection="1">
      <alignment vertical="center"/>
    </xf>
    <xf numFmtId="175" fontId="52" fillId="0" borderId="1" xfId="8" applyNumberFormat="1" applyFont="1" applyFill="1" applyBorder="1" applyAlignment="1" applyProtection="1">
      <alignment horizontal="center" vertical="center" wrapText="1"/>
      <protection locked="0"/>
    </xf>
    <xf numFmtId="0" fontId="26" fillId="0" borderId="1" xfId="5" applyFont="1" applyFill="1" applyBorder="1" applyAlignment="1">
      <alignment horizontal="center" vertical="center"/>
    </xf>
    <xf numFmtId="3" fontId="57" fillId="14" borderId="1" xfId="0" applyNumberFormat="1" applyFont="1" applyFill="1" applyBorder="1" applyAlignment="1">
      <alignment vertical="center"/>
    </xf>
    <xf numFmtId="167" fontId="23" fillId="0" borderId="1" xfId="36" applyNumberFormat="1" applyFont="1" applyFill="1" applyBorder="1" applyAlignment="1">
      <alignment horizontal="center" vertical="center"/>
    </xf>
    <xf numFmtId="169" fontId="26" fillId="0" borderId="1" xfId="2" applyNumberFormat="1" applyFont="1" applyFill="1" applyBorder="1" applyAlignment="1" applyProtection="1">
      <alignment vertical="center"/>
      <protection locked="0"/>
    </xf>
    <xf numFmtId="169" fontId="16" fillId="0" borderId="1" xfId="2" applyNumberFormat="1" applyFont="1" applyFill="1" applyBorder="1" applyAlignment="1" applyProtection="1">
      <alignment horizontal="center" vertical="center"/>
    </xf>
    <xf numFmtId="0" fontId="29" fillId="0" borderId="1" xfId="0" applyNumberFormat="1" applyFont="1" applyFill="1" applyBorder="1" applyAlignment="1">
      <alignment horizontal="center" vertical="center" wrapText="1"/>
    </xf>
    <xf numFmtId="0" fontId="29" fillId="0" borderId="1" xfId="36" applyNumberFormat="1" applyFont="1" applyFill="1" applyBorder="1" applyAlignment="1">
      <alignment horizontal="center" vertical="center" wrapText="1"/>
    </xf>
    <xf numFmtId="37" fontId="13" fillId="0" borderId="1" xfId="36" applyNumberFormat="1" applyFont="1" applyFill="1" applyBorder="1" applyAlignment="1" applyProtection="1">
      <alignment horizontal="center" vertical="center" wrapText="1"/>
      <protection locked="0"/>
    </xf>
    <xf numFmtId="0" fontId="29" fillId="0" borderId="1" xfId="36" applyFont="1" applyFill="1" applyBorder="1" applyAlignment="1">
      <alignment vertical="center" wrapText="1"/>
    </xf>
    <xf numFmtId="0" fontId="23" fillId="0" borderId="1" xfId="36" applyNumberFormat="1" applyFont="1" applyFill="1" applyBorder="1" applyAlignment="1">
      <alignment horizontal="center" vertical="center"/>
    </xf>
    <xf numFmtId="0" fontId="23" fillId="0" borderId="1" xfId="36" applyNumberFormat="1" applyFont="1" applyFill="1" applyBorder="1"/>
    <xf numFmtId="0" fontId="29" fillId="0" borderId="1" xfId="36" applyFont="1" applyFill="1" applyBorder="1" applyAlignment="1" applyProtection="1">
      <alignment horizontal="center" vertical="center" wrapText="1"/>
      <protection locked="0"/>
    </xf>
    <xf numFmtId="1" fontId="29" fillId="0" borderId="1" xfId="36" applyNumberFormat="1" applyFont="1" applyFill="1" applyBorder="1" applyAlignment="1" applyProtection="1">
      <alignment horizontal="center" vertical="center" wrapText="1"/>
      <protection locked="0"/>
    </xf>
    <xf numFmtId="0" fontId="29" fillId="0" borderId="1" xfId="0" applyNumberFormat="1" applyFont="1" applyFill="1" applyBorder="1" applyAlignment="1">
      <alignment vertical="center" wrapText="1"/>
    </xf>
    <xf numFmtId="0" fontId="12" fillId="0" borderId="3" xfId="0" applyNumberFormat="1" applyFont="1" applyFill="1" applyBorder="1" applyAlignment="1">
      <alignment vertical="center" wrapText="1"/>
    </xf>
    <xf numFmtId="0" fontId="29" fillId="0" borderId="1" xfId="36" applyNumberFormat="1" applyFont="1" applyFill="1" applyBorder="1" applyAlignment="1">
      <alignment vertical="center" wrapText="1"/>
    </xf>
    <xf numFmtId="169" fontId="13" fillId="0" borderId="1" xfId="38" applyNumberFormat="1" applyFont="1" applyFill="1" applyBorder="1" applyAlignment="1" applyProtection="1">
      <alignment vertical="center" wrapText="1"/>
      <protection locked="0"/>
    </xf>
    <xf numFmtId="0" fontId="23" fillId="0" borderId="3" xfId="36" applyNumberFormat="1" applyFont="1" applyFill="1" applyBorder="1" applyAlignment="1">
      <alignment vertical="center"/>
    </xf>
    <xf numFmtId="0" fontId="29" fillId="0" borderId="2" xfId="0" applyNumberFormat="1" applyFont="1" applyFill="1" applyBorder="1" applyAlignment="1">
      <alignment vertical="center" wrapText="1"/>
    </xf>
    <xf numFmtId="169" fontId="23" fillId="0" borderId="1" xfId="36" applyNumberFormat="1" applyFont="1" applyFill="1" applyBorder="1" applyAlignment="1">
      <alignment vertical="center"/>
    </xf>
    <xf numFmtId="169" fontId="16" fillId="0" borderId="1" xfId="2" applyNumberFormat="1" applyFont="1" applyFill="1" applyBorder="1" applyAlignment="1" applyProtection="1">
      <alignment horizontal="center" vertical="center" wrapText="1"/>
    </xf>
    <xf numFmtId="0" fontId="29" fillId="0" borderId="1" xfId="0" applyFont="1" applyFill="1" applyBorder="1" applyAlignment="1">
      <alignment horizontal="center" vertical="center" wrapText="1"/>
    </xf>
    <xf numFmtId="170" fontId="12" fillId="0" borderId="1" xfId="0" applyNumberFormat="1" applyFont="1" applyFill="1" applyBorder="1" applyAlignment="1" applyProtection="1">
      <alignment horizontal="center" vertical="center" wrapText="1"/>
      <protection locked="0"/>
    </xf>
    <xf numFmtId="0" fontId="29" fillId="0" borderId="1" xfId="7" applyFont="1" applyFill="1" applyBorder="1" applyAlignment="1">
      <alignment horizontal="left" vertical="center" wrapText="1"/>
    </xf>
    <xf numFmtId="169" fontId="13" fillId="0" borderId="1" xfId="38" applyNumberFormat="1" applyFont="1" applyFill="1" applyBorder="1" applyAlignment="1" applyProtection="1">
      <alignment horizontal="center" vertical="center" wrapText="1"/>
      <protection locked="0"/>
    </xf>
    <xf numFmtId="49" fontId="16" fillId="0" borderId="1" xfId="0" applyNumberFormat="1" applyFont="1" applyFill="1" applyBorder="1" applyAlignment="1" applyProtection="1">
      <alignment horizontal="center" vertical="center" wrapText="1"/>
    </xf>
    <xf numFmtId="0" fontId="47" fillId="0" borderId="1" xfId="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xf>
    <xf numFmtId="3" fontId="23" fillId="0" borderId="1" xfId="36" applyNumberFormat="1" applyFill="1" applyBorder="1" applyAlignment="1">
      <alignment vertical="center"/>
    </xf>
    <xf numFmtId="3" fontId="13" fillId="0" borderId="1" xfId="36" applyNumberFormat="1" applyFont="1" applyFill="1" applyBorder="1" applyAlignment="1">
      <alignment vertical="center"/>
    </xf>
    <xf numFmtId="3" fontId="29" fillId="0" borderId="1" xfId="3"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69" fontId="29" fillId="0" borderId="1" xfId="2" applyNumberFormat="1" applyFont="1" applyFill="1" applyBorder="1" applyAlignment="1" applyProtection="1">
      <alignment horizontal="center" vertical="center"/>
      <protection locked="0"/>
    </xf>
    <xf numFmtId="170" fontId="12" fillId="0" borderId="1" xfId="0" applyNumberFormat="1" applyFont="1" applyFill="1" applyBorder="1" applyAlignment="1" applyProtection="1">
      <alignment vertical="center" wrapText="1"/>
      <protection locked="0"/>
    </xf>
    <xf numFmtId="49" fontId="29" fillId="0" borderId="1" xfId="0" applyNumberFormat="1" applyFont="1" applyFill="1" applyBorder="1" applyAlignment="1" applyProtection="1">
      <alignment vertical="center" wrapText="1"/>
    </xf>
    <xf numFmtId="49" fontId="12" fillId="0" borderId="3" xfId="0" applyNumberFormat="1" applyFont="1" applyFill="1" applyBorder="1" applyAlignment="1" applyProtection="1">
      <alignment vertical="center" wrapText="1"/>
    </xf>
    <xf numFmtId="0" fontId="29" fillId="0" borderId="1" xfId="36" applyFont="1" applyFill="1" applyBorder="1" applyAlignment="1" applyProtection="1">
      <alignment vertical="center" wrapText="1"/>
      <protection locked="0"/>
    </xf>
    <xf numFmtId="169" fontId="29" fillId="0" borderId="1" xfId="38" applyNumberFormat="1" applyFont="1" applyFill="1" applyBorder="1" applyAlignment="1" applyProtection="1">
      <alignment vertical="center" wrapText="1"/>
      <protection locked="0"/>
    </xf>
    <xf numFmtId="169" fontId="26" fillId="0" borderId="1" xfId="38" applyNumberFormat="1" applyFont="1" applyFill="1" applyBorder="1" applyAlignment="1" applyProtection="1">
      <alignment vertical="center"/>
      <protection locked="0"/>
    </xf>
    <xf numFmtId="3" fontId="0" fillId="0" borderId="1" xfId="0" applyNumberFormat="1" applyFill="1" applyBorder="1" applyAlignment="1">
      <alignment vertical="center"/>
    </xf>
    <xf numFmtId="49" fontId="12" fillId="0" borderId="2" xfId="0" applyNumberFormat="1" applyFont="1" applyFill="1" applyBorder="1" applyAlignment="1" applyProtection="1">
      <alignment vertical="center" wrapText="1"/>
    </xf>
    <xf numFmtId="167" fontId="0" fillId="0" borderId="0" xfId="0" applyNumberFormat="1" applyFill="1" applyAlignment="1">
      <alignment vertical="center"/>
    </xf>
    <xf numFmtId="167" fontId="23" fillId="0" borderId="1" xfId="36" applyNumberFormat="1" applyFont="1" applyFill="1" applyBorder="1" applyAlignment="1">
      <alignment vertical="center"/>
    </xf>
    <xf numFmtId="49" fontId="12" fillId="0" borderId="1" xfId="0" applyNumberFormat="1" applyFont="1" applyFill="1" applyBorder="1" applyAlignment="1" applyProtection="1">
      <alignment vertical="center" wrapText="1"/>
    </xf>
    <xf numFmtId="0" fontId="12" fillId="0" borderId="1"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2" fillId="0" borderId="2" xfId="0" applyFont="1" applyFill="1" applyBorder="1" applyAlignment="1" applyProtection="1">
      <alignment vertical="center" wrapText="1"/>
      <protection locked="0"/>
    </xf>
    <xf numFmtId="0" fontId="47"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5" fontId="29" fillId="0" borderId="1" xfId="2" applyFont="1" applyFill="1" applyBorder="1" applyAlignment="1" applyProtection="1">
      <alignment horizontal="center" vertical="center"/>
      <protection locked="0"/>
    </xf>
    <xf numFmtId="0" fontId="29" fillId="0" borderId="1" xfId="0" applyFont="1" applyFill="1" applyBorder="1" applyAlignment="1" applyProtection="1">
      <alignment vertical="center" wrapText="1"/>
      <protection locked="0"/>
    </xf>
    <xf numFmtId="165" fontId="29" fillId="0" borderId="1" xfId="38" applyFont="1" applyFill="1" applyBorder="1" applyAlignment="1" applyProtection="1">
      <alignment horizontal="justify" vertical="center" wrapText="1"/>
      <protection locked="0"/>
    </xf>
    <xf numFmtId="0" fontId="29" fillId="0" borderId="2" xfId="0" applyFont="1" applyFill="1" applyBorder="1" applyAlignment="1" applyProtection="1">
      <alignment vertical="center" wrapText="1"/>
      <protection locked="0"/>
    </xf>
    <xf numFmtId="0" fontId="23" fillId="0" borderId="1" xfId="36" applyFill="1" applyBorder="1" applyAlignment="1">
      <alignment wrapText="1"/>
    </xf>
    <xf numFmtId="3" fontId="49" fillId="0" borderId="1" xfId="0" applyNumberFormat="1" applyFont="1" applyFill="1" applyBorder="1" applyAlignment="1">
      <alignment vertical="center"/>
    </xf>
    <xf numFmtId="3" fontId="49" fillId="0" borderId="1" xfId="36" applyNumberFormat="1" applyFont="1" applyFill="1" applyBorder="1" applyAlignment="1">
      <alignment vertical="center"/>
    </xf>
    <xf numFmtId="165" fontId="26" fillId="0" borderId="1" xfId="2" applyFont="1" applyFill="1" applyBorder="1" applyAlignment="1" applyProtection="1">
      <alignment vertical="center"/>
      <protection locked="0"/>
    </xf>
    <xf numFmtId="0" fontId="29" fillId="0" borderId="20" xfId="0" applyNumberFormat="1" applyFont="1" applyFill="1" applyBorder="1" applyAlignment="1">
      <alignment vertical="center" wrapText="1"/>
    </xf>
    <xf numFmtId="44" fontId="23" fillId="0" borderId="1" xfId="36" applyNumberFormat="1" applyFont="1" applyFill="1" applyBorder="1" applyAlignment="1">
      <alignment vertical="center"/>
    </xf>
    <xf numFmtId="0" fontId="23" fillId="0" borderId="1" xfId="36" applyFill="1" applyBorder="1" applyAlignment="1">
      <alignment horizontal="center" vertical="center" wrapText="1"/>
    </xf>
    <xf numFmtId="0" fontId="47" fillId="0" borderId="1" xfId="0" applyNumberFormat="1" applyFont="1" applyFill="1" applyBorder="1" applyAlignment="1">
      <alignment vertical="center" wrapText="1"/>
    </xf>
    <xf numFmtId="169" fontId="13" fillId="0" borderId="1" xfId="38" applyNumberFormat="1" applyFont="1" applyFill="1" applyBorder="1" applyAlignment="1" applyProtection="1">
      <alignment horizontal="center" vertical="center" wrapText="1"/>
    </xf>
    <xf numFmtId="169" fontId="50" fillId="0" borderId="1" xfId="38" applyNumberFormat="1" applyFont="1" applyFill="1" applyBorder="1" applyAlignment="1">
      <alignment vertical="center"/>
    </xf>
    <xf numFmtId="0" fontId="23" fillId="0" borderId="2" xfId="36" applyNumberFormat="1" applyFont="1" applyFill="1" applyBorder="1" applyAlignment="1">
      <alignment vertical="center"/>
    </xf>
    <xf numFmtId="169" fontId="16" fillId="0" borderId="1" xfId="0" applyNumberFormat="1" applyFont="1" applyFill="1" applyBorder="1" applyAlignment="1" applyProtection="1">
      <alignment horizontal="center" vertical="center" wrapText="1"/>
      <protection locked="0"/>
    </xf>
    <xf numFmtId="169" fontId="50" fillId="0" borderId="1" xfId="38" applyNumberFormat="1" applyFont="1" applyFill="1" applyBorder="1" applyAlignment="1">
      <alignment horizontal="center" vertical="center"/>
    </xf>
    <xf numFmtId="169" fontId="50" fillId="0" borderId="1" xfId="38" applyNumberFormat="1" applyFont="1" applyFill="1" applyBorder="1" applyAlignment="1" applyProtection="1">
      <alignment horizontal="center" vertical="center"/>
      <protection locked="0"/>
    </xf>
    <xf numFmtId="169" fontId="50" fillId="0" borderId="1" xfId="38" applyNumberFormat="1" applyFont="1" applyFill="1" applyBorder="1" applyAlignment="1" applyProtection="1">
      <alignment horizontal="center" vertical="center" wrapText="1"/>
    </xf>
    <xf numFmtId="0" fontId="29" fillId="0" borderId="1" xfId="0" applyFont="1" applyFill="1" applyBorder="1" applyAlignment="1">
      <alignment vertical="center" wrapText="1"/>
    </xf>
    <xf numFmtId="169" fontId="29" fillId="0" borderId="1" xfId="2" applyNumberFormat="1" applyFont="1" applyFill="1" applyBorder="1" applyAlignment="1" applyProtection="1">
      <alignment horizontal="center" vertical="center" wrapText="1"/>
      <protection locked="0"/>
    </xf>
    <xf numFmtId="3" fontId="13" fillId="0" borderId="1" xfId="36" applyNumberFormat="1" applyFont="1" applyFill="1" applyBorder="1" applyAlignment="1">
      <alignment vertical="center" wrapText="1"/>
    </xf>
    <xf numFmtId="170" fontId="29" fillId="0" borderId="3" xfId="0" applyNumberFormat="1" applyFont="1" applyFill="1" applyBorder="1" applyAlignment="1" applyProtection="1">
      <alignment vertical="center" wrapText="1"/>
      <protection locked="0"/>
    </xf>
    <xf numFmtId="170" fontId="29" fillId="0" borderId="1" xfId="0" applyNumberFormat="1" applyFont="1" applyFill="1" applyBorder="1" applyAlignment="1" applyProtection="1">
      <alignment vertical="center" wrapText="1"/>
      <protection locked="0"/>
    </xf>
    <xf numFmtId="170" fontId="12" fillId="0" borderId="3" xfId="0" applyNumberFormat="1" applyFont="1" applyFill="1" applyBorder="1" applyAlignment="1" applyProtection="1">
      <alignment vertical="center" wrapText="1"/>
      <protection locked="0"/>
    </xf>
    <xf numFmtId="167" fontId="0" fillId="0" borderId="1" xfId="40" applyFont="1" applyFill="1" applyBorder="1" applyAlignment="1" applyProtection="1">
      <alignment horizontal="center" vertical="center" wrapText="1"/>
      <protection locked="0"/>
    </xf>
    <xf numFmtId="167" fontId="29" fillId="0" borderId="1" xfId="40" applyFont="1" applyFill="1" applyBorder="1" applyAlignment="1" applyProtection="1">
      <alignment horizontal="center" vertical="center"/>
      <protection locked="0"/>
    </xf>
    <xf numFmtId="169" fontId="25" fillId="0" borderId="1" xfId="36" applyNumberFormat="1" applyFont="1" applyFill="1" applyBorder="1" applyAlignment="1" applyProtection="1">
      <alignment horizontal="center" vertical="center" wrapText="1"/>
      <protection locked="0"/>
    </xf>
    <xf numFmtId="170" fontId="12" fillId="0" borderId="3" xfId="0" applyNumberFormat="1" applyFont="1" applyFill="1" applyBorder="1" applyAlignment="1" applyProtection="1">
      <alignment horizontal="center" vertical="center" wrapText="1"/>
      <protection locked="0"/>
    </xf>
    <xf numFmtId="0" fontId="29" fillId="0" borderId="3" xfId="36" applyNumberFormat="1" applyFont="1" applyFill="1" applyBorder="1" applyAlignment="1">
      <alignment horizontal="center" vertical="center" wrapText="1"/>
    </xf>
    <xf numFmtId="0" fontId="29" fillId="0" borderId="3" xfId="36" applyFont="1" applyFill="1" applyBorder="1" applyAlignment="1" applyProtection="1">
      <alignment horizontal="center" vertical="center" wrapText="1"/>
      <protection locked="0"/>
    </xf>
    <xf numFmtId="0" fontId="29" fillId="0" borderId="3" xfId="36" applyFont="1" applyFill="1" applyBorder="1" applyAlignment="1">
      <alignment vertical="center" wrapText="1"/>
    </xf>
    <xf numFmtId="0" fontId="23" fillId="0" borderId="3" xfId="36" applyNumberFormat="1" applyFont="1" applyFill="1" applyBorder="1" applyAlignment="1">
      <alignment horizontal="center" vertical="center"/>
    </xf>
    <xf numFmtId="167" fontId="23" fillId="0" borderId="3" xfId="36" applyNumberFormat="1" applyFont="1" applyFill="1" applyBorder="1" applyAlignment="1">
      <alignment horizontal="center" vertical="center"/>
    </xf>
    <xf numFmtId="0" fontId="23" fillId="0" borderId="3" xfId="36" applyNumberFormat="1" applyFont="1" applyFill="1" applyBorder="1"/>
    <xf numFmtId="170" fontId="12" fillId="0" borderId="2" xfId="0" applyNumberFormat="1" applyFont="1" applyFill="1" applyBorder="1" applyAlignment="1" applyProtection="1">
      <alignment horizontal="center" vertical="center" wrapText="1"/>
      <protection locked="0"/>
    </xf>
    <xf numFmtId="0" fontId="29" fillId="0" borderId="2" xfId="36" applyNumberFormat="1" applyFont="1" applyFill="1" applyBorder="1" applyAlignment="1">
      <alignment horizontal="center" vertical="center" wrapText="1"/>
    </xf>
    <xf numFmtId="0" fontId="29" fillId="0" borderId="2" xfId="36" applyFont="1" applyFill="1" applyBorder="1" applyAlignment="1" applyProtection="1">
      <alignment horizontal="center" vertical="center" wrapText="1"/>
      <protection locked="0"/>
    </xf>
    <xf numFmtId="0" fontId="29" fillId="0" borderId="2" xfId="36" applyFont="1" applyFill="1" applyBorder="1" applyAlignment="1">
      <alignment vertical="center" wrapText="1"/>
    </xf>
    <xf numFmtId="0" fontId="23" fillId="0" borderId="2" xfId="36" applyNumberFormat="1" applyFont="1" applyFill="1" applyBorder="1" applyAlignment="1">
      <alignment horizontal="center" vertical="center"/>
    </xf>
    <xf numFmtId="167" fontId="23" fillId="0" borderId="2" xfId="36" applyNumberFormat="1" applyFont="1" applyFill="1" applyBorder="1" applyAlignment="1">
      <alignment horizontal="center" vertical="center"/>
    </xf>
    <xf numFmtId="0" fontId="23" fillId="0" borderId="2" xfId="36" applyNumberFormat="1" applyFont="1" applyFill="1" applyBorder="1"/>
    <xf numFmtId="167" fontId="29" fillId="0" borderId="1" xfId="6" applyFont="1" applyFill="1" applyBorder="1" applyAlignment="1" applyProtection="1">
      <alignment horizontal="center" vertical="center"/>
      <protection locked="0"/>
    </xf>
    <xf numFmtId="170" fontId="47" fillId="0" borderId="1" xfId="0" applyNumberFormat="1" applyFont="1" applyFill="1" applyBorder="1" applyAlignment="1" applyProtection="1">
      <alignment horizontal="center" vertical="center" wrapText="1"/>
      <protection locked="0"/>
    </xf>
    <xf numFmtId="167" fontId="0" fillId="0" borderId="1" xfId="40" applyFont="1" applyFill="1" applyBorder="1" applyAlignment="1" applyProtection="1">
      <alignment horizontal="center" vertical="center"/>
      <protection locked="0"/>
    </xf>
    <xf numFmtId="169" fontId="29" fillId="0" borderId="1" xfId="38" applyNumberFormat="1" applyFont="1" applyFill="1" applyBorder="1" applyAlignment="1" applyProtection="1">
      <alignment horizontal="center" vertical="center" wrapText="1"/>
      <protection locked="0"/>
    </xf>
    <xf numFmtId="0" fontId="47" fillId="0" borderId="1" xfId="0" applyFont="1" applyFill="1" applyBorder="1" applyAlignment="1" applyProtection="1">
      <alignment vertical="center" wrapText="1"/>
      <protection locked="0"/>
    </xf>
    <xf numFmtId="0" fontId="29" fillId="0" borderId="20" xfId="0" applyFont="1" applyFill="1" applyBorder="1" applyAlignment="1" applyProtection="1">
      <alignment vertical="center" wrapText="1"/>
      <protection locked="0"/>
    </xf>
    <xf numFmtId="0" fontId="29" fillId="0" borderId="1" xfId="36" applyFont="1" applyFill="1" applyBorder="1" applyAlignment="1">
      <alignment wrapText="1"/>
    </xf>
    <xf numFmtId="169" fontId="13" fillId="0" borderId="1" xfId="38" applyNumberFormat="1" applyFont="1" applyFill="1" applyBorder="1" applyAlignment="1" applyProtection="1">
      <alignment vertical="center" wrapText="1"/>
    </xf>
    <xf numFmtId="169" fontId="6" fillId="0" borderId="1" xfId="2" applyNumberFormat="1" applyFont="1" applyFill="1" applyBorder="1" applyAlignment="1" applyProtection="1">
      <alignment vertical="center" wrapText="1"/>
    </xf>
    <xf numFmtId="169" fontId="8" fillId="0" borderId="1" xfId="2" applyNumberFormat="1" applyFont="1" applyFill="1" applyBorder="1" applyAlignment="1" applyProtection="1">
      <alignment vertical="center" wrapText="1"/>
    </xf>
    <xf numFmtId="169" fontId="16" fillId="0" borderId="1" xfId="2" applyNumberFormat="1" applyFont="1" applyFill="1" applyBorder="1" applyAlignment="1" applyProtection="1">
      <alignment vertical="center" wrapText="1"/>
    </xf>
    <xf numFmtId="169" fontId="52" fillId="0" borderId="1" xfId="38" applyNumberFormat="1" applyFont="1" applyFill="1" applyBorder="1" applyAlignment="1" applyProtection="1">
      <alignment horizontal="center" vertical="center" wrapText="1"/>
      <protection locked="0"/>
    </xf>
    <xf numFmtId="3" fontId="23" fillId="0" borderId="1" xfId="36" applyNumberFormat="1" applyFill="1" applyBorder="1" applyAlignment="1">
      <alignment horizontal="right" vertical="center"/>
    </xf>
    <xf numFmtId="165" fontId="26" fillId="0" borderId="1" xfId="38" applyFont="1" applyFill="1" applyBorder="1" applyAlignment="1" applyProtection="1">
      <alignment horizontal="center" vertical="center" wrapText="1"/>
      <protection locked="0"/>
    </xf>
    <xf numFmtId="165" fontId="52" fillId="0" borderId="1" xfId="38" applyFont="1" applyFill="1" applyBorder="1" applyAlignment="1" applyProtection="1">
      <alignment horizontal="center" vertical="center" wrapText="1"/>
      <protection locked="0"/>
    </xf>
    <xf numFmtId="37" fontId="29" fillId="0" borderId="1" xfId="36" applyNumberFormat="1" applyFont="1" applyFill="1" applyBorder="1" applyAlignment="1" applyProtection="1">
      <alignment vertical="center" wrapText="1"/>
      <protection locked="0"/>
    </xf>
    <xf numFmtId="0" fontId="30" fillId="0" borderId="1" xfId="36" applyFont="1" applyFill="1" applyBorder="1" applyAlignment="1" applyProtection="1">
      <alignment vertical="center" wrapText="1"/>
      <protection locked="0"/>
    </xf>
    <xf numFmtId="169" fontId="49" fillId="0" borderId="1" xfId="38" applyNumberFormat="1" applyFont="1" applyFill="1" applyBorder="1" applyAlignment="1" applyProtection="1">
      <alignment vertical="center"/>
    </xf>
    <xf numFmtId="1" fontId="29" fillId="0" borderId="1" xfId="4" applyNumberFormat="1" applyFont="1" applyFill="1" applyBorder="1" applyAlignment="1" applyProtection="1">
      <alignment horizontal="center" vertical="center" wrapText="1"/>
      <protection locked="0"/>
    </xf>
    <xf numFmtId="164" fontId="29" fillId="0" borderId="1" xfId="3" applyFont="1" applyFill="1" applyBorder="1" applyAlignment="1">
      <alignment horizontal="center" vertical="center" wrapText="1"/>
    </xf>
    <xf numFmtId="1" fontId="13" fillId="0" borderId="1" xfId="38" applyNumberFormat="1" applyFont="1" applyFill="1" applyBorder="1" applyAlignment="1" applyProtection="1">
      <alignment horizontal="center" vertical="center" wrapText="1"/>
      <protection locked="0"/>
    </xf>
    <xf numFmtId="2" fontId="29" fillId="0" borderId="1" xfId="36" applyNumberFormat="1" applyFont="1" applyFill="1" applyBorder="1" applyAlignment="1" applyProtection="1">
      <alignment vertical="center" wrapText="1"/>
      <protection locked="0"/>
    </xf>
    <xf numFmtId="0" fontId="13" fillId="0" borderId="1" xfId="36" applyFont="1" applyFill="1" applyBorder="1" applyAlignment="1">
      <alignment wrapText="1"/>
    </xf>
    <xf numFmtId="2" fontId="29" fillId="0" borderId="1" xfId="36" applyNumberFormat="1" applyFont="1" applyFill="1" applyBorder="1" applyAlignment="1" applyProtection="1">
      <alignment horizontal="center" vertical="center" wrapText="1"/>
      <protection locked="0"/>
    </xf>
    <xf numFmtId="0" fontId="6" fillId="0" borderId="1" xfId="0" applyFont="1" applyFill="1" applyBorder="1" applyAlignment="1">
      <alignment wrapText="1"/>
    </xf>
    <xf numFmtId="169" fontId="23" fillId="0" borderId="1" xfId="36" applyNumberFormat="1" applyFont="1" applyFill="1" applyBorder="1" applyAlignment="1">
      <alignment horizontal="center" vertical="center"/>
    </xf>
    <xf numFmtId="0" fontId="29" fillId="0" borderId="3" xfId="36" applyNumberFormat="1" applyFont="1" applyFill="1" applyBorder="1" applyAlignment="1">
      <alignment vertical="center" wrapText="1"/>
    </xf>
    <xf numFmtId="0" fontId="29" fillId="0" borderId="3" xfId="36" applyFont="1" applyFill="1" applyBorder="1" applyAlignment="1" applyProtection="1">
      <alignment vertical="center" wrapText="1"/>
      <protection locked="0"/>
    </xf>
    <xf numFmtId="169" fontId="29" fillId="0" borderId="1" xfId="0" applyNumberFormat="1" applyFont="1" applyFill="1" applyBorder="1" applyAlignment="1" applyProtection="1">
      <alignment vertical="center" wrapText="1"/>
      <protection locked="0"/>
    </xf>
    <xf numFmtId="1" fontId="29" fillId="0" borderId="3" xfId="36" applyNumberFormat="1" applyFont="1" applyFill="1" applyBorder="1" applyAlignment="1" applyProtection="1">
      <alignment vertical="center" wrapText="1"/>
      <protection locked="0"/>
    </xf>
    <xf numFmtId="0" fontId="23" fillId="0" borderId="1" xfId="36" applyNumberFormat="1" applyFont="1" applyFill="1" applyBorder="1" applyAlignment="1">
      <alignment vertical="center"/>
    </xf>
    <xf numFmtId="167" fontId="0" fillId="0" borderId="1" xfId="0" applyNumberFormat="1" applyFill="1" applyBorder="1" applyAlignment="1">
      <alignment vertical="center"/>
    </xf>
    <xf numFmtId="37" fontId="29" fillId="0" borderId="1" xfId="0" applyNumberFormat="1" applyFont="1" applyFill="1" applyBorder="1" applyAlignment="1" applyProtection="1">
      <alignment vertical="center" wrapText="1"/>
      <protection locked="0"/>
    </xf>
    <xf numFmtId="1" fontId="29" fillId="0" borderId="3" xfId="36" applyNumberFormat="1" applyFont="1" applyFill="1" applyBorder="1" applyAlignment="1" applyProtection="1">
      <alignment horizontal="center" vertical="center" wrapText="1"/>
      <protection locked="0"/>
    </xf>
    <xf numFmtId="167" fontId="23" fillId="0" borderId="0" xfId="36" applyNumberFormat="1" applyFont="1" applyFill="1" applyAlignment="1">
      <alignment horizontal="center" vertical="center"/>
    </xf>
    <xf numFmtId="0" fontId="29" fillId="0" borderId="1" xfId="36" applyNumberFormat="1" applyFont="1" applyFill="1" applyBorder="1" applyAlignment="1">
      <alignment horizontal="center" vertical="center"/>
    </xf>
    <xf numFmtId="0" fontId="29" fillId="0" borderId="1" xfId="4" applyFont="1" applyFill="1" applyBorder="1" applyAlignment="1" applyProtection="1">
      <alignment horizontal="center" vertical="center" wrapText="1"/>
      <protection locked="0"/>
    </xf>
    <xf numFmtId="1" fontId="29" fillId="0" borderId="1" xfId="38" applyNumberFormat="1" applyFont="1" applyFill="1" applyBorder="1" applyAlignment="1" applyProtection="1">
      <alignment horizontal="center" vertical="center" wrapText="1"/>
      <protection locked="0"/>
    </xf>
    <xf numFmtId="0" fontId="29" fillId="0" borderId="1" xfId="38" applyNumberFormat="1" applyFont="1" applyFill="1" applyBorder="1" applyAlignment="1" applyProtection="1">
      <alignment horizontal="center" vertical="center" wrapText="1"/>
      <protection locked="0"/>
    </xf>
    <xf numFmtId="170" fontId="47" fillId="0" borderId="1" xfId="0" applyNumberFormat="1" applyFont="1" applyFill="1" applyBorder="1" applyAlignment="1" applyProtection="1">
      <alignment vertical="center" wrapText="1"/>
      <protection locked="0"/>
    </xf>
    <xf numFmtId="0" fontId="47" fillId="0" borderId="1" xfId="0" applyFont="1" applyFill="1" applyBorder="1" applyAlignment="1">
      <alignment vertical="center" wrapText="1"/>
    </xf>
    <xf numFmtId="0" fontId="29" fillId="0" borderId="3" xfId="0" applyFont="1" applyFill="1" applyBorder="1" applyAlignment="1">
      <alignment vertical="center" wrapText="1"/>
    </xf>
    <xf numFmtId="169" fontId="26" fillId="0" borderId="1" xfId="38" applyNumberFormat="1" applyFont="1" applyFill="1" applyBorder="1" applyAlignment="1" applyProtection="1">
      <alignment vertical="center" wrapText="1"/>
      <protection locked="0"/>
    </xf>
    <xf numFmtId="0" fontId="29" fillId="0" borderId="1" xfId="36" applyFont="1" applyFill="1" applyBorder="1" applyAlignment="1" applyProtection="1">
      <alignment wrapText="1"/>
      <protection locked="0"/>
    </xf>
    <xf numFmtId="0" fontId="29" fillId="0" borderId="1" xfId="0" applyFont="1" applyFill="1" applyBorder="1" applyAlignment="1" applyProtection="1">
      <alignment wrapText="1"/>
      <protection locked="0"/>
    </xf>
    <xf numFmtId="0" fontId="29" fillId="0" borderId="3" xfId="0" applyFont="1" applyFill="1" applyBorder="1" applyAlignment="1">
      <alignment horizontal="center" vertical="center" wrapText="1"/>
    </xf>
    <xf numFmtId="164" fontId="29" fillId="0" borderId="1" xfId="3" applyFont="1" applyFill="1" applyBorder="1" applyAlignment="1">
      <alignment vertical="center" wrapText="1"/>
    </xf>
    <xf numFmtId="3" fontId="53" fillId="0" borderId="1" xfId="36" applyNumberFormat="1" applyFont="1" applyFill="1" applyBorder="1" applyAlignment="1">
      <alignment horizontal="center" vertical="center"/>
    </xf>
    <xf numFmtId="3" fontId="25" fillId="0" borderId="1" xfId="38" applyNumberFormat="1" applyFont="1" applyFill="1" applyBorder="1" applyAlignment="1" applyProtection="1">
      <alignment vertical="center"/>
    </xf>
    <xf numFmtId="3" fontId="25" fillId="0" borderId="1" xfId="38" applyNumberFormat="1" applyFont="1" applyFill="1" applyBorder="1" applyAlignment="1" applyProtection="1">
      <alignment horizontal="center" vertical="center"/>
    </xf>
    <xf numFmtId="37" fontId="13" fillId="0" borderId="1" xfId="36" applyNumberFormat="1" applyFont="1" applyFill="1" applyBorder="1" applyAlignment="1" applyProtection="1">
      <alignment vertical="center" wrapText="1"/>
      <protection locked="0"/>
    </xf>
    <xf numFmtId="169" fontId="13" fillId="0" borderId="1" xfId="36" applyNumberFormat="1" applyFont="1" applyFill="1" applyBorder="1" applyAlignment="1" applyProtection="1">
      <alignment vertical="center" wrapText="1"/>
      <protection locked="0"/>
    </xf>
    <xf numFmtId="44" fontId="29" fillId="0" borderId="1" xfId="3" applyNumberFormat="1" applyFont="1" applyFill="1" applyBorder="1" applyAlignment="1">
      <alignment horizontal="center" vertical="center" wrapText="1"/>
    </xf>
    <xf numFmtId="169" fontId="26" fillId="0" borderId="25" xfId="2" applyNumberFormat="1" applyFont="1" applyFill="1" applyBorder="1" applyAlignment="1" applyProtection="1">
      <alignment vertical="center" wrapText="1"/>
      <protection locked="0"/>
    </xf>
    <xf numFmtId="0" fontId="29" fillId="0" borderId="1" xfId="5" applyFont="1" applyFill="1" applyBorder="1" applyAlignment="1">
      <alignment horizontal="center" vertical="center" wrapText="1"/>
    </xf>
    <xf numFmtId="0" fontId="29" fillId="0" borderId="1" xfId="36" applyFont="1" applyFill="1" applyBorder="1" applyAlignment="1">
      <alignment horizontal="center" vertical="center" wrapText="1"/>
    </xf>
    <xf numFmtId="169" fontId="26" fillId="0" borderId="11" xfId="2" applyNumberFormat="1" applyFont="1" applyFill="1" applyBorder="1" applyAlignment="1" applyProtection="1">
      <alignment vertical="center" wrapText="1"/>
      <protection locked="0"/>
    </xf>
    <xf numFmtId="169" fontId="26" fillId="0" borderId="1" xfId="2" applyNumberFormat="1" applyFont="1" applyFill="1" applyBorder="1" applyAlignment="1" applyProtection="1">
      <alignment horizontal="center" vertical="center"/>
      <protection locked="0"/>
    </xf>
    <xf numFmtId="169" fontId="26" fillId="0" borderId="1" xfId="2" applyNumberFormat="1" applyFont="1" applyFill="1" applyBorder="1" applyAlignment="1" applyProtection="1">
      <alignment vertical="center" wrapText="1"/>
      <protection locked="0"/>
    </xf>
    <xf numFmtId="169" fontId="26" fillId="0" borderId="24" xfId="2" applyNumberFormat="1" applyFont="1" applyFill="1" applyBorder="1" applyAlignment="1" applyProtection="1">
      <alignment horizontal="center" vertical="center"/>
      <protection locked="0"/>
    </xf>
    <xf numFmtId="169" fontId="26" fillId="0" borderId="16" xfId="2" applyNumberFormat="1" applyFont="1" applyFill="1" applyBorder="1" applyAlignment="1" applyProtection="1">
      <alignment horizontal="center" vertical="center"/>
      <protection locked="0"/>
    </xf>
    <xf numFmtId="0" fontId="29" fillId="0" borderId="1" xfId="36" applyFont="1" applyFill="1" applyBorder="1" applyAlignment="1">
      <alignment horizontal="left" vertical="center" wrapText="1"/>
    </xf>
    <xf numFmtId="1" fontId="12" fillId="0" borderId="1" xfId="0" applyNumberFormat="1" applyFont="1" applyFill="1" applyBorder="1" applyAlignment="1" applyProtection="1">
      <alignment horizontal="center" vertical="center" wrapText="1"/>
      <protection locked="0"/>
    </xf>
    <xf numFmtId="3" fontId="23" fillId="0" borderId="1" xfId="36" applyNumberFormat="1" applyFill="1" applyBorder="1" applyAlignment="1" applyProtection="1">
      <alignment horizontal="center" vertical="center"/>
      <protection locked="0"/>
    </xf>
    <xf numFmtId="3" fontId="49" fillId="0" borderId="1" xfId="0" applyNumberFormat="1" applyFont="1" applyFill="1" applyBorder="1" applyAlignment="1">
      <alignment horizontal="center" vertical="center"/>
    </xf>
    <xf numFmtId="3" fontId="23" fillId="0" borderId="1" xfId="36" applyNumberFormat="1" applyFill="1" applyBorder="1" applyAlignment="1" applyProtection="1">
      <alignment vertical="center"/>
      <protection locked="0"/>
    </xf>
    <xf numFmtId="3" fontId="17" fillId="0" borderId="1" xfId="11" applyNumberFormat="1" applyFill="1" applyBorder="1" applyAlignment="1">
      <alignment vertical="center"/>
    </xf>
    <xf numFmtId="169" fontId="29" fillId="0" borderId="1" xfId="9" applyNumberFormat="1" applyFont="1" applyFill="1" applyBorder="1" applyAlignment="1" applyProtection="1">
      <alignment horizontal="center" vertical="center"/>
      <protection locked="0"/>
    </xf>
    <xf numFmtId="169" fontId="29" fillId="0" borderId="1" xfId="44" applyNumberFormat="1" applyFont="1" applyFill="1" applyBorder="1" applyAlignment="1" applyProtection="1">
      <alignment vertical="center" wrapText="1"/>
      <protection locked="0"/>
    </xf>
    <xf numFmtId="0" fontId="29" fillId="0" borderId="1" xfId="44" applyNumberFormat="1" applyFont="1" applyFill="1" applyBorder="1" applyAlignment="1" applyProtection="1">
      <alignment vertical="center" wrapText="1"/>
      <protection locked="0"/>
    </xf>
    <xf numFmtId="169" fontId="26" fillId="0" borderId="1" xfId="9" applyNumberFormat="1" applyFont="1" applyFill="1" applyBorder="1" applyAlignment="1" applyProtection="1">
      <alignment vertical="center"/>
      <protection locked="0"/>
    </xf>
    <xf numFmtId="171" fontId="29" fillId="0" borderId="1" xfId="37" applyNumberFormat="1" applyFont="1" applyFill="1" applyBorder="1" applyAlignment="1" applyProtection="1">
      <alignment vertical="center" wrapText="1"/>
      <protection locked="0"/>
    </xf>
    <xf numFmtId="171" fontId="29" fillId="0" borderId="1" xfId="37" applyNumberFormat="1" applyFont="1" applyFill="1" applyBorder="1" applyAlignment="1" applyProtection="1">
      <alignment horizontal="center" vertical="center" wrapText="1"/>
      <protection locked="0"/>
    </xf>
    <xf numFmtId="171" fontId="29" fillId="0" borderId="1" xfId="10" applyNumberFormat="1" applyFont="1" applyFill="1" applyBorder="1" applyAlignment="1">
      <alignment horizontal="center" vertical="center"/>
    </xf>
    <xf numFmtId="49" fontId="29" fillId="0" borderId="1" xfId="0" applyNumberFormat="1" applyFont="1" applyFill="1" applyBorder="1" applyAlignment="1" applyProtection="1">
      <alignment horizontal="center" vertical="center" wrapText="1"/>
      <protection locked="0"/>
    </xf>
    <xf numFmtId="49" fontId="47" fillId="0" borderId="1" xfId="0" applyNumberFormat="1" applyFont="1" applyFill="1" applyBorder="1" applyAlignment="1" applyProtection="1">
      <alignment horizontal="center" vertical="center" wrapText="1"/>
      <protection locked="0"/>
    </xf>
    <xf numFmtId="3" fontId="29" fillId="0" borderId="1" xfId="36" applyNumberFormat="1" applyFont="1" applyFill="1" applyBorder="1" applyAlignment="1" applyProtection="1">
      <alignment horizontal="center" vertical="center" wrapText="1"/>
      <protection locked="0"/>
    </xf>
    <xf numFmtId="41" fontId="26" fillId="0" borderId="1" xfId="3" applyNumberFormat="1" applyFont="1" applyFill="1" applyBorder="1" applyAlignment="1" applyProtection="1">
      <alignment vertical="center"/>
      <protection locked="0"/>
    </xf>
    <xf numFmtId="1" fontId="29" fillId="0" borderId="1" xfId="36" applyNumberFormat="1" applyFont="1" applyFill="1" applyBorder="1" applyAlignment="1" applyProtection="1">
      <alignment vertical="center" wrapText="1"/>
      <protection locked="0"/>
    </xf>
    <xf numFmtId="167" fontId="0" fillId="0" borderId="1" xfId="0" applyNumberFormat="1" applyFont="1" applyFill="1" applyBorder="1" applyAlignment="1">
      <alignment horizontal="center" vertical="center"/>
    </xf>
    <xf numFmtId="37" fontId="29" fillId="0" borderId="1" xfId="44" applyNumberFormat="1" applyFont="1" applyFill="1" applyBorder="1" applyAlignment="1" applyProtection="1">
      <alignment vertical="center" wrapText="1"/>
      <protection locked="0"/>
    </xf>
    <xf numFmtId="0" fontId="13" fillId="0" borderId="1" xfId="36" applyNumberFormat="1" applyFont="1" applyFill="1" applyBorder="1" applyAlignment="1">
      <alignment vertical="center" wrapText="1"/>
    </xf>
    <xf numFmtId="0" fontId="13" fillId="0" borderId="1" xfId="36" applyNumberFormat="1" applyFont="1" applyFill="1" applyBorder="1" applyAlignment="1">
      <alignment horizontal="center" vertical="center" wrapText="1"/>
    </xf>
    <xf numFmtId="169" fontId="26" fillId="0" borderId="1" xfId="2" applyNumberFormat="1" applyFont="1" applyFill="1" applyBorder="1" applyAlignment="1" applyProtection="1">
      <alignment horizontal="left" vertical="center"/>
      <protection locked="0"/>
    </xf>
    <xf numFmtId="37" fontId="13" fillId="0" borderId="1" xfId="36" applyNumberFormat="1" applyFont="1" applyFill="1" applyBorder="1" applyAlignment="1" applyProtection="1">
      <alignment vertical="top" wrapText="1"/>
      <protection locked="0"/>
    </xf>
    <xf numFmtId="0" fontId="13" fillId="0" borderId="1" xfId="36" applyFont="1" applyFill="1" applyBorder="1" applyAlignment="1">
      <alignment horizontal="center" vertical="center" wrapText="1"/>
    </xf>
    <xf numFmtId="169" fontId="13" fillId="0" borderId="1" xfId="36" applyNumberFormat="1"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2" fillId="0" borderId="3" xfId="0" applyFont="1" applyFill="1" applyBorder="1" applyAlignment="1">
      <alignment vertical="center" wrapText="1"/>
    </xf>
    <xf numFmtId="0" fontId="29" fillId="0" borderId="1" xfId="0" applyFont="1" applyFill="1" applyBorder="1" applyAlignment="1">
      <alignment wrapText="1"/>
    </xf>
    <xf numFmtId="0" fontId="12" fillId="0" borderId="3" xfId="0" applyFont="1" applyFill="1" applyBorder="1" applyAlignment="1">
      <alignment horizontal="center" vertical="center" wrapText="1"/>
    </xf>
    <xf numFmtId="1" fontId="26" fillId="0" borderId="1" xfId="0"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9" fontId="0" fillId="0" borderId="3" xfId="46" applyFont="1" applyFill="1" applyBorder="1" applyAlignment="1">
      <alignment vertical="center"/>
    </xf>
    <xf numFmtId="9" fontId="23" fillId="0" borderId="1" xfId="36" applyNumberFormat="1" applyFont="1" applyFill="1" applyBorder="1" applyAlignment="1">
      <alignment horizontal="center" vertical="center"/>
    </xf>
    <xf numFmtId="9" fontId="23" fillId="0" borderId="3" xfId="36" applyNumberFormat="1" applyFont="1" applyFill="1" applyBorder="1" applyAlignment="1">
      <alignment vertical="center"/>
    </xf>
    <xf numFmtId="3" fontId="30" fillId="0" borderId="1" xfId="36" applyNumberFormat="1" applyFont="1" applyFill="1" applyBorder="1"/>
    <xf numFmtId="0" fontId="29" fillId="0" borderId="1" xfId="36" applyNumberFormat="1" applyFont="1" applyFill="1" applyBorder="1"/>
    <xf numFmtId="0" fontId="23" fillId="0" borderId="0" xfId="36" applyNumberFormat="1" applyFont="1" applyFill="1" applyAlignment="1">
      <alignment horizontal="center" vertical="center"/>
    </xf>
    <xf numFmtId="0" fontId="23" fillId="0" borderId="0" xfId="36" applyNumberFormat="1" applyFont="1" applyFill="1"/>
    <xf numFmtId="0" fontId="29" fillId="3" borderId="1" xfId="0" applyNumberFormat="1" applyFont="1" applyFill="1" applyBorder="1" applyAlignment="1">
      <alignment horizontal="center" vertical="center" wrapText="1"/>
    </xf>
    <xf numFmtId="164" fontId="29" fillId="12" borderId="1" xfId="3" applyFont="1" applyFill="1" applyBorder="1" applyAlignment="1">
      <alignment horizontal="center" vertical="center" wrapText="1"/>
    </xf>
    <xf numFmtId="0" fontId="19" fillId="3" borderId="0" xfId="36" applyNumberFormat="1" applyFont="1" applyFill="1" applyAlignment="1">
      <alignment horizontal="left" vertical="center" wrapText="1" indent="50"/>
    </xf>
    <xf numFmtId="0" fontId="23" fillId="0" borderId="0" xfId="36" applyNumberFormat="1" applyFont="1" applyAlignment="1">
      <alignment horizontal="left" vertical="center" wrapText="1"/>
    </xf>
    <xf numFmtId="0" fontId="23" fillId="3" borderId="0" xfId="36" applyNumberFormat="1" applyFont="1" applyFill="1" applyAlignment="1">
      <alignment horizontal="left" vertical="center" wrapText="1"/>
    </xf>
    <xf numFmtId="0" fontId="0" fillId="3" borderId="3" xfId="0" applyNumberFormat="1" applyFont="1" applyFill="1" applyBorder="1" applyAlignment="1">
      <alignment horizontal="center" vertical="center" wrapText="1"/>
    </xf>
    <xf numFmtId="0" fontId="23" fillId="3" borderId="20" xfId="0" applyNumberFormat="1" applyFont="1" applyFill="1" applyBorder="1" applyAlignment="1">
      <alignment horizontal="center" vertical="center" wrapText="1"/>
    </xf>
    <xf numFmtId="3" fontId="29" fillId="12" borderId="1" xfId="3" applyNumberFormat="1" applyFont="1" applyFill="1" applyBorder="1" applyAlignment="1">
      <alignment horizontal="center" vertical="center" wrapText="1"/>
    </xf>
    <xf numFmtId="0" fontId="19" fillId="3" borderId="0" xfId="36" applyNumberFormat="1" applyFont="1" applyFill="1" applyAlignment="1">
      <alignment horizontal="center" vertical="center" wrapText="1"/>
    </xf>
    <xf numFmtId="0" fontId="23" fillId="3" borderId="0" xfId="36" applyNumberFormat="1" applyFont="1" applyFill="1" applyAlignment="1">
      <alignment horizontal="center"/>
    </xf>
    <xf numFmtId="169" fontId="16" fillId="12" borderId="1" xfId="9" applyNumberFormat="1" applyFont="1" applyFill="1" applyBorder="1" applyAlignment="1" applyProtection="1">
      <alignment horizontal="center" vertical="center" wrapText="1"/>
      <protection locked="0"/>
    </xf>
    <xf numFmtId="0" fontId="29" fillId="3" borderId="1" xfId="36" applyNumberFormat="1" applyFont="1" applyFill="1" applyBorder="1" applyAlignment="1">
      <alignment horizontal="center"/>
    </xf>
    <xf numFmtId="0" fontId="23" fillId="3" borderId="1" xfId="36" applyNumberFormat="1" applyFont="1" applyFill="1" applyBorder="1" applyAlignment="1">
      <alignment horizontal="center"/>
    </xf>
    <xf numFmtId="3" fontId="41" fillId="14" borderId="1" xfId="0" applyNumberFormat="1" applyFont="1" applyFill="1" applyBorder="1" applyAlignment="1">
      <alignment vertical="center"/>
    </xf>
    <xf numFmtId="164" fontId="29" fillId="12" borderId="1" xfId="3" applyFont="1" applyFill="1" applyBorder="1" applyAlignment="1">
      <alignment horizontal="center" vertical="center" wrapText="1"/>
    </xf>
    <xf numFmtId="0" fontId="29" fillId="3" borderId="3" xfId="4"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9" fillId="3" borderId="1" xfId="0" applyNumberFormat="1" applyFont="1" applyFill="1" applyBorder="1" applyAlignment="1">
      <alignment horizontal="center" vertical="center" wrapText="1"/>
    </xf>
    <xf numFmtId="0" fontId="29" fillId="3" borderId="1" xfId="0" applyFont="1" applyFill="1" applyBorder="1" applyAlignment="1" applyProtection="1">
      <alignment horizontal="center" vertical="center" wrapText="1"/>
      <protection locked="0"/>
    </xf>
    <xf numFmtId="170" fontId="12" fillId="3" borderId="1" xfId="0" applyNumberFormat="1"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0" fontId="29" fillId="0" borderId="1" xfId="36" applyNumberFormat="1" applyFont="1" applyFill="1" applyBorder="1" applyAlignment="1">
      <alignment horizontal="center" vertical="center" wrapText="1"/>
    </xf>
    <xf numFmtId="0" fontId="23" fillId="0" borderId="3" xfId="36" applyNumberFormat="1" applyFont="1" applyFill="1" applyBorder="1" applyAlignment="1">
      <alignment horizontal="center" vertical="center"/>
    </xf>
    <xf numFmtId="169" fontId="29" fillId="16" borderId="1" xfId="9" applyNumberFormat="1" applyFont="1" applyFill="1" applyBorder="1" applyAlignment="1" applyProtection="1">
      <alignment vertical="center"/>
      <protection locked="0"/>
    </xf>
    <xf numFmtId="169" fontId="29" fillId="16" borderId="1" xfId="9" applyNumberFormat="1" applyFont="1" applyFill="1" applyBorder="1" applyAlignment="1" applyProtection="1">
      <alignment horizontal="center" vertical="center"/>
      <protection locked="0"/>
    </xf>
    <xf numFmtId="164" fontId="29" fillId="16" borderId="1" xfId="3" applyFont="1" applyFill="1" applyBorder="1" applyAlignment="1">
      <alignment horizontal="center" vertical="center" wrapText="1"/>
    </xf>
    <xf numFmtId="169" fontId="26" fillId="16" borderId="1" xfId="2" applyNumberFormat="1" applyFont="1" applyFill="1" applyBorder="1" applyAlignment="1" applyProtection="1">
      <alignment vertical="center"/>
      <protection locked="0"/>
    </xf>
    <xf numFmtId="3" fontId="0" fillId="16" borderId="1" xfId="0" applyNumberFormat="1" applyFill="1" applyBorder="1" applyAlignment="1">
      <alignment vertical="center"/>
    </xf>
    <xf numFmtId="169" fontId="16" fillId="16" borderId="1" xfId="2" applyNumberFormat="1" applyFont="1" applyFill="1" applyBorder="1" applyAlignment="1" applyProtection="1">
      <alignment horizontal="center" vertical="center"/>
    </xf>
    <xf numFmtId="169" fontId="25" fillId="0" borderId="2" xfId="2" applyNumberFormat="1" applyFont="1" applyFill="1" applyBorder="1" applyAlignment="1" applyProtection="1">
      <alignment vertical="center"/>
    </xf>
    <xf numFmtId="169" fontId="25" fillId="16" borderId="2" xfId="2" applyNumberFormat="1" applyFont="1" applyFill="1" applyBorder="1" applyAlignment="1" applyProtection="1">
      <alignment vertical="center"/>
    </xf>
    <xf numFmtId="169" fontId="25" fillId="16" borderId="1" xfId="2" applyNumberFormat="1" applyFont="1" applyFill="1" applyBorder="1" applyAlignment="1" applyProtection="1">
      <alignment vertical="center"/>
    </xf>
    <xf numFmtId="169" fontId="29" fillId="16" borderId="1" xfId="0" applyNumberFormat="1" applyFont="1" applyFill="1" applyBorder="1" applyAlignment="1" applyProtection="1">
      <alignment horizontal="center" vertical="center"/>
      <protection locked="0"/>
    </xf>
    <xf numFmtId="169" fontId="16" fillId="16" borderId="1" xfId="2" applyNumberFormat="1" applyFont="1" applyFill="1" applyBorder="1" applyAlignment="1" applyProtection="1">
      <alignment horizontal="center" vertical="center" wrapText="1"/>
    </xf>
    <xf numFmtId="169" fontId="26" fillId="0" borderId="1" xfId="0" applyNumberFormat="1" applyFont="1" applyFill="1" applyBorder="1" applyAlignment="1" applyProtection="1">
      <alignment vertical="center" wrapText="1"/>
      <protection locked="0"/>
    </xf>
    <xf numFmtId="169" fontId="26" fillId="16" borderId="3" xfId="2" applyNumberFormat="1" applyFont="1" applyFill="1" applyBorder="1" applyAlignment="1" applyProtection="1">
      <alignment vertical="center"/>
      <protection locked="0"/>
    </xf>
    <xf numFmtId="169" fontId="29" fillId="0" borderId="1" xfId="9" applyNumberFormat="1" applyFont="1" applyFill="1" applyBorder="1" applyAlignment="1" applyProtection="1">
      <alignment vertical="center"/>
      <protection locked="0"/>
    </xf>
    <xf numFmtId="171" fontId="29" fillId="16" borderId="1" xfId="10" applyNumberFormat="1" applyFont="1" applyFill="1" applyBorder="1" applyAlignment="1">
      <alignment horizontal="center" vertical="center"/>
    </xf>
    <xf numFmtId="0" fontId="29" fillId="3" borderId="3" xfId="0" applyNumberFormat="1" applyFont="1" applyFill="1" applyBorder="1" applyAlignment="1">
      <alignment horizontal="left" vertical="center" wrapText="1"/>
    </xf>
    <xf numFmtId="0" fontId="29" fillId="3" borderId="0" xfId="0" applyNumberFormat="1" applyFont="1" applyFill="1" applyBorder="1" applyAlignment="1">
      <alignment horizontal="center" vertical="center"/>
    </xf>
    <xf numFmtId="0" fontId="26" fillId="0" borderId="1" xfId="48" applyFont="1" applyBorder="1" applyAlignment="1">
      <alignment vertical="center" wrapText="1"/>
    </xf>
    <xf numFmtId="0" fontId="29" fillId="16" borderId="1" xfId="0" applyFont="1" applyFill="1" applyBorder="1" applyAlignment="1" applyProtection="1">
      <alignment horizontal="center" vertical="center" wrapText="1"/>
      <protection locked="0"/>
    </xf>
    <xf numFmtId="165" fontId="29" fillId="16" borderId="1" xfId="2" applyFont="1" applyFill="1" applyBorder="1" applyAlignment="1" applyProtection="1">
      <alignment horizontal="center" vertical="center"/>
      <protection locked="0"/>
    </xf>
    <xf numFmtId="3" fontId="16" fillId="0" borderId="1" xfId="0" applyNumberFormat="1" applyFont="1" applyFill="1" applyBorder="1" applyAlignment="1">
      <alignment vertical="center" wrapText="1"/>
    </xf>
    <xf numFmtId="165" fontId="16" fillId="16" borderId="1" xfId="2" applyFont="1" applyFill="1" applyBorder="1" applyAlignment="1" applyProtection="1">
      <alignment horizontal="center" vertical="center"/>
    </xf>
    <xf numFmtId="0" fontId="0" fillId="3" borderId="0" xfId="0" applyNumberFormat="1" applyFont="1" applyFill="1" applyBorder="1" applyAlignment="1">
      <alignment wrapText="1"/>
    </xf>
    <xf numFmtId="0" fontId="26" fillId="16" borderId="1" xfId="0" applyFont="1" applyFill="1" applyBorder="1" applyAlignment="1" applyProtection="1">
      <alignment horizontal="left" vertical="center" wrapText="1"/>
      <protection locked="0"/>
    </xf>
    <xf numFmtId="37" fontId="26" fillId="16" borderId="1" xfId="0" applyNumberFormat="1" applyFont="1" applyFill="1" applyBorder="1" applyAlignment="1" applyProtection="1">
      <alignment vertical="center" wrapText="1"/>
      <protection locked="0"/>
    </xf>
    <xf numFmtId="49" fontId="29" fillId="3" borderId="1" xfId="0" applyNumberFormat="1" applyFont="1" applyFill="1" applyBorder="1" applyAlignment="1" applyProtection="1">
      <alignment horizontal="center" vertical="center" wrapText="1"/>
      <protection locked="0"/>
    </xf>
    <xf numFmtId="0" fontId="29" fillId="3" borderId="1" xfId="0" applyNumberFormat="1" applyFont="1" applyFill="1" applyBorder="1" applyAlignment="1">
      <alignment horizontal="center" vertical="center" wrapText="1"/>
    </xf>
    <xf numFmtId="0" fontId="29" fillId="3" borderId="1" xfId="0" applyFont="1" applyFill="1" applyBorder="1" applyAlignment="1" applyProtection="1">
      <alignment horizontal="center" vertical="center" wrapText="1"/>
      <protection locked="0"/>
    </xf>
    <xf numFmtId="164" fontId="29" fillId="3" borderId="1" xfId="3" applyFont="1" applyFill="1" applyBorder="1" applyAlignment="1">
      <alignment horizontal="center" vertical="center" wrapText="1"/>
    </xf>
    <xf numFmtId="0" fontId="29" fillId="16" borderId="3" xfId="0" applyFont="1" applyFill="1" applyBorder="1" applyAlignment="1" applyProtection="1">
      <alignment vertical="center" wrapText="1"/>
      <protection locked="0"/>
    </xf>
    <xf numFmtId="0" fontId="0" fillId="0" borderId="20" xfId="0" applyNumberFormat="1" applyFont="1" applyBorder="1" applyAlignment="1" applyProtection="1">
      <alignment vertical="top" wrapText="1"/>
    </xf>
    <xf numFmtId="169" fontId="26" fillId="16" borderId="2" xfId="2" applyNumberFormat="1" applyFont="1" applyFill="1" applyBorder="1" applyAlignment="1" applyProtection="1">
      <alignment vertical="center"/>
      <protection locked="0"/>
    </xf>
    <xf numFmtId="0" fontId="29" fillId="0" borderId="1" xfId="36" applyNumberFormat="1" applyFont="1" applyFill="1" applyBorder="1" applyAlignment="1">
      <alignment horizontal="center" vertical="center" wrapText="1"/>
    </xf>
    <xf numFmtId="0" fontId="39" fillId="16" borderId="14" xfId="0" applyFont="1" applyFill="1" applyBorder="1" applyAlignment="1">
      <alignment horizontal="left" vertical="center" wrapText="1"/>
    </xf>
    <xf numFmtId="0" fontId="29" fillId="16" borderId="1" xfId="0" applyNumberFormat="1" applyFont="1" applyFill="1" applyBorder="1" applyAlignment="1">
      <alignment horizontal="center" vertical="center" wrapText="1"/>
    </xf>
    <xf numFmtId="6" fontId="38" fillId="0" borderId="0" xfId="0" applyNumberFormat="1" applyFont="1" applyFill="1" applyAlignment="1">
      <alignment horizontal="justify" vertical="top" wrapText="1"/>
    </xf>
    <xf numFmtId="169" fontId="26" fillId="16" borderId="1" xfId="2" applyNumberFormat="1" applyFont="1" applyFill="1" applyBorder="1" applyAlignment="1" applyProtection="1">
      <alignment horizontal="left" vertical="center"/>
      <protection locked="0"/>
    </xf>
    <xf numFmtId="0" fontId="29" fillId="0" borderId="3" xfId="0" applyFont="1" applyFill="1" applyBorder="1" applyAlignment="1" applyProtection="1">
      <alignment horizontal="center" vertical="center" wrapText="1"/>
      <protection locked="0"/>
    </xf>
    <xf numFmtId="0" fontId="29" fillId="0" borderId="1" xfId="36" applyNumberFormat="1" applyFont="1" applyFill="1" applyBorder="1" applyAlignment="1">
      <alignment horizontal="center" vertical="center" wrapText="1"/>
    </xf>
    <xf numFmtId="0" fontId="23" fillId="0" borderId="3" xfId="36" applyNumberFormat="1" applyFont="1" applyFill="1" applyBorder="1" applyAlignment="1">
      <alignment horizontal="center" vertical="center"/>
    </xf>
    <xf numFmtId="169" fontId="26" fillId="0" borderId="3" xfId="2" applyNumberFormat="1" applyFont="1" applyFill="1" applyBorder="1" applyAlignment="1" applyProtection="1">
      <alignment vertical="center"/>
      <protection locked="0"/>
    </xf>
    <xf numFmtId="0" fontId="29" fillId="16" borderId="1" xfId="0" applyFont="1" applyFill="1" applyBorder="1" applyAlignment="1" applyProtection="1">
      <alignment vertical="center" wrapText="1"/>
      <protection locked="0"/>
    </xf>
    <xf numFmtId="0" fontId="23" fillId="16" borderId="1" xfId="36" applyNumberFormat="1" applyFont="1" applyFill="1" applyBorder="1" applyAlignment="1">
      <alignment horizontal="center" vertical="center"/>
    </xf>
    <xf numFmtId="169" fontId="26" fillId="16" borderId="1" xfId="38" applyNumberFormat="1" applyFont="1" applyFill="1" applyBorder="1" applyAlignment="1" applyProtection="1">
      <alignment vertical="center"/>
      <protection locked="0"/>
    </xf>
    <xf numFmtId="0" fontId="26" fillId="16" borderId="1" xfId="5" applyFont="1" applyFill="1" applyBorder="1" applyAlignment="1">
      <alignment horizontal="center" vertical="center"/>
    </xf>
    <xf numFmtId="169" fontId="26" fillId="0" borderId="26" xfId="2" applyNumberFormat="1" applyFont="1" applyFill="1" applyBorder="1" applyAlignment="1" applyProtection="1">
      <alignment vertical="center" wrapText="1"/>
      <protection locked="0"/>
    </xf>
    <xf numFmtId="164" fontId="23" fillId="0" borderId="1" xfId="36" applyNumberFormat="1" applyFont="1" applyFill="1" applyBorder="1" applyAlignment="1">
      <alignment vertical="center"/>
    </xf>
    <xf numFmtId="0" fontId="29" fillId="16" borderId="1" xfId="0" applyNumberFormat="1" applyFont="1" applyFill="1" applyBorder="1" applyAlignment="1">
      <alignment vertical="center" wrapText="1"/>
    </xf>
    <xf numFmtId="167" fontId="23" fillId="16" borderId="1" xfId="36" applyNumberFormat="1" applyFont="1" applyFill="1" applyBorder="1" applyAlignment="1">
      <alignment horizontal="center" vertical="center"/>
    </xf>
    <xf numFmtId="3" fontId="29" fillId="0" borderId="1" xfId="0" applyNumberFormat="1" applyFont="1" applyFill="1" applyBorder="1" applyAlignment="1">
      <alignment vertical="center"/>
    </xf>
    <xf numFmtId="169" fontId="26" fillId="19" borderId="1" xfId="2" applyNumberFormat="1" applyFont="1" applyFill="1" applyBorder="1" applyAlignment="1" applyProtection="1">
      <alignment vertical="center"/>
      <protection locked="0"/>
    </xf>
    <xf numFmtId="3" fontId="49" fillId="0" borderId="1" xfId="0" applyNumberFormat="1" applyFont="1" applyBorder="1" applyAlignment="1">
      <alignment vertical="center"/>
    </xf>
    <xf numFmtId="167" fontId="23" fillId="3" borderId="1" xfId="36" applyNumberFormat="1" applyFont="1" applyFill="1" applyBorder="1" applyAlignment="1">
      <alignment horizontal="center" vertical="center"/>
    </xf>
    <xf numFmtId="165" fontId="26" fillId="0" borderId="1" xfId="2" applyFont="1" applyFill="1" applyBorder="1" applyAlignment="1" applyProtection="1">
      <alignment horizontal="center" vertical="center" wrapText="1"/>
      <protection locked="0"/>
    </xf>
    <xf numFmtId="169" fontId="26" fillId="0" borderId="2" xfId="2" applyNumberFormat="1" applyFont="1" applyFill="1" applyBorder="1" applyAlignment="1" applyProtection="1">
      <alignment vertical="center"/>
      <protection locked="0"/>
    </xf>
    <xf numFmtId="169" fontId="26" fillId="19" borderId="1" xfId="9" applyNumberFormat="1" applyFont="1" applyFill="1" applyBorder="1" applyAlignment="1" applyProtection="1">
      <alignment vertical="center"/>
      <protection locked="0"/>
    </xf>
    <xf numFmtId="169" fontId="25" fillId="0" borderId="1" xfId="2" applyNumberFormat="1" applyFont="1" applyFill="1" applyBorder="1" applyAlignment="1" applyProtection="1">
      <alignment vertical="center"/>
      <protection locked="0"/>
    </xf>
    <xf numFmtId="0" fontId="23" fillId="16" borderId="3" xfId="36" applyNumberFormat="1" applyFont="1" applyFill="1" applyBorder="1" applyAlignment="1">
      <alignment vertical="center"/>
    </xf>
    <xf numFmtId="169" fontId="52" fillId="0" borderId="1" xfId="2" applyNumberFormat="1" applyFont="1" applyFill="1" applyBorder="1" applyAlignment="1" applyProtection="1">
      <alignment vertical="center"/>
      <protection locked="0"/>
    </xf>
    <xf numFmtId="169" fontId="29" fillId="16" borderId="1" xfId="2" applyNumberFormat="1" applyFont="1" applyFill="1" applyBorder="1" applyAlignment="1" applyProtection="1">
      <alignment vertical="center"/>
      <protection locked="0"/>
    </xf>
    <xf numFmtId="167" fontId="0" fillId="3" borderId="1" xfId="0" applyNumberFormat="1" applyFont="1" applyFill="1" applyBorder="1" applyAlignment="1">
      <alignment horizontal="center" vertical="center"/>
    </xf>
    <xf numFmtId="3" fontId="0" fillId="3" borderId="1" xfId="0" applyNumberFormat="1" applyFont="1" applyFill="1" applyBorder="1" applyAlignment="1">
      <alignment horizontal="center" vertical="center"/>
    </xf>
    <xf numFmtId="3" fontId="0" fillId="0" borderId="3" xfId="0" applyNumberFormat="1" applyFont="1" applyBorder="1" applyAlignment="1">
      <alignment vertical="center"/>
    </xf>
    <xf numFmtId="0" fontId="23" fillId="16" borderId="3" xfId="36" applyNumberFormat="1" applyFont="1" applyFill="1" applyBorder="1" applyAlignment="1">
      <alignment horizontal="center" vertical="center"/>
    </xf>
    <xf numFmtId="0" fontId="29" fillId="3" borderId="3" xfId="0" applyNumberFormat="1" applyFont="1" applyFill="1" applyBorder="1" applyAlignment="1">
      <alignment horizontal="center" vertical="center" wrapText="1"/>
    </xf>
    <xf numFmtId="170" fontId="12" fillId="0" borderId="3" xfId="0" applyNumberFormat="1" applyFont="1" applyFill="1" applyBorder="1" applyAlignment="1" applyProtection="1">
      <alignment horizontal="center" vertical="center" wrapText="1"/>
      <protection locked="0"/>
    </xf>
    <xf numFmtId="0" fontId="29" fillId="16" borderId="1" xfId="36" applyFont="1" applyFill="1" applyBorder="1" applyAlignment="1" applyProtection="1">
      <alignment vertical="center" wrapText="1"/>
      <protection locked="0"/>
    </xf>
    <xf numFmtId="9" fontId="23" fillId="0" borderId="1" xfId="46" applyFont="1" applyFill="1" applyBorder="1" applyAlignment="1">
      <alignment horizontal="center" vertical="center"/>
    </xf>
    <xf numFmtId="169" fontId="25" fillId="0" borderId="1" xfId="55" applyNumberFormat="1" applyFont="1" applyFill="1" applyBorder="1" applyAlignment="1" applyProtection="1">
      <alignment horizontal="center" vertical="center"/>
    </xf>
    <xf numFmtId="169" fontId="26" fillId="0" borderId="1" xfId="55" applyNumberFormat="1" applyFont="1" applyFill="1" applyBorder="1" applyAlignment="1" applyProtection="1">
      <alignment vertical="center"/>
      <protection locked="0"/>
    </xf>
    <xf numFmtId="169" fontId="26" fillId="16" borderId="1" xfId="55" applyNumberFormat="1" applyFont="1" applyFill="1" applyBorder="1" applyAlignment="1" applyProtection="1">
      <alignment vertical="center"/>
      <protection locked="0"/>
    </xf>
    <xf numFmtId="169" fontId="26" fillId="0" borderId="1" xfId="57" applyNumberFormat="1" applyFont="1" applyFill="1" applyBorder="1" applyAlignment="1" applyProtection="1">
      <alignment vertical="center"/>
      <protection locked="0"/>
    </xf>
    <xf numFmtId="0" fontId="26" fillId="0" borderId="1" xfId="5" applyFont="1" applyFill="1" applyBorder="1" applyAlignment="1">
      <alignment horizontal="center" vertical="center"/>
    </xf>
    <xf numFmtId="169" fontId="26" fillId="0" borderId="1" xfId="59" applyNumberFormat="1" applyFont="1" applyFill="1" applyBorder="1" applyAlignment="1" applyProtection="1">
      <alignment vertical="center"/>
      <protection locked="0"/>
    </xf>
    <xf numFmtId="165" fontId="23" fillId="0" borderId="1" xfId="2" applyFont="1" applyFill="1" applyBorder="1" applyAlignment="1">
      <alignment vertical="center"/>
    </xf>
    <xf numFmtId="169" fontId="23" fillId="0" borderId="1" xfId="2" applyNumberFormat="1" applyFont="1" applyFill="1" applyBorder="1" applyAlignment="1">
      <alignment vertical="center"/>
    </xf>
    <xf numFmtId="169" fontId="29" fillId="16" borderId="1" xfId="38" applyNumberFormat="1" applyFont="1" applyFill="1" applyBorder="1" applyAlignment="1" applyProtection="1">
      <alignment horizontal="center" vertical="center"/>
      <protection locked="0"/>
    </xf>
    <xf numFmtId="169" fontId="1" fillId="16" borderId="1" xfId="38" applyNumberFormat="1" applyFont="1" applyFill="1" applyBorder="1" applyAlignment="1" applyProtection="1">
      <alignment horizontal="center" vertical="center" wrapText="1"/>
    </xf>
    <xf numFmtId="3" fontId="29" fillId="0" borderId="1" xfId="39" applyNumberFormat="1" applyFont="1" applyFill="1" applyBorder="1" applyAlignment="1">
      <alignment horizontal="center" vertical="center" wrapText="1"/>
    </xf>
    <xf numFmtId="169" fontId="1" fillId="0" borderId="1" xfId="38" applyNumberFormat="1" applyFont="1" applyFill="1" applyBorder="1" applyAlignment="1" applyProtection="1">
      <alignment horizontal="center" vertical="center" wrapText="1"/>
    </xf>
    <xf numFmtId="169" fontId="29" fillId="22" borderId="1" xfId="2" applyNumberFormat="1" applyFont="1" applyFill="1" applyBorder="1" applyAlignment="1" applyProtection="1">
      <alignment horizontal="center" vertical="center"/>
      <protection locked="0"/>
    </xf>
    <xf numFmtId="169" fontId="16" fillId="22" borderId="1" xfId="2" applyNumberFormat="1" applyFont="1" applyFill="1" applyBorder="1" applyAlignment="1" applyProtection="1">
      <alignment horizontal="center" vertical="center"/>
    </xf>
    <xf numFmtId="176" fontId="23" fillId="0" borderId="1" xfId="2" applyNumberFormat="1" applyFont="1" applyFill="1" applyBorder="1" applyAlignment="1">
      <alignment horizontal="center" vertical="center"/>
    </xf>
    <xf numFmtId="176" fontId="26" fillId="0" borderId="1" xfId="2" applyNumberFormat="1" applyFont="1" applyFill="1" applyBorder="1" applyAlignment="1" applyProtection="1">
      <alignment horizontal="center" vertical="center"/>
      <protection locked="0"/>
    </xf>
    <xf numFmtId="169" fontId="23" fillId="0" borderId="1" xfId="38" applyNumberFormat="1" applyFont="1" applyFill="1" applyBorder="1" applyAlignment="1">
      <alignment horizontal="center" vertical="center"/>
    </xf>
    <xf numFmtId="169" fontId="23" fillId="0" borderId="1" xfId="38" applyNumberFormat="1" applyFont="1" applyFill="1" applyBorder="1" applyAlignment="1">
      <alignment vertical="center"/>
    </xf>
    <xf numFmtId="165" fontId="23" fillId="0" borderId="1" xfId="38" applyFont="1" applyFill="1" applyBorder="1" applyAlignment="1">
      <alignment horizontal="center" vertical="center"/>
    </xf>
    <xf numFmtId="169" fontId="1" fillId="3" borderId="1" xfId="2" applyNumberFormat="1" applyFont="1" applyFill="1" applyBorder="1" applyAlignment="1" applyProtection="1">
      <alignment horizontal="center" vertical="center"/>
    </xf>
    <xf numFmtId="1" fontId="29" fillId="22" borderId="1" xfId="0" applyNumberFormat="1" applyFont="1" applyFill="1" applyBorder="1" applyAlignment="1" applyProtection="1">
      <alignment horizontal="center" vertical="center" wrapText="1"/>
      <protection locked="0"/>
    </xf>
    <xf numFmtId="170" fontId="16" fillId="20" borderId="1" xfId="0" applyNumberFormat="1" applyFont="1" applyFill="1" applyBorder="1" applyAlignment="1" applyProtection="1">
      <alignment horizontal="center" vertical="center" wrapText="1"/>
      <protection locked="0"/>
    </xf>
    <xf numFmtId="169" fontId="23" fillId="0" borderId="3" xfId="2" applyNumberFormat="1" applyFont="1" applyFill="1" applyBorder="1" applyAlignment="1">
      <alignment vertical="center"/>
    </xf>
    <xf numFmtId="3" fontId="30" fillId="21" borderId="1" xfId="0" applyNumberFormat="1" applyFont="1" applyFill="1" applyBorder="1"/>
    <xf numFmtId="169" fontId="1" fillId="16" borderId="1" xfId="38" applyNumberFormat="1" applyFont="1" applyFill="1" applyBorder="1" applyAlignment="1" applyProtection="1">
      <alignment horizontal="center" vertical="center"/>
    </xf>
    <xf numFmtId="49" fontId="1" fillId="16" borderId="1" xfId="0" applyNumberFormat="1" applyFont="1" applyFill="1" applyBorder="1" applyAlignment="1" applyProtection="1">
      <alignment vertical="center" wrapText="1"/>
    </xf>
    <xf numFmtId="170" fontId="12" fillId="16" borderId="1" xfId="0" applyNumberFormat="1" applyFont="1" applyFill="1" applyBorder="1" applyAlignment="1" applyProtection="1">
      <alignment vertical="center" wrapText="1"/>
      <protection locked="0"/>
    </xf>
    <xf numFmtId="49" fontId="29" fillId="16" borderId="1" xfId="0" applyNumberFormat="1" applyFont="1" applyFill="1" applyBorder="1" applyAlignment="1" applyProtection="1">
      <alignment vertical="center" wrapText="1"/>
    </xf>
    <xf numFmtId="49" fontId="12" fillId="16" borderId="3" xfId="0" applyNumberFormat="1" applyFont="1" applyFill="1" applyBorder="1" applyAlignment="1" applyProtection="1">
      <alignment vertical="center" wrapText="1"/>
    </xf>
    <xf numFmtId="0" fontId="29" fillId="16" borderId="1" xfId="36" applyNumberFormat="1" applyFont="1" applyFill="1" applyBorder="1" applyAlignment="1">
      <alignment horizontal="center" vertical="center" wrapText="1"/>
    </xf>
    <xf numFmtId="1" fontId="29" fillId="16" borderId="1" xfId="36" applyNumberFormat="1" applyFont="1" applyFill="1" applyBorder="1" applyAlignment="1" applyProtection="1">
      <alignment horizontal="center" vertical="center" wrapText="1"/>
      <protection locked="0"/>
    </xf>
    <xf numFmtId="3" fontId="29" fillId="16" borderId="1" xfId="4" applyNumberFormat="1" applyFont="1" applyFill="1" applyBorder="1" applyAlignment="1" applyProtection="1">
      <alignment vertical="center" wrapText="1"/>
      <protection locked="0"/>
    </xf>
    <xf numFmtId="169" fontId="16" fillId="0" borderId="1" xfId="2" applyNumberFormat="1" applyFont="1" applyFill="1" applyBorder="1" applyAlignment="1" applyProtection="1">
      <alignment horizontal="center" vertical="center"/>
      <protection locked="0"/>
    </xf>
    <xf numFmtId="9" fontId="0" fillId="16" borderId="1" xfId="46" applyNumberFormat="1" applyFont="1" applyFill="1" applyBorder="1" applyAlignment="1" applyProtection="1">
      <alignment horizontal="center" vertical="center"/>
      <protection locked="0"/>
    </xf>
    <xf numFmtId="0" fontId="29" fillId="16" borderId="3" xfId="36" applyFont="1" applyFill="1" applyBorder="1" applyAlignment="1" applyProtection="1">
      <alignment horizontal="center" vertical="center" wrapText="1"/>
      <protection locked="0"/>
    </xf>
    <xf numFmtId="167" fontId="29" fillId="16" borderId="1" xfId="6" applyFont="1" applyFill="1" applyBorder="1" applyAlignment="1" applyProtection="1">
      <alignment horizontal="center" vertical="center" wrapText="1"/>
      <protection locked="0"/>
    </xf>
    <xf numFmtId="167" fontId="29" fillId="16" borderId="1" xfId="6" applyFont="1" applyFill="1" applyBorder="1" applyAlignment="1" applyProtection="1">
      <alignment horizontal="center" vertical="center"/>
      <protection locked="0"/>
    </xf>
    <xf numFmtId="9" fontId="0" fillId="16" borderId="1" xfId="0" applyNumberFormat="1" applyFill="1" applyBorder="1" applyAlignment="1" applyProtection="1">
      <alignment vertical="center" wrapText="1"/>
      <protection locked="0"/>
    </xf>
    <xf numFmtId="9" fontId="0" fillId="16" borderId="1" xfId="0" applyNumberFormat="1" applyFill="1" applyBorder="1" applyAlignment="1" applyProtection="1">
      <alignment horizontal="center" vertical="center"/>
      <protection locked="0"/>
    </xf>
    <xf numFmtId="0" fontId="29" fillId="16" borderId="1" xfId="36" applyFont="1" applyFill="1" applyBorder="1" applyAlignment="1" applyProtection="1">
      <alignment horizontal="center" vertical="center" wrapText="1"/>
      <protection locked="0"/>
    </xf>
    <xf numFmtId="169" fontId="1" fillId="16" borderId="1" xfId="38" applyNumberFormat="1" applyFont="1" applyFill="1" applyBorder="1" applyAlignment="1" applyProtection="1">
      <alignment horizontal="center" vertical="center" wrapText="1"/>
      <protection locked="0"/>
    </xf>
    <xf numFmtId="167" fontId="19" fillId="21" borderId="0" xfId="36" applyNumberFormat="1" applyFont="1" applyFill="1" applyAlignment="1">
      <alignment horizontal="center" vertical="center"/>
    </xf>
    <xf numFmtId="1" fontId="26" fillId="16" borderId="1" xfId="0" applyNumberFormat="1" applyFont="1" applyFill="1" applyBorder="1" applyAlignment="1" applyProtection="1">
      <alignment horizontal="center" vertical="center" wrapText="1"/>
      <protection locked="0"/>
    </xf>
    <xf numFmtId="170" fontId="16" fillId="0" borderId="1" xfId="0" applyNumberFormat="1" applyFont="1" applyFill="1" applyBorder="1" applyAlignment="1" applyProtection="1">
      <alignment vertical="center" wrapText="1"/>
      <protection locked="0"/>
    </xf>
    <xf numFmtId="170" fontId="16" fillId="0" borderId="1" xfId="0" applyNumberFormat="1" applyFont="1" applyFill="1" applyBorder="1" applyAlignment="1" applyProtection="1">
      <alignment horizontal="center" vertical="center" wrapText="1"/>
      <protection locked="0"/>
    </xf>
    <xf numFmtId="9" fontId="29" fillId="16" borderId="1" xfId="46" applyNumberFormat="1" applyFont="1" applyFill="1" applyBorder="1" applyAlignment="1" applyProtection="1">
      <alignment horizontal="center" vertical="center" wrapText="1"/>
      <protection locked="0"/>
    </xf>
    <xf numFmtId="169" fontId="16" fillId="16" borderId="1" xfId="0" applyNumberFormat="1" applyFont="1" applyFill="1" applyBorder="1" applyAlignment="1" applyProtection="1">
      <alignment horizontal="center" vertical="center" wrapText="1"/>
      <protection locked="0"/>
    </xf>
    <xf numFmtId="170" fontId="16" fillId="16" borderId="1" xfId="0" applyNumberFormat="1" applyFont="1" applyFill="1" applyBorder="1" applyAlignment="1" applyProtection="1">
      <alignment horizontal="center" vertical="center" wrapText="1"/>
      <protection locked="0"/>
    </xf>
    <xf numFmtId="170" fontId="12" fillId="16" borderId="1" xfId="0" applyNumberFormat="1" applyFont="1" applyFill="1" applyBorder="1" applyAlignment="1" applyProtection="1">
      <alignment horizontal="center" vertical="center" wrapText="1"/>
      <protection locked="0"/>
    </xf>
    <xf numFmtId="9" fontId="29" fillId="16" borderId="1" xfId="0" applyNumberFormat="1" applyFont="1" applyFill="1" applyBorder="1" applyAlignment="1" applyProtection="1">
      <alignment horizontal="center" vertical="center" wrapText="1"/>
      <protection locked="0"/>
    </xf>
    <xf numFmtId="165" fontId="16" fillId="3" borderId="1" xfId="2" applyFont="1" applyFill="1" applyBorder="1" applyAlignment="1" applyProtection="1">
      <alignment horizontal="center" vertical="center" wrapText="1"/>
    </xf>
    <xf numFmtId="165" fontId="16" fillId="3" borderId="1" xfId="2" applyFont="1" applyFill="1" applyBorder="1" applyAlignment="1" applyProtection="1">
      <alignment horizontal="center" vertical="center" wrapText="1"/>
      <protection locked="0"/>
    </xf>
    <xf numFmtId="169" fontId="16" fillId="16" borderId="1" xfId="2" applyNumberFormat="1" applyFont="1" applyFill="1" applyBorder="1" applyAlignment="1" applyProtection="1">
      <alignment horizontal="center" vertical="center" wrapText="1"/>
      <protection locked="0"/>
    </xf>
    <xf numFmtId="3" fontId="29" fillId="16" borderId="1" xfId="3" applyNumberFormat="1" applyFont="1" applyFill="1" applyBorder="1" applyAlignment="1">
      <alignment horizontal="center" vertical="center" wrapText="1"/>
    </xf>
    <xf numFmtId="165" fontId="16" fillId="16" borderId="1" xfId="2" applyFont="1" applyFill="1" applyBorder="1" applyAlignment="1" applyProtection="1">
      <alignment horizontal="center" vertical="center" wrapText="1"/>
      <protection locked="0"/>
    </xf>
    <xf numFmtId="165" fontId="29" fillId="0" borderId="1" xfId="2" applyFont="1" applyFill="1" applyBorder="1" applyAlignment="1">
      <alignment horizontal="center" vertical="center" wrapText="1"/>
    </xf>
    <xf numFmtId="9" fontId="0" fillId="16" borderId="1" xfId="0" applyNumberFormat="1" applyFill="1" applyBorder="1" applyAlignment="1" applyProtection="1">
      <alignment vertical="center"/>
      <protection locked="0"/>
    </xf>
    <xf numFmtId="169" fontId="23" fillId="3" borderId="0" xfId="36" applyNumberFormat="1" applyFont="1" applyFill="1" applyAlignment="1">
      <alignment horizontal="center" vertical="center"/>
    </xf>
    <xf numFmtId="37" fontId="16"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vertical="center" wrapText="1"/>
    </xf>
    <xf numFmtId="49" fontId="16" fillId="0" borderId="1" xfId="0" applyNumberFormat="1" applyFont="1" applyFill="1" applyBorder="1" applyAlignment="1" applyProtection="1">
      <alignment vertical="center" wrapText="1"/>
    </xf>
    <xf numFmtId="0" fontId="16" fillId="0" borderId="1" xfId="0" applyFont="1" applyFill="1" applyBorder="1" applyAlignment="1" applyProtection="1">
      <alignment vertical="center" wrapText="1"/>
      <protection locked="0"/>
    </xf>
    <xf numFmtId="0" fontId="16" fillId="0" borderId="1" xfId="0" applyFont="1" applyFill="1" applyBorder="1" applyAlignment="1" applyProtection="1">
      <alignment horizontal="center" vertical="center" wrapText="1"/>
      <protection locked="0"/>
    </xf>
    <xf numFmtId="170" fontId="16" fillId="0" borderId="3" xfId="0" applyNumberFormat="1" applyFont="1" applyFill="1" applyBorder="1" applyAlignment="1" applyProtection="1">
      <alignment horizontal="center" vertical="center" wrapText="1"/>
      <protection locked="0"/>
    </xf>
    <xf numFmtId="170" fontId="16" fillId="0" borderId="2" xfId="0" applyNumberFormat="1" applyFont="1" applyFill="1" applyBorder="1" applyAlignment="1" applyProtection="1">
      <alignment horizontal="center" vertical="center" wrapText="1"/>
      <protection locked="0"/>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3" fontId="57" fillId="0" borderId="1" xfId="0" applyNumberFormat="1" applyFont="1" applyFill="1" applyBorder="1" applyAlignment="1">
      <alignment vertical="center"/>
    </xf>
    <xf numFmtId="169" fontId="26" fillId="22" borderId="1" xfId="2" applyNumberFormat="1" applyFont="1" applyFill="1" applyBorder="1" applyAlignment="1" applyProtection="1">
      <alignment vertical="center"/>
      <protection locked="0"/>
    </xf>
    <xf numFmtId="167" fontId="23" fillId="22" borderId="1" xfId="36" applyNumberFormat="1" applyFont="1" applyFill="1" applyBorder="1" applyAlignment="1">
      <alignment horizontal="center" vertical="center"/>
    </xf>
    <xf numFmtId="169" fontId="26" fillId="22" borderId="1" xfId="2" applyNumberFormat="1" applyFont="1" applyFill="1" applyBorder="1" applyAlignment="1" applyProtection="1">
      <alignment horizontal="center" vertical="center" wrapText="1"/>
      <protection locked="0"/>
    </xf>
    <xf numFmtId="3" fontId="0" fillId="22" borderId="1" xfId="0" applyNumberFormat="1" applyFill="1" applyBorder="1" applyAlignment="1">
      <alignment vertical="center"/>
    </xf>
    <xf numFmtId="169" fontId="16" fillId="22" borderId="1" xfId="2" applyNumberFormat="1" applyFont="1" applyFill="1" applyBorder="1" applyAlignment="1" applyProtection="1">
      <alignment horizontal="center" vertical="center" wrapText="1"/>
    </xf>
    <xf numFmtId="169" fontId="26" fillId="22" borderId="1" xfId="2" applyNumberFormat="1" applyFont="1" applyFill="1" applyBorder="1" applyAlignment="1">
      <alignment horizontal="center" vertical="center"/>
    </xf>
    <xf numFmtId="169" fontId="25" fillId="3" borderId="1" xfId="2" applyNumberFormat="1" applyFont="1" applyFill="1" applyBorder="1" applyAlignment="1" applyProtection="1">
      <alignment vertical="center"/>
    </xf>
    <xf numFmtId="169" fontId="26" fillId="22" borderId="1" xfId="2" applyNumberFormat="1" applyFont="1" applyFill="1" applyBorder="1" applyAlignment="1" applyProtection="1">
      <alignment horizontal="center" vertical="center"/>
      <protection locked="0"/>
    </xf>
    <xf numFmtId="175" fontId="52" fillId="22" borderId="1" xfId="8" applyNumberFormat="1" applyFont="1" applyFill="1" applyBorder="1" applyAlignment="1" applyProtection="1">
      <alignment horizontal="center" vertical="center" wrapText="1"/>
      <protection locked="0"/>
    </xf>
    <xf numFmtId="169" fontId="26" fillId="22" borderId="1" xfId="2" applyNumberFormat="1" applyFont="1" applyFill="1" applyBorder="1" applyAlignment="1" applyProtection="1">
      <alignment vertical="center" wrapText="1"/>
      <protection locked="0"/>
    </xf>
    <xf numFmtId="169" fontId="26" fillId="22" borderId="1" xfId="2" applyNumberFormat="1" applyFont="1" applyFill="1" applyBorder="1" applyAlignment="1" applyProtection="1">
      <alignment horizontal="left" vertical="center"/>
      <protection locked="0"/>
    </xf>
    <xf numFmtId="169" fontId="25" fillId="22" borderId="1" xfId="2" applyNumberFormat="1" applyFont="1" applyFill="1" applyBorder="1" applyAlignment="1" applyProtection="1">
      <alignment vertical="center"/>
    </xf>
    <xf numFmtId="3" fontId="25" fillId="22" borderId="1" xfId="2" applyNumberFormat="1" applyFont="1" applyFill="1" applyBorder="1" applyAlignment="1" applyProtection="1">
      <alignment vertical="center"/>
    </xf>
    <xf numFmtId="167" fontId="23" fillId="22" borderId="0" xfId="36" applyNumberFormat="1" applyFont="1" applyFill="1" applyAlignment="1">
      <alignment horizontal="center" vertical="center"/>
    </xf>
    <xf numFmtId="3" fontId="29" fillId="22" borderId="1" xfId="0" applyNumberFormat="1" applyFont="1" applyFill="1" applyBorder="1" applyAlignment="1" applyProtection="1">
      <alignment horizontal="center" vertical="center"/>
      <protection locked="0"/>
    </xf>
    <xf numFmtId="0" fontId="29" fillId="15" borderId="1" xfId="0" applyFont="1" applyFill="1" applyBorder="1" applyAlignment="1" applyProtection="1">
      <alignment horizontal="center" vertical="center" wrapText="1"/>
      <protection locked="0"/>
    </xf>
    <xf numFmtId="0" fontId="29" fillId="15" borderId="1" xfId="0" applyFont="1" applyFill="1" applyBorder="1" applyAlignment="1" applyProtection="1">
      <alignment vertical="center" wrapText="1"/>
      <protection locked="0"/>
    </xf>
    <xf numFmtId="0" fontId="29" fillId="15" borderId="3" xfId="0" applyFont="1" applyFill="1" applyBorder="1" applyAlignment="1" applyProtection="1">
      <alignment vertical="center" wrapText="1"/>
      <protection locked="0"/>
    </xf>
    <xf numFmtId="0" fontId="29" fillId="15" borderId="3" xfId="0" applyFont="1" applyFill="1" applyBorder="1" applyAlignment="1" applyProtection="1">
      <alignment horizontal="center" vertical="center" wrapText="1"/>
      <protection locked="0"/>
    </xf>
    <xf numFmtId="0" fontId="29" fillId="15" borderId="1" xfId="33" applyFont="1" applyFill="1" applyBorder="1" applyAlignment="1" applyProtection="1">
      <alignment horizontal="left" vertical="center" wrapText="1"/>
      <protection locked="0"/>
    </xf>
    <xf numFmtId="0" fontId="16" fillId="15" borderId="1" xfId="33" applyFont="1" applyFill="1" applyBorder="1" applyAlignment="1">
      <alignment vertical="center" wrapText="1"/>
    </xf>
    <xf numFmtId="164" fontId="29" fillId="22" borderId="1" xfId="3" applyFont="1" applyFill="1" applyBorder="1" applyAlignment="1">
      <alignment horizontal="center" vertical="center" wrapText="1"/>
    </xf>
    <xf numFmtId="0" fontId="29" fillId="15" borderId="1" xfId="0" applyNumberFormat="1" applyFont="1" applyFill="1" applyBorder="1" applyAlignment="1">
      <alignment vertical="center" wrapText="1"/>
    </xf>
    <xf numFmtId="0" fontId="29" fillId="15" borderId="1" xfId="0" applyNumberFormat="1" applyFont="1" applyFill="1" applyBorder="1" applyAlignment="1">
      <alignment horizontal="center" vertical="center" wrapText="1"/>
    </xf>
    <xf numFmtId="0" fontId="29" fillId="15" borderId="1" xfId="0" applyFont="1" applyFill="1" applyBorder="1" applyAlignment="1" applyProtection="1">
      <alignment horizontal="left" vertical="center" wrapText="1"/>
      <protection locked="0"/>
    </xf>
    <xf numFmtId="0" fontId="29" fillId="15" borderId="1" xfId="0" applyFont="1" applyFill="1" applyBorder="1" applyAlignment="1">
      <alignment horizontal="center" vertical="center" wrapText="1"/>
    </xf>
    <xf numFmtId="0" fontId="29" fillId="15" borderId="1" xfId="0" applyFont="1" applyFill="1" applyBorder="1" applyAlignment="1">
      <alignment vertical="center" wrapText="1"/>
    </xf>
    <xf numFmtId="0" fontId="29" fillId="3" borderId="3"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0" fontId="19" fillId="0" borderId="0" xfId="0" applyNumberFormat="1" applyFont="1" applyAlignment="1">
      <alignment indent="50"/>
    </xf>
    <xf numFmtId="0" fontId="19" fillId="0" borderId="0" xfId="0" applyNumberFormat="1" applyFont="1" applyAlignment="1">
      <alignment horizontal="left" vertical="center" wrapText="1"/>
    </xf>
    <xf numFmtId="0" fontId="19" fillId="11" borderId="4" xfId="0" applyNumberFormat="1" applyFont="1" applyFill="1" applyBorder="1" applyAlignment="1">
      <alignment horizontal="center" vertical="center"/>
    </xf>
    <xf numFmtId="0" fontId="19" fillId="11" borderId="5" xfId="0" applyNumberFormat="1" applyFont="1" applyFill="1" applyBorder="1" applyAlignment="1">
      <alignment horizontal="center" vertical="center"/>
    </xf>
    <xf numFmtId="0" fontId="19" fillId="11" borderId="6" xfId="0" applyNumberFormat="1" applyFont="1" applyFill="1" applyBorder="1" applyAlignment="1">
      <alignment horizontal="center" vertical="center"/>
    </xf>
    <xf numFmtId="0" fontId="0" fillId="3" borderId="0" xfId="0" applyNumberFormat="1" applyFont="1" applyFill="1" applyAlignment="1">
      <alignment horizontal="center" vertical="center"/>
    </xf>
    <xf numFmtId="0" fontId="0" fillId="3" borderId="0" xfId="0" applyNumberFormat="1" applyFont="1" applyFill="1" applyBorder="1" applyAlignment="1">
      <alignment horizontal="center" vertical="center"/>
    </xf>
    <xf numFmtId="9" fontId="0" fillId="16" borderId="1" xfId="0" applyNumberFormat="1" applyFill="1" applyBorder="1" applyAlignment="1" applyProtection="1">
      <alignment horizontal="center" vertical="center"/>
      <protection locked="0"/>
    </xf>
    <xf numFmtId="0" fontId="0" fillId="16" borderId="1" xfId="0" applyFill="1" applyBorder="1" applyAlignment="1" applyProtection="1">
      <alignment horizontal="center" vertical="center"/>
      <protection locked="0"/>
    </xf>
    <xf numFmtId="9" fontId="29" fillId="16" borderId="3" xfId="0" applyNumberFormat="1" applyFont="1" applyFill="1" applyBorder="1" applyAlignment="1" applyProtection="1">
      <alignment horizontal="center" vertical="center" wrapText="1"/>
      <protection locked="0"/>
    </xf>
    <xf numFmtId="0" fontId="29" fillId="16" borderId="2" xfId="0" applyFont="1" applyFill="1" applyBorder="1" applyAlignment="1" applyProtection="1">
      <alignment horizontal="center" vertical="center" wrapText="1"/>
      <protection locked="0"/>
    </xf>
    <xf numFmtId="0" fontId="19" fillId="3" borderId="0" xfId="0" applyNumberFormat="1" applyFont="1" applyFill="1" applyAlignment="1">
      <alignment indent="50"/>
    </xf>
    <xf numFmtId="0" fontId="19" fillId="3" borderId="0" xfId="0" applyNumberFormat="1" applyFont="1" applyFill="1" applyAlignment="1">
      <alignment horizontal="left" vertical="center" wrapText="1" indent="50"/>
    </xf>
    <xf numFmtId="0" fontId="19" fillId="3" borderId="0" xfId="0" applyNumberFormat="1" applyFont="1" applyFill="1" applyAlignment="1">
      <alignment horizontal="left" vertical="center" wrapText="1"/>
    </xf>
    <xf numFmtId="0" fontId="0" fillId="3" borderId="0" xfId="0" applyNumberFormat="1" applyFont="1" applyFill="1" applyAlignment="1">
      <alignment horizontal="left" vertical="center" wrapText="1"/>
    </xf>
    <xf numFmtId="0" fontId="20" fillId="3" borderId="0" xfId="0" applyNumberFormat="1" applyFont="1" applyFill="1" applyAlignment="1">
      <alignment horizontal="left" vertical="center" wrapText="1"/>
    </xf>
    <xf numFmtId="0" fontId="29" fillId="3" borderId="20" xfId="0" applyNumberFormat="1" applyFont="1" applyFill="1" applyBorder="1" applyAlignment="1">
      <alignment horizontal="center" vertical="center" wrapText="1"/>
    </xf>
    <xf numFmtId="0" fontId="0" fillId="0" borderId="0" xfId="0" applyNumberFormat="1" applyFont="1" applyAlignment="1">
      <alignment horizontal="left" vertical="center" wrapText="1"/>
    </xf>
    <xf numFmtId="0" fontId="32" fillId="0" borderId="0" xfId="0" applyFont="1" applyFill="1" applyBorder="1" applyAlignment="1">
      <alignment horizontal="center" vertical="center" wrapText="1"/>
    </xf>
    <xf numFmtId="0" fontId="33" fillId="4" borderId="4" xfId="0" applyFont="1" applyFill="1" applyBorder="1" applyAlignment="1">
      <alignment horizontal="center" vertical="center" wrapText="1"/>
    </xf>
    <xf numFmtId="0" fontId="33" fillId="4" borderId="5" xfId="0" applyFont="1" applyFill="1" applyBorder="1" applyAlignment="1">
      <alignment horizontal="center" vertical="center" wrapText="1"/>
    </xf>
    <xf numFmtId="0" fontId="33" fillId="4" borderId="6" xfId="0" applyFont="1" applyFill="1" applyBorder="1" applyAlignment="1">
      <alignment horizontal="center" vertical="center" wrapText="1"/>
    </xf>
    <xf numFmtId="0" fontId="19" fillId="3" borderId="0" xfId="36" applyNumberFormat="1" applyFont="1" applyFill="1" applyAlignment="1">
      <alignment indent="50"/>
    </xf>
    <xf numFmtId="0" fontId="19" fillId="3" borderId="0" xfId="36" applyNumberFormat="1" applyFont="1" applyFill="1" applyAlignment="1">
      <alignment horizontal="left" vertical="center" wrapText="1" indent="50"/>
    </xf>
    <xf numFmtId="0" fontId="19" fillId="0" borderId="0" xfId="36" applyNumberFormat="1" applyFont="1" applyAlignment="1">
      <alignment indent="50"/>
    </xf>
    <xf numFmtId="0" fontId="19" fillId="0" borderId="0" xfId="36" applyNumberFormat="1" applyFont="1" applyAlignment="1">
      <alignment horizontal="left" vertical="center" wrapText="1"/>
    </xf>
    <xf numFmtId="0" fontId="19" fillId="3" borderId="0" xfId="36" applyNumberFormat="1" applyFont="1" applyFill="1" applyAlignment="1">
      <alignment horizontal="left" vertical="center" wrapText="1"/>
    </xf>
    <xf numFmtId="0" fontId="23" fillId="0" borderId="0" xfId="36" applyNumberFormat="1" applyFont="1" applyAlignment="1">
      <alignment horizontal="left" vertical="center" wrapText="1"/>
    </xf>
    <xf numFmtId="0" fontId="23" fillId="3" borderId="0" xfId="36" applyNumberFormat="1" applyFont="1" applyFill="1" applyAlignment="1">
      <alignment horizontal="left" vertical="center" wrapText="1"/>
    </xf>
    <xf numFmtId="0" fontId="19" fillId="11" borderId="4" xfId="36" applyNumberFormat="1" applyFont="1" applyFill="1" applyBorder="1" applyAlignment="1">
      <alignment horizontal="center" vertical="center"/>
    </xf>
    <xf numFmtId="0" fontId="19" fillId="11" borderId="5" xfId="36" applyNumberFormat="1" applyFont="1" applyFill="1" applyBorder="1" applyAlignment="1">
      <alignment horizontal="center" vertical="center"/>
    </xf>
    <xf numFmtId="0" fontId="19" fillId="11" borderId="6" xfId="36" applyNumberFormat="1" applyFont="1" applyFill="1" applyBorder="1" applyAlignment="1">
      <alignment horizontal="center" vertical="center"/>
    </xf>
    <xf numFmtId="0" fontId="29" fillId="0" borderId="1" xfId="36" applyNumberFormat="1" applyFont="1" applyFill="1" applyBorder="1" applyAlignment="1">
      <alignment horizontal="center" vertical="center" wrapText="1"/>
    </xf>
    <xf numFmtId="0" fontId="29" fillId="3" borderId="3" xfId="0" applyFont="1" applyFill="1" applyBorder="1" applyAlignment="1" applyProtection="1">
      <alignment horizontal="left" vertical="top" wrapText="1"/>
      <protection locked="0"/>
    </xf>
    <xf numFmtId="0" fontId="29" fillId="3" borderId="2" xfId="0" applyFont="1" applyFill="1" applyBorder="1" applyAlignment="1" applyProtection="1">
      <alignment horizontal="left" vertical="top" wrapText="1"/>
      <protection locked="0"/>
    </xf>
    <xf numFmtId="0" fontId="29" fillId="0" borderId="3" xfId="0" applyFont="1" applyFill="1" applyBorder="1" applyAlignment="1" applyProtection="1">
      <alignment horizontal="center" vertical="center" wrapText="1"/>
      <protection locked="0"/>
    </xf>
    <xf numFmtId="0" fontId="29" fillId="0" borderId="2" xfId="0" applyFont="1" applyFill="1" applyBorder="1" applyAlignment="1" applyProtection="1">
      <alignment horizontal="center" vertical="center" wrapText="1"/>
      <protection locked="0"/>
    </xf>
    <xf numFmtId="170" fontId="12" fillId="0" borderId="3" xfId="0" applyNumberFormat="1" applyFont="1" applyFill="1" applyBorder="1" applyAlignment="1" applyProtection="1">
      <alignment horizontal="center" vertical="center" wrapText="1"/>
      <protection locked="0"/>
    </xf>
    <xf numFmtId="170" fontId="12" fillId="0" borderId="2" xfId="0" applyNumberFormat="1" applyFont="1" applyFill="1" applyBorder="1" applyAlignment="1" applyProtection="1">
      <alignment horizontal="center" vertical="center" wrapText="1"/>
      <protection locked="0"/>
    </xf>
  </cellXfs>
  <cellStyles count="61">
    <cellStyle name="Diseño" xfId="16"/>
    <cellStyle name="Diseño 10" xfId="17"/>
    <cellStyle name="Diseño 2" xfId="18"/>
    <cellStyle name="Millares" xfId="1" builtinId="3"/>
    <cellStyle name="Millares [0]" xfId="3" builtinId="6"/>
    <cellStyle name="Millares [0] 2" xfId="34"/>
    <cellStyle name="Millares [0] 3" xfId="39"/>
    <cellStyle name="Millares 2" xfId="15"/>
    <cellStyle name="Millares 2 2" xfId="19"/>
    <cellStyle name="Millares 2 3" xfId="10"/>
    <cellStyle name="Millares 2 3 2" xfId="45"/>
    <cellStyle name="Millares 3" xfId="8"/>
    <cellStyle name="Millares 3 2" xfId="14"/>
    <cellStyle name="Millares 3 3" xfId="41"/>
    <cellStyle name="Millares 3 4" xfId="50"/>
    <cellStyle name="Millares 4" xfId="20"/>
    <cellStyle name="Millares 5" xfId="32"/>
    <cellStyle name="Millares 6" xfId="37"/>
    <cellStyle name="Millares 7" xfId="56"/>
    <cellStyle name="Millares 8" xfId="58"/>
    <cellStyle name="Millares 9" xfId="60"/>
    <cellStyle name="Moneda" xfId="2" builtinId="4"/>
    <cellStyle name="Moneda [0]" xfId="6" builtinId="7"/>
    <cellStyle name="Moneda [0] 2" xfId="40"/>
    <cellStyle name="Moneda 2" xfId="9"/>
    <cellStyle name="Moneda 2 2" xfId="22"/>
    <cellStyle name="Moneda 2 3" xfId="21"/>
    <cellStyle name="Moneda 2 4" xfId="44"/>
    <cellStyle name="Moneda 3" xfId="23"/>
    <cellStyle name="Moneda 3 2" xfId="51"/>
    <cellStyle name="Moneda 4" xfId="35"/>
    <cellStyle name="Moneda 4 2" xfId="42"/>
    <cellStyle name="Moneda 5" xfId="38"/>
    <cellStyle name="Moneda 6" xfId="55"/>
    <cellStyle name="Moneda 7" xfId="57"/>
    <cellStyle name="Moneda 8" xfId="59"/>
    <cellStyle name="Normal" xfId="0" builtinId="0"/>
    <cellStyle name="Normal 10" xfId="24"/>
    <cellStyle name="Normal 11" xfId="11"/>
    <cellStyle name="Normal 12" xfId="33"/>
    <cellStyle name="Normal 12 2" xfId="43"/>
    <cellStyle name="Normal 13" xfId="36"/>
    <cellStyle name="Normal 14" xfId="49"/>
    <cellStyle name="Normal 2" xfId="7"/>
    <cellStyle name="Normal 2 2 2" xfId="47"/>
    <cellStyle name="Normal 3" xfId="25"/>
    <cellStyle name="Normal 3 2" xfId="5"/>
    <cellStyle name="Normal 4" xfId="4"/>
    <cellStyle name="Normal 4 3" xfId="48"/>
    <cellStyle name="Normal 5" xfId="26"/>
    <cellStyle name="Normal 6" xfId="27"/>
    <cellStyle name="Normal 6 2" xfId="52"/>
    <cellStyle name="Normal 7" xfId="28"/>
    <cellStyle name="Normal 7 2" xfId="29"/>
    <cellStyle name="Normal 7 2 2" xfId="54"/>
    <cellStyle name="Normal 7 3" xfId="53"/>
    <cellStyle name="Normal 8" xfId="30"/>
    <cellStyle name="Normal 9" xfId="31"/>
    <cellStyle name="Porcentaje" xfId="46" builtinId="5"/>
    <cellStyle name="Porcentaje 2" xfId="12"/>
    <cellStyle name="Porcentual 2" xfId="13"/>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1221921</xdr:colOff>
      <xdr:row>2</xdr:row>
      <xdr:rowOff>114300</xdr:rowOff>
    </xdr:to>
    <xdr:pic>
      <xdr:nvPicPr>
        <xdr:cNvPr id="2" name="Main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525" y="0"/>
          <a:ext cx="4022271" cy="495300"/>
        </a:xfrm>
        <a:prstGeom prst="rect">
          <a:avLst/>
        </a:prstGeom>
        <a:ln w="12700">
          <a:noFill/>
          <a:prstDash val="solid"/>
        </a:ln>
      </xdr:spPr>
    </xdr:pic>
    <xdr:clientData/>
  </xdr:twoCellAnchor>
  <xdr:oneCellAnchor>
    <xdr:from>
      <xdr:col>0</xdr:col>
      <xdr:colOff>27213</xdr:colOff>
      <xdr:row>8</xdr:row>
      <xdr:rowOff>40821</xdr:rowOff>
    </xdr:from>
    <xdr:ext cx="3583191" cy="346981"/>
    <xdr:pic>
      <xdr:nvPicPr>
        <xdr:cNvPr id="3" name="Imagen 2" descr="Ministerio de Salud y Protección Social - República de Colombi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3" y="40821"/>
          <a:ext cx="3587273" cy="7538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1</xdr:row>
      <xdr:rowOff>3438</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0" cy="355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1221921</xdr:colOff>
      <xdr:row>2</xdr:row>
      <xdr:rowOff>114300</xdr:rowOff>
    </xdr:to>
    <xdr:pic>
      <xdr:nvPicPr>
        <xdr:cNvPr id="2" name="Main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9525" y="0"/>
          <a:ext cx="1212396" cy="495300"/>
        </a:xfrm>
        <a:prstGeom prst="rect">
          <a:avLst/>
        </a:prstGeom>
        <a:ln w="12700">
          <a:noFill/>
          <a:prstDash val="solid"/>
        </a:ln>
      </xdr:spPr>
    </xdr:pic>
    <xdr:clientData/>
  </xdr:twoCellAnchor>
  <xdr:oneCellAnchor>
    <xdr:from>
      <xdr:col>0</xdr:col>
      <xdr:colOff>27213</xdr:colOff>
      <xdr:row>8</xdr:row>
      <xdr:rowOff>40821</xdr:rowOff>
    </xdr:from>
    <xdr:ext cx="3583191" cy="346981"/>
    <xdr:pic>
      <xdr:nvPicPr>
        <xdr:cNvPr id="3" name="Imagen 2" descr="Ministerio de Salud y Protección Social - República de Colombia">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3" y="952500"/>
          <a:ext cx="3583191" cy="3469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quirozv\Desktop\POAI%202018Y%20SEGUIMIENTO\COAI%20Y%20PAS%202018\COAI%20Y%20PAS%202018%20SSSA%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3 - COAI 2016"/>
      <sheetName val="DIMYCOMP"/>
      <sheetName val="Tabla14 -Plan de Accionssa2016"/>
      <sheetName val="COAI 2017"/>
      <sheetName val="PAS 2017"/>
      <sheetName val="COAI 2018"/>
      <sheetName val="PAS 2018"/>
      <sheetName val="DC"/>
      <sheetName val="Grupos Etnicos"/>
      <sheetName val="Curso de vida "/>
      <sheetName val="Entornos "/>
      <sheetName val="Ámbitos "/>
    </sheetNames>
    <sheetDataSet>
      <sheetData sheetId="0"/>
      <sheetData sheetId="1">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M377"/>
  <sheetViews>
    <sheetView topLeftCell="A313" zoomScale="86" zoomScaleNormal="86" workbookViewId="0">
      <selection activeCell="E130" sqref="E130"/>
    </sheetView>
  </sheetViews>
  <sheetFormatPr baseColWidth="10" defaultColWidth="9.140625" defaultRowHeight="15" x14ac:dyDescent="0.25"/>
  <cols>
    <col min="1" max="1" width="29.140625" style="58" customWidth="1"/>
    <col min="2" max="2" width="19" style="58" customWidth="1"/>
    <col min="3" max="3" width="19" style="82" customWidth="1"/>
    <col min="4" max="4" width="27" style="209" customWidth="1"/>
    <col min="5" max="5" width="30.7109375" style="77" customWidth="1"/>
    <col min="6" max="6" width="28" style="58" hidden="1" customWidth="1"/>
    <col min="7" max="7" width="32.42578125" style="82" hidden="1" customWidth="1"/>
    <col min="8" max="8" width="32.85546875" style="82" hidden="1" customWidth="1"/>
    <col min="9" max="9" width="20.7109375" style="82" hidden="1" customWidth="1"/>
    <col min="10" max="10" width="18.140625" style="82" hidden="1" customWidth="1"/>
    <col min="11" max="11" width="24" style="58" customWidth="1"/>
    <col min="12" max="12" width="24" style="82" customWidth="1"/>
    <col min="13" max="18" width="24" style="82" hidden="1" customWidth="1"/>
    <col min="19" max="19" width="18" style="82" customWidth="1"/>
    <col min="20" max="20" width="15.140625" style="82" customWidth="1"/>
    <col min="21" max="21" width="10.42578125" style="58" customWidth="1"/>
    <col min="22" max="22" width="9.28515625" style="58" customWidth="1"/>
    <col min="23" max="23" width="8.7109375" style="58" customWidth="1"/>
    <col min="24" max="24" width="9" style="58" customWidth="1"/>
    <col min="25" max="25" width="43.28515625" style="82" customWidth="1"/>
    <col min="26" max="26" width="23.7109375" style="58" customWidth="1"/>
    <col min="27" max="27" width="29.42578125" style="58" customWidth="1"/>
    <col min="28" max="28" width="29.42578125" style="82" customWidth="1"/>
    <col min="29" max="30" width="21.85546875" style="61" customWidth="1"/>
    <col min="31" max="31" width="25.7109375" style="58" customWidth="1"/>
    <col min="32" max="32" width="24.28515625" style="61" customWidth="1"/>
    <col min="33" max="33" width="30.140625" style="76" customWidth="1"/>
    <col min="34" max="34" width="29.28515625" style="58" customWidth="1"/>
    <col min="35" max="16384" width="9.140625" style="58"/>
  </cols>
  <sheetData>
    <row r="1" spans="1:39" x14ac:dyDescent="0.25">
      <c r="A1" s="925" t="s">
        <v>0</v>
      </c>
      <c r="B1" s="926" t="s">
        <v>0</v>
      </c>
      <c r="C1" s="80"/>
      <c r="D1" s="207"/>
      <c r="E1" s="60"/>
      <c r="F1" s="927"/>
      <c r="G1" s="927"/>
      <c r="H1" s="927"/>
      <c r="I1" s="927"/>
      <c r="J1" s="927"/>
      <c r="K1" s="927"/>
      <c r="L1" s="927"/>
      <c r="M1" s="927"/>
      <c r="N1" s="927"/>
      <c r="O1" s="927"/>
      <c r="P1" s="927"/>
      <c r="Q1" s="927"/>
      <c r="R1" s="927"/>
      <c r="S1" s="927"/>
      <c r="T1" s="927"/>
    </row>
    <row r="2" spans="1:39" x14ac:dyDescent="0.25">
      <c r="A2" s="925" t="s">
        <v>1</v>
      </c>
      <c r="B2" s="926" t="s">
        <v>1</v>
      </c>
      <c r="C2" s="80"/>
      <c r="D2" s="207"/>
      <c r="E2" s="60"/>
      <c r="F2" s="928"/>
      <c r="G2" s="928"/>
      <c r="H2" s="928"/>
      <c r="I2" s="928"/>
      <c r="J2" s="928"/>
      <c r="K2" s="928"/>
      <c r="L2" s="928"/>
      <c r="M2" s="928"/>
      <c r="N2" s="928"/>
      <c r="O2" s="928"/>
      <c r="P2" s="928"/>
      <c r="Q2" s="928"/>
      <c r="R2" s="928"/>
      <c r="S2" s="928"/>
      <c r="T2" s="928"/>
    </row>
    <row r="3" spans="1:39" ht="15" customHeight="1" x14ac:dyDescent="0.25">
      <c r="A3" s="925" t="s">
        <v>2</v>
      </c>
      <c r="B3" s="926" t="s">
        <v>2</v>
      </c>
      <c r="C3" s="80"/>
      <c r="D3" s="208" t="s">
        <v>3</v>
      </c>
      <c r="E3" s="60"/>
      <c r="F3" s="63"/>
      <c r="G3" s="81"/>
      <c r="H3" s="81"/>
      <c r="I3" s="81"/>
      <c r="J3" s="81"/>
      <c r="K3" s="63"/>
      <c r="L3" s="81"/>
      <c r="M3" s="81"/>
      <c r="N3" s="81"/>
      <c r="O3" s="81"/>
      <c r="P3" s="81"/>
      <c r="Q3" s="81"/>
      <c r="R3" s="81"/>
      <c r="S3" s="81"/>
      <c r="T3" s="81"/>
    </row>
    <row r="4" spans="1:39" ht="15" customHeight="1" x14ac:dyDescent="0.25">
      <c r="A4" s="925" t="s">
        <v>4</v>
      </c>
      <c r="B4" s="926" t="s">
        <v>4</v>
      </c>
      <c r="C4" s="80"/>
      <c r="D4" s="208" t="s">
        <v>5</v>
      </c>
      <c r="E4" s="60"/>
      <c r="F4" s="63"/>
      <c r="G4" s="81"/>
      <c r="H4" s="81"/>
      <c r="I4" s="81"/>
      <c r="J4" s="81"/>
      <c r="K4" s="63"/>
      <c r="L4" s="81"/>
      <c r="M4" s="81"/>
      <c r="N4" s="81"/>
      <c r="O4" s="81"/>
      <c r="P4" s="81"/>
      <c r="Q4" s="81"/>
      <c r="R4" s="81"/>
      <c r="S4" s="81"/>
      <c r="T4" s="81"/>
    </row>
    <row r="5" spans="1:39" ht="15" customHeight="1" x14ac:dyDescent="0.25">
      <c r="A5" s="925" t="s">
        <v>6</v>
      </c>
      <c r="B5" s="926" t="s">
        <v>6</v>
      </c>
      <c r="C5" s="80"/>
      <c r="D5" s="208" t="s">
        <v>7</v>
      </c>
      <c r="E5" s="60"/>
      <c r="F5" s="63"/>
      <c r="G5" s="81"/>
      <c r="H5" s="81"/>
      <c r="I5" s="81"/>
      <c r="J5" s="81"/>
      <c r="K5" s="63"/>
      <c r="L5" s="81"/>
      <c r="M5" s="81"/>
      <c r="N5" s="81"/>
      <c r="O5" s="81"/>
      <c r="P5" s="81"/>
      <c r="Q5" s="81"/>
      <c r="R5" s="81"/>
      <c r="S5" s="81"/>
      <c r="T5" s="81"/>
    </row>
    <row r="6" spans="1:39" ht="15" customHeight="1" x14ac:dyDescent="0.25">
      <c r="A6" s="64" t="s">
        <v>29</v>
      </c>
      <c r="B6" s="65"/>
      <c r="C6" s="79"/>
      <c r="D6" s="66"/>
      <c r="E6" s="65"/>
      <c r="F6" s="66"/>
      <c r="G6" s="66"/>
      <c r="H6" s="66"/>
      <c r="I6" s="66"/>
      <c r="J6" s="66"/>
      <c r="K6" s="66"/>
      <c r="L6" s="66"/>
      <c r="M6" s="66"/>
      <c r="N6" s="66"/>
      <c r="O6" s="66"/>
      <c r="P6" s="66"/>
      <c r="Q6" s="66"/>
      <c r="R6" s="66"/>
      <c r="S6" s="66"/>
      <c r="T6" s="66"/>
    </row>
    <row r="7" spans="1:39" ht="15" customHeight="1" x14ac:dyDescent="0.25">
      <c r="A7" s="64" t="s">
        <v>26</v>
      </c>
      <c r="B7" s="67"/>
      <c r="C7" s="67"/>
      <c r="D7" s="66"/>
      <c r="E7" s="67"/>
      <c r="F7" s="66"/>
      <c r="G7" s="66"/>
      <c r="H7" s="66"/>
      <c r="I7" s="66"/>
      <c r="J7" s="66"/>
      <c r="K7" s="66"/>
      <c r="L7" s="66"/>
      <c r="M7" s="66"/>
      <c r="N7" s="66"/>
      <c r="O7" s="66"/>
      <c r="P7" s="66"/>
      <c r="Q7" s="66"/>
      <c r="R7" s="66"/>
      <c r="S7" s="66"/>
      <c r="T7" s="66"/>
    </row>
    <row r="8" spans="1:39" ht="50.25" customHeight="1" x14ac:dyDescent="0.25">
      <c r="A8" s="929" t="s">
        <v>27</v>
      </c>
      <c r="B8" s="929"/>
      <c r="C8" s="929"/>
      <c r="D8" s="929"/>
      <c r="E8" s="929"/>
      <c r="F8" s="929"/>
      <c r="G8" s="83"/>
      <c r="H8" s="83"/>
      <c r="I8" s="83"/>
      <c r="J8" s="83"/>
    </row>
    <row r="9" spans="1:39" s="1" customFormat="1" ht="18" customHeight="1" x14ac:dyDescent="0.25">
      <c r="A9" s="914" t="s">
        <v>0</v>
      </c>
      <c r="B9" s="914" t="s">
        <v>0</v>
      </c>
      <c r="C9" s="87"/>
      <c r="D9" s="915"/>
      <c r="E9" s="915"/>
      <c r="F9" s="915"/>
      <c r="G9" s="915"/>
      <c r="H9" s="915"/>
      <c r="I9" s="915"/>
      <c r="J9" s="915"/>
      <c r="N9" s="88"/>
      <c r="P9" s="88"/>
      <c r="R9" s="88"/>
      <c r="T9" s="88"/>
      <c r="W9" s="89"/>
      <c r="X9" s="89"/>
      <c r="Y9" s="89"/>
      <c r="Z9" s="89"/>
      <c r="AA9" s="89"/>
      <c r="AC9" s="2"/>
      <c r="AD9" s="90"/>
      <c r="AE9" s="90"/>
      <c r="AF9" s="2"/>
      <c r="AG9" s="2"/>
    </row>
    <row r="10" spans="1:39" s="1" customFormat="1" ht="18" customHeight="1" x14ac:dyDescent="0.25">
      <c r="A10" s="914" t="s">
        <v>1</v>
      </c>
      <c r="B10" s="914" t="s">
        <v>1</v>
      </c>
      <c r="C10" s="87"/>
      <c r="D10" s="931"/>
      <c r="E10" s="931"/>
      <c r="F10" s="931"/>
      <c r="G10" s="931"/>
      <c r="H10" s="931"/>
      <c r="I10" s="931"/>
      <c r="J10" s="931"/>
      <c r="N10" s="88"/>
      <c r="P10" s="88"/>
      <c r="R10" s="88"/>
      <c r="T10" s="88"/>
      <c r="W10" s="89"/>
      <c r="X10" s="89"/>
      <c r="Y10" s="89"/>
      <c r="Z10" s="89"/>
      <c r="AA10" s="89"/>
      <c r="AC10" s="2"/>
      <c r="AD10" s="90"/>
      <c r="AE10" s="90"/>
      <c r="AF10" s="2"/>
      <c r="AG10" s="2"/>
    </row>
    <row r="11" spans="1:39" s="1" customFormat="1" ht="18" customHeight="1" x14ac:dyDescent="0.25">
      <c r="A11" s="914" t="s">
        <v>2</v>
      </c>
      <c r="B11" s="914" t="s">
        <v>2</v>
      </c>
      <c r="C11" s="87"/>
      <c r="D11" s="91" t="s">
        <v>3</v>
      </c>
      <c r="E11" s="91"/>
      <c r="F11" s="91"/>
      <c r="G11" s="91"/>
      <c r="H11" s="91"/>
      <c r="I11" s="91"/>
      <c r="J11" s="91"/>
      <c r="N11" s="88"/>
      <c r="P11" s="88"/>
      <c r="R11" s="88"/>
      <c r="T11" s="88"/>
      <c r="W11" s="89"/>
      <c r="X11" s="89"/>
      <c r="Y11" s="89"/>
      <c r="Z11" s="89"/>
      <c r="AA11" s="89"/>
      <c r="AC11" s="2"/>
      <c r="AD11" s="90"/>
      <c r="AE11" s="90"/>
      <c r="AF11" s="2"/>
      <c r="AG11" s="2"/>
    </row>
    <row r="12" spans="1:39" s="1" customFormat="1" ht="18" customHeight="1" x14ac:dyDescent="0.25">
      <c r="A12" s="914" t="s">
        <v>4</v>
      </c>
      <c r="B12" s="914" t="s">
        <v>4</v>
      </c>
      <c r="C12" s="87"/>
      <c r="D12" s="91" t="s">
        <v>5</v>
      </c>
      <c r="E12" s="91"/>
      <c r="F12" s="91"/>
      <c r="G12" s="91"/>
      <c r="H12" s="91"/>
      <c r="I12" s="91"/>
      <c r="J12" s="91"/>
      <c r="N12" s="88"/>
      <c r="P12" s="88"/>
      <c r="R12" s="88"/>
      <c r="T12" s="88"/>
      <c r="W12" s="89"/>
      <c r="X12" s="89"/>
      <c r="Y12" s="89"/>
      <c r="Z12" s="89"/>
      <c r="AA12" s="89"/>
      <c r="AC12" s="2"/>
      <c r="AD12" s="90"/>
      <c r="AE12" s="90"/>
      <c r="AF12" s="2"/>
      <c r="AG12" s="2"/>
    </row>
    <row r="13" spans="1:39" s="1" customFormat="1" ht="18" customHeight="1" x14ac:dyDescent="0.25">
      <c r="A13" s="914" t="s">
        <v>6</v>
      </c>
      <c r="B13" s="914" t="s">
        <v>6</v>
      </c>
      <c r="C13" s="87"/>
      <c r="D13" s="91" t="s">
        <v>7</v>
      </c>
      <c r="E13" s="91"/>
      <c r="F13" s="91"/>
      <c r="G13" s="91"/>
      <c r="H13" s="91"/>
      <c r="I13" s="91"/>
      <c r="J13" s="91"/>
      <c r="N13" s="88"/>
      <c r="P13" s="88"/>
      <c r="R13" s="88"/>
      <c r="T13" s="88"/>
      <c r="W13" s="89"/>
      <c r="X13" s="89"/>
      <c r="Y13" s="89"/>
      <c r="Z13" s="89"/>
      <c r="AA13" s="89"/>
      <c r="AC13" s="2"/>
      <c r="AD13" s="90"/>
      <c r="AE13" s="90"/>
      <c r="AF13" s="2"/>
      <c r="AG13" s="2"/>
      <c r="AH13" s="82"/>
      <c r="AI13" s="82"/>
    </row>
    <row r="14" spans="1:39" s="1" customFormat="1" ht="15" customHeight="1" x14ac:dyDescent="0.25">
      <c r="A14" s="92" t="s">
        <v>566</v>
      </c>
      <c r="B14" s="93"/>
      <c r="C14" s="93"/>
      <c r="D14" s="2"/>
      <c r="E14" s="2"/>
      <c r="F14" s="2"/>
      <c r="G14" s="2"/>
      <c r="H14" s="2"/>
      <c r="I14" s="2"/>
      <c r="J14" s="2"/>
      <c r="N14" s="88"/>
      <c r="P14" s="88" t="s">
        <v>567</v>
      </c>
      <c r="R14" s="88"/>
      <c r="T14" s="88"/>
      <c r="W14" s="89"/>
      <c r="X14" s="89"/>
      <c r="Y14" s="89"/>
      <c r="Z14" s="89"/>
      <c r="AA14" s="89"/>
      <c r="AC14" s="2"/>
      <c r="AD14" s="90"/>
      <c r="AE14" s="90"/>
      <c r="AF14" s="2"/>
      <c r="AG14" s="2"/>
      <c r="AH14" s="82"/>
      <c r="AI14" s="82"/>
    </row>
    <row r="15" spans="1:39" s="1" customFormat="1" x14ac:dyDescent="0.25">
      <c r="A15" s="94" t="s">
        <v>26</v>
      </c>
      <c r="B15" s="95"/>
      <c r="C15" s="95"/>
      <c r="D15" s="2"/>
      <c r="E15" s="2"/>
      <c r="F15" s="2"/>
      <c r="G15" s="2"/>
      <c r="H15" s="2"/>
      <c r="I15" s="2"/>
      <c r="J15" s="2"/>
      <c r="N15" s="88"/>
      <c r="P15" s="88"/>
      <c r="R15" s="88"/>
      <c r="T15" s="88"/>
      <c r="W15" s="89"/>
      <c r="X15" s="89"/>
      <c r="Y15" s="89"/>
      <c r="Z15" s="89"/>
      <c r="AA15" s="89"/>
      <c r="AC15" s="2"/>
      <c r="AD15" s="90"/>
      <c r="AE15" s="90"/>
      <c r="AF15" s="2"/>
      <c r="AG15" s="2"/>
      <c r="AH15" s="82"/>
      <c r="AI15" s="82"/>
    </row>
    <row r="16" spans="1:39" s="1" customFormat="1" ht="45.75" customHeight="1" x14ac:dyDescent="0.25">
      <c r="A16" s="915" t="s">
        <v>27</v>
      </c>
      <c r="B16" s="915"/>
      <c r="C16" s="915"/>
      <c r="D16" s="915"/>
      <c r="E16" s="915"/>
      <c r="F16" s="96"/>
      <c r="G16" s="96"/>
      <c r="H16" s="96"/>
      <c r="I16" s="96"/>
      <c r="J16" s="96"/>
      <c r="K16" s="96"/>
      <c r="L16" s="96"/>
      <c r="M16" s="96"/>
      <c r="N16" s="97"/>
      <c r="O16" s="96"/>
      <c r="P16" s="97" t="s">
        <v>568</v>
      </c>
      <c r="Q16" s="96"/>
      <c r="R16" s="97"/>
      <c r="S16" s="96"/>
      <c r="T16" s="97"/>
      <c r="U16" s="96"/>
      <c r="V16" s="96"/>
      <c r="W16" s="98"/>
      <c r="X16" s="98"/>
      <c r="Y16" s="98"/>
      <c r="Z16" s="98"/>
      <c r="AA16" s="98"/>
      <c r="AB16" s="96"/>
      <c r="AC16" s="96"/>
      <c r="AD16" s="99"/>
      <c r="AE16" s="99"/>
      <c r="AF16" s="96"/>
      <c r="AG16" s="96"/>
      <c r="AH16" s="82"/>
      <c r="AI16" s="82"/>
      <c r="AJ16" s="96"/>
      <c r="AK16" s="96"/>
      <c r="AL16" s="96"/>
      <c r="AM16" s="96"/>
    </row>
    <row r="17" spans="1:34" ht="30" customHeight="1" thickBot="1" x14ac:dyDescent="0.3">
      <c r="A17" s="68" t="s">
        <v>444</v>
      </c>
      <c r="D17" s="58"/>
      <c r="E17" s="58"/>
      <c r="AC17" s="919"/>
      <c r="AD17" s="919"/>
    </row>
    <row r="18" spans="1:34" ht="27.75" customHeight="1" x14ac:dyDescent="0.25">
      <c r="E18" s="58"/>
      <c r="O18" s="916" t="s">
        <v>561</v>
      </c>
      <c r="P18" s="917"/>
      <c r="Q18" s="917"/>
      <c r="R18" s="918"/>
      <c r="S18" s="86"/>
      <c r="T18" s="86"/>
      <c r="AC18" s="920"/>
      <c r="AD18" s="920"/>
    </row>
    <row r="19" spans="1:34" s="69" customFormat="1" ht="55.5" customHeight="1" x14ac:dyDescent="0.25">
      <c r="A19" s="107" t="s">
        <v>8</v>
      </c>
      <c r="B19" s="107" t="s">
        <v>9</v>
      </c>
      <c r="C19" s="108" t="s">
        <v>10</v>
      </c>
      <c r="D19" s="299" t="s">
        <v>28</v>
      </c>
      <c r="E19" s="163" t="s">
        <v>169</v>
      </c>
      <c r="F19" s="109" t="s">
        <v>569</v>
      </c>
      <c r="G19" s="109" t="s">
        <v>554</v>
      </c>
      <c r="H19" s="109" t="s">
        <v>555</v>
      </c>
      <c r="I19" s="110" t="s">
        <v>11</v>
      </c>
      <c r="J19" s="109" t="s">
        <v>556</v>
      </c>
      <c r="K19" s="107" t="s">
        <v>439</v>
      </c>
      <c r="L19" s="107" t="s">
        <v>12</v>
      </c>
      <c r="M19" s="107" t="s">
        <v>18</v>
      </c>
      <c r="N19" s="107" t="s">
        <v>19</v>
      </c>
      <c r="O19" s="110" t="s">
        <v>557</v>
      </c>
      <c r="P19" s="110" t="s">
        <v>558</v>
      </c>
      <c r="Q19" s="110" t="s">
        <v>559</v>
      </c>
      <c r="R19" s="110" t="s">
        <v>560</v>
      </c>
      <c r="S19" s="107" t="s">
        <v>13</v>
      </c>
      <c r="T19" s="107" t="s">
        <v>441</v>
      </c>
      <c r="U19" s="107" t="s">
        <v>14</v>
      </c>
      <c r="V19" s="107" t="s">
        <v>15</v>
      </c>
      <c r="W19" s="107" t="s">
        <v>16</v>
      </c>
      <c r="X19" s="107" t="s">
        <v>17</v>
      </c>
      <c r="Y19" s="110" t="s">
        <v>562</v>
      </c>
      <c r="Z19" s="107" t="s">
        <v>20</v>
      </c>
      <c r="AA19" s="107" t="s">
        <v>21</v>
      </c>
      <c r="AB19" s="110" t="s">
        <v>563</v>
      </c>
      <c r="AC19" s="110" t="s">
        <v>564</v>
      </c>
      <c r="AD19" s="110" t="s">
        <v>565</v>
      </c>
      <c r="AE19" s="107" t="s">
        <v>22</v>
      </c>
      <c r="AF19" s="107" t="s">
        <v>23</v>
      </c>
      <c r="AG19" s="107" t="s">
        <v>24</v>
      </c>
      <c r="AH19" s="107" t="s">
        <v>25</v>
      </c>
    </row>
    <row r="20" spans="1:34" ht="84.75" customHeight="1" x14ac:dyDescent="0.25">
      <c r="A20" s="187" t="s">
        <v>889</v>
      </c>
      <c r="B20" s="111" t="s">
        <v>159</v>
      </c>
      <c r="C20" s="184" t="s">
        <v>844</v>
      </c>
      <c r="D20" s="111" t="s">
        <v>1007</v>
      </c>
      <c r="E20" s="229" t="s">
        <v>179</v>
      </c>
      <c r="F20" s="111" t="s">
        <v>1008</v>
      </c>
      <c r="G20" s="203" t="s">
        <v>1011</v>
      </c>
      <c r="H20" s="111" t="s">
        <v>1009</v>
      </c>
      <c r="I20" s="111" t="s">
        <v>1012</v>
      </c>
      <c r="J20" s="249" t="s">
        <v>1056</v>
      </c>
      <c r="K20" s="112">
        <v>1406325839</v>
      </c>
      <c r="L20" s="336" t="s">
        <v>668</v>
      </c>
      <c r="M20" s="423" t="s">
        <v>156</v>
      </c>
      <c r="N20" s="423" t="s">
        <v>571</v>
      </c>
      <c r="O20" s="423"/>
      <c r="P20" s="423"/>
      <c r="Q20" s="423"/>
      <c r="R20" s="423"/>
      <c r="S20" s="423" t="s">
        <v>166</v>
      </c>
      <c r="T20" s="539">
        <v>6486</v>
      </c>
      <c r="U20" s="539">
        <v>1621</v>
      </c>
      <c r="V20" s="539">
        <v>1621</v>
      </c>
      <c r="W20" s="539">
        <v>1621</v>
      </c>
      <c r="X20" s="539">
        <v>1623</v>
      </c>
      <c r="Y20" s="336" t="s">
        <v>570</v>
      </c>
      <c r="Z20" s="423" t="s">
        <v>867</v>
      </c>
      <c r="AA20" s="450" t="s">
        <v>868</v>
      </c>
      <c r="AB20" s="178" t="s">
        <v>853</v>
      </c>
      <c r="AC20" s="423" t="s">
        <v>168</v>
      </c>
      <c r="AD20" s="423"/>
      <c r="AE20" s="112">
        <v>1406325839</v>
      </c>
      <c r="AF20" s="423" t="s">
        <v>833</v>
      </c>
      <c r="AG20" s="423" t="s">
        <v>835</v>
      </c>
      <c r="AH20" s="423" t="s">
        <v>167</v>
      </c>
    </row>
    <row r="21" spans="1:34" ht="142.5" customHeight="1" x14ac:dyDescent="0.25">
      <c r="A21" s="187" t="s">
        <v>889</v>
      </c>
      <c r="B21" s="111" t="s">
        <v>159</v>
      </c>
      <c r="C21" s="184" t="s">
        <v>844</v>
      </c>
      <c r="D21" s="111" t="s">
        <v>1007</v>
      </c>
      <c r="E21" s="229" t="s">
        <v>179</v>
      </c>
      <c r="F21" s="203" t="s">
        <v>1008</v>
      </c>
      <c r="G21" s="191" t="s">
        <v>1010</v>
      </c>
      <c r="H21" s="203" t="s">
        <v>1009</v>
      </c>
      <c r="I21" s="203" t="s">
        <v>1012</v>
      </c>
      <c r="J21" s="249" t="s">
        <v>1056</v>
      </c>
      <c r="K21" s="112">
        <v>624204205</v>
      </c>
      <c r="L21" s="423" t="s">
        <v>160</v>
      </c>
      <c r="M21" s="423" t="s">
        <v>156</v>
      </c>
      <c r="N21" s="423" t="s">
        <v>1170</v>
      </c>
      <c r="O21" s="423"/>
      <c r="P21" s="423"/>
      <c r="Q21" s="423"/>
      <c r="R21" s="423"/>
      <c r="S21" s="423" t="s">
        <v>166</v>
      </c>
      <c r="T21" s="539">
        <v>7340</v>
      </c>
      <c r="U21" s="539">
        <v>1835</v>
      </c>
      <c r="V21" s="539">
        <v>1835</v>
      </c>
      <c r="W21" s="539">
        <v>1835</v>
      </c>
      <c r="X21" s="539">
        <v>1835</v>
      </c>
      <c r="Y21" s="336" t="s">
        <v>570</v>
      </c>
      <c r="Z21" s="423" t="s">
        <v>867</v>
      </c>
      <c r="AA21" s="450" t="s">
        <v>868</v>
      </c>
      <c r="AB21" s="178" t="s">
        <v>853</v>
      </c>
      <c r="AC21" s="423" t="s">
        <v>168</v>
      </c>
      <c r="AD21" s="423"/>
      <c r="AE21" s="112">
        <v>624204205</v>
      </c>
      <c r="AF21" s="423" t="s">
        <v>833</v>
      </c>
      <c r="AG21" s="423" t="s">
        <v>835</v>
      </c>
      <c r="AH21" s="423" t="s">
        <v>167</v>
      </c>
    </row>
    <row r="22" spans="1:34" ht="150.75" customHeight="1" x14ac:dyDescent="0.25">
      <c r="A22" s="187" t="s">
        <v>889</v>
      </c>
      <c r="B22" s="111" t="s">
        <v>159</v>
      </c>
      <c r="C22" s="184" t="s">
        <v>844</v>
      </c>
      <c r="D22" s="111" t="s">
        <v>1007</v>
      </c>
      <c r="E22" s="229" t="s">
        <v>179</v>
      </c>
      <c r="F22" s="203" t="s">
        <v>1008</v>
      </c>
      <c r="G22" s="191" t="s">
        <v>1010</v>
      </c>
      <c r="H22" s="203" t="s">
        <v>1009</v>
      </c>
      <c r="I22" s="203" t="s">
        <v>1012</v>
      </c>
      <c r="J22" s="249" t="s">
        <v>1056</v>
      </c>
      <c r="K22" s="112">
        <v>336109956</v>
      </c>
      <c r="L22" s="423" t="s">
        <v>161</v>
      </c>
      <c r="M22" s="423" t="s">
        <v>156</v>
      </c>
      <c r="N22" s="423" t="s">
        <v>1170</v>
      </c>
      <c r="O22" s="423"/>
      <c r="P22" s="423"/>
      <c r="Q22" s="423"/>
      <c r="R22" s="423"/>
      <c r="S22" s="423" t="s">
        <v>166</v>
      </c>
      <c r="T22" s="859">
        <f>SUBTOTAL(9,U22:X22)</f>
        <v>3205</v>
      </c>
      <c r="U22" s="859">
        <v>801</v>
      </c>
      <c r="V22" s="859">
        <v>801</v>
      </c>
      <c r="W22" s="859">
        <v>801</v>
      </c>
      <c r="X22" s="859">
        <v>802</v>
      </c>
      <c r="Y22" s="336" t="s">
        <v>570</v>
      </c>
      <c r="Z22" s="423" t="s">
        <v>867</v>
      </c>
      <c r="AA22" s="450" t="s">
        <v>868</v>
      </c>
      <c r="AB22" s="178" t="s">
        <v>853</v>
      </c>
      <c r="AC22" s="423" t="s">
        <v>168</v>
      </c>
      <c r="AD22" s="423"/>
      <c r="AE22" s="112">
        <v>336109956</v>
      </c>
      <c r="AF22" s="423" t="s">
        <v>833</v>
      </c>
      <c r="AG22" s="423" t="s">
        <v>835</v>
      </c>
      <c r="AH22" s="423" t="s">
        <v>167</v>
      </c>
    </row>
    <row r="23" spans="1:34" ht="165" customHeight="1" x14ac:dyDescent="0.25">
      <c r="A23" s="187" t="s">
        <v>889</v>
      </c>
      <c r="B23" s="111" t="s">
        <v>159</v>
      </c>
      <c r="C23" s="184" t="s">
        <v>844</v>
      </c>
      <c r="D23" s="111" t="s">
        <v>1007</v>
      </c>
      <c r="E23" s="229" t="s">
        <v>179</v>
      </c>
      <c r="F23" s="203" t="s">
        <v>1008</v>
      </c>
      <c r="G23" s="203" t="s">
        <v>1010</v>
      </c>
      <c r="H23" s="203" t="s">
        <v>1009</v>
      </c>
      <c r="I23" s="203" t="s">
        <v>1012</v>
      </c>
      <c r="J23" s="249" t="s">
        <v>1057</v>
      </c>
      <c r="K23" s="112">
        <v>198360000</v>
      </c>
      <c r="L23" s="423" t="s">
        <v>162</v>
      </c>
      <c r="M23" s="423" t="s">
        <v>156</v>
      </c>
      <c r="N23" s="423" t="s">
        <v>572</v>
      </c>
      <c r="O23" s="423"/>
      <c r="P23" s="423"/>
      <c r="Q23" s="423"/>
      <c r="R23" s="423"/>
      <c r="S23" s="423" t="s">
        <v>166</v>
      </c>
      <c r="T23" s="420">
        <v>180</v>
      </c>
      <c r="U23" s="423">
        <v>0</v>
      </c>
      <c r="V23" s="423">
        <v>0</v>
      </c>
      <c r="W23" s="420">
        <v>180</v>
      </c>
      <c r="X23" s="423">
        <v>0</v>
      </c>
      <c r="Y23" s="336" t="s">
        <v>570</v>
      </c>
      <c r="Z23" s="423" t="s">
        <v>867</v>
      </c>
      <c r="AA23" s="450" t="s">
        <v>868</v>
      </c>
      <c r="AB23" s="178" t="s">
        <v>853</v>
      </c>
      <c r="AC23" s="423" t="s">
        <v>168</v>
      </c>
      <c r="AD23" s="423"/>
      <c r="AE23" s="112">
        <v>198360000</v>
      </c>
      <c r="AF23" s="423" t="s">
        <v>833</v>
      </c>
      <c r="AG23" s="423" t="s">
        <v>835</v>
      </c>
      <c r="AH23" s="423" t="s">
        <v>167</v>
      </c>
    </row>
    <row r="24" spans="1:34" s="82" customFormat="1" ht="79.5" customHeight="1" x14ac:dyDescent="0.25">
      <c r="A24" s="116" t="s">
        <v>889</v>
      </c>
      <c r="B24" s="116" t="s">
        <v>159</v>
      </c>
      <c r="C24" s="366" t="s">
        <v>844</v>
      </c>
      <c r="D24" s="116" t="s">
        <v>1007</v>
      </c>
      <c r="E24" s="367" t="s">
        <v>179</v>
      </c>
      <c r="F24" s="116" t="s">
        <v>1008</v>
      </c>
      <c r="G24" s="116" t="s">
        <v>1011</v>
      </c>
      <c r="H24" s="368" t="s">
        <v>1009</v>
      </c>
      <c r="I24" s="116" t="s">
        <v>1012</v>
      </c>
      <c r="J24" s="369" t="s">
        <v>1057</v>
      </c>
      <c r="K24" s="151">
        <v>15000000</v>
      </c>
      <c r="L24" s="116" t="s">
        <v>163</v>
      </c>
      <c r="M24" s="116" t="s">
        <v>156</v>
      </c>
      <c r="N24" s="370" t="s">
        <v>1145</v>
      </c>
      <c r="O24" s="368"/>
      <c r="P24" s="368"/>
      <c r="Q24" s="368"/>
      <c r="R24" s="368"/>
      <c r="S24" s="116" t="s">
        <v>166</v>
      </c>
      <c r="T24" s="775">
        <v>1</v>
      </c>
      <c r="U24" s="775">
        <v>1</v>
      </c>
      <c r="V24" s="775">
        <v>0</v>
      </c>
      <c r="W24" s="775">
        <v>0</v>
      </c>
      <c r="X24" s="775">
        <v>0</v>
      </c>
      <c r="Y24" s="460" t="s">
        <v>574</v>
      </c>
      <c r="Z24" s="423" t="s">
        <v>190</v>
      </c>
      <c r="AA24" s="423" t="s">
        <v>575</v>
      </c>
      <c r="AB24" s="178" t="s">
        <v>853</v>
      </c>
      <c r="AC24" s="423" t="s">
        <v>440</v>
      </c>
      <c r="AD24" s="436"/>
      <c r="AE24" s="151">
        <v>15000000</v>
      </c>
      <c r="AF24" s="116" t="s">
        <v>833</v>
      </c>
      <c r="AG24" s="368" t="s">
        <v>835</v>
      </c>
      <c r="AH24" s="116" t="s">
        <v>167</v>
      </c>
    </row>
    <row r="25" spans="1:34" s="82" customFormat="1" ht="85.5" customHeight="1" x14ac:dyDescent="0.25">
      <c r="A25" s="116" t="s">
        <v>889</v>
      </c>
      <c r="B25" s="116" t="s">
        <v>159</v>
      </c>
      <c r="C25" s="366" t="s">
        <v>844</v>
      </c>
      <c r="D25" s="116" t="s">
        <v>1007</v>
      </c>
      <c r="E25" s="367" t="s">
        <v>179</v>
      </c>
      <c r="F25" s="116" t="s">
        <v>1008</v>
      </c>
      <c r="G25" s="116" t="s">
        <v>1011</v>
      </c>
      <c r="H25" s="368" t="s">
        <v>1009</v>
      </c>
      <c r="I25" s="116" t="s">
        <v>1012</v>
      </c>
      <c r="J25" s="369" t="s">
        <v>1057</v>
      </c>
      <c r="K25" s="836">
        <v>346596000</v>
      </c>
      <c r="L25" s="116" t="s">
        <v>163</v>
      </c>
      <c r="M25" s="116" t="s">
        <v>156</v>
      </c>
      <c r="N25" s="370" t="s">
        <v>1145</v>
      </c>
      <c r="O25" s="368"/>
      <c r="P25" s="368"/>
      <c r="Q25" s="368"/>
      <c r="R25" s="368"/>
      <c r="S25" s="116" t="s">
        <v>166</v>
      </c>
      <c r="T25" s="775">
        <v>1</v>
      </c>
      <c r="U25" s="775">
        <v>1</v>
      </c>
      <c r="V25" s="775">
        <v>0</v>
      </c>
      <c r="W25" s="775">
        <v>0</v>
      </c>
      <c r="X25" s="775">
        <v>0</v>
      </c>
      <c r="Y25" s="336" t="s">
        <v>573</v>
      </c>
      <c r="Z25" s="423" t="s">
        <v>867</v>
      </c>
      <c r="AA25" s="450" t="s">
        <v>868</v>
      </c>
      <c r="AB25" s="178" t="s">
        <v>853</v>
      </c>
      <c r="AC25" s="423" t="s">
        <v>168</v>
      </c>
      <c r="AD25" s="113"/>
      <c r="AE25" s="112">
        <v>346596000</v>
      </c>
      <c r="AF25" s="116" t="s">
        <v>833</v>
      </c>
      <c r="AG25" s="368" t="s">
        <v>835</v>
      </c>
      <c r="AH25" s="116" t="s">
        <v>167</v>
      </c>
    </row>
    <row r="26" spans="1:34" ht="204" customHeight="1" x14ac:dyDescent="0.25">
      <c r="A26" s="187" t="s">
        <v>889</v>
      </c>
      <c r="B26" s="111" t="s">
        <v>159</v>
      </c>
      <c r="C26" s="184" t="s">
        <v>844</v>
      </c>
      <c r="D26" s="111" t="s">
        <v>1007</v>
      </c>
      <c r="E26" s="234" t="s">
        <v>179</v>
      </c>
      <c r="F26" s="203" t="s">
        <v>1008</v>
      </c>
      <c r="G26" s="203" t="s">
        <v>1010</v>
      </c>
      <c r="H26" s="203" t="s">
        <v>1009</v>
      </c>
      <c r="I26" s="203" t="s">
        <v>1012</v>
      </c>
      <c r="J26" s="249" t="s">
        <v>1057</v>
      </c>
      <c r="K26" s="423">
        <v>0</v>
      </c>
      <c r="L26" s="423" t="s">
        <v>164</v>
      </c>
      <c r="M26" s="423" t="s">
        <v>1217</v>
      </c>
      <c r="N26" s="423" t="s">
        <v>773</v>
      </c>
      <c r="O26" s="423" t="s">
        <v>1172</v>
      </c>
      <c r="P26" s="423" t="s">
        <v>1173</v>
      </c>
      <c r="Q26" s="423" t="s">
        <v>1174</v>
      </c>
      <c r="R26" s="423"/>
      <c r="S26" s="423" t="s">
        <v>166</v>
      </c>
      <c r="T26" s="423">
        <v>1</v>
      </c>
      <c r="U26" s="423">
        <v>0</v>
      </c>
      <c r="V26" s="423">
        <v>0</v>
      </c>
      <c r="W26" s="423">
        <v>0</v>
      </c>
      <c r="X26" s="423">
        <v>1</v>
      </c>
      <c r="Y26" s="423"/>
      <c r="Z26" s="423"/>
      <c r="AA26" s="423"/>
      <c r="AB26" s="178" t="s">
        <v>853</v>
      </c>
      <c r="AC26" s="423"/>
      <c r="AD26" s="423"/>
      <c r="AE26" s="775">
        <v>0</v>
      </c>
      <c r="AF26" s="423" t="s">
        <v>833</v>
      </c>
      <c r="AG26" s="423" t="s">
        <v>835</v>
      </c>
      <c r="AH26" s="423" t="s">
        <v>167</v>
      </c>
    </row>
    <row r="27" spans="1:34" ht="162.75" customHeight="1" x14ac:dyDescent="0.25">
      <c r="A27" s="187" t="s">
        <v>889</v>
      </c>
      <c r="B27" s="111" t="s">
        <v>159</v>
      </c>
      <c r="C27" s="184" t="s">
        <v>844</v>
      </c>
      <c r="D27" s="111" t="s">
        <v>1007</v>
      </c>
      <c r="E27" s="229" t="s">
        <v>179</v>
      </c>
      <c r="F27" s="203" t="s">
        <v>1008</v>
      </c>
      <c r="G27" s="111" t="s">
        <v>1011</v>
      </c>
      <c r="H27" s="203" t="s">
        <v>1009</v>
      </c>
      <c r="I27" s="203" t="s">
        <v>1012</v>
      </c>
      <c r="J27" s="249" t="s">
        <v>1057</v>
      </c>
      <c r="K27" s="112">
        <v>320000000</v>
      </c>
      <c r="L27" s="423" t="s">
        <v>445</v>
      </c>
      <c r="M27" s="423" t="s">
        <v>156</v>
      </c>
      <c r="N27" s="423" t="s">
        <v>571</v>
      </c>
      <c r="O27" s="423"/>
      <c r="P27" s="423"/>
      <c r="Q27" s="423"/>
      <c r="R27" s="423"/>
      <c r="S27" s="423" t="s">
        <v>166</v>
      </c>
      <c r="T27" s="420">
        <v>11</v>
      </c>
      <c r="U27" s="123">
        <v>2</v>
      </c>
      <c r="V27" s="123">
        <v>3</v>
      </c>
      <c r="W27" s="123">
        <v>3</v>
      </c>
      <c r="X27" s="123">
        <v>3</v>
      </c>
      <c r="Y27" s="461" t="s">
        <v>890</v>
      </c>
      <c r="Z27" s="423" t="s">
        <v>867</v>
      </c>
      <c r="AA27" s="450" t="s">
        <v>868</v>
      </c>
      <c r="AB27" s="178" t="s">
        <v>853</v>
      </c>
      <c r="AC27" s="423" t="s">
        <v>440</v>
      </c>
      <c r="AD27" s="423"/>
      <c r="AE27" s="112">
        <v>320000000</v>
      </c>
      <c r="AF27" s="423" t="s">
        <v>833</v>
      </c>
      <c r="AG27" s="423" t="s">
        <v>835</v>
      </c>
      <c r="AH27" s="423" t="s">
        <v>167</v>
      </c>
    </row>
    <row r="28" spans="1:34" ht="176.25" customHeight="1" x14ac:dyDescent="0.25">
      <c r="A28" s="187" t="s">
        <v>889</v>
      </c>
      <c r="B28" s="111" t="s">
        <v>159</v>
      </c>
      <c r="C28" s="184" t="s">
        <v>844</v>
      </c>
      <c r="D28" s="111" t="s">
        <v>1007</v>
      </c>
      <c r="E28" s="234" t="s">
        <v>179</v>
      </c>
      <c r="F28" s="203" t="s">
        <v>1008</v>
      </c>
      <c r="G28" s="111" t="s">
        <v>1011</v>
      </c>
      <c r="H28" s="203" t="s">
        <v>1009</v>
      </c>
      <c r="I28" s="203" t="s">
        <v>1012</v>
      </c>
      <c r="J28" s="249" t="s">
        <v>1057</v>
      </c>
      <c r="K28" s="423">
        <v>0</v>
      </c>
      <c r="L28" s="423" t="s">
        <v>165</v>
      </c>
      <c r="M28" s="423" t="s">
        <v>156</v>
      </c>
      <c r="N28" s="423" t="s">
        <v>571</v>
      </c>
      <c r="O28" s="423"/>
      <c r="P28" s="423"/>
      <c r="Q28" s="423"/>
      <c r="R28" s="423"/>
      <c r="S28" s="423" t="s">
        <v>166</v>
      </c>
      <c r="T28" s="228">
        <v>2038</v>
      </c>
      <c r="U28" s="837">
        <v>577</v>
      </c>
      <c r="V28" s="837">
        <v>577</v>
      </c>
      <c r="W28" s="837">
        <v>577</v>
      </c>
      <c r="X28" s="837">
        <v>577</v>
      </c>
      <c r="Y28" s="123"/>
      <c r="Z28" s="423"/>
      <c r="AA28" s="423"/>
      <c r="AB28" s="178" t="s">
        <v>853</v>
      </c>
      <c r="AC28" s="423"/>
      <c r="AD28" s="423"/>
      <c r="AE28" s="775">
        <v>0</v>
      </c>
      <c r="AF28" s="423" t="s">
        <v>833</v>
      </c>
      <c r="AG28" s="423" t="s">
        <v>835</v>
      </c>
      <c r="AH28" s="423" t="s">
        <v>167</v>
      </c>
    </row>
    <row r="29" spans="1:34" ht="148.5" customHeight="1" x14ac:dyDescent="0.25">
      <c r="A29" s="187" t="s">
        <v>889</v>
      </c>
      <c r="B29" s="111" t="s">
        <v>159</v>
      </c>
      <c r="C29" s="184" t="s">
        <v>844</v>
      </c>
      <c r="D29" s="203" t="s">
        <v>1013</v>
      </c>
      <c r="E29" s="516" t="s">
        <v>378</v>
      </c>
      <c r="F29" s="239" t="s">
        <v>1014</v>
      </c>
      <c r="G29" s="203" t="s">
        <v>1016</v>
      </c>
      <c r="H29" s="239" t="s">
        <v>1017</v>
      </c>
      <c r="I29" s="203" t="s">
        <v>1018</v>
      </c>
      <c r="J29" s="250" t="s">
        <v>1058</v>
      </c>
      <c r="K29" s="867">
        <v>34000000</v>
      </c>
      <c r="L29" s="555" t="s">
        <v>172</v>
      </c>
      <c r="M29" s="422" t="s">
        <v>156</v>
      </c>
      <c r="N29" s="423" t="s">
        <v>571</v>
      </c>
      <c r="O29" s="439"/>
      <c r="P29" s="439"/>
      <c r="Q29" s="439"/>
      <c r="R29" s="439"/>
      <c r="S29" s="423" t="s">
        <v>166</v>
      </c>
      <c r="T29" s="420">
        <v>525</v>
      </c>
      <c r="U29" s="420">
        <v>130</v>
      </c>
      <c r="V29" s="420">
        <v>132</v>
      </c>
      <c r="W29" s="420">
        <v>132</v>
      </c>
      <c r="X29" s="420">
        <v>131</v>
      </c>
      <c r="Y29" s="462" t="s">
        <v>576</v>
      </c>
      <c r="Z29" s="423" t="s">
        <v>867</v>
      </c>
      <c r="AA29" s="450" t="s">
        <v>868</v>
      </c>
      <c r="AB29" s="178" t="s">
        <v>853</v>
      </c>
      <c r="AC29" s="423" t="s">
        <v>177</v>
      </c>
      <c r="AD29" s="423"/>
      <c r="AE29" s="124">
        <v>34000000</v>
      </c>
      <c r="AF29" s="423" t="s">
        <v>833</v>
      </c>
      <c r="AG29" s="423" t="s">
        <v>835</v>
      </c>
      <c r="AH29" s="423" t="s">
        <v>178</v>
      </c>
    </row>
    <row r="30" spans="1:34" ht="125.25" customHeight="1" x14ac:dyDescent="0.25">
      <c r="A30" s="187" t="s">
        <v>889</v>
      </c>
      <c r="B30" s="111" t="s">
        <v>159</v>
      </c>
      <c r="C30" s="184" t="s">
        <v>844</v>
      </c>
      <c r="D30" s="111" t="s">
        <v>1013</v>
      </c>
      <c r="E30" s="516" t="s">
        <v>378</v>
      </c>
      <c r="F30" s="239" t="s">
        <v>1014</v>
      </c>
      <c r="G30" s="203" t="s">
        <v>1016</v>
      </c>
      <c r="H30" s="239" t="s">
        <v>1017</v>
      </c>
      <c r="I30" s="203" t="s">
        <v>1018</v>
      </c>
      <c r="J30" s="250" t="s">
        <v>1058</v>
      </c>
      <c r="K30" s="868">
        <v>16000000</v>
      </c>
      <c r="L30" s="555" t="s">
        <v>173</v>
      </c>
      <c r="M30" s="422" t="s">
        <v>156</v>
      </c>
      <c r="N30" s="423" t="s">
        <v>571</v>
      </c>
      <c r="O30" s="439"/>
      <c r="P30" s="439"/>
      <c r="Q30" s="439"/>
      <c r="R30" s="439"/>
      <c r="S30" s="423" t="s">
        <v>166</v>
      </c>
      <c r="T30" s="420">
        <v>8000</v>
      </c>
      <c r="U30" s="420">
        <v>2000</v>
      </c>
      <c r="V30" s="420">
        <v>2000</v>
      </c>
      <c r="W30" s="420">
        <v>2000</v>
      </c>
      <c r="X30" s="420">
        <v>2000</v>
      </c>
      <c r="Y30" s="462" t="s">
        <v>576</v>
      </c>
      <c r="Z30" s="423" t="s">
        <v>867</v>
      </c>
      <c r="AA30" s="450" t="s">
        <v>868</v>
      </c>
      <c r="AB30" s="178" t="s">
        <v>853</v>
      </c>
      <c r="AC30" s="423" t="s">
        <v>177</v>
      </c>
      <c r="AD30" s="423"/>
      <c r="AE30" s="145">
        <v>16000000</v>
      </c>
      <c r="AF30" s="423" t="s">
        <v>833</v>
      </c>
      <c r="AG30" s="423" t="s">
        <v>835</v>
      </c>
      <c r="AH30" s="423" t="s">
        <v>178</v>
      </c>
    </row>
    <row r="31" spans="1:34" ht="101.25" customHeight="1" x14ac:dyDescent="0.25">
      <c r="A31" s="187" t="s">
        <v>889</v>
      </c>
      <c r="B31" s="111" t="s">
        <v>159</v>
      </c>
      <c r="C31" s="184" t="s">
        <v>844</v>
      </c>
      <c r="D31" s="203" t="s">
        <v>1013</v>
      </c>
      <c r="E31" s="516" t="s">
        <v>378</v>
      </c>
      <c r="F31" s="239" t="s">
        <v>1014</v>
      </c>
      <c r="G31" s="203" t="s">
        <v>1016</v>
      </c>
      <c r="H31" s="239" t="s">
        <v>1017</v>
      </c>
      <c r="I31" s="203" t="s">
        <v>1018</v>
      </c>
      <c r="J31" s="250" t="s">
        <v>1058</v>
      </c>
      <c r="K31" s="871">
        <v>30000000</v>
      </c>
      <c r="L31" s="559" t="s">
        <v>174</v>
      </c>
      <c r="M31" s="422" t="s">
        <v>156</v>
      </c>
      <c r="N31" s="445" t="s">
        <v>572</v>
      </c>
      <c r="O31" s="442"/>
      <c r="P31" s="442"/>
      <c r="Q31" s="442"/>
      <c r="R31" s="442"/>
      <c r="S31" s="423" t="s">
        <v>166</v>
      </c>
      <c r="T31" s="420">
        <v>1</v>
      </c>
      <c r="U31" s="420">
        <v>0</v>
      </c>
      <c r="V31" s="420">
        <v>0</v>
      </c>
      <c r="W31" s="420">
        <v>0</v>
      </c>
      <c r="X31" s="420">
        <v>1</v>
      </c>
      <c r="Y31" s="462" t="s">
        <v>576</v>
      </c>
      <c r="Z31" s="423" t="s">
        <v>867</v>
      </c>
      <c r="AA31" s="450" t="s">
        <v>868</v>
      </c>
      <c r="AB31" s="178" t="s">
        <v>853</v>
      </c>
      <c r="AC31" s="423" t="s">
        <v>177</v>
      </c>
      <c r="AD31" s="423"/>
      <c r="AE31" s="869">
        <v>30000000</v>
      </c>
      <c r="AF31" s="423" t="s">
        <v>833</v>
      </c>
      <c r="AG31" s="423" t="s">
        <v>835</v>
      </c>
      <c r="AH31" s="423" t="s">
        <v>178</v>
      </c>
    </row>
    <row r="32" spans="1:34" ht="126" customHeight="1" x14ac:dyDescent="0.25">
      <c r="A32" s="187" t="s">
        <v>889</v>
      </c>
      <c r="B32" s="111" t="s">
        <v>159</v>
      </c>
      <c r="C32" s="184" t="s">
        <v>844</v>
      </c>
      <c r="D32" s="203" t="s">
        <v>1013</v>
      </c>
      <c r="E32" s="516" t="s">
        <v>378</v>
      </c>
      <c r="F32" s="239" t="s">
        <v>1014</v>
      </c>
      <c r="G32" s="203" t="s">
        <v>1016</v>
      </c>
      <c r="H32" s="239" t="s">
        <v>1017</v>
      </c>
      <c r="I32" s="203" t="s">
        <v>1018</v>
      </c>
      <c r="J32" s="250" t="s">
        <v>1058</v>
      </c>
      <c r="K32" s="871">
        <v>161677000</v>
      </c>
      <c r="L32" s="559" t="s">
        <v>175</v>
      </c>
      <c r="M32" s="422" t="s">
        <v>156</v>
      </c>
      <c r="N32" s="423" t="s">
        <v>1175</v>
      </c>
      <c r="O32" s="442"/>
      <c r="P32" s="442"/>
      <c r="Q32" s="442"/>
      <c r="R32" s="442"/>
      <c r="S32" s="423" t="s">
        <v>166</v>
      </c>
      <c r="T32" s="420">
        <v>1</v>
      </c>
      <c r="U32" s="420">
        <v>0.25</v>
      </c>
      <c r="V32" s="420">
        <v>0.25</v>
      </c>
      <c r="W32" s="420">
        <v>0.25</v>
      </c>
      <c r="X32" s="420">
        <v>0.25</v>
      </c>
      <c r="Y32" s="462" t="s">
        <v>577</v>
      </c>
      <c r="Z32" s="423" t="s">
        <v>867</v>
      </c>
      <c r="AA32" s="450" t="s">
        <v>868</v>
      </c>
      <c r="AB32" s="178" t="s">
        <v>853</v>
      </c>
      <c r="AC32" s="423" t="s">
        <v>177</v>
      </c>
      <c r="AD32" s="423"/>
      <c r="AE32" s="869">
        <v>161677000</v>
      </c>
      <c r="AF32" s="423" t="s">
        <v>833</v>
      </c>
      <c r="AG32" s="423" t="s">
        <v>835</v>
      </c>
      <c r="AH32" s="423" t="s">
        <v>178</v>
      </c>
    </row>
    <row r="33" spans="1:34" ht="105.75" customHeight="1" x14ac:dyDescent="0.25">
      <c r="A33" s="187" t="s">
        <v>889</v>
      </c>
      <c r="B33" s="111" t="s">
        <v>159</v>
      </c>
      <c r="C33" s="184" t="s">
        <v>844</v>
      </c>
      <c r="D33" s="203" t="s">
        <v>1013</v>
      </c>
      <c r="E33" s="516" t="s">
        <v>378</v>
      </c>
      <c r="F33" s="239" t="s">
        <v>1014</v>
      </c>
      <c r="G33" s="203" t="s">
        <v>1016</v>
      </c>
      <c r="H33" s="239" t="s">
        <v>1017</v>
      </c>
      <c r="I33" s="203" t="s">
        <v>1018</v>
      </c>
      <c r="J33" s="250" t="s">
        <v>1058</v>
      </c>
      <c r="K33" s="872">
        <v>2000000</v>
      </c>
      <c r="L33" s="565" t="s">
        <v>176</v>
      </c>
      <c r="M33" s="422" t="s">
        <v>156</v>
      </c>
      <c r="N33" s="423" t="s">
        <v>1176</v>
      </c>
      <c r="O33" s="435"/>
      <c r="P33" s="435"/>
      <c r="Q33" s="435"/>
      <c r="R33" s="435"/>
      <c r="S33" s="423" t="s">
        <v>166</v>
      </c>
      <c r="T33" s="420">
        <v>1</v>
      </c>
      <c r="U33" s="420">
        <v>0.25</v>
      </c>
      <c r="V33" s="420">
        <v>0.25</v>
      </c>
      <c r="W33" s="420">
        <v>0.25</v>
      </c>
      <c r="X33" s="420">
        <v>0.25</v>
      </c>
      <c r="Y33" s="462" t="s">
        <v>578</v>
      </c>
      <c r="Z33" s="423" t="s">
        <v>190</v>
      </c>
      <c r="AA33" s="423" t="s">
        <v>579</v>
      </c>
      <c r="AB33" s="178" t="s">
        <v>853</v>
      </c>
      <c r="AC33" s="423" t="s">
        <v>177</v>
      </c>
      <c r="AD33" s="436"/>
      <c r="AE33" s="146">
        <v>2000000</v>
      </c>
      <c r="AF33" s="423" t="s">
        <v>833</v>
      </c>
      <c r="AG33" s="423" t="s">
        <v>835</v>
      </c>
      <c r="AH33" s="423" t="s">
        <v>178</v>
      </c>
    </row>
    <row r="34" spans="1:34" s="82" customFormat="1" ht="84.75" customHeight="1" x14ac:dyDescent="0.25">
      <c r="A34" s="116" t="s">
        <v>889</v>
      </c>
      <c r="B34" s="116" t="s">
        <v>263</v>
      </c>
      <c r="C34" s="368" t="s">
        <v>846</v>
      </c>
      <c r="D34" s="116" t="s">
        <v>916</v>
      </c>
      <c r="E34" s="367" t="s">
        <v>184</v>
      </c>
      <c r="F34" s="372" t="s">
        <v>919</v>
      </c>
      <c r="G34" s="116" t="s">
        <v>925</v>
      </c>
      <c r="H34" s="373" t="s">
        <v>932</v>
      </c>
      <c r="I34" s="368" t="s">
        <v>930</v>
      </c>
      <c r="J34" s="373" t="s">
        <v>1059</v>
      </c>
      <c r="K34" s="128">
        <v>813420000</v>
      </c>
      <c r="L34" s="842" t="s">
        <v>1265</v>
      </c>
      <c r="M34" s="328" t="s">
        <v>156</v>
      </c>
      <c r="N34" s="257" t="s">
        <v>1152</v>
      </c>
      <c r="O34" s="375"/>
      <c r="P34" s="375"/>
      <c r="Q34" s="375"/>
      <c r="R34" s="375"/>
      <c r="S34" s="143" t="s">
        <v>166</v>
      </c>
      <c r="T34" s="790">
        <v>1</v>
      </c>
      <c r="U34" s="790">
        <v>1</v>
      </c>
      <c r="V34" s="790">
        <v>0</v>
      </c>
      <c r="W34" s="790">
        <v>0</v>
      </c>
      <c r="X34" s="790">
        <v>0</v>
      </c>
      <c r="Y34" s="126" t="s">
        <v>580</v>
      </c>
      <c r="Z34" s="423" t="s">
        <v>867</v>
      </c>
      <c r="AA34" s="450" t="s">
        <v>868</v>
      </c>
      <c r="AB34" s="423" t="s">
        <v>49</v>
      </c>
      <c r="AC34" s="423" t="s">
        <v>177</v>
      </c>
      <c r="AD34" s="423"/>
      <c r="AE34" s="128">
        <v>813420000</v>
      </c>
      <c r="AF34" s="116" t="s">
        <v>833</v>
      </c>
      <c r="AG34" s="368" t="s">
        <v>835</v>
      </c>
      <c r="AH34" s="116" t="s">
        <v>183</v>
      </c>
    </row>
    <row r="35" spans="1:34" s="82" customFormat="1" ht="30" customHeight="1" x14ac:dyDescent="0.25">
      <c r="A35" s="116" t="s">
        <v>889</v>
      </c>
      <c r="B35" s="116" t="s">
        <v>263</v>
      </c>
      <c r="C35" s="368" t="s">
        <v>846</v>
      </c>
      <c r="D35" s="116" t="s">
        <v>916</v>
      </c>
      <c r="E35" s="367" t="s">
        <v>184</v>
      </c>
      <c r="F35" s="372" t="s">
        <v>919</v>
      </c>
      <c r="G35" s="116" t="s">
        <v>925</v>
      </c>
      <c r="H35" s="373" t="s">
        <v>932</v>
      </c>
      <c r="I35" s="368" t="s">
        <v>930</v>
      </c>
      <c r="J35" s="373" t="s">
        <v>1059</v>
      </c>
      <c r="K35" s="128">
        <v>245363000</v>
      </c>
      <c r="L35" s="374" t="s">
        <v>180</v>
      </c>
      <c r="M35" s="328" t="s">
        <v>156</v>
      </c>
      <c r="N35" s="257" t="s">
        <v>1152</v>
      </c>
      <c r="O35" s="375"/>
      <c r="P35" s="375"/>
      <c r="Q35" s="375"/>
      <c r="R35" s="375"/>
      <c r="S35" s="143" t="s">
        <v>166</v>
      </c>
      <c r="T35" s="143">
        <v>12</v>
      </c>
      <c r="U35" s="143">
        <v>3</v>
      </c>
      <c r="V35" s="143">
        <v>3</v>
      </c>
      <c r="W35" s="143">
        <v>3</v>
      </c>
      <c r="X35" s="143">
        <v>3</v>
      </c>
      <c r="Y35" s="126" t="s">
        <v>581</v>
      </c>
      <c r="Z35" s="423" t="s">
        <v>190</v>
      </c>
      <c r="AA35" s="450" t="s">
        <v>623</v>
      </c>
      <c r="AB35" s="423" t="s">
        <v>49</v>
      </c>
      <c r="AC35" s="423" t="s">
        <v>177</v>
      </c>
      <c r="AE35" s="128">
        <v>245363000</v>
      </c>
      <c r="AF35" s="116" t="s">
        <v>833</v>
      </c>
      <c r="AG35" s="368" t="s">
        <v>835</v>
      </c>
      <c r="AH35" s="116" t="s">
        <v>183</v>
      </c>
    </row>
    <row r="36" spans="1:34" ht="156" customHeight="1" x14ac:dyDescent="0.25">
      <c r="A36" s="187" t="s">
        <v>889</v>
      </c>
      <c r="B36" s="195" t="s">
        <v>263</v>
      </c>
      <c r="C36" s="179" t="s">
        <v>846</v>
      </c>
      <c r="D36" s="191" t="s">
        <v>916</v>
      </c>
      <c r="E36" s="114" t="s">
        <v>184</v>
      </c>
      <c r="F36" s="105" t="s">
        <v>919</v>
      </c>
      <c r="G36" s="111" t="s">
        <v>925</v>
      </c>
      <c r="H36" s="105" t="s">
        <v>932</v>
      </c>
      <c r="I36" s="191" t="s">
        <v>930</v>
      </c>
      <c r="J36" s="213" t="s">
        <v>1059</v>
      </c>
      <c r="K36" s="848">
        <v>80000000</v>
      </c>
      <c r="L36" s="441" t="s">
        <v>588</v>
      </c>
      <c r="M36" s="422" t="s">
        <v>156</v>
      </c>
      <c r="N36" s="257" t="s">
        <v>587</v>
      </c>
      <c r="O36" s="442"/>
      <c r="P36" s="442"/>
      <c r="Q36" s="442"/>
      <c r="R36" s="442"/>
      <c r="S36" s="420" t="s">
        <v>166</v>
      </c>
      <c r="T36" s="420">
        <v>1</v>
      </c>
      <c r="U36" s="420">
        <v>0</v>
      </c>
      <c r="V36" s="420">
        <v>0</v>
      </c>
      <c r="W36" s="420">
        <v>1</v>
      </c>
      <c r="X36" s="420">
        <v>0</v>
      </c>
      <c r="Y36" s="126" t="s">
        <v>583</v>
      </c>
      <c r="Z36" s="423" t="s">
        <v>190</v>
      </c>
      <c r="AA36" s="423" t="s">
        <v>579</v>
      </c>
      <c r="AB36" s="423" t="s">
        <v>49</v>
      </c>
      <c r="AC36" s="423" t="s">
        <v>177</v>
      </c>
      <c r="AD36" s="71"/>
      <c r="AE36" s="463">
        <v>70000000</v>
      </c>
      <c r="AF36" s="423" t="s">
        <v>833</v>
      </c>
      <c r="AG36" s="423" t="s">
        <v>835</v>
      </c>
      <c r="AH36" s="423" t="s">
        <v>183</v>
      </c>
    </row>
    <row r="37" spans="1:34" ht="148.5" customHeight="1" x14ac:dyDescent="0.25">
      <c r="A37" s="187" t="s">
        <v>889</v>
      </c>
      <c r="B37" s="195" t="s">
        <v>263</v>
      </c>
      <c r="C37" s="179" t="s">
        <v>846</v>
      </c>
      <c r="D37" s="191" t="s">
        <v>916</v>
      </c>
      <c r="E37" s="114" t="s">
        <v>184</v>
      </c>
      <c r="F37" s="192" t="s">
        <v>919</v>
      </c>
      <c r="G37" s="191" t="s">
        <v>925</v>
      </c>
      <c r="H37" s="105" t="s">
        <v>932</v>
      </c>
      <c r="I37" s="191" t="s">
        <v>931</v>
      </c>
      <c r="J37" s="213" t="s">
        <v>1059</v>
      </c>
      <c r="K37" s="463">
        <v>1398808</v>
      </c>
      <c r="L37" s="441" t="s">
        <v>582</v>
      </c>
      <c r="M37" s="422" t="s">
        <v>156</v>
      </c>
      <c r="N37" s="442" t="s">
        <v>772</v>
      </c>
      <c r="O37" s="442"/>
      <c r="P37" s="442"/>
      <c r="Q37" s="442"/>
      <c r="R37" s="442"/>
      <c r="S37" s="420" t="s">
        <v>166</v>
      </c>
      <c r="T37" s="420">
        <v>1</v>
      </c>
      <c r="U37" s="420">
        <v>0</v>
      </c>
      <c r="V37" s="420">
        <v>0</v>
      </c>
      <c r="W37" s="420">
        <v>0</v>
      </c>
      <c r="X37" s="420">
        <v>1</v>
      </c>
      <c r="Y37" s="313" t="s">
        <v>1227</v>
      </c>
      <c r="Z37" s="423" t="s">
        <v>454</v>
      </c>
      <c r="AA37" s="423" t="s">
        <v>454</v>
      </c>
      <c r="AB37" s="423" t="s">
        <v>49</v>
      </c>
      <c r="AC37" s="423" t="s">
        <v>177</v>
      </c>
      <c r="AD37" s="436"/>
      <c r="AE37" s="463">
        <v>1398808</v>
      </c>
      <c r="AF37" s="423" t="s">
        <v>833</v>
      </c>
      <c r="AG37" s="423" t="s">
        <v>835</v>
      </c>
      <c r="AH37" s="423" t="s">
        <v>183</v>
      </c>
    </row>
    <row r="38" spans="1:34" s="82" customFormat="1" ht="52.5" customHeight="1" x14ac:dyDescent="0.25">
      <c r="A38" s="116" t="s">
        <v>889</v>
      </c>
      <c r="B38" s="368" t="s">
        <v>263</v>
      </c>
      <c r="C38" s="368" t="s">
        <v>846</v>
      </c>
      <c r="D38" s="116" t="s">
        <v>916</v>
      </c>
      <c r="E38" s="367" t="s">
        <v>184</v>
      </c>
      <c r="F38" s="372" t="s">
        <v>919</v>
      </c>
      <c r="G38" s="116" t="s">
        <v>925</v>
      </c>
      <c r="H38" s="373" t="s">
        <v>932</v>
      </c>
      <c r="I38" s="116" t="s">
        <v>931</v>
      </c>
      <c r="J38" s="373" t="s">
        <v>1059</v>
      </c>
      <c r="K38" s="145">
        <v>100000000</v>
      </c>
      <c r="L38" s="374" t="s">
        <v>182</v>
      </c>
      <c r="M38" s="328" t="s">
        <v>156</v>
      </c>
      <c r="N38" s="376" t="s">
        <v>587</v>
      </c>
      <c r="O38" s="375"/>
      <c r="P38" s="375"/>
      <c r="Q38" s="375"/>
      <c r="R38" s="375"/>
      <c r="S38" s="143" t="s">
        <v>166</v>
      </c>
      <c r="T38" s="143">
        <v>1</v>
      </c>
      <c r="U38" s="143">
        <v>0</v>
      </c>
      <c r="V38" s="143">
        <v>0</v>
      </c>
      <c r="W38" s="143">
        <v>1</v>
      </c>
      <c r="X38" s="143">
        <v>0</v>
      </c>
      <c r="Y38" s="126" t="s">
        <v>586</v>
      </c>
      <c r="Z38" s="423" t="s">
        <v>867</v>
      </c>
      <c r="AA38" s="450" t="s">
        <v>868</v>
      </c>
      <c r="AB38" s="423" t="s">
        <v>49</v>
      </c>
      <c r="AC38" s="423" t="s">
        <v>177</v>
      </c>
      <c r="AD38" s="423"/>
      <c r="AE38" s="145">
        <v>100000000</v>
      </c>
      <c r="AF38" s="116" t="s">
        <v>833</v>
      </c>
      <c r="AG38" s="368" t="s">
        <v>835</v>
      </c>
      <c r="AH38" s="116" t="s">
        <v>183</v>
      </c>
    </row>
    <row r="39" spans="1:34" s="82" customFormat="1" ht="60" customHeight="1" x14ac:dyDescent="0.25">
      <c r="A39" s="116" t="s">
        <v>889</v>
      </c>
      <c r="B39" s="368" t="s">
        <v>263</v>
      </c>
      <c r="C39" s="368" t="s">
        <v>846</v>
      </c>
      <c r="D39" s="116" t="s">
        <v>916</v>
      </c>
      <c r="E39" s="367" t="s">
        <v>184</v>
      </c>
      <c r="F39" s="372" t="s">
        <v>919</v>
      </c>
      <c r="G39" s="116" t="s">
        <v>925</v>
      </c>
      <c r="H39" s="373" t="s">
        <v>932</v>
      </c>
      <c r="I39" s="116" t="s">
        <v>931</v>
      </c>
      <c r="J39" s="373" t="s">
        <v>1059</v>
      </c>
      <c r="K39" s="857">
        <v>0</v>
      </c>
      <c r="L39" s="374" t="s">
        <v>182</v>
      </c>
      <c r="M39" s="328" t="s">
        <v>156</v>
      </c>
      <c r="N39" s="376" t="s">
        <v>587</v>
      </c>
      <c r="O39" s="375"/>
      <c r="P39" s="375"/>
      <c r="Q39" s="375"/>
      <c r="R39" s="375"/>
      <c r="S39" s="143" t="s">
        <v>166</v>
      </c>
      <c r="T39" s="143">
        <v>1</v>
      </c>
      <c r="U39" s="143">
        <v>0</v>
      </c>
      <c r="V39" s="143">
        <v>0</v>
      </c>
      <c r="W39" s="143">
        <v>1</v>
      </c>
      <c r="X39" s="143">
        <v>0</v>
      </c>
      <c r="Y39" s="126" t="s">
        <v>583</v>
      </c>
      <c r="Z39" s="423" t="s">
        <v>190</v>
      </c>
      <c r="AA39" s="423" t="s">
        <v>579</v>
      </c>
      <c r="AB39" s="423" t="s">
        <v>49</v>
      </c>
      <c r="AC39" s="423" t="s">
        <v>177</v>
      </c>
      <c r="AE39" s="145">
        <v>10000000</v>
      </c>
      <c r="AF39" s="116" t="s">
        <v>833</v>
      </c>
      <c r="AG39" s="368" t="s">
        <v>835</v>
      </c>
      <c r="AH39" s="116" t="s">
        <v>183</v>
      </c>
    </row>
    <row r="40" spans="1:34" s="82" customFormat="1" ht="60" customHeight="1" x14ac:dyDescent="0.25">
      <c r="A40" s="116" t="s">
        <v>889</v>
      </c>
      <c r="B40" s="116" t="s">
        <v>159</v>
      </c>
      <c r="C40" s="368" t="s">
        <v>844</v>
      </c>
      <c r="D40" s="372" t="s">
        <v>1019</v>
      </c>
      <c r="E40" s="377" t="s">
        <v>189</v>
      </c>
      <c r="F40" s="160" t="s">
        <v>1020</v>
      </c>
      <c r="G40" s="372" t="s">
        <v>1021</v>
      </c>
      <c r="H40" s="378" t="s">
        <v>1022</v>
      </c>
      <c r="I40" s="372" t="s">
        <v>1023</v>
      </c>
      <c r="J40" s="378" t="s">
        <v>1060</v>
      </c>
      <c r="K40" s="145">
        <v>70965000</v>
      </c>
      <c r="L40" s="379" t="s">
        <v>185</v>
      </c>
      <c r="M40" s="328" t="s">
        <v>156</v>
      </c>
      <c r="N40" s="380" t="s">
        <v>1145</v>
      </c>
      <c r="O40" s="381"/>
      <c r="P40" s="381"/>
      <c r="Q40" s="381"/>
      <c r="R40" s="381"/>
      <c r="S40" s="116" t="s">
        <v>166</v>
      </c>
      <c r="T40" s="143">
        <v>1</v>
      </c>
      <c r="U40" s="143">
        <v>1</v>
      </c>
      <c r="V40" s="143">
        <v>0</v>
      </c>
      <c r="W40" s="143">
        <v>0</v>
      </c>
      <c r="X40" s="143">
        <v>0</v>
      </c>
      <c r="Y40" s="126" t="s">
        <v>589</v>
      </c>
      <c r="Z40" s="423" t="s">
        <v>867</v>
      </c>
      <c r="AA40" s="450" t="s">
        <v>868</v>
      </c>
      <c r="AB40" s="423" t="s">
        <v>853</v>
      </c>
      <c r="AC40" s="116" t="s">
        <v>177</v>
      </c>
      <c r="AD40" s="423"/>
      <c r="AE40" s="145">
        <v>70965000</v>
      </c>
      <c r="AF40" s="116" t="s">
        <v>833</v>
      </c>
      <c r="AG40" s="368" t="s">
        <v>835</v>
      </c>
      <c r="AH40" s="116" t="s">
        <v>192</v>
      </c>
    </row>
    <row r="41" spans="1:34" s="82" customFormat="1" ht="76.5" customHeight="1" x14ac:dyDescent="0.25">
      <c r="A41" s="116" t="s">
        <v>889</v>
      </c>
      <c r="B41" s="116" t="s">
        <v>159</v>
      </c>
      <c r="C41" s="368" t="s">
        <v>844</v>
      </c>
      <c r="D41" s="372" t="s">
        <v>1019</v>
      </c>
      <c r="E41" s="377" t="s">
        <v>189</v>
      </c>
      <c r="F41" s="160" t="s">
        <v>1020</v>
      </c>
      <c r="G41" s="372" t="s">
        <v>1021</v>
      </c>
      <c r="H41" s="378" t="s">
        <v>1022</v>
      </c>
      <c r="I41" s="372" t="s">
        <v>1023</v>
      </c>
      <c r="J41" s="378" t="s">
        <v>1060</v>
      </c>
      <c r="K41" s="145">
        <v>6000000</v>
      </c>
      <c r="L41" s="379" t="s">
        <v>185</v>
      </c>
      <c r="M41" s="328" t="s">
        <v>156</v>
      </c>
      <c r="N41" s="380" t="s">
        <v>1145</v>
      </c>
      <c r="O41" s="381"/>
      <c r="P41" s="381"/>
      <c r="Q41" s="381"/>
      <c r="R41" s="381"/>
      <c r="S41" s="116" t="s">
        <v>166</v>
      </c>
      <c r="T41" s="143">
        <v>1</v>
      </c>
      <c r="U41" s="143">
        <v>1</v>
      </c>
      <c r="V41" s="143">
        <v>0</v>
      </c>
      <c r="W41" s="143">
        <v>0</v>
      </c>
      <c r="X41" s="143">
        <v>0</v>
      </c>
      <c r="Y41" s="126" t="s">
        <v>590</v>
      </c>
      <c r="Z41" s="423" t="s">
        <v>190</v>
      </c>
      <c r="AA41" s="423" t="s">
        <v>579</v>
      </c>
      <c r="AB41" s="423" t="s">
        <v>853</v>
      </c>
      <c r="AC41" s="116" t="s">
        <v>177</v>
      </c>
      <c r="AD41" s="436"/>
      <c r="AE41" s="145">
        <v>6000000</v>
      </c>
      <c r="AF41" s="116" t="s">
        <v>833</v>
      </c>
      <c r="AG41" s="368" t="s">
        <v>835</v>
      </c>
      <c r="AH41" s="116" t="s">
        <v>192</v>
      </c>
    </row>
    <row r="42" spans="1:34" ht="162.75" customHeight="1" x14ac:dyDescent="0.25">
      <c r="A42" s="187" t="s">
        <v>889</v>
      </c>
      <c r="B42" s="111" t="s">
        <v>159</v>
      </c>
      <c r="C42" s="184" t="s">
        <v>844</v>
      </c>
      <c r="D42" s="203" t="s">
        <v>1019</v>
      </c>
      <c r="E42" s="227" t="s">
        <v>189</v>
      </c>
      <c r="F42" s="200" t="s">
        <v>1020</v>
      </c>
      <c r="G42" s="202" t="s">
        <v>1021</v>
      </c>
      <c r="H42" s="102" t="s">
        <v>1022</v>
      </c>
      <c r="I42" s="202" t="s">
        <v>1023</v>
      </c>
      <c r="J42" s="218" t="s">
        <v>1061</v>
      </c>
      <c r="K42" s="124">
        <v>90000000</v>
      </c>
      <c r="L42" s="443" t="s">
        <v>186</v>
      </c>
      <c r="M42" s="422" t="s">
        <v>156</v>
      </c>
      <c r="N42" s="433" t="s">
        <v>1142</v>
      </c>
      <c r="O42" s="444"/>
      <c r="P42" s="444"/>
      <c r="Q42" s="444"/>
      <c r="R42" s="444"/>
      <c r="S42" s="423" t="s">
        <v>166</v>
      </c>
      <c r="T42" s="420">
        <v>1</v>
      </c>
      <c r="U42" s="420">
        <v>0</v>
      </c>
      <c r="V42" s="420">
        <v>0</v>
      </c>
      <c r="W42" s="420">
        <v>1</v>
      </c>
      <c r="X42" s="420">
        <v>1</v>
      </c>
      <c r="Y42" s="126" t="s">
        <v>591</v>
      </c>
      <c r="Z42" s="423" t="s">
        <v>867</v>
      </c>
      <c r="AA42" s="450" t="s">
        <v>868</v>
      </c>
      <c r="AB42" s="423" t="s">
        <v>853</v>
      </c>
      <c r="AC42" s="423" t="s">
        <v>191</v>
      </c>
      <c r="AD42" s="423"/>
      <c r="AE42" s="124">
        <v>90000000</v>
      </c>
      <c r="AF42" s="423" t="s">
        <v>833</v>
      </c>
      <c r="AG42" s="423" t="s">
        <v>835</v>
      </c>
      <c r="AH42" s="423" t="s">
        <v>192</v>
      </c>
    </row>
    <row r="43" spans="1:34" ht="153" customHeight="1" x14ac:dyDescent="0.25">
      <c r="A43" s="187" t="s">
        <v>889</v>
      </c>
      <c r="B43" s="111" t="s">
        <v>159</v>
      </c>
      <c r="C43" s="184" t="s">
        <v>844</v>
      </c>
      <c r="D43" s="203" t="s">
        <v>1019</v>
      </c>
      <c r="E43" s="227" t="s">
        <v>189</v>
      </c>
      <c r="F43" s="200" t="s">
        <v>1020</v>
      </c>
      <c r="G43" s="202" t="s">
        <v>1021</v>
      </c>
      <c r="H43" s="102" t="s">
        <v>1022</v>
      </c>
      <c r="I43" s="202" t="s">
        <v>1023</v>
      </c>
      <c r="J43" s="218" t="s">
        <v>1060</v>
      </c>
      <c r="K43" s="124">
        <v>260000000</v>
      </c>
      <c r="L43" s="420" t="s">
        <v>187</v>
      </c>
      <c r="M43" s="422" t="s">
        <v>156</v>
      </c>
      <c r="N43" s="433" t="s">
        <v>1146</v>
      </c>
      <c r="O43" s="420"/>
      <c r="P43" s="420"/>
      <c r="Q43" s="420"/>
      <c r="R43" s="420"/>
      <c r="S43" s="423" t="s">
        <v>166</v>
      </c>
      <c r="T43" s="420">
        <v>1</v>
      </c>
      <c r="U43" s="420">
        <v>0</v>
      </c>
      <c r="V43" s="420">
        <v>0</v>
      </c>
      <c r="W43" s="420">
        <v>1</v>
      </c>
      <c r="X43" s="420">
        <v>0</v>
      </c>
      <c r="Y43" s="126" t="s">
        <v>591</v>
      </c>
      <c r="Z43" s="423" t="s">
        <v>867</v>
      </c>
      <c r="AA43" s="450" t="s">
        <v>868</v>
      </c>
      <c r="AB43" s="423" t="s">
        <v>853</v>
      </c>
      <c r="AC43" s="423" t="s">
        <v>191</v>
      </c>
      <c r="AD43" s="423"/>
      <c r="AE43" s="124">
        <v>260000000</v>
      </c>
      <c r="AF43" s="423" t="s">
        <v>833</v>
      </c>
      <c r="AG43" s="423" t="s">
        <v>835</v>
      </c>
      <c r="AH43" s="423" t="s">
        <v>192</v>
      </c>
    </row>
    <row r="44" spans="1:34" s="82" customFormat="1" ht="30" customHeight="1" x14ac:dyDescent="0.25">
      <c r="A44" s="116" t="s">
        <v>889</v>
      </c>
      <c r="B44" s="116" t="s">
        <v>159</v>
      </c>
      <c r="C44" s="116" t="s">
        <v>844</v>
      </c>
      <c r="D44" s="116" t="s">
        <v>1024</v>
      </c>
      <c r="E44" s="367" t="s">
        <v>193</v>
      </c>
      <c r="F44" s="378" t="s">
        <v>1025</v>
      </c>
      <c r="G44" s="378" t="s">
        <v>1015</v>
      </c>
      <c r="H44" s="378" t="s">
        <v>1026</v>
      </c>
      <c r="I44" s="378" t="s">
        <v>1027</v>
      </c>
      <c r="J44" s="382" t="s">
        <v>1062</v>
      </c>
      <c r="K44" s="584">
        <v>11697822055</v>
      </c>
      <c r="L44" s="547" t="s">
        <v>194</v>
      </c>
      <c r="M44" s="116" t="s">
        <v>156</v>
      </c>
      <c r="N44" s="143" t="s">
        <v>1160</v>
      </c>
      <c r="O44" s="158"/>
      <c r="P44" s="158"/>
      <c r="Q44" s="158"/>
      <c r="R44" s="158"/>
      <c r="S44" s="116" t="s">
        <v>166</v>
      </c>
      <c r="T44" s="143">
        <v>12</v>
      </c>
      <c r="U44" s="143">
        <v>3</v>
      </c>
      <c r="V44" s="143">
        <v>3</v>
      </c>
      <c r="W44" s="143">
        <v>3</v>
      </c>
      <c r="X44" s="143">
        <v>3</v>
      </c>
      <c r="Y44" s="127" t="s">
        <v>595</v>
      </c>
      <c r="Z44" s="423" t="s">
        <v>198</v>
      </c>
      <c r="AA44" s="450" t="s">
        <v>194</v>
      </c>
      <c r="AB44" s="116" t="s">
        <v>853</v>
      </c>
      <c r="AC44" s="423" t="s">
        <v>177</v>
      </c>
      <c r="AE44" s="584">
        <v>11697822055</v>
      </c>
      <c r="AF44" s="116" t="s">
        <v>833</v>
      </c>
      <c r="AG44" s="368" t="s">
        <v>835</v>
      </c>
      <c r="AH44" s="116" t="s">
        <v>593</v>
      </c>
    </row>
    <row r="45" spans="1:34" s="82" customFormat="1" ht="79.5" customHeight="1" x14ac:dyDescent="0.25">
      <c r="A45" s="116" t="s">
        <v>889</v>
      </c>
      <c r="B45" s="116" t="s">
        <v>159</v>
      </c>
      <c r="C45" s="116" t="s">
        <v>844</v>
      </c>
      <c r="D45" s="116" t="s">
        <v>1024</v>
      </c>
      <c r="E45" s="367" t="s">
        <v>193</v>
      </c>
      <c r="F45" s="378" t="s">
        <v>1025</v>
      </c>
      <c r="G45" s="378" t="s">
        <v>1015</v>
      </c>
      <c r="H45" s="378" t="s">
        <v>1026</v>
      </c>
      <c r="I45" s="378" t="s">
        <v>1027</v>
      </c>
      <c r="J45" s="382" t="s">
        <v>1062</v>
      </c>
      <c r="K45" s="768">
        <v>6578065155</v>
      </c>
      <c r="L45" s="547" t="s">
        <v>194</v>
      </c>
      <c r="M45" s="116" t="s">
        <v>156</v>
      </c>
      <c r="N45" s="143" t="s">
        <v>1160</v>
      </c>
      <c r="O45" s="158"/>
      <c r="P45" s="158"/>
      <c r="Q45" s="158"/>
      <c r="R45" s="158"/>
      <c r="S45" s="116" t="s">
        <v>166</v>
      </c>
      <c r="T45" s="143">
        <v>12</v>
      </c>
      <c r="U45" s="143">
        <v>3</v>
      </c>
      <c r="V45" s="143">
        <v>3</v>
      </c>
      <c r="W45" s="143">
        <v>3</v>
      </c>
      <c r="X45" s="143">
        <v>3</v>
      </c>
      <c r="Y45" s="127" t="s">
        <v>594</v>
      </c>
      <c r="Z45" s="423" t="s">
        <v>198</v>
      </c>
      <c r="AA45" s="464" t="s">
        <v>194</v>
      </c>
      <c r="AB45" s="116" t="s">
        <v>853</v>
      </c>
      <c r="AC45" s="423" t="s">
        <v>177</v>
      </c>
      <c r="AD45" s="71"/>
      <c r="AE45" s="768">
        <v>6578065155</v>
      </c>
      <c r="AF45" s="116" t="s">
        <v>833</v>
      </c>
      <c r="AG45" s="368" t="s">
        <v>835</v>
      </c>
      <c r="AH45" s="116" t="s">
        <v>593</v>
      </c>
    </row>
    <row r="46" spans="1:34" ht="118.5" customHeight="1" x14ac:dyDescent="0.25">
      <c r="A46" s="187" t="s">
        <v>889</v>
      </c>
      <c r="B46" s="111" t="s">
        <v>159</v>
      </c>
      <c r="C46" s="184" t="s">
        <v>844</v>
      </c>
      <c r="D46" s="111" t="s">
        <v>1024</v>
      </c>
      <c r="E46" s="229" t="s">
        <v>193</v>
      </c>
      <c r="F46" s="111" t="s">
        <v>1025</v>
      </c>
      <c r="G46" s="111" t="s">
        <v>1015</v>
      </c>
      <c r="H46" s="111" t="s">
        <v>1026</v>
      </c>
      <c r="I46" s="111" t="s">
        <v>1027</v>
      </c>
      <c r="J46" s="250" t="s">
        <v>1062</v>
      </c>
      <c r="K46" s="554">
        <v>400000000</v>
      </c>
      <c r="L46" s="539" t="s">
        <v>195</v>
      </c>
      <c r="M46" s="423" t="s">
        <v>156</v>
      </c>
      <c r="N46" s="423" t="s">
        <v>585</v>
      </c>
      <c r="O46" s="423"/>
      <c r="P46" s="423"/>
      <c r="Q46" s="423"/>
      <c r="R46" s="423"/>
      <c r="S46" s="423" t="s">
        <v>166</v>
      </c>
      <c r="T46" s="420">
        <v>12</v>
      </c>
      <c r="U46" s="420">
        <v>3</v>
      </c>
      <c r="V46" s="420">
        <v>3</v>
      </c>
      <c r="W46" s="420">
        <v>3</v>
      </c>
      <c r="X46" s="420">
        <v>3</v>
      </c>
      <c r="Y46" s="127" t="s">
        <v>601</v>
      </c>
      <c r="Z46" s="423" t="s">
        <v>198</v>
      </c>
      <c r="AA46" s="464" t="s">
        <v>194</v>
      </c>
      <c r="AB46" s="423" t="s">
        <v>853</v>
      </c>
      <c r="AC46" s="423" t="s">
        <v>177</v>
      </c>
      <c r="AD46" s="436"/>
      <c r="AE46" s="554">
        <v>400000000</v>
      </c>
      <c r="AF46" s="423" t="s">
        <v>833</v>
      </c>
      <c r="AG46" s="423" t="s">
        <v>835</v>
      </c>
      <c r="AH46" s="423" t="s">
        <v>593</v>
      </c>
    </row>
    <row r="47" spans="1:34" s="82" customFormat="1" ht="72" customHeight="1" x14ac:dyDescent="0.25">
      <c r="A47" s="116" t="s">
        <v>889</v>
      </c>
      <c r="B47" s="116" t="s">
        <v>159</v>
      </c>
      <c r="C47" s="368" t="s">
        <v>844</v>
      </c>
      <c r="D47" s="116" t="s">
        <v>1024</v>
      </c>
      <c r="E47" s="367" t="s">
        <v>193</v>
      </c>
      <c r="F47" s="116" t="s">
        <v>1025</v>
      </c>
      <c r="G47" s="116" t="s">
        <v>1015</v>
      </c>
      <c r="H47" s="368" t="s">
        <v>1026</v>
      </c>
      <c r="I47" s="116" t="s">
        <v>1027</v>
      </c>
      <c r="J47" s="382" t="s">
        <v>1062</v>
      </c>
      <c r="K47" s="584">
        <v>1851881000</v>
      </c>
      <c r="L47" s="547" t="s">
        <v>196</v>
      </c>
      <c r="M47" s="116" t="s">
        <v>156</v>
      </c>
      <c r="N47" s="116" t="s">
        <v>1152</v>
      </c>
      <c r="O47" s="368"/>
      <c r="P47" s="368"/>
      <c r="Q47" s="368"/>
      <c r="R47" s="368"/>
      <c r="S47" s="116" t="s">
        <v>166</v>
      </c>
      <c r="T47" s="143">
        <v>922</v>
      </c>
      <c r="U47" s="143">
        <v>231</v>
      </c>
      <c r="V47" s="143">
        <v>231</v>
      </c>
      <c r="W47" s="143">
        <v>230</v>
      </c>
      <c r="X47" s="143">
        <v>230</v>
      </c>
      <c r="Y47" s="127" t="s">
        <v>596</v>
      </c>
      <c r="Z47" s="423" t="s">
        <v>867</v>
      </c>
      <c r="AA47" s="450" t="s">
        <v>868</v>
      </c>
      <c r="AB47" s="423" t="s">
        <v>853</v>
      </c>
      <c r="AC47" s="423" t="s">
        <v>446</v>
      </c>
      <c r="AD47" s="423"/>
      <c r="AE47" s="584">
        <v>1851881000</v>
      </c>
      <c r="AF47" s="116" t="s">
        <v>833</v>
      </c>
      <c r="AG47" s="368" t="s">
        <v>835</v>
      </c>
      <c r="AH47" s="116" t="s">
        <v>593</v>
      </c>
    </row>
    <row r="48" spans="1:34" s="82" customFormat="1" ht="47.25" customHeight="1" x14ac:dyDescent="0.25">
      <c r="A48" s="116" t="s">
        <v>889</v>
      </c>
      <c r="B48" s="116" t="s">
        <v>159</v>
      </c>
      <c r="C48" s="368" t="s">
        <v>844</v>
      </c>
      <c r="D48" s="116" t="s">
        <v>1024</v>
      </c>
      <c r="E48" s="367" t="s">
        <v>193</v>
      </c>
      <c r="F48" s="116" t="s">
        <v>1025</v>
      </c>
      <c r="G48" s="116" t="s">
        <v>1015</v>
      </c>
      <c r="H48" s="368" t="s">
        <v>1026</v>
      </c>
      <c r="I48" s="116" t="s">
        <v>1027</v>
      </c>
      <c r="J48" s="382" t="s">
        <v>1062</v>
      </c>
      <c r="K48" s="584">
        <f>227372000-28000000</f>
        <v>199372000</v>
      </c>
      <c r="L48" s="547" t="s">
        <v>196</v>
      </c>
      <c r="M48" s="116" t="s">
        <v>156</v>
      </c>
      <c r="N48" s="116" t="s">
        <v>1152</v>
      </c>
      <c r="O48" s="368"/>
      <c r="P48" s="368"/>
      <c r="Q48" s="368"/>
      <c r="R48" s="368"/>
      <c r="S48" s="116" t="s">
        <v>166</v>
      </c>
      <c r="T48" s="143">
        <v>922</v>
      </c>
      <c r="U48" s="143">
        <v>231</v>
      </c>
      <c r="V48" s="143">
        <v>231</v>
      </c>
      <c r="W48" s="143">
        <v>230</v>
      </c>
      <c r="X48" s="143">
        <v>230</v>
      </c>
      <c r="Y48" s="127" t="s">
        <v>597</v>
      </c>
      <c r="Z48" s="423" t="s">
        <v>190</v>
      </c>
      <c r="AA48" s="423" t="s">
        <v>579</v>
      </c>
      <c r="AB48" s="423" t="s">
        <v>853</v>
      </c>
      <c r="AC48" s="423" t="s">
        <v>446</v>
      </c>
      <c r="AD48" s="14"/>
      <c r="AE48" s="584">
        <f>227372000-28000000</f>
        <v>199372000</v>
      </c>
      <c r="AF48" s="116" t="s">
        <v>833</v>
      </c>
      <c r="AG48" s="368" t="s">
        <v>835</v>
      </c>
      <c r="AH48" s="116" t="s">
        <v>593</v>
      </c>
    </row>
    <row r="49" spans="1:34" s="82" customFormat="1" ht="45" customHeight="1" x14ac:dyDescent="0.25">
      <c r="A49" s="116" t="s">
        <v>889</v>
      </c>
      <c r="B49" s="116" t="s">
        <v>159</v>
      </c>
      <c r="C49" s="368" t="s">
        <v>844</v>
      </c>
      <c r="D49" s="116" t="s">
        <v>1024</v>
      </c>
      <c r="E49" s="367" t="s">
        <v>193</v>
      </c>
      <c r="F49" s="116" t="s">
        <v>1025</v>
      </c>
      <c r="G49" s="116" t="s">
        <v>1015</v>
      </c>
      <c r="H49" s="368" t="s">
        <v>1026</v>
      </c>
      <c r="I49" s="116" t="s">
        <v>1027</v>
      </c>
      <c r="J49" s="382" t="s">
        <v>1062</v>
      </c>
      <c r="K49" s="584">
        <v>18000000</v>
      </c>
      <c r="L49" s="547" t="s">
        <v>196</v>
      </c>
      <c r="M49" s="116" t="s">
        <v>156</v>
      </c>
      <c r="N49" s="116" t="s">
        <v>1152</v>
      </c>
      <c r="O49" s="368"/>
      <c r="P49" s="368"/>
      <c r="Q49" s="368"/>
      <c r="R49" s="368"/>
      <c r="S49" s="116" t="s">
        <v>166</v>
      </c>
      <c r="T49" s="143">
        <v>922</v>
      </c>
      <c r="U49" s="143">
        <v>231</v>
      </c>
      <c r="V49" s="143">
        <v>231</v>
      </c>
      <c r="W49" s="143">
        <v>230</v>
      </c>
      <c r="X49" s="143">
        <v>230</v>
      </c>
      <c r="Y49" s="127" t="s">
        <v>598</v>
      </c>
      <c r="Z49" s="423" t="s">
        <v>198</v>
      </c>
      <c r="AA49" s="464" t="s">
        <v>194</v>
      </c>
      <c r="AB49" s="423" t="s">
        <v>853</v>
      </c>
      <c r="AC49" s="423" t="s">
        <v>446</v>
      </c>
      <c r="AD49" s="14"/>
      <c r="AE49" s="584">
        <v>18000000</v>
      </c>
      <c r="AF49" s="116" t="s">
        <v>833</v>
      </c>
      <c r="AG49" s="368" t="s">
        <v>835</v>
      </c>
      <c r="AH49" s="116" t="s">
        <v>593</v>
      </c>
    </row>
    <row r="50" spans="1:34" s="82" customFormat="1" ht="48" customHeight="1" x14ac:dyDescent="0.25">
      <c r="A50" s="116" t="s">
        <v>889</v>
      </c>
      <c r="B50" s="116" t="s">
        <v>159</v>
      </c>
      <c r="C50" s="368" t="s">
        <v>844</v>
      </c>
      <c r="D50" s="116" t="s">
        <v>1024</v>
      </c>
      <c r="E50" s="367" t="s">
        <v>193</v>
      </c>
      <c r="F50" s="116" t="s">
        <v>1025</v>
      </c>
      <c r="G50" s="116" t="s">
        <v>1015</v>
      </c>
      <c r="H50" s="368" t="s">
        <v>1026</v>
      </c>
      <c r="I50" s="116" t="s">
        <v>1027</v>
      </c>
      <c r="J50" s="382" t="s">
        <v>1062</v>
      </c>
      <c r="K50" s="584">
        <v>50000000</v>
      </c>
      <c r="L50" s="547" t="s">
        <v>196</v>
      </c>
      <c r="M50" s="116" t="s">
        <v>156</v>
      </c>
      <c r="N50" s="116" t="s">
        <v>1152</v>
      </c>
      <c r="O50" s="368"/>
      <c r="P50" s="368"/>
      <c r="Q50" s="368"/>
      <c r="R50" s="368"/>
      <c r="S50" s="116" t="s">
        <v>166</v>
      </c>
      <c r="T50" s="143">
        <v>922</v>
      </c>
      <c r="U50" s="143">
        <v>231</v>
      </c>
      <c r="V50" s="143">
        <v>231</v>
      </c>
      <c r="W50" s="143">
        <v>230</v>
      </c>
      <c r="X50" s="143">
        <v>230</v>
      </c>
      <c r="Y50" s="127" t="s">
        <v>599</v>
      </c>
      <c r="Z50" s="423" t="s">
        <v>190</v>
      </c>
      <c r="AA50" s="423" t="s">
        <v>579</v>
      </c>
      <c r="AB50" s="423" t="s">
        <v>853</v>
      </c>
      <c r="AC50" s="423" t="s">
        <v>446</v>
      </c>
      <c r="AD50" s="14"/>
      <c r="AE50" s="584">
        <v>50000000</v>
      </c>
      <c r="AF50" s="116" t="s">
        <v>833</v>
      </c>
      <c r="AG50" s="368" t="s">
        <v>835</v>
      </c>
      <c r="AH50" s="116" t="s">
        <v>593</v>
      </c>
    </row>
    <row r="51" spans="1:34" ht="115.5" customHeight="1" x14ac:dyDescent="0.25">
      <c r="A51" s="187" t="s">
        <v>889</v>
      </c>
      <c r="B51" s="111" t="s">
        <v>159</v>
      </c>
      <c r="C51" s="111" t="s">
        <v>844</v>
      </c>
      <c r="D51" s="111" t="s">
        <v>1024</v>
      </c>
      <c r="E51" s="229" t="s">
        <v>193</v>
      </c>
      <c r="F51" s="111" t="s">
        <v>1025</v>
      </c>
      <c r="G51" s="111" t="s">
        <v>1015</v>
      </c>
      <c r="H51" s="197" t="s">
        <v>1026</v>
      </c>
      <c r="I51" s="111" t="s">
        <v>1027</v>
      </c>
      <c r="J51" s="250" t="s">
        <v>1062</v>
      </c>
      <c r="K51" s="554">
        <v>120000000</v>
      </c>
      <c r="L51" s="539" t="s">
        <v>197</v>
      </c>
      <c r="M51" s="423" t="s">
        <v>156</v>
      </c>
      <c r="N51" s="423" t="s">
        <v>1142</v>
      </c>
      <c r="O51" s="423"/>
      <c r="P51" s="423"/>
      <c r="Q51" s="423"/>
      <c r="R51" s="423"/>
      <c r="S51" s="423" t="s">
        <v>166</v>
      </c>
      <c r="T51" s="420">
        <v>6</v>
      </c>
      <c r="U51" s="420">
        <v>0</v>
      </c>
      <c r="V51" s="420">
        <v>0</v>
      </c>
      <c r="W51" s="420">
        <v>3</v>
      </c>
      <c r="X51" s="420">
        <v>3</v>
      </c>
      <c r="Y51" s="127" t="s">
        <v>600</v>
      </c>
      <c r="Z51" s="423" t="s">
        <v>867</v>
      </c>
      <c r="AA51" s="450" t="s">
        <v>868</v>
      </c>
      <c r="AB51" s="423" t="s">
        <v>853</v>
      </c>
      <c r="AC51" s="423" t="s">
        <v>177</v>
      </c>
      <c r="AD51" s="423"/>
      <c r="AE51" s="554">
        <v>120000000</v>
      </c>
      <c r="AF51" s="423" t="s">
        <v>833</v>
      </c>
      <c r="AG51" s="423" t="s">
        <v>835</v>
      </c>
      <c r="AH51" s="423" t="s">
        <v>593</v>
      </c>
    </row>
    <row r="52" spans="1:34" s="82" customFormat="1" ht="60" customHeight="1" x14ac:dyDescent="0.25">
      <c r="A52" s="116" t="s">
        <v>889</v>
      </c>
      <c r="B52" s="116" t="s">
        <v>159</v>
      </c>
      <c r="C52" s="368" t="s">
        <v>844</v>
      </c>
      <c r="D52" s="116" t="s">
        <v>1024</v>
      </c>
      <c r="E52" s="367" t="s">
        <v>193</v>
      </c>
      <c r="F52" s="116" t="s">
        <v>1025</v>
      </c>
      <c r="G52" s="116" t="s">
        <v>1015</v>
      </c>
      <c r="H52" s="368" t="s">
        <v>1026</v>
      </c>
      <c r="I52" s="116" t="s">
        <v>1027</v>
      </c>
      <c r="J52" s="382" t="s">
        <v>1062</v>
      </c>
      <c r="K52" s="591">
        <v>80000000</v>
      </c>
      <c r="L52" s="547" t="s">
        <v>447</v>
      </c>
      <c r="M52" s="116" t="s">
        <v>156</v>
      </c>
      <c r="N52" s="116" t="s">
        <v>571</v>
      </c>
      <c r="O52" s="368"/>
      <c r="P52" s="368"/>
      <c r="Q52" s="368"/>
      <c r="R52" s="368"/>
      <c r="S52" s="116" t="s">
        <v>166</v>
      </c>
      <c r="T52" s="143">
        <v>100</v>
      </c>
      <c r="U52" s="143">
        <v>0</v>
      </c>
      <c r="V52" s="143">
        <v>0</v>
      </c>
      <c r="W52" s="143">
        <v>50</v>
      </c>
      <c r="X52" s="143">
        <v>50</v>
      </c>
      <c r="Y52" s="127" t="s">
        <v>600</v>
      </c>
      <c r="Z52" s="423" t="s">
        <v>867</v>
      </c>
      <c r="AA52" s="450" t="s">
        <v>868</v>
      </c>
      <c r="AB52" s="423" t="s">
        <v>853</v>
      </c>
      <c r="AC52" s="423" t="s">
        <v>191</v>
      </c>
      <c r="AD52" s="423"/>
      <c r="AE52" s="591">
        <v>80000000</v>
      </c>
      <c r="AF52" s="116" t="s">
        <v>833</v>
      </c>
      <c r="AG52" s="368" t="s">
        <v>835</v>
      </c>
      <c r="AH52" s="116" t="s">
        <v>593</v>
      </c>
    </row>
    <row r="53" spans="1:34" s="82" customFormat="1" ht="84.75" customHeight="1" x14ac:dyDescent="0.25">
      <c r="A53" s="116" t="s">
        <v>889</v>
      </c>
      <c r="B53" s="116" t="s">
        <v>159</v>
      </c>
      <c r="C53" s="368" t="s">
        <v>844</v>
      </c>
      <c r="D53" s="116" t="s">
        <v>1024</v>
      </c>
      <c r="E53" s="367" t="s">
        <v>193</v>
      </c>
      <c r="F53" s="116" t="s">
        <v>1025</v>
      </c>
      <c r="G53" s="116" t="s">
        <v>1015</v>
      </c>
      <c r="H53" s="368" t="s">
        <v>1026</v>
      </c>
      <c r="I53" s="116" t="s">
        <v>1027</v>
      </c>
      <c r="J53" s="382" t="s">
        <v>1062</v>
      </c>
      <c r="K53" s="554">
        <v>28000000</v>
      </c>
      <c r="L53" s="547" t="s">
        <v>447</v>
      </c>
      <c r="M53" s="116" t="s">
        <v>156</v>
      </c>
      <c r="N53" s="116" t="s">
        <v>571</v>
      </c>
      <c r="O53" s="368"/>
      <c r="P53" s="368"/>
      <c r="Q53" s="368"/>
      <c r="R53" s="368"/>
      <c r="S53" s="116" t="s">
        <v>166</v>
      </c>
      <c r="T53" s="143">
        <v>100</v>
      </c>
      <c r="U53" s="143">
        <v>0</v>
      </c>
      <c r="V53" s="143">
        <v>0</v>
      </c>
      <c r="W53" s="143">
        <v>50</v>
      </c>
      <c r="X53" s="143">
        <v>50</v>
      </c>
      <c r="Y53" s="314" t="s">
        <v>597</v>
      </c>
      <c r="Z53" s="423" t="s">
        <v>190</v>
      </c>
      <c r="AA53" s="423" t="s">
        <v>190</v>
      </c>
      <c r="AB53" s="423" t="s">
        <v>853</v>
      </c>
      <c r="AC53" s="423" t="s">
        <v>191</v>
      </c>
      <c r="AE53" s="554">
        <v>28000000</v>
      </c>
      <c r="AF53" s="116" t="s">
        <v>833</v>
      </c>
      <c r="AG53" s="368" t="s">
        <v>835</v>
      </c>
      <c r="AH53" s="116" t="s">
        <v>593</v>
      </c>
    </row>
    <row r="54" spans="1:34" ht="117.75" customHeight="1" x14ac:dyDescent="0.25">
      <c r="A54" s="187" t="s">
        <v>889</v>
      </c>
      <c r="B54" s="111" t="s">
        <v>159</v>
      </c>
      <c r="C54" s="179" t="s">
        <v>844</v>
      </c>
      <c r="D54" s="111" t="s">
        <v>1024</v>
      </c>
      <c r="E54" s="229" t="s">
        <v>193</v>
      </c>
      <c r="F54" s="111" t="s">
        <v>1025</v>
      </c>
      <c r="G54" s="111" t="s">
        <v>1015</v>
      </c>
      <c r="H54" s="111" t="s">
        <v>1026</v>
      </c>
      <c r="I54" s="111" t="s">
        <v>1027</v>
      </c>
      <c r="J54" s="250" t="s">
        <v>1062</v>
      </c>
      <c r="K54" s="554">
        <v>0</v>
      </c>
      <c r="L54" s="539" t="s">
        <v>188</v>
      </c>
      <c r="M54" s="423" t="s">
        <v>156</v>
      </c>
      <c r="N54" s="423" t="s">
        <v>572</v>
      </c>
      <c r="O54" s="423"/>
      <c r="P54" s="423"/>
      <c r="Q54" s="423"/>
      <c r="R54" s="423"/>
      <c r="S54" s="423" t="s">
        <v>166</v>
      </c>
      <c r="T54" s="420">
        <v>4</v>
      </c>
      <c r="U54" s="420">
        <v>0</v>
      </c>
      <c r="V54" s="420">
        <v>0</v>
      </c>
      <c r="W54" s="420">
        <v>2</v>
      </c>
      <c r="X54" s="420">
        <v>2</v>
      </c>
      <c r="Y54" s="127"/>
      <c r="Z54" s="423"/>
      <c r="AA54" s="450"/>
      <c r="AB54" s="423" t="s">
        <v>853</v>
      </c>
      <c r="AC54" s="423"/>
      <c r="AD54" s="423"/>
      <c r="AE54" s="554">
        <v>0</v>
      </c>
      <c r="AF54" s="423" t="s">
        <v>833</v>
      </c>
      <c r="AG54" s="423" t="s">
        <v>835</v>
      </c>
      <c r="AH54" s="423" t="s">
        <v>593</v>
      </c>
    </row>
    <row r="55" spans="1:34" s="82" customFormat="1" ht="65.25" customHeight="1" x14ac:dyDescent="0.25">
      <c r="A55" s="368" t="s">
        <v>889</v>
      </c>
      <c r="B55" s="368" t="s">
        <v>159</v>
      </c>
      <c r="C55" s="368" t="s">
        <v>844</v>
      </c>
      <c r="D55" s="368" t="s">
        <v>1028</v>
      </c>
      <c r="E55" s="377" t="s">
        <v>199</v>
      </c>
      <c r="F55" s="368" t="s">
        <v>1014</v>
      </c>
      <c r="G55" s="368" t="s">
        <v>1016</v>
      </c>
      <c r="H55" s="368" t="s">
        <v>1029</v>
      </c>
      <c r="I55" s="368" t="s">
        <v>1030</v>
      </c>
      <c r="J55" s="368" t="s">
        <v>1063</v>
      </c>
      <c r="K55" s="825">
        <v>0</v>
      </c>
      <c r="L55" s="116" t="s">
        <v>200</v>
      </c>
      <c r="M55" s="116" t="s">
        <v>156</v>
      </c>
      <c r="N55" s="383" t="s">
        <v>584</v>
      </c>
      <c r="O55" s="368"/>
      <c r="P55" s="368"/>
      <c r="Q55" s="368"/>
      <c r="R55" s="368"/>
      <c r="S55" s="116" t="s">
        <v>166</v>
      </c>
      <c r="T55" s="143">
        <v>4</v>
      </c>
      <c r="U55" s="143">
        <v>0</v>
      </c>
      <c r="V55" s="143">
        <v>1</v>
      </c>
      <c r="W55" s="143">
        <v>2</v>
      </c>
      <c r="X55" s="143">
        <v>1</v>
      </c>
      <c r="Y55" s="124"/>
      <c r="Z55" s="423"/>
      <c r="AA55" s="450"/>
      <c r="AB55" s="423" t="s">
        <v>853</v>
      </c>
      <c r="AC55" s="423" t="s">
        <v>205</v>
      </c>
      <c r="AE55" s="518">
        <v>0</v>
      </c>
      <c r="AF55" s="423" t="s">
        <v>833</v>
      </c>
      <c r="AG55" s="423" t="s">
        <v>835</v>
      </c>
      <c r="AH55" s="423" t="s">
        <v>206</v>
      </c>
    </row>
    <row r="56" spans="1:34" s="82" customFormat="1" ht="94.5" customHeight="1" x14ac:dyDescent="0.25">
      <c r="A56" s="368" t="s">
        <v>889</v>
      </c>
      <c r="B56" s="368" t="s">
        <v>159</v>
      </c>
      <c r="C56" s="368" t="s">
        <v>844</v>
      </c>
      <c r="D56" s="368" t="s">
        <v>1028</v>
      </c>
      <c r="E56" s="377" t="s">
        <v>199</v>
      </c>
      <c r="F56" s="368" t="s">
        <v>1014</v>
      </c>
      <c r="G56" s="368" t="s">
        <v>1016</v>
      </c>
      <c r="H56" s="368" t="s">
        <v>1029</v>
      </c>
      <c r="I56" s="368" t="s">
        <v>1030</v>
      </c>
      <c r="J56" s="368" t="s">
        <v>1063</v>
      </c>
      <c r="K56" s="826">
        <v>103540744</v>
      </c>
      <c r="L56" s="116" t="s">
        <v>200</v>
      </c>
      <c r="M56" s="116" t="s">
        <v>156</v>
      </c>
      <c r="N56" s="383" t="s">
        <v>584</v>
      </c>
      <c r="O56" s="368"/>
      <c r="P56" s="368"/>
      <c r="Q56" s="368"/>
      <c r="R56" s="368"/>
      <c r="S56" s="116" t="s">
        <v>166</v>
      </c>
      <c r="T56" s="143">
        <v>4</v>
      </c>
      <c r="U56" s="143">
        <v>0</v>
      </c>
      <c r="V56" s="143">
        <v>1</v>
      </c>
      <c r="W56" s="143">
        <v>2</v>
      </c>
      <c r="X56" s="143">
        <v>1</v>
      </c>
      <c r="Y56" s="126" t="s">
        <v>602</v>
      </c>
      <c r="Z56" s="423" t="s">
        <v>198</v>
      </c>
      <c r="AA56" s="464" t="s">
        <v>830</v>
      </c>
      <c r="AB56" s="423" t="s">
        <v>853</v>
      </c>
      <c r="AC56" s="423" t="s">
        <v>205</v>
      </c>
      <c r="AD56" s="71"/>
      <c r="AE56" s="759">
        <v>103540744</v>
      </c>
      <c r="AF56" s="423" t="s">
        <v>833</v>
      </c>
      <c r="AG56" s="423" t="s">
        <v>835</v>
      </c>
      <c r="AH56" s="423" t="s">
        <v>206</v>
      </c>
    </row>
    <row r="57" spans="1:34" s="82" customFormat="1" ht="72" customHeight="1" x14ac:dyDescent="0.25">
      <c r="A57" s="368" t="s">
        <v>889</v>
      </c>
      <c r="B57" s="368" t="s">
        <v>159</v>
      </c>
      <c r="C57" s="368" t="s">
        <v>844</v>
      </c>
      <c r="D57" s="368" t="s">
        <v>1028</v>
      </c>
      <c r="E57" s="377" t="s">
        <v>199</v>
      </c>
      <c r="F57" s="373" t="s">
        <v>1014</v>
      </c>
      <c r="G57" s="368" t="s">
        <v>1016</v>
      </c>
      <c r="H57" s="373" t="s">
        <v>1029</v>
      </c>
      <c r="I57" s="368" t="s">
        <v>1030</v>
      </c>
      <c r="J57" s="373" t="s">
        <v>1063</v>
      </c>
      <c r="K57" s="825">
        <v>45557000</v>
      </c>
      <c r="L57" s="116" t="s">
        <v>201</v>
      </c>
      <c r="M57" s="116" t="s">
        <v>156</v>
      </c>
      <c r="N57" s="116" t="s">
        <v>571</v>
      </c>
      <c r="O57" s="368"/>
      <c r="P57" s="368"/>
      <c r="Q57" s="368"/>
      <c r="R57" s="368"/>
      <c r="S57" s="116" t="s">
        <v>166</v>
      </c>
      <c r="T57" s="143">
        <v>2</v>
      </c>
      <c r="U57" s="143">
        <v>0</v>
      </c>
      <c r="V57" s="143">
        <v>0</v>
      </c>
      <c r="W57" s="143">
        <v>1</v>
      </c>
      <c r="X57" s="116">
        <v>1</v>
      </c>
      <c r="Y57" s="126" t="s">
        <v>602</v>
      </c>
      <c r="Z57" s="423" t="s">
        <v>198</v>
      </c>
      <c r="AA57" s="464" t="s">
        <v>830</v>
      </c>
      <c r="AB57" s="116" t="s">
        <v>853</v>
      </c>
      <c r="AC57" s="423" t="s">
        <v>205</v>
      </c>
      <c r="AD57" s="14"/>
      <c r="AE57" s="829">
        <v>45557000</v>
      </c>
      <c r="AF57" s="116" t="s">
        <v>833</v>
      </c>
      <c r="AG57" s="368" t="s">
        <v>835</v>
      </c>
      <c r="AH57" s="116" t="s">
        <v>206</v>
      </c>
    </row>
    <row r="58" spans="1:34" s="82" customFormat="1" ht="96.75" customHeight="1" x14ac:dyDescent="0.25">
      <c r="A58" s="368" t="s">
        <v>889</v>
      </c>
      <c r="B58" s="368" t="s">
        <v>159</v>
      </c>
      <c r="C58" s="368" t="s">
        <v>844</v>
      </c>
      <c r="D58" s="368" t="s">
        <v>1028</v>
      </c>
      <c r="E58" s="377" t="s">
        <v>199</v>
      </c>
      <c r="F58" s="373" t="s">
        <v>1014</v>
      </c>
      <c r="G58" s="368" t="s">
        <v>1016</v>
      </c>
      <c r="H58" s="373" t="s">
        <v>1029</v>
      </c>
      <c r="I58" s="368" t="s">
        <v>1030</v>
      </c>
      <c r="J58" s="373" t="s">
        <v>1063</v>
      </c>
      <c r="K58" s="841">
        <v>154443000</v>
      </c>
      <c r="L58" s="116" t="s">
        <v>201</v>
      </c>
      <c r="M58" s="116" t="s">
        <v>156</v>
      </c>
      <c r="N58" s="116" t="s">
        <v>571</v>
      </c>
      <c r="O58" s="368"/>
      <c r="P58" s="368"/>
      <c r="Q58" s="368"/>
      <c r="R58" s="368"/>
      <c r="S58" s="116" t="s">
        <v>166</v>
      </c>
      <c r="T58" s="143">
        <v>2</v>
      </c>
      <c r="U58" s="143">
        <v>0</v>
      </c>
      <c r="V58" s="143">
        <v>0</v>
      </c>
      <c r="W58" s="143">
        <v>1</v>
      </c>
      <c r="X58" s="116">
        <v>1</v>
      </c>
      <c r="Y58" s="124" t="s">
        <v>603</v>
      </c>
      <c r="Z58" s="423" t="s">
        <v>198</v>
      </c>
      <c r="AA58" s="450" t="s">
        <v>194</v>
      </c>
      <c r="AB58" s="116" t="s">
        <v>853</v>
      </c>
      <c r="AC58" s="423" t="s">
        <v>205</v>
      </c>
      <c r="AD58" s="71"/>
      <c r="AE58" s="830">
        <v>154443000</v>
      </c>
      <c r="AF58" s="116" t="s">
        <v>833</v>
      </c>
      <c r="AG58" s="368" t="s">
        <v>835</v>
      </c>
      <c r="AH58" s="116" t="s">
        <v>206</v>
      </c>
    </row>
    <row r="59" spans="1:34" ht="105" customHeight="1" x14ac:dyDescent="0.25">
      <c r="A59" s="187" t="s">
        <v>889</v>
      </c>
      <c r="B59" s="111" t="s">
        <v>159</v>
      </c>
      <c r="C59" s="179" t="s">
        <v>844</v>
      </c>
      <c r="D59" s="111" t="s">
        <v>1028</v>
      </c>
      <c r="E59" s="258" t="s">
        <v>199</v>
      </c>
      <c r="F59" s="202" t="s">
        <v>1014</v>
      </c>
      <c r="G59" s="111" t="s">
        <v>1016</v>
      </c>
      <c r="H59" s="105" t="s">
        <v>1029</v>
      </c>
      <c r="I59" s="111" t="s">
        <v>1030</v>
      </c>
      <c r="J59" s="213" t="s">
        <v>1063</v>
      </c>
      <c r="K59" s="825">
        <v>556121726</v>
      </c>
      <c r="L59" s="743" t="s">
        <v>202</v>
      </c>
      <c r="M59" s="423" t="s">
        <v>156</v>
      </c>
      <c r="N59" s="445" t="s">
        <v>571</v>
      </c>
      <c r="O59" s="423"/>
      <c r="P59" s="423"/>
      <c r="Q59" s="423"/>
      <c r="R59" s="423"/>
      <c r="S59" s="423" t="s">
        <v>166</v>
      </c>
      <c r="T59" s="420">
        <v>1</v>
      </c>
      <c r="U59" s="420">
        <v>0</v>
      </c>
      <c r="V59" s="420">
        <v>0</v>
      </c>
      <c r="W59" s="767">
        <v>1</v>
      </c>
      <c r="X59" s="423">
        <v>0</v>
      </c>
      <c r="Y59" s="124" t="s">
        <v>603</v>
      </c>
      <c r="Z59" s="423" t="s">
        <v>198</v>
      </c>
      <c r="AA59" s="450" t="s">
        <v>194</v>
      </c>
      <c r="AB59" s="423" t="s">
        <v>853</v>
      </c>
      <c r="AC59" s="423" t="s">
        <v>205</v>
      </c>
      <c r="AD59" s="71"/>
      <c r="AE59" s="518">
        <v>556121726</v>
      </c>
      <c r="AF59" s="423" t="s">
        <v>833</v>
      </c>
      <c r="AG59" s="423" t="s">
        <v>835</v>
      </c>
      <c r="AH59" s="423" t="s">
        <v>206</v>
      </c>
    </row>
    <row r="60" spans="1:34" s="82" customFormat="1" ht="63" customHeight="1" x14ac:dyDescent="0.25">
      <c r="A60" s="116" t="s">
        <v>889</v>
      </c>
      <c r="B60" s="116" t="s">
        <v>159</v>
      </c>
      <c r="C60" s="368" t="s">
        <v>844</v>
      </c>
      <c r="D60" s="116" t="s">
        <v>1028</v>
      </c>
      <c r="E60" s="384" t="s">
        <v>199</v>
      </c>
      <c r="F60" s="372" t="s">
        <v>1014</v>
      </c>
      <c r="G60" s="116" t="s">
        <v>1016</v>
      </c>
      <c r="H60" s="373" t="s">
        <v>1029</v>
      </c>
      <c r="I60" s="116" t="s">
        <v>1030</v>
      </c>
      <c r="J60" s="373" t="s">
        <v>1063</v>
      </c>
      <c r="K60" s="827">
        <v>8000000</v>
      </c>
      <c r="L60" s="116" t="s">
        <v>203</v>
      </c>
      <c r="M60" s="116" t="s">
        <v>156</v>
      </c>
      <c r="N60" s="383" t="s">
        <v>572</v>
      </c>
      <c r="O60" s="368"/>
      <c r="P60" s="368"/>
      <c r="Q60" s="368"/>
      <c r="R60" s="368"/>
      <c r="S60" s="116" t="s">
        <v>166</v>
      </c>
      <c r="T60" s="143">
        <v>1</v>
      </c>
      <c r="U60" s="143">
        <v>1</v>
      </c>
      <c r="V60" s="143">
        <v>0</v>
      </c>
      <c r="W60" s="143">
        <v>0</v>
      </c>
      <c r="X60" s="116">
        <v>0</v>
      </c>
      <c r="Y60" s="599" t="s">
        <v>607</v>
      </c>
      <c r="Z60" s="539" t="s">
        <v>190</v>
      </c>
      <c r="AA60" s="539" t="s">
        <v>548</v>
      </c>
      <c r="AB60" s="423" t="s">
        <v>853</v>
      </c>
      <c r="AC60" s="423" t="s">
        <v>205</v>
      </c>
      <c r="AD60" s="14"/>
      <c r="AE60" s="564">
        <v>8000000</v>
      </c>
      <c r="AF60" s="116" t="s">
        <v>833</v>
      </c>
      <c r="AG60" s="368" t="s">
        <v>835</v>
      </c>
      <c r="AH60" s="116" t="s">
        <v>206</v>
      </c>
    </row>
    <row r="61" spans="1:34" s="82" customFormat="1" ht="76.5" customHeight="1" x14ac:dyDescent="0.25">
      <c r="A61" s="116" t="s">
        <v>889</v>
      </c>
      <c r="B61" s="116" t="s">
        <v>159</v>
      </c>
      <c r="C61" s="368" t="s">
        <v>844</v>
      </c>
      <c r="D61" s="116" t="s">
        <v>1028</v>
      </c>
      <c r="E61" s="384" t="s">
        <v>199</v>
      </c>
      <c r="F61" s="372" t="s">
        <v>1014</v>
      </c>
      <c r="G61" s="116" t="s">
        <v>1016</v>
      </c>
      <c r="H61" s="373" t="s">
        <v>1029</v>
      </c>
      <c r="I61" s="116" t="s">
        <v>1030</v>
      </c>
      <c r="J61" s="373" t="s">
        <v>1063</v>
      </c>
      <c r="K61" s="826">
        <v>145882000</v>
      </c>
      <c r="L61" s="116" t="s">
        <v>203</v>
      </c>
      <c r="M61" s="116" t="s">
        <v>156</v>
      </c>
      <c r="N61" s="383" t="s">
        <v>572</v>
      </c>
      <c r="O61" s="368"/>
      <c r="P61" s="368"/>
      <c r="Q61" s="368"/>
      <c r="R61" s="368"/>
      <c r="S61" s="116" t="s">
        <v>166</v>
      </c>
      <c r="T61" s="143">
        <v>1</v>
      </c>
      <c r="U61" s="143">
        <v>1</v>
      </c>
      <c r="V61" s="143">
        <v>0</v>
      </c>
      <c r="W61" s="143">
        <v>0</v>
      </c>
      <c r="X61" s="116">
        <v>0</v>
      </c>
      <c r="Y61" s="554" t="s">
        <v>604</v>
      </c>
      <c r="Z61" s="539" t="s">
        <v>190</v>
      </c>
      <c r="AA61" s="539" t="s">
        <v>190</v>
      </c>
      <c r="AB61" s="423" t="s">
        <v>853</v>
      </c>
      <c r="AC61" s="423" t="s">
        <v>448</v>
      </c>
      <c r="AD61" s="436"/>
      <c r="AE61" s="759">
        <v>145882000</v>
      </c>
      <c r="AF61" s="116" t="s">
        <v>833</v>
      </c>
      <c r="AG61" s="368" t="s">
        <v>835</v>
      </c>
      <c r="AH61" s="116" t="s">
        <v>206</v>
      </c>
    </row>
    <row r="62" spans="1:34" s="82" customFormat="1" ht="83.25" customHeight="1" x14ac:dyDescent="0.25">
      <c r="A62" s="116" t="s">
        <v>889</v>
      </c>
      <c r="B62" s="116" t="s">
        <v>159</v>
      </c>
      <c r="C62" s="368" t="s">
        <v>844</v>
      </c>
      <c r="D62" s="116" t="s">
        <v>1028</v>
      </c>
      <c r="E62" s="385" t="s">
        <v>199</v>
      </c>
      <c r="F62" s="372" t="s">
        <v>1014</v>
      </c>
      <c r="G62" s="116" t="s">
        <v>1016</v>
      </c>
      <c r="H62" s="373" t="s">
        <v>1029</v>
      </c>
      <c r="I62" s="116" t="s">
        <v>1030</v>
      </c>
      <c r="J62" s="373" t="s">
        <v>1063</v>
      </c>
      <c r="K62" s="827">
        <v>472430000</v>
      </c>
      <c r="L62" s="116" t="s">
        <v>196</v>
      </c>
      <c r="M62" s="116" t="s">
        <v>156</v>
      </c>
      <c r="N62" s="383" t="s">
        <v>584</v>
      </c>
      <c r="O62" s="368"/>
      <c r="P62" s="368"/>
      <c r="Q62" s="368"/>
      <c r="R62" s="368"/>
      <c r="S62" s="116" t="s">
        <v>166</v>
      </c>
      <c r="T62" s="143">
        <v>1</v>
      </c>
      <c r="U62" s="143">
        <v>1</v>
      </c>
      <c r="V62" s="143">
        <v>0</v>
      </c>
      <c r="W62" s="143">
        <v>0</v>
      </c>
      <c r="X62" s="116">
        <v>0</v>
      </c>
      <c r="Y62" s="554" t="s">
        <v>606</v>
      </c>
      <c r="Z62" s="539" t="s">
        <v>867</v>
      </c>
      <c r="AA62" s="603" t="s">
        <v>868</v>
      </c>
      <c r="AB62" s="116" t="s">
        <v>853</v>
      </c>
      <c r="AC62" s="423" t="s">
        <v>608</v>
      </c>
      <c r="AD62" s="423"/>
      <c r="AE62" s="564">
        <v>472430000</v>
      </c>
      <c r="AF62" s="116" t="s">
        <v>833</v>
      </c>
      <c r="AG62" s="368" t="s">
        <v>835</v>
      </c>
      <c r="AH62" s="116" t="s">
        <v>206</v>
      </c>
    </row>
    <row r="63" spans="1:34" s="82" customFormat="1" ht="57.75" customHeight="1" x14ac:dyDescent="0.25">
      <c r="A63" s="116" t="s">
        <v>889</v>
      </c>
      <c r="B63" s="116" t="s">
        <v>159</v>
      </c>
      <c r="C63" s="368" t="s">
        <v>844</v>
      </c>
      <c r="D63" s="116" t="s">
        <v>1028</v>
      </c>
      <c r="E63" s="385" t="s">
        <v>199</v>
      </c>
      <c r="F63" s="372" t="s">
        <v>1014</v>
      </c>
      <c r="G63" s="116" t="s">
        <v>1016</v>
      </c>
      <c r="H63" s="373" t="s">
        <v>1029</v>
      </c>
      <c r="I63" s="116" t="s">
        <v>1030</v>
      </c>
      <c r="J63" s="373" t="s">
        <v>1063</v>
      </c>
      <c r="K63" s="828">
        <v>12000000</v>
      </c>
      <c r="L63" s="116" t="s">
        <v>196</v>
      </c>
      <c r="M63" s="116" t="s">
        <v>156</v>
      </c>
      <c r="N63" s="383" t="s">
        <v>584</v>
      </c>
      <c r="O63" s="368"/>
      <c r="P63" s="368"/>
      <c r="Q63" s="368"/>
      <c r="R63" s="368"/>
      <c r="S63" s="116" t="s">
        <v>166</v>
      </c>
      <c r="T63" s="143">
        <v>1</v>
      </c>
      <c r="U63" s="143">
        <v>1</v>
      </c>
      <c r="V63" s="143">
        <v>0</v>
      </c>
      <c r="W63" s="143">
        <v>0</v>
      </c>
      <c r="X63" s="116">
        <v>0</v>
      </c>
      <c r="Y63" s="554" t="s">
        <v>605</v>
      </c>
      <c r="Z63" s="539" t="s">
        <v>198</v>
      </c>
      <c r="AA63" s="603" t="s">
        <v>830</v>
      </c>
      <c r="AB63" s="116" t="s">
        <v>853</v>
      </c>
      <c r="AC63" s="423" t="s">
        <v>205</v>
      </c>
      <c r="AE63" s="554">
        <v>12000000</v>
      </c>
      <c r="AF63" s="116" t="s">
        <v>833</v>
      </c>
      <c r="AG63" s="368" t="s">
        <v>835</v>
      </c>
      <c r="AH63" s="116" t="s">
        <v>206</v>
      </c>
    </row>
    <row r="64" spans="1:34" s="82" customFormat="1" ht="57.75" customHeight="1" x14ac:dyDescent="0.25">
      <c r="A64" s="368" t="s">
        <v>889</v>
      </c>
      <c r="B64" s="368" t="s">
        <v>159</v>
      </c>
      <c r="C64" s="368" t="s">
        <v>844</v>
      </c>
      <c r="D64" s="368" t="s">
        <v>1028</v>
      </c>
      <c r="E64" s="377" t="s">
        <v>199</v>
      </c>
      <c r="F64" s="373" t="s">
        <v>1014</v>
      </c>
      <c r="G64" s="368" t="s">
        <v>1016</v>
      </c>
      <c r="H64" s="373" t="s">
        <v>1029</v>
      </c>
      <c r="I64" s="360" t="s">
        <v>1031</v>
      </c>
      <c r="J64" s="373" t="s">
        <v>1063</v>
      </c>
      <c r="K64" s="629">
        <v>150000000</v>
      </c>
      <c r="L64" s="116" t="s">
        <v>204</v>
      </c>
      <c r="M64" s="368" t="s">
        <v>212</v>
      </c>
      <c r="N64" s="116" t="s">
        <v>773</v>
      </c>
      <c r="O64" s="368" t="s">
        <v>1172</v>
      </c>
      <c r="P64" s="368" t="s">
        <v>1177</v>
      </c>
      <c r="Q64" s="368" t="s">
        <v>1174</v>
      </c>
      <c r="R64" s="368" t="s">
        <v>1178</v>
      </c>
      <c r="S64" s="116" t="s">
        <v>166</v>
      </c>
      <c r="T64" s="143">
        <v>1</v>
      </c>
      <c r="U64" s="143">
        <v>0</v>
      </c>
      <c r="V64" s="143">
        <v>0</v>
      </c>
      <c r="W64" s="143">
        <v>0</v>
      </c>
      <c r="X64" s="116">
        <v>1</v>
      </c>
      <c r="Y64" s="769" t="s">
        <v>609</v>
      </c>
      <c r="Z64" s="539" t="s">
        <v>867</v>
      </c>
      <c r="AA64" s="603" t="s">
        <v>868</v>
      </c>
      <c r="AB64" s="116" t="s">
        <v>853</v>
      </c>
      <c r="AC64" s="113" t="s">
        <v>610</v>
      </c>
      <c r="AD64" s="423"/>
      <c r="AE64" s="604">
        <v>150000000</v>
      </c>
      <c r="AF64" s="116" t="s">
        <v>833</v>
      </c>
      <c r="AG64" s="368" t="s">
        <v>835</v>
      </c>
      <c r="AH64" s="116" t="s">
        <v>206</v>
      </c>
    </row>
    <row r="65" spans="1:34" s="82" customFormat="1" ht="99" customHeight="1" x14ac:dyDescent="0.25">
      <c r="A65" s="368" t="s">
        <v>889</v>
      </c>
      <c r="B65" s="368" t="s">
        <v>159</v>
      </c>
      <c r="C65" s="368" t="s">
        <v>844</v>
      </c>
      <c r="D65" s="368" t="s">
        <v>1028</v>
      </c>
      <c r="E65" s="377" t="s">
        <v>199</v>
      </c>
      <c r="F65" s="373" t="s">
        <v>1014</v>
      </c>
      <c r="G65" s="368" t="s">
        <v>1016</v>
      </c>
      <c r="H65" s="373" t="s">
        <v>1029</v>
      </c>
      <c r="I65" s="413" t="s">
        <v>1031</v>
      </c>
      <c r="J65" s="373" t="s">
        <v>1063</v>
      </c>
      <c r="K65" s="828">
        <v>100000000</v>
      </c>
      <c r="L65" s="116" t="s">
        <v>204</v>
      </c>
      <c r="M65" s="368" t="s">
        <v>212</v>
      </c>
      <c r="N65" s="116" t="s">
        <v>773</v>
      </c>
      <c r="O65" s="368" t="s">
        <v>1172</v>
      </c>
      <c r="P65" s="368" t="s">
        <v>1177</v>
      </c>
      <c r="Q65" s="368" t="s">
        <v>1174</v>
      </c>
      <c r="R65" s="368" t="s">
        <v>1178</v>
      </c>
      <c r="S65" s="116" t="s">
        <v>166</v>
      </c>
      <c r="T65" s="143">
        <v>1</v>
      </c>
      <c r="U65" s="143">
        <v>0</v>
      </c>
      <c r="V65" s="143">
        <v>0</v>
      </c>
      <c r="W65" s="143">
        <v>0</v>
      </c>
      <c r="X65" s="116">
        <v>1</v>
      </c>
      <c r="Y65" s="124" t="s">
        <v>603</v>
      </c>
      <c r="Z65" s="423" t="s">
        <v>198</v>
      </c>
      <c r="AA65" s="450" t="s">
        <v>194</v>
      </c>
      <c r="AB65" s="116" t="s">
        <v>853</v>
      </c>
      <c r="AC65" s="423" t="s">
        <v>177</v>
      </c>
      <c r="AD65" s="436"/>
      <c r="AE65" s="554">
        <v>100000000</v>
      </c>
      <c r="AF65" s="116" t="s">
        <v>833</v>
      </c>
      <c r="AG65" s="368" t="s">
        <v>835</v>
      </c>
      <c r="AH65" s="116" t="s">
        <v>206</v>
      </c>
    </row>
    <row r="66" spans="1:34" s="82" customFormat="1" ht="81" customHeight="1" x14ac:dyDescent="0.25">
      <c r="A66" s="368" t="s">
        <v>889</v>
      </c>
      <c r="B66" s="116" t="s">
        <v>842</v>
      </c>
      <c r="C66" s="368" t="s">
        <v>846</v>
      </c>
      <c r="D66" s="160" t="s">
        <v>1041</v>
      </c>
      <c r="E66" s="367" t="s">
        <v>207</v>
      </c>
      <c r="F66" s="160" t="s">
        <v>1040</v>
      </c>
      <c r="G66" s="160" t="s">
        <v>1043</v>
      </c>
      <c r="H66" s="378" t="s">
        <v>1048</v>
      </c>
      <c r="I66" s="160" t="s">
        <v>1050</v>
      </c>
      <c r="J66" s="378" t="s">
        <v>1064</v>
      </c>
      <c r="K66" s="852">
        <v>221980000</v>
      </c>
      <c r="L66" s="860" t="s">
        <v>450</v>
      </c>
      <c r="M66" s="386" t="s">
        <v>156</v>
      </c>
      <c r="N66" s="387" t="s">
        <v>572</v>
      </c>
      <c r="O66" s="388"/>
      <c r="P66" s="388"/>
      <c r="Q66" s="388"/>
      <c r="R66" s="388"/>
      <c r="S66" s="116" t="s">
        <v>166</v>
      </c>
      <c r="T66" s="143">
        <v>1</v>
      </c>
      <c r="U66" s="116">
        <v>1</v>
      </c>
      <c r="V66" s="143">
        <v>0</v>
      </c>
      <c r="W66" s="143">
        <v>0</v>
      </c>
      <c r="X66" s="116">
        <v>0</v>
      </c>
      <c r="Y66" s="420" t="s">
        <v>611</v>
      </c>
      <c r="Z66" s="423" t="s">
        <v>867</v>
      </c>
      <c r="AA66" s="450" t="s">
        <v>868</v>
      </c>
      <c r="AB66" s="240" t="s">
        <v>841</v>
      </c>
      <c r="AC66" s="423" t="s">
        <v>177</v>
      </c>
      <c r="AD66" s="423"/>
      <c r="AE66" s="147">
        <v>126980000</v>
      </c>
      <c r="AF66" s="116" t="s">
        <v>833</v>
      </c>
      <c r="AG66" s="368" t="s">
        <v>835</v>
      </c>
      <c r="AH66" s="116" t="s">
        <v>613</v>
      </c>
    </row>
    <row r="67" spans="1:34" s="82" customFormat="1" ht="88.5" customHeight="1" x14ac:dyDescent="0.25">
      <c r="A67" s="368" t="s">
        <v>889</v>
      </c>
      <c r="B67" s="116" t="s">
        <v>842</v>
      </c>
      <c r="C67" s="368" t="s">
        <v>846</v>
      </c>
      <c r="D67" s="160" t="s">
        <v>1041</v>
      </c>
      <c r="E67" s="367" t="s">
        <v>207</v>
      </c>
      <c r="F67" s="160" t="s">
        <v>1040</v>
      </c>
      <c r="G67" s="160" t="s">
        <v>1043</v>
      </c>
      <c r="H67" s="378" t="s">
        <v>1048</v>
      </c>
      <c r="I67" s="160" t="s">
        <v>1050</v>
      </c>
      <c r="J67" s="378" t="s">
        <v>1064</v>
      </c>
      <c r="K67" s="129">
        <v>5000000</v>
      </c>
      <c r="L67" s="860" t="s">
        <v>450</v>
      </c>
      <c r="M67" s="386" t="s">
        <v>156</v>
      </c>
      <c r="N67" s="387" t="s">
        <v>572</v>
      </c>
      <c r="O67" s="388"/>
      <c r="P67" s="388"/>
      <c r="Q67" s="388"/>
      <c r="R67" s="388"/>
      <c r="S67" s="116" t="s">
        <v>166</v>
      </c>
      <c r="T67" s="143">
        <v>1</v>
      </c>
      <c r="U67" s="116">
        <v>1</v>
      </c>
      <c r="V67" s="143">
        <v>0</v>
      </c>
      <c r="W67" s="143">
        <v>0</v>
      </c>
      <c r="X67" s="116">
        <v>0</v>
      </c>
      <c r="Y67" s="420" t="s">
        <v>612</v>
      </c>
      <c r="Z67" s="423" t="s">
        <v>190</v>
      </c>
      <c r="AA67" s="423" t="s">
        <v>190</v>
      </c>
      <c r="AB67" s="240" t="s">
        <v>841</v>
      </c>
      <c r="AC67" s="423" t="s">
        <v>177</v>
      </c>
      <c r="AD67" s="71"/>
      <c r="AE67" s="129">
        <v>5000000</v>
      </c>
      <c r="AF67" s="116" t="s">
        <v>833</v>
      </c>
      <c r="AG67" s="368" t="s">
        <v>835</v>
      </c>
      <c r="AH67" s="116" t="s">
        <v>613</v>
      </c>
    </row>
    <row r="68" spans="1:34" s="82" customFormat="1" ht="88.5" customHeight="1" x14ac:dyDescent="0.25">
      <c r="A68" s="368" t="s">
        <v>889</v>
      </c>
      <c r="B68" s="368" t="s">
        <v>842</v>
      </c>
      <c r="C68" s="368" t="s">
        <v>846</v>
      </c>
      <c r="D68" s="378" t="s">
        <v>1041</v>
      </c>
      <c r="E68" s="389" t="s">
        <v>207</v>
      </c>
      <c r="F68" s="378" t="s">
        <v>1040</v>
      </c>
      <c r="G68" s="378" t="s">
        <v>1044</v>
      </c>
      <c r="H68" s="378" t="s">
        <v>1048</v>
      </c>
      <c r="I68" s="378" t="s">
        <v>1050</v>
      </c>
      <c r="J68" s="378" t="s">
        <v>1064</v>
      </c>
      <c r="K68" s="599">
        <v>130000000</v>
      </c>
      <c r="L68" s="860" t="s">
        <v>208</v>
      </c>
      <c r="M68" s="328" t="s">
        <v>156</v>
      </c>
      <c r="N68" s="328" t="s">
        <v>1179</v>
      </c>
      <c r="O68" s="388"/>
      <c r="P68" s="388"/>
      <c r="Q68" s="388"/>
      <c r="R68" s="388"/>
      <c r="S68" s="116" t="s">
        <v>166</v>
      </c>
      <c r="T68" s="923">
        <v>0.8</v>
      </c>
      <c r="U68" s="921">
        <v>0.2</v>
      </c>
      <c r="V68" s="921">
        <v>0.2</v>
      </c>
      <c r="W68" s="921">
        <v>0.2</v>
      </c>
      <c r="X68" s="921">
        <v>0.2</v>
      </c>
      <c r="Y68" s="228" t="s">
        <v>615</v>
      </c>
      <c r="Z68" s="423" t="s">
        <v>190</v>
      </c>
      <c r="AA68" s="423" t="s">
        <v>190</v>
      </c>
      <c r="AB68" s="116" t="s">
        <v>841</v>
      </c>
      <c r="AC68" s="423" t="s">
        <v>177</v>
      </c>
      <c r="AE68" s="599">
        <v>130000000</v>
      </c>
      <c r="AF68" s="116" t="s">
        <v>833</v>
      </c>
      <c r="AG68" s="368" t="s">
        <v>835</v>
      </c>
      <c r="AH68" s="116" t="s">
        <v>613</v>
      </c>
    </row>
    <row r="69" spans="1:34" s="82" customFormat="1" ht="96.75" customHeight="1" x14ac:dyDescent="0.25">
      <c r="A69" s="368" t="s">
        <v>889</v>
      </c>
      <c r="B69" s="368" t="s">
        <v>842</v>
      </c>
      <c r="C69" s="368" t="s">
        <v>846</v>
      </c>
      <c r="D69" s="378" t="s">
        <v>1041</v>
      </c>
      <c r="E69" s="389" t="s">
        <v>207</v>
      </c>
      <c r="F69" s="378" t="s">
        <v>1040</v>
      </c>
      <c r="G69" s="378" t="s">
        <v>1044</v>
      </c>
      <c r="H69" s="378" t="s">
        <v>1048</v>
      </c>
      <c r="I69" s="378" t="s">
        <v>1050</v>
      </c>
      <c r="J69" s="378" t="s">
        <v>1064</v>
      </c>
      <c r="K69" s="599">
        <v>340000000</v>
      </c>
      <c r="L69" s="860" t="s">
        <v>208</v>
      </c>
      <c r="M69" s="328" t="s">
        <v>156</v>
      </c>
      <c r="N69" s="328" t="s">
        <v>1179</v>
      </c>
      <c r="O69" s="388"/>
      <c r="P69" s="388"/>
      <c r="Q69" s="388"/>
      <c r="R69" s="388"/>
      <c r="S69" s="116" t="s">
        <v>166</v>
      </c>
      <c r="T69" s="924"/>
      <c r="U69" s="922"/>
      <c r="V69" s="922"/>
      <c r="W69" s="922"/>
      <c r="X69" s="922"/>
      <c r="Y69" s="228" t="s">
        <v>616</v>
      </c>
      <c r="Z69" s="423" t="s">
        <v>867</v>
      </c>
      <c r="AA69" s="450" t="s">
        <v>868</v>
      </c>
      <c r="AB69" s="116" t="s">
        <v>841</v>
      </c>
      <c r="AC69" s="423" t="s">
        <v>177</v>
      </c>
      <c r="AD69" s="423"/>
      <c r="AE69" s="599">
        <v>340000000</v>
      </c>
      <c r="AF69" s="116" t="s">
        <v>833</v>
      </c>
      <c r="AG69" s="368" t="s">
        <v>835</v>
      </c>
      <c r="AH69" s="116" t="s">
        <v>613</v>
      </c>
    </row>
    <row r="70" spans="1:34" ht="118.5" customHeight="1" x14ac:dyDescent="0.25">
      <c r="A70" s="912" t="s">
        <v>889</v>
      </c>
      <c r="B70" s="164" t="s">
        <v>842</v>
      </c>
      <c r="C70" s="179" t="s">
        <v>846</v>
      </c>
      <c r="D70" s="181" t="s">
        <v>1041</v>
      </c>
      <c r="E70" s="233" t="s">
        <v>207</v>
      </c>
      <c r="F70" s="102" t="s">
        <v>1040</v>
      </c>
      <c r="G70" s="102" t="s">
        <v>1043</v>
      </c>
      <c r="H70" s="102" t="s">
        <v>1048</v>
      </c>
      <c r="I70" s="102" t="s">
        <v>1050</v>
      </c>
      <c r="J70" s="101" t="s">
        <v>1064</v>
      </c>
      <c r="K70" s="599">
        <v>0</v>
      </c>
      <c r="L70" s="861" t="s">
        <v>209</v>
      </c>
      <c r="M70" s="422" t="s">
        <v>156</v>
      </c>
      <c r="N70" s="422" t="s">
        <v>592</v>
      </c>
      <c r="O70" s="422" t="s">
        <v>831</v>
      </c>
      <c r="P70" s="422"/>
      <c r="Q70" s="422"/>
      <c r="R70" s="422"/>
      <c r="S70" s="423" t="s">
        <v>166</v>
      </c>
      <c r="T70" s="862">
        <v>1</v>
      </c>
      <c r="U70" s="850">
        <v>0.25</v>
      </c>
      <c r="V70" s="850">
        <v>0.25</v>
      </c>
      <c r="W70" s="850">
        <v>0.25</v>
      </c>
      <c r="X70" s="850">
        <v>0.25</v>
      </c>
      <c r="Y70" s="228" t="s">
        <v>616</v>
      </c>
      <c r="Z70" s="423" t="s">
        <v>867</v>
      </c>
      <c r="AA70" s="450" t="s">
        <v>868</v>
      </c>
      <c r="AB70" s="240" t="s">
        <v>841</v>
      </c>
      <c r="AC70" s="423" t="s">
        <v>177</v>
      </c>
      <c r="AD70" s="423"/>
      <c r="AE70" s="599">
        <v>0</v>
      </c>
      <c r="AF70" s="423" t="s">
        <v>833</v>
      </c>
      <c r="AG70" s="423" t="s">
        <v>835</v>
      </c>
      <c r="AH70" s="423" t="s">
        <v>613</v>
      </c>
    </row>
    <row r="71" spans="1:34" s="82" customFormat="1" ht="118.5" customHeight="1" x14ac:dyDescent="0.25">
      <c r="A71" s="930"/>
      <c r="B71" s="164"/>
      <c r="C71" s="775"/>
      <c r="D71" s="774"/>
      <c r="E71" s="233" t="s">
        <v>207</v>
      </c>
      <c r="F71" s="774"/>
      <c r="G71" s="774"/>
      <c r="H71" s="774"/>
      <c r="I71" s="774"/>
      <c r="J71" s="101"/>
      <c r="K71" s="863">
        <v>50000000</v>
      </c>
      <c r="L71" s="864" t="s">
        <v>449</v>
      </c>
      <c r="M71" s="865"/>
      <c r="N71" s="865"/>
      <c r="O71" s="865"/>
      <c r="P71" s="865"/>
      <c r="Q71" s="865"/>
      <c r="R71" s="865"/>
      <c r="S71" s="783" t="s">
        <v>166</v>
      </c>
      <c r="T71" s="767">
        <v>16000</v>
      </c>
      <c r="U71" s="767">
        <v>0</v>
      </c>
      <c r="V71" s="767">
        <v>0</v>
      </c>
      <c r="W71" s="767">
        <v>800</v>
      </c>
      <c r="X71" s="767">
        <v>800</v>
      </c>
      <c r="Y71" s="767" t="s">
        <v>615</v>
      </c>
      <c r="Z71" s="775"/>
      <c r="AA71" s="450"/>
      <c r="AB71" s="240"/>
      <c r="AC71" s="775"/>
      <c r="AD71" s="775"/>
      <c r="AE71" s="599"/>
      <c r="AF71" s="775"/>
      <c r="AG71" s="775"/>
      <c r="AH71" s="775"/>
    </row>
    <row r="72" spans="1:34" s="62" customFormat="1" ht="81.75" customHeight="1" x14ac:dyDescent="0.25">
      <c r="A72" s="913"/>
      <c r="B72" s="164" t="s">
        <v>842</v>
      </c>
      <c r="C72" s="179" t="s">
        <v>846</v>
      </c>
      <c r="D72" s="181" t="s">
        <v>1041</v>
      </c>
      <c r="E72" s="229" t="s">
        <v>207</v>
      </c>
      <c r="F72" s="102" t="s">
        <v>1040</v>
      </c>
      <c r="G72" s="102" t="s">
        <v>1044</v>
      </c>
      <c r="H72" s="102" t="s">
        <v>1048</v>
      </c>
      <c r="I72" s="102" t="s">
        <v>1050</v>
      </c>
      <c r="J72" s="101" t="s">
        <v>1065</v>
      </c>
      <c r="K72" s="759">
        <v>2000000000</v>
      </c>
      <c r="L72" s="864" t="s">
        <v>449</v>
      </c>
      <c r="M72" s="865" t="s">
        <v>156</v>
      </c>
      <c r="N72" s="865" t="s">
        <v>587</v>
      </c>
      <c r="O72" s="865"/>
      <c r="P72" s="865" t="s">
        <v>831</v>
      </c>
      <c r="Q72" s="865"/>
      <c r="R72" s="865"/>
      <c r="S72" s="783" t="s">
        <v>166</v>
      </c>
      <c r="T72" s="767">
        <v>16000</v>
      </c>
      <c r="U72" s="767">
        <v>0</v>
      </c>
      <c r="V72" s="767">
        <v>0</v>
      </c>
      <c r="W72" s="767">
        <v>800</v>
      </c>
      <c r="X72" s="767">
        <v>800</v>
      </c>
      <c r="Y72" s="228" t="s">
        <v>617</v>
      </c>
      <c r="Z72" s="423" t="s">
        <v>190</v>
      </c>
      <c r="AA72" s="450" t="s">
        <v>623</v>
      </c>
      <c r="AB72" s="240" t="s">
        <v>841</v>
      </c>
      <c r="AC72" s="423" t="s">
        <v>177</v>
      </c>
      <c r="AD72" s="423"/>
      <c r="AE72" s="554">
        <v>2050000000</v>
      </c>
      <c r="AF72" s="423" t="s">
        <v>833</v>
      </c>
      <c r="AG72" s="423" t="s">
        <v>833</v>
      </c>
      <c r="AH72" s="423" t="s">
        <v>614</v>
      </c>
    </row>
    <row r="73" spans="1:34" ht="77.25" customHeight="1" x14ac:dyDescent="0.25">
      <c r="A73" s="912" t="s">
        <v>889</v>
      </c>
      <c r="B73" s="164" t="s">
        <v>842</v>
      </c>
      <c r="C73" s="179" t="s">
        <v>846</v>
      </c>
      <c r="D73" s="181" t="s">
        <v>1041</v>
      </c>
      <c r="E73" s="233" t="s">
        <v>207</v>
      </c>
      <c r="F73" s="102" t="s">
        <v>1040</v>
      </c>
      <c r="G73" s="102" t="s">
        <v>1043</v>
      </c>
      <c r="H73" s="102" t="s">
        <v>1048</v>
      </c>
      <c r="I73" s="102" t="s">
        <v>1050</v>
      </c>
      <c r="J73" s="101" t="s">
        <v>1064</v>
      </c>
      <c r="K73" s="129">
        <v>60000000</v>
      </c>
      <c r="L73" s="838" t="s">
        <v>210</v>
      </c>
      <c r="M73" s="422" t="s">
        <v>212</v>
      </c>
      <c r="N73" s="422" t="s">
        <v>1143</v>
      </c>
      <c r="O73" s="422" t="s">
        <v>1180</v>
      </c>
      <c r="P73" s="422" t="s">
        <v>1181</v>
      </c>
      <c r="Q73" s="422" t="s">
        <v>1182</v>
      </c>
      <c r="R73" s="422" t="s">
        <v>1178</v>
      </c>
      <c r="S73" s="423" t="s">
        <v>166</v>
      </c>
      <c r="T73" s="420">
        <v>1</v>
      </c>
      <c r="U73" s="420">
        <v>0</v>
      </c>
      <c r="V73" s="420">
        <v>0</v>
      </c>
      <c r="W73" s="420">
        <v>0</v>
      </c>
      <c r="X73" s="420">
        <v>1</v>
      </c>
      <c r="Y73" s="420" t="s">
        <v>616</v>
      </c>
      <c r="Z73" s="423" t="s">
        <v>867</v>
      </c>
      <c r="AA73" s="450" t="s">
        <v>868</v>
      </c>
      <c r="AB73" s="240" t="s">
        <v>841</v>
      </c>
      <c r="AC73" s="423" t="s">
        <v>177</v>
      </c>
      <c r="AD73" s="423"/>
      <c r="AE73" s="129">
        <v>60000000</v>
      </c>
      <c r="AF73" s="423" t="s">
        <v>833</v>
      </c>
      <c r="AG73" s="423" t="s">
        <v>833</v>
      </c>
      <c r="AH73" s="423" t="s">
        <v>614</v>
      </c>
    </row>
    <row r="74" spans="1:34" ht="80.25" customHeight="1" x14ac:dyDescent="0.25">
      <c r="A74" s="913"/>
      <c r="B74" s="164" t="s">
        <v>842</v>
      </c>
      <c r="C74" s="179" t="s">
        <v>846</v>
      </c>
      <c r="D74" s="181" t="s">
        <v>1041</v>
      </c>
      <c r="E74" s="233" t="s">
        <v>207</v>
      </c>
      <c r="F74" s="102" t="s">
        <v>1040</v>
      </c>
      <c r="G74" s="102" t="s">
        <v>1044</v>
      </c>
      <c r="H74" s="102" t="s">
        <v>1048</v>
      </c>
      <c r="I74" s="102" t="s">
        <v>1050</v>
      </c>
      <c r="J74" s="101" t="s">
        <v>1066</v>
      </c>
      <c r="K74" s="599">
        <v>0</v>
      </c>
      <c r="L74" s="838" t="s">
        <v>211</v>
      </c>
      <c r="M74" s="352" t="s">
        <v>156</v>
      </c>
      <c r="N74" s="422" t="s">
        <v>592</v>
      </c>
      <c r="O74" s="422"/>
      <c r="P74" s="422" t="s">
        <v>831</v>
      </c>
      <c r="Q74" s="422"/>
      <c r="R74" s="422"/>
      <c r="S74" s="423" t="s">
        <v>166</v>
      </c>
      <c r="T74" s="866">
        <v>1</v>
      </c>
      <c r="U74" s="866">
        <v>0.25</v>
      </c>
      <c r="V74" s="866">
        <v>0.25</v>
      </c>
      <c r="W74" s="866">
        <v>0.25</v>
      </c>
      <c r="X74" s="866">
        <v>0.25</v>
      </c>
      <c r="Y74" s="228" t="s">
        <v>616</v>
      </c>
      <c r="Z74" s="423" t="s">
        <v>867</v>
      </c>
      <c r="AA74" s="450" t="s">
        <v>868</v>
      </c>
      <c r="AB74" s="240" t="s">
        <v>841</v>
      </c>
      <c r="AC74" s="423" t="s">
        <v>177</v>
      </c>
      <c r="AD74" s="423"/>
      <c r="AE74" s="599">
        <v>0</v>
      </c>
      <c r="AF74" s="423" t="s">
        <v>833</v>
      </c>
      <c r="AG74" s="423" t="s">
        <v>833</v>
      </c>
      <c r="AH74" s="423" t="s">
        <v>613</v>
      </c>
    </row>
    <row r="75" spans="1:34" ht="71.25" customHeight="1" x14ac:dyDescent="0.25">
      <c r="A75" s="912" t="s">
        <v>889</v>
      </c>
      <c r="B75" s="164" t="s">
        <v>842</v>
      </c>
      <c r="C75" s="179" t="s">
        <v>846</v>
      </c>
      <c r="D75" s="181" t="s">
        <v>1041</v>
      </c>
      <c r="E75" s="259" t="s">
        <v>207</v>
      </c>
      <c r="F75" s="102" t="s">
        <v>1040</v>
      </c>
      <c r="G75" s="102" t="s">
        <v>1043</v>
      </c>
      <c r="H75" s="102" t="s">
        <v>1048</v>
      </c>
      <c r="I75" s="102" t="s">
        <v>1050</v>
      </c>
      <c r="J75" s="101" t="s">
        <v>1066</v>
      </c>
      <c r="K75" s="853">
        <v>200000000</v>
      </c>
      <c r="L75" s="838" t="s">
        <v>181</v>
      </c>
      <c r="M75" s="352" t="s">
        <v>156</v>
      </c>
      <c r="N75" s="432" t="s">
        <v>587</v>
      </c>
      <c r="O75" s="422"/>
      <c r="P75" s="422" t="s">
        <v>831</v>
      </c>
      <c r="Q75" s="422"/>
      <c r="R75" s="422"/>
      <c r="S75" s="423" t="s">
        <v>166</v>
      </c>
      <c r="T75" s="228">
        <v>1</v>
      </c>
      <c r="U75" s="228">
        <v>1</v>
      </c>
      <c r="V75" s="228">
        <v>0</v>
      </c>
      <c r="W75" s="228">
        <v>0</v>
      </c>
      <c r="X75" s="228">
        <v>0</v>
      </c>
      <c r="Y75" s="228" t="s">
        <v>611</v>
      </c>
      <c r="Z75" s="423" t="s">
        <v>867</v>
      </c>
      <c r="AA75" s="450" t="s">
        <v>868</v>
      </c>
      <c r="AB75" s="240" t="s">
        <v>841</v>
      </c>
      <c r="AC75" s="423" t="s">
        <v>177</v>
      </c>
      <c r="AD75" s="423"/>
      <c r="AE75" s="626">
        <v>295000000</v>
      </c>
      <c r="AF75" s="423" t="s">
        <v>833</v>
      </c>
      <c r="AG75" s="423" t="s">
        <v>833</v>
      </c>
      <c r="AH75" s="423" t="s">
        <v>614</v>
      </c>
    </row>
    <row r="76" spans="1:34" ht="143.25" customHeight="1" x14ac:dyDescent="0.25">
      <c r="A76" s="913"/>
      <c r="B76" s="111" t="s">
        <v>159</v>
      </c>
      <c r="C76" s="179" t="s">
        <v>844</v>
      </c>
      <c r="D76" s="102" t="s">
        <v>1036</v>
      </c>
      <c r="E76" s="131" t="s">
        <v>218</v>
      </c>
      <c r="F76" s="105" t="s">
        <v>1037</v>
      </c>
      <c r="G76" s="238" t="s">
        <v>1016</v>
      </c>
      <c r="H76" s="102" t="s">
        <v>1038</v>
      </c>
      <c r="I76" s="102" t="s">
        <v>1039</v>
      </c>
      <c r="J76" s="213" t="s">
        <v>1067</v>
      </c>
      <c r="K76" s="148">
        <v>10400980000</v>
      </c>
      <c r="L76" s="420" t="s">
        <v>213</v>
      </c>
      <c r="M76" s="352" t="s">
        <v>156</v>
      </c>
      <c r="N76" s="422" t="s">
        <v>1145</v>
      </c>
      <c r="O76" s="420"/>
      <c r="P76" s="420"/>
      <c r="Q76" s="420"/>
      <c r="R76" s="420"/>
      <c r="S76" s="423" t="s">
        <v>166</v>
      </c>
      <c r="T76" s="420">
        <v>1</v>
      </c>
      <c r="U76" s="420">
        <v>1</v>
      </c>
      <c r="V76" s="420">
        <v>0</v>
      </c>
      <c r="W76" s="420">
        <v>0</v>
      </c>
      <c r="X76" s="420">
        <v>0</v>
      </c>
      <c r="Y76" s="144" t="s">
        <v>618</v>
      </c>
      <c r="Z76" s="423" t="s">
        <v>867</v>
      </c>
      <c r="AA76" s="450" t="s">
        <v>868</v>
      </c>
      <c r="AB76" s="423" t="s">
        <v>854</v>
      </c>
      <c r="AC76" s="423" t="s">
        <v>177</v>
      </c>
      <c r="AD76" s="423"/>
      <c r="AE76" s="148">
        <v>10400980000</v>
      </c>
      <c r="AF76" s="423" t="s">
        <v>833</v>
      </c>
      <c r="AG76" s="423" t="s">
        <v>833</v>
      </c>
      <c r="AH76" s="423" t="s">
        <v>221</v>
      </c>
    </row>
    <row r="77" spans="1:34" s="82" customFormat="1" ht="38.25" customHeight="1" x14ac:dyDescent="0.25">
      <c r="A77" s="368" t="s">
        <v>889</v>
      </c>
      <c r="B77" s="368" t="s">
        <v>159</v>
      </c>
      <c r="C77" s="368" t="s">
        <v>844</v>
      </c>
      <c r="D77" s="378" t="s">
        <v>1036</v>
      </c>
      <c r="E77" s="384" t="s">
        <v>218</v>
      </c>
      <c r="F77" s="373" t="s">
        <v>1037</v>
      </c>
      <c r="G77" s="238" t="s">
        <v>1016</v>
      </c>
      <c r="H77" s="378" t="s">
        <v>1038</v>
      </c>
      <c r="I77" s="378" t="s">
        <v>1039</v>
      </c>
      <c r="J77" s="373" t="s">
        <v>1068</v>
      </c>
      <c r="K77" s="128">
        <v>350000000</v>
      </c>
      <c r="L77" s="143" t="s">
        <v>214</v>
      </c>
      <c r="M77" s="328" t="s">
        <v>156</v>
      </c>
      <c r="N77" s="143" t="s">
        <v>1146</v>
      </c>
      <c r="O77" s="158"/>
      <c r="P77" s="158" t="s">
        <v>831</v>
      </c>
      <c r="Q77" s="158"/>
      <c r="R77" s="158"/>
      <c r="S77" s="116" t="s">
        <v>166</v>
      </c>
      <c r="T77" s="143">
        <v>111</v>
      </c>
      <c r="U77" s="143">
        <v>111</v>
      </c>
      <c r="V77" s="143">
        <v>0</v>
      </c>
      <c r="W77" s="143">
        <v>0</v>
      </c>
      <c r="X77" s="143">
        <v>0</v>
      </c>
      <c r="Y77" s="144" t="s">
        <v>619</v>
      </c>
      <c r="Z77" s="423" t="s">
        <v>190</v>
      </c>
      <c r="AA77" s="423" t="s">
        <v>190</v>
      </c>
      <c r="AB77" s="423" t="s">
        <v>854</v>
      </c>
      <c r="AC77" s="423" t="s">
        <v>220</v>
      </c>
      <c r="AE77" s="128">
        <v>350000000</v>
      </c>
      <c r="AF77" s="116" t="s">
        <v>833</v>
      </c>
      <c r="AG77" s="368" t="s">
        <v>835</v>
      </c>
      <c r="AH77" s="116" t="s">
        <v>221</v>
      </c>
    </row>
    <row r="78" spans="1:34" s="82" customFormat="1" ht="60" customHeight="1" x14ac:dyDescent="0.25">
      <c r="A78" s="368" t="s">
        <v>889</v>
      </c>
      <c r="B78" s="368" t="s">
        <v>159</v>
      </c>
      <c r="C78" s="368" t="s">
        <v>844</v>
      </c>
      <c r="D78" s="378" t="s">
        <v>1036</v>
      </c>
      <c r="E78" s="384" t="s">
        <v>218</v>
      </c>
      <c r="F78" s="373" t="s">
        <v>1037</v>
      </c>
      <c r="G78" s="238" t="s">
        <v>1016</v>
      </c>
      <c r="H78" s="378" t="s">
        <v>1038</v>
      </c>
      <c r="I78" s="378" t="s">
        <v>1039</v>
      </c>
      <c r="J78" s="373" t="s">
        <v>1068</v>
      </c>
      <c r="K78" s="128">
        <v>210000000</v>
      </c>
      <c r="L78" s="143" t="s">
        <v>214</v>
      </c>
      <c r="M78" s="328" t="s">
        <v>156</v>
      </c>
      <c r="N78" s="143" t="s">
        <v>1146</v>
      </c>
      <c r="O78" s="158"/>
      <c r="P78" s="158" t="s">
        <v>831</v>
      </c>
      <c r="Q78" s="158"/>
      <c r="R78" s="158"/>
      <c r="S78" s="116" t="s">
        <v>166</v>
      </c>
      <c r="T78" s="143">
        <v>111</v>
      </c>
      <c r="U78" s="143">
        <v>111</v>
      </c>
      <c r="V78" s="143">
        <v>0</v>
      </c>
      <c r="W78" s="143">
        <v>0</v>
      </c>
      <c r="X78" s="143">
        <v>0</v>
      </c>
      <c r="Y78" s="144" t="s">
        <v>620</v>
      </c>
      <c r="Z78" s="423" t="s">
        <v>190</v>
      </c>
      <c r="AA78" s="450" t="s">
        <v>623</v>
      </c>
      <c r="AB78" s="423" t="s">
        <v>854</v>
      </c>
      <c r="AC78" s="423" t="s">
        <v>220</v>
      </c>
      <c r="AD78" s="14"/>
      <c r="AE78" s="128">
        <v>210000000</v>
      </c>
      <c r="AF78" s="116" t="s">
        <v>833</v>
      </c>
      <c r="AG78" s="368" t="s">
        <v>835</v>
      </c>
      <c r="AH78" s="116" t="s">
        <v>221</v>
      </c>
    </row>
    <row r="79" spans="1:34" s="82" customFormat="1" ht="56.25" customHeight="1" x14ac:dyDescent="0.25">
      <c r="A79" s="368" t="s">
        <v>889</v>
      </c>
      <c r="B79" s="368" t="s">
        <v>159</v>
      </c>
      <c r="C79" s="368" t="s">
        <v>844</v>
      </c>
      <c r="D79" s="378" t="s">
        <v>1036</v>
      </c>
      <c r="E79" s="384" t="s">
        <v>218</v>
      </c>
      <c r="F79" s="373" t="s">
        <v>1037</v>
      </c>
      <c r="G79" s="238" t="s">
        <v>1016</v>
      </c>
      <c r="H79" s="378" t="s">
        <v>1038</v>
      </c>
      <c r="I79" s="378" t="s">
        <v>1039</v>
      </c>
      <c r="J79" s="373" t="s">
        <v>1068</v>
      </c>
      <c r="K79" s="128">
        <v>200000000</v>
      </c>
      <c r="L79" s="143" t="s">
        <v>214</v>
      </c>
      <c r="M79" s="328" t="s">
        <v>156</v>
      </c>
      <c r="N79" s="143" t="s">
        <v>1146</v>
      </c>
      <c r="O79" s="158"/>
      <c r="P79" s="158" t="s">
        <v>831</v>
      </c>
      <c r="Q79" s="158"/>
      <c r="R79" s="158"/>
      <c r="S79" s="116" t="s">
        <v>166</v>
      </c>
      <c r="T79" s="143">
        <v>111</v>
      </c>
      <c r="U79" s="143">
        <v>111</v>
      </c>
      <c r="V79" s="143">
        <v>0</v>
      </c>
      <c r="W79" s="143">
        <v>0</v>
      </c>
      <c r="X79" s="143">
        <v>0</v>
      </c>
      <c r="Y79" s="144" t="s">
        <v>621</v>
      </c>
      <c r="Z79" s="423" t="s">
        <v>190</v>
      </c>
      <c r="AA79" s="450" t="s">
        <v>130</v>
      </c>
      <c r="AB79" s="423" t="s">
        <v>854</v>
      </c>
      <c r="AC79" s="423" t="s">
        <v>220</v>
      </c>
      <c r="AE79" s="128">
        <v>200000000</v>
      </c>
      <c r="AF79" s="116" t="s">
        <v>833</v>
      </c>
      <c r="AG79" s="368" t="s">
        <v>835</v>
      </c>
      <c r="AH79" s="116" t="s">
        <v>221</v>
      </c>
    </row>
    <row r="80" spans="1:34" ht="115.5" customHeight="1" x14ac:dyDescent="0.25">
      <c r="A80" s="187" t="s">
        <v>889</v>
      </c>
      <c r="B80" s="111" t="s">
        <v>159</v>
      </c>
      <c r="C80" s="179" t="s">
        <v>844</v>
      </c>
      <c r="D80" s="102" t="s">
        <v>1036</v>
      </c>
      <c r="E80" s="125" t="s">
        <v>218</v>
      </c>
      <c r="F80" s="105" t="s">
        <v>1037</v>
      </c>
      <c r="G80" s="238" t="s">
        <v>1016</v>
      </c>
      <c r="H80" s="102" t="s">
        <v>1038</v>
      </c>
      <c r="I80" s="102" t="s">
        <v>1039</v>
      </c>
      <c r="J80" s="251" t="s">
        <v>1068</v>
      </c>
      <c r="K80" s="145">
        <v>20000000</v>
      </c>
      <c r="L80" s="420" t="s">
        <v>215</v>
      </c>
      <c r="M80" s="422" t="s">
        <v>156</v>
      </c>
      <c r="N80" s="420" t="s">
        <v>571</v>
      </c>
      <c r="O80" s="420"/>
      <c r="P80" s="420" t="s">
        <v>831</v>
      </c>
      <c r="Q80" s="420"/>
      <c r="R80" s="420"/>
      <c r="S80" s="423" t="s">
        <v>166</v>
      </c>
      <c r="T80" s="420">
        <v>12</v>
      </c>
      <c r="U80" s="420">
        <v>0</v>
      </c>
      <c r="V80" s="420">
        <v>0</v>
      </c>
      <c r="W80" s="420">
        <v>6</v>
      </c>
      <c r="X80" s="420">
        <v>6</v>
      </c>
      <c r="Y80" s="144" t="s">
        <v>622</v>
      </c>
      <c r="Z80" s="423" t="s">
        <v>190</v>
      </c>
      <c r="AA80" s="450" t="s">
        <v>623</v>
      </c>
      <c r="AB80" s="423" t="s">
        <v>854</v>
      </c>
      <c r="AC80" s="423" t="s">
        <v>220</v>
      </c>
      <c r="AD80" s="436"/>
      <c r="AE80" s="145">
        <v>20000000</v>
      </c>
      <c r="AF80" s="423" t="s">
        <v>833</v>
      </c>
      <c r="AG80" s="423" t="s">
        <v>835</v>
      </c>
      <c r="AH80" s="423" t="s">
        <v>221</v>
      </c>
    </row>
    <row r="81" spans="1:34" s="82" customFormat="1" ht="85.5" customHeight="1" x14ac:dyDescent="0.25">
      <c r="A81" s="116" t="s">
        <v>889</v>
      </c>
      <c r="B81" s="116" t="s">
        <v>159</v>
      </c>
      <c r="C81" s="368" t="s">
        <v>844</v>
      </c>
      <c r="D81" s="160" t="s">
        <v>1036</v>
      </c>
      <c r="E81" s="377" t="s">
        <v>218</v>
      </c>
      <c r="F81" s="372" t="s">
        <v>1037</v>
      </c>
      <c r="G81" s="238" t="s">
        <v>1016</v>
      </c>
      <c r="H81" s="160" t="s">
        <v>1038</v>
      </c>
      <c r="I81" s="160" t="s">
        <v>1039</v>
      </c>
      <c r="J81" s="373" t="s">
        <v>1068</v>
      </c>
      <c r="K81" s="128">
        <v>80000000</v>
      </c>
      <c r="L81" s="143" t="s">
        <v>451</v>
      </c>
      <c r="M81" s="328" t="s">
        <v>156</v>
      </c>
      <c r="N81" s="327" t="s">
        <v>1152</v>
      </c>
      <c r="O81" s="158"/>
      <c r="P81" s="158"/>
      <c r="Q81" s="158"/>
      <c r="R81" s="158"/>
      <c r="S81" s="116" t="s">
        <v>166</v>
      </c>
      <c r="T81" s="585">
        <v>6</v>
      </c>
      <c r="U81" s="585">
        <v>0</v>
      </c>
      <c r="V81" s="585">
        <v>2</v>
      </c>
      <c r="W81" s="585">
        <v>3</v>
      </c>
      <c r="X81" s="585">
        <v>1</v>
      </c>
      <c r="Y81" s="144" t="s">
        <v>624</v>
      </c>
      <c r="Z81" s="423" t="s">
        <v>867</v>
      </c>
      <c r="AA81" s="450" t="s">
        <v>868</v>
      </c>
      <c r="AB81" s="423" t="s">
        <v>854</v>
      </c>
      <c r="AC81" s="423" t="s">
        <v>220</v>
      </c>
      <c r="AD81" s="423"/>
      <c r="AE81" s="128">
        <v>80000000</v>
      </c>
      <c r="AF81" s="116" t="s">
        <v>833</v>
      </c>
      <c r="AG81" s="368" t="s">
        <v>835</v>
      </c>
      <c r="AH81" s="116" t="s">
        <v>221</v>
      </c>
    </row>
    <row r="82" spans="1:34" s="82" customFormat="1" ht="35.25" customHeight="1" x14ac:dyDescent="0.25">
      <c r="A82" s="116" t="s">
        <v>889</v>
      </c>
      <c r="B82" s="116" t="s">
        <v>159</v>
      </c>
      <c r="C82" s="368" t="s">
        <v>844</v>
      </c>
      <c r="D82" s="160" t="s">
        <v>1036</v>
      </c>
      <c r="E82" s="377" t="s">
        <v>218</v>
      </c>
      <c r="F82" s="372" t="s">
        <v>1037</v>
      </c>
      <c r="G82" s="238" t="s">
        <v>1016</v>
      </c>
      <c r="H82" s="160" t="s">
        <v>1038</v>
      </c>
      <c r="I82" s="160" t="s">
        <v>1039</v>
      </c>
      <c r="J82" s="373" t="s">
        <v>1068</v>
      </c>
      <c r="K82" s="567">
        <v>2455411</v>
      </c>
      <c r="L82" s="585" t="s">
        <v>451</v>
      </c>
      <c r="M82" s="328" t="s">
        <v>156</v>
      </c>
      <c r="N82" s="327" t="s">
        <v>1152</v>
      </c>
      <c r="O82" s="158"/>
      <c r="P82" s="158"/>
      <c r="Q82" s="158"/>
      <c r="R82" s="158"/>
      <c r="S82" s="116" t="s">
        <v>166</v>
      </c>
      <c r="T82" s="585">
        <v>6</v>
      </c>
      <c r="U82" s="585">
        <v>0</v>
      </c>
      <c r="V82" s="585">
        <v>2</v>
      </c>
      <c r="W82" s="585">
        <v>3</v>
      </c>
      <c r="X82" s="585">
        <v>1</v>
      </c>
      <c r="Y82" s="604" t="s">
        <v>624</v>
      </c>
      <c r="Z82" s="423" t="s">
        <v>867</v>
      </c>
      <c r="AA82" s="450" t="s">
        <v>868</v>
      </c>
      <c r="AB82" s="423" t="s">
        <v>854</v>
      </c>
      <c r="AC82" s="423" t="s">
        <v>220</v>
      </c>
      <c r="AD82" s="423"/>
      <c r="AE82" s="567">
        <v>2455411</v>
      </c>
      <c r="AF82" s="116" t="s">
        <v>833</v>
      </c>
      <c r="AG82" s="368" t="s">
        <v>835</v>
      </c>
      <c r="AH82" s="116" t="s">
        <v>221</v>
      </c>
    </row>
    <row r="83" spans="1:34" s="82" customFormat="1" ht="25.5" customHeight="1" x14ac:dyDescent="0.25">
      <c r="A83" s="116" t="s">
        <v>889</v>
      </c>
      <c r="B83" s="116" t="s">
        <v>159</v>
      </c>
      <c r="C83" s="368" t="s">
        <v>844</v>
      </c>
      <c r="D83" s="160" t="s">
        <v>1036</v>
      </c>
      <c r="E83" s="377" t="s">
        <v>218</v>
      </c>
      <c r="F83" s="372" t="s">
        <v>1037</v>
      </c>
      <c r="G83" s="238" t="s">
        <v>1016</v>
      </c>
      <c r="H83" s="160" t="s">
        <v>1038</v>
      </c>
      <c r="I83" s="160" t="s">
        <v>1039</v>
      </c>
      <c r="J83" s="373" t="s">
        <v>1068</v>
      </c>
      <c r="K83" s="128">
        <v>20000000</v>
      </c>
      <c r="L83" s="143" t="s">
        <v>451</v>
      </c>
      <c r="M83" s="328" t="s">
        <v>156</v>
      </c>
      <c r="N83" s="327" t="s">
        <v>1152</v>
      </c>
      <c r="O83" s="158"/>
      <c r="P83" s="158"/>
      <c r="Q83" s="158"/>
      <c r="R83" s="158"/>
      <c r="S83" s="116" t="s">
        <v>166</v>
      </c>
      <c r="T83" s="585">
        <v>6</v>
      </c>
      <c r="U83" s="585">
        <v>0</v>
      </c>
      <c r="V83" s="585">
        <v>2</v>
      </c>
      <c r="W83" s="585">
        <v>3</v>
      </c>
      <c r="X83" s="585">
        <v>1</v>
      </c>
      <c r="Y83" s="144" t="s">
        <v>624</v>
      </c>
      <c r="Z83" s="423" t="s">
        <v>867</v>
      </c>
      <c r="AA83" s="450" t="s">
        <v>868</v>
      </c>
      <c r="AB83" s="423" t="s">
        <v>854</v>
      </c>
      <c r="AC83" s="423" t="s">
        <v>220</v>
      </c>
      <c r="AD83" s="423"/>
      <c r="AE83" s="128">
        <v>20000000</v>
      </c>
      <c r="AF83" s="116" t="s">
        <v>833</v>
      </c>
      <c r="AG83" s="368" t="s">
        <v>835</v>
      </c>
      <c r="AH83" s="116" t="s">
        <v>221</v>
      </c>
    </row>
    <row r="84" spans="1:34" s="82" customFormat="1" ht="25.5" customHeight="1" x14ac:dyDescent="0.25">
      <c r="A84" s="116" t="s">
        <v>889</v>
      </c>
      <c r="B84" s="116" t="s">
        <v>159</v>
      </c>
      <c r="C84" s="368" t="s">
        <v>844</v>
      </c>
      <c r="D84" s="160" t="s">
        <v>1036</v>
      </c>
      <c r="E84" s="377" t="s">
        <v>218</v>
      </c>
      <c r="F84" s="372"/>
      <c r="G84" s="238"/>
      <c r="H84" s="160"/>
      <c r="I84" s="160"/>
      <c r="J84" s="373"/>
      <c r="K84" s="567">
        <v>20000000</v>
      </c>
      <c r="L84" s="585" t="s">
        <v>451</v>
      </c>
      <c r="M84" s="328"/>
      <c r="N84" s="327"/>
      <c r="O84" s="158"/>
      <c r="P84" s="158"/>
      <c r="Q84" s="158"/>
      <c r="R84" s="158"/>
      <c r="S84" s="116"/>
      <c r="T84" s="585">
        <v>6</v>
      </c>
      <c r="U84" s="585">
        <v>0</v>
      </c>
      <c r="V84" s="585">
        <v>2</v>
      </c>
      <c r="W84" s="585">
        <v>3</v>
      </c>
      <c r="X84" s="585">
        <v>1</v>
      </c>
      <c r="Y84" s="604" t="s">
        <v>620</v>
      </c>
      <c r="Z84" s="521" t="s">
        <v>190</v>
      </c>
      <c r="AA84" s="450" t="s">
        <v>623</v>
      </c>
      <c r="AB84" s="521" t="s">
        <v>854</v>
      </c>
      <c r="AC84" s="521" t="s">
        <v>220</v>
      </c>
      <c r="AD84" s="335"/>
      <c r="AE84" s="567">
        <v>20000000</v>
      </c>
      <c r="AF84" s="116" t="s">
        <v>833</v>
      </c>
      <c r="AG84" s="368" t="s">
        <v>835</v>
      </c>
      <c r="AH84" s="116" t="s">
        <v>221</v>
      </c>
    </row>
    <row r="85" spans="1:34" s="82" customFormat="1" ht="25.5" customHeight="1" x14ac:dyDescent="0.25">
      <c r="A85" s="116" t="s">
        <v>889</v>
      </c>
      <c r="B85" s="116" t="s">
        <v>159</v>
      </c>
      <c r="C85" s="368" t="s">
        <v>844</v>
      </c>
      <c r="D85" s="160" t="s">
        <v>1036</v>
      </c>
      <c r="E85" s="377" t="s">
        <v>218</v>
      </c>
      <c r="F85" s="372" t="s">
        <v>1037</v>
      </c>
      <c r="G85" s="238" t="s">
        <v>1016</v>
      </c>
      <c r="H85" s="160" t="s">
        <v>1038</v>
      </c>
      <c r="I85" s="160" t="s">
        <v>1039</v>
      </c>
      <c r="J85" s="373" t="s">
        <v>1068</v>
      </c>
      <c r="K85" s="128">
        <v>10000000</v>
      </c>
      <c r="L85" s="143" t="s">
        <v>451</v>
      </c>
      <c r="M85" s="328" t="s">
        <v>156</v>
      </c>
      <c r="N85" s="327" t="s">
        <v>1152</v>
      </c>
      <c r="O85" s="158"/>
      <c r="P85" s="158"/>
      <c r="Q85" s="158"/>
      <c r="R85" s="158"/>
      <c r="S85" s="116" t="s">
        <v>166</v>
      </c>
      <c r="T85" s="585">
        <v>6</v>
      </c>
      <c r="U85" s="585">
        <v>0</v>
      </c>
      <c r="V85" s="585">
        <v>2</v>
      </c>
      <c r="W85" s="585">
        <v>3</v>
      </c>
      <c r="X85" s="585">
        <v>1</v>
      </c>
      <c r="Y85" s="144" t="s">
        <v>625</v>
      </c>
      <c r="Z85" s="423" t="s">
        <v>190</v>
      </c>
      <c r="AA85" s="423" t="s">
        <v>190</v>
      </c>
      <c r="AB85" s="423" t="s">
        <v>854</v>
      </c>
      <c r="AC85" s="423" t="s">
        <v>220</v>
      </c>
      <c r="AE85" s="128">
        <v>10000000</v>
      </c>
      <c r="AF85" s="116" t="s">
        <v>833</v>
      </c>
      <c r="AG85" s="368" t="s">
        <v>835</v>
      </c>
      <c r="AH85" s="116" t="s">
        <v>221</v>
      </c>
    </row>
    <row r="86" spans="1:34" s="82" customFormat="1" ht="39.75" customHeight="1" x14ac:dyDescent="0.25">
      <c r="A86" s="116" t="s">
        <v>889</v>
      </c>
      <c r="B86" s="116" t="s">
        <v>159</v>
      </c>
      <c r="C86" s="368" t="s">
        <v>844</v>
      </c>
      <c r="D86" s="160" t="s">
        <v>1036</v>
      </c>
      <c r="E86" s="377" t="s">
        <v>218</v>
      </c>
      <c r="F86" s="372" t="s">
        <v>1037</v>
      </c>
      <c r="G86" s="238" t="s">
        <v>1016</v>
      </c>
      <c r="H86" s="160" t="s">
        <v>1038</v>
      </c>
      <c r="I86" s="160" t="s">
        <v>1039</v>
      </c>
      <c r="J86" s="373" t="s">
        <v>1068</v>
      </c>
      <c r="K86" s="128">
        <v>45000000</v>
      </c>
      <c r="L86" s="143" t="s">
        <v>451</v>
      </c>
      <c r="M86" s="328" t="s">
        <v>156</v>
      </c>
      <c r="N86" s="327" t="s">
        <v>1152</v>
      </c>
      <c r="O86" s="158"/>
      <c r="P86" s="158"/>
      <c r="Q86" s="158"/>
      <c r="R86" s="158"/>
      <c r="S86" s="116" t="s">
        <v>166</v>
      </c>
      <c r="T86" s="585">
        <v>6</v>
      </c>
      <c r="U86" s="585">
        <v>0</v>
      </c>
      <c r="V86" s="585">
        <v>2</v>
      </c>
      <c r="W86" s="585">
        <v>3</v>
      </c>
      <c r="X86" s="585">
        <v>1</v>
      </c>
      <c r="Y86" s="144" t="s">
        <v>626</v>
      </c>
      <c r="Z86" s="423" t="s">
        <v>454</v>
      </c>
      <c r="AA86" s="423" t="s">
        <v>869</v>
      </c>
      <c r="AB86" s="423" t="s">
        <v>854</v>
      </c>
      <c r="AC86" s="423" t="s">
        <v>220</v>
      </c>
      <c r="AD86" s="14"/>
      <c r="AE86" s="128">
        <v>45000000</v>
      </c>
      <c r="AF86" s="116" t="s">
        <v>833</v>
      </c>
      <c r="AG86" s="368" t="s">
        <v>835</v>
      </c>
      <c r="AH86" s="116" t="s">
        <v>221</v>
      </c>
    </row>
    <row r="87" spans="1:34" ht="133.5" customHeight="1" x14ac:dyDescent="0.25">
      <c r="A87" s="187" t="s">
        <v>889</v>
      </c>
      <c r="B87" s="111" t="s">
        <v>159</v>
      </c>
      <c r="C87" s="179" t="s">
        <v>844</v>
      </c>
      <c r="D87" s="102" t="s">
        <v>1036</v>
      </c>
      <c r="E87" s="258" t="s">
        <v>218</v>
      </c>
      <c r="F87" s="105" t="s">
        <v>1037</v>
      </c>
      <c r="G87" s="238" t="s">
        <v>1016</v>
      </c>
      <c r="H87" s="102" t="s">
        <v>1038</v>
      </c>
      <c r="I87" s="102" t="s">
        <v>1039</v>
      </c>
      <c r="J87" s="251" t="s">
        <v>1068</v>
      </c>
      <c r="K87" s="128">
        <v>10000000</v>
      </c>
      <c r="L87" s="420" t="s">
        <v>216</v>
      </c>
      <c r="M87" s="422" t="s">
        <v>212</v>
      </c>
      <c r="N87" s="420" t="s">
        <v>772</v>
      </c>
      <c r="O87" s="420" t="s">
        <v>1183</v>
      </c>
      <c r="P87" s="420" t="s">
        <v>1183</v>
      </c>
      <c r="Q87" s="420" t="s">
        <v>1183</v>
      </c>
      <c r="R87" s="420"/>
      <c r="S87" s="423" t="s">
        <v>166</v>
      </c>
      <c r="T87" s="420">
        <v>1</v>
      </c>
      <c r="U87" s="420">
        <v>0</v>
      </c>
      <c r="V87" s="420">
        <v>0</v>
      </c>
      <c r="W87" s="420">
        <v>1</v>
      </c>
      <c r="X87" s="420">
        <v>0</v>
      </c>
      <c r="Y87" s="144" t="s">
        <v>625</v>
      </c>
      <c r="Z87" s="423" t="s">
        <v>190</v>
      </c>
      <c r="AA87" s="423" t="s">
        <v>190</v>
      </c>
      <c r="AB87" s="423" t="s">
        <v>854</v>
      </c>
      <c r="AC87" s="423" t="s">
        <v>177</v>
      </c>
      <c r="AD87" s="436"/>
      <c r="AE87" s="128">
        <v>10000000</v>
      </c>
      <c r="AF87" s="423" t="s">
        <v>833</v>
      </c>
      <c r="AG87" s="423" t="s">
        <v>835</v>
      </c>
      <c r="AH87" s="423" t="s">
        <v>221</v>
      </c>
    </row>
    <row r="88" spans="1:34" ht="124.5" customHeight="1" x14ac:dyDescent="0.25">
      <c r="A88" s="187" t="s">
        <v>889</v>
      </c>
      <c r="B88" s="111" t="s">
        <v>159</v>
      </c>
      <c r="C88" s="179" t="s">
        <v>844</v>
      </c>
      <c r="D88" s="102" t="s">
        <v>1032</v>
      </c>
      <c r="E88" s="225" t="s">
        <v>218</v>
      </c>
      <c r="F88" s="105" t="s">
        <v>1014</v>
      </c>
      <c r="G88" s="102" t="s">
        <v>1034</v>
      </c>
      <c r="H88" s="105" t="s">
        <v>1033</v>
      </c>
      <c r="I88" s="102" t="s">
        <v>1035</v>
      </c>
      <c r="J88" s="213" t="s">
        <v>1069</v>
      </c>
      <c r="K88" s="117">
        <v>0</v>
      </c>
      <c r="L88" s="420" t="s">
        <v>452</v>
      </c>
      <c r="M88" s="422" t="s">
        <v>156</v>
      </c>
      <c r="N88" s="420" t="s">
        <v>592</v>
      </c>
      <c r="O88" s="420"/>
      <c r="P88" s="420" t="s">
        <v>831</v>
      </c>
      <c r="Q88" s="420"/>
      <c r="R88" s="420"/>
      <c r="S88" s="423" t="s">
        <v>166</v>
      </c>
      <c r="T88" s="767">
        <v>0</v>
      </c>
      <c r="U88" s="420">
        <v>0</v>
      </c>
      <c r="V88" s="420">
        <v>0</v>
      </c>
      <c r="W88" s="420">
        <v>0</v>
      </c>
      <c r="X88" s="767">
        <v>0</v>
      </c>
      <c r="Y88" s="420"/>
      <c r="Z88" s="423"/>
      <c r="AA88" s="423"/>
      <c r="AB88" s="423" t="s">
        <v>855</v>
      </c>
      <c r="AC88" s="423"/>
      <c r="AD88" s="423"/>
      <c r="AE88" s="117">
        <v>0</v>
      </c>
      <c r="AF88" s="423" t="s">
        <v>833</v>
      </c>
      <c r="AG88" s="423" t="s">
        <v>835</v>
      </c>
      <c r="AH88" s="423" t="s">
        <v>221</v>
      </c>
    </row>
    <row r="89" spans="1:34" s="82" customFormat="1" ht="124.5" customHeight="1" x14ac:dyDescent="0.25">
      <c r="A89" s="519" t="s">
        <v>889</v>
      </c>
      <c r="B89" s="521" t="s">
        <v>159</v>
      </c>
      <c r="C89" s="521" t="s">
        <v>844</v>
      </c>
      <c r="D89" s="520" t="s">
        <v>1036</v>
      </c>
      <c r="E89" s="225" t="s">
        <v>218</v>
      </c>
      <c r="F89" s="213"/>
      <c r="G89" s="517"/>
      <c r="H89" s="213"/>
      <c r="I89" s="511"/>
      <c r="J89" s="213"/>
      <c r="K89" s="117">
        <v>1197544589</v>
      </c>
      <c r="L89" s="744" t="s">
        <v>1242</v>
      </c>
      <c r="M89" s="514"/>
      <c r="N89" s="513"/>
      <c r="O89" s="513"/>
      <c r="P89" s="513"/>
      <c r="Q89" s="513"/>
      <c r="R89" s="513"/>
      <c r="S89" s="512"/>
      <c r="T89" s="522">
        <v>1</v>
      </c>
      <c r="U89" s="522"/>
      <c r="V89" s="522"/>
      <c r="W89" s="522">
        <v>1</v>
      </c>
      <c r="X89" s="522"/>
      <c r="Y89" s="522" t="s">
        <v>624</v>
      </c>
      <c r="Z89" s="521" t="s">
        <v>867</v>
      </c>
      <c r="AA89" s="450" t="s">
        <v>868</v>
      </c>
      <c r="AB89" s="521" t="s">
        <v>854</v>
      </c>
      <c r="AC89" s="521" t="s">
        <v>220</v>
      </c>
      <c r="AD89" s="335"/>
      <c r="AE89" s="117">
        <v>1197544589</v>
      </c>
      <c r="AF89" s="521" t="s">
        <v>833</v>
      </c>
      <c r="AG89" s="521" t="s">
        <v>835</v>
      </c>
      <c r="AH89" s="521" t="s">
        <v>221</v>
      </c>
    </row>
    <row r="90" spans="1:34" ht="190.5" customHeight="1" x14ac:dyDescent="0.25">
      <c r="A90" s="187" t="s">
        <v>889</v>
      </c>
      <c r="B90" s="111" t="s">
        <v>159</v>
      </c>
      <c r="C90" s="179" t="s">
        <v>844</v>
      </c>
      <c r="D90" s="102" t="s">
        <v>1036</v>
      </c>
      <c r="E90" s="227" t="s">
        <v>218</v>
      </c>
      <c r="F90" s="105" t="s">
        <v>1037</v>
      </c>
      <c r="G90" s="240" t="s">
        <v>1016</v>
      </c>
      <c r="H90" s="102" t="s">
        <v>1038</v>
      </c>
      <c r="I90" s="102" t="s">
        <v>1039</v>
      </c>
      <c r="J90" s="251" t="s">
        <v>1068</v>
      </c>
      <c r="K90" s="124">
        <v>30000000</v>
      </c>
      <c r="L90" s="420" t="s">
        <v>217</v>
      </c>
      <c r="M90" s="422" t="s">
        <v>156</v>
      </c>
      <c r="N90" s="420" t="s">
        <v>587</v>
      </c>
      <c r="O90" s="420"/>
      <c r="P90" s="420" t="s">
        <v>831</v>
      </c>
      <c r="Q90" s="420"/>
      <c r="R90" s="420"/>
      <c r="S90" s="423" t="s">
        <v>166</v>
      </c>
      <c r="T90" s="420">
        <v>2</v>
      </c>
      <c r="U90" s="420">
        <v>0</v>
      </c>
      <c r="V90" s="420">
        <v>1</v>
      </c>
      <c r="W90" s="420">
        <v>1</v>
      </c>
      <c r="X90" s="420">
        <v>0</v>
      </c>
      <c r="Y90" s="144" t="s">
        <v>625</v>
      </c>
      <c r="Z90" s="423" t="s">
        <v>190</v>
      </c>
      <c r="AA90" s="423" t="s">
        <v>190</v>
      </c>
      <c r="AB90" s="423" t="s">
        <v>854</v>
      </c>
      <c r="AC90" s="423" t="s">
        <v>220</v>
      </c>
      <c r="AD90" s="436"/>
      <c r="AE90" s="124">
        <v>30000000</v>
      </c>
      <c r="AF90" s="423" t="s">
        <v>833</v>
      </c>
      <c r="AG90" s="423" t="s">
        <v>835</v>
      </c>
      <c r="AH90" s="423" t="s">
        <v>221</v>
      </c>
    </row>
    <row r="91" spans="1:34" s="82" customFormat="1" ht="72.75" customHeight="1" x14ac:dyDescent="0.25">
      <c r="A91" s="368" t="s">
        <v>889</v>
      </c>
      <c r="B91" s="363" t="s">
        <v>842</v>
      </c>
      <c r="C91" s="363" t="s">
        <v>846</v>
      </c>
      <c r="D91" s="160" t="s">
        <v>1041</v>
      </c>
      <c r="E91" s="390" t="s">
        <v>222</v>
      </c>
      <c r="F91" s="116" t="s">
        <v>1042</v>
      </c>
      <c r="G91" s="160" t="s">
        <v>1046</v>
      </c>
      <c r="H91" s="368" t="s">
        <v>1049</v>
      </c>
      <c r="I91" s="160" t="s">
        <v>1051</v>
      </c>
      <c r="J91" s="368" t="s">
        <v>1051</v>
      </c>
      <c r="K91" s="145">
        <v>702500000</v>
      </c>
      <c r="L91" s="143" t="s">
        <v>455</v>
      </c>
      <c r="M91" s="388" t="s">
        <v>212</v>
      </c>
      <c r="N91" s="143" t="s">
        <v>1147</v>
      </c>
      <c r="O91" s="158" t="s">
        <v>1180</v>
      </c>
      <c r="P91" s="158" t="s">
        <v>1184</v>
      </c>
      <c r="Q91" s="158" t="s">
        <v>1183</v>
      </c>
      <c r="R91" s="158"/>
      <c r="S91" s="116" t="s">
        <v>166</v>
      </c>
      <c r="T91" s="143">
        <v>124755</v>
      </c>
      <c r="U91" s="143">
        <v>31188</v>
      </c>
      <c r="V91" s="143">
        <v>31189</v>
      </c>
      <c r="W91" s="143">
        <v>31189</v>
      </c>
      <c r="X91" s="143">
        <v>31189</v>
      </c>
      <c r="Y91" s="465" t="s">
        <v>630</v>
      </c>
      <c r="Z91" s="423" t="s">
        <v>454</v>
      </c>
      <c r="AA91" s="423" t="s">
        <v>631</v>
      </c>
      <c r="AB91" s="423" t="s">
        <v>841</v>
      </c>
      <c r="AC91" s="423" t="s">
        <v>453</v>
      </c>
      <c r="AD91" s="423"/>
      <c r="AE91" s="145">
        <v>702500000</v>
      </c>
      <c r="AF91" s="116" t="s">
        <v>833</v>
      </c>
      <c r="AG91" s="368" t="s">
        <v>836</v>
      </c>
      <c r="AH91" s="116" t="s">
        <v>223</v>
      </c>
    </row>
    <row r="92" spans="1:34" s="82" customFormat="1" ht="101.25" customHeight="1" x14ac:dyDescent="0.25">
      <c r="A92" s="368" t="s">
        <v>889</v>
      </c>
      <c r="B92" s="363" t="s">
        <v>842</v>
      </c>
      <c r="C92" s="363" t="s">
        <v>846</v>
      </c>
      <c r="D92" s="160" t="s">
        <v>1041</v>
      </c>
      <c r="E92" s="390" t="s">
        <v>222</v>
      </c>
      <c r="F92" s="116" t="s">
        <v>1042</v>
      </c>
      <c r="G92" s="160" t="s">
        <v>1046</v>
      </c>
      <c r="H92" s="368" t="s">
        <v>1049</v>
      </c>
      <c r="I92" s="160" t="s">
        <v>1051</v>
      </c>
      <c r="J92" s="368" t="s">
        <v>1051</v>
      </c>
      <c r="K92" s="145">
        <v>2000000000</v>
      </c>
      <c r="L92" s="143" t="s">
        <v>455</v>
      </c>
      <c r="M92" s="388" t="s">
        <v>212</v>
      </c>
      <c r="N92" s="143" t="s">
        <v>1147</v>
      </c>
      <c r="O92" s="158" t="s">
        <v>1180</v>
      </c>
      <c r="P92" s="158" t="s">
        <v>1184</v>
      </c>
      <c r="Q92" s="158" t="s">
        <v>1183</v>
      </c>
      <c r="R92" s="158"/>
      <c r="S92" s="116" t="s">
        <v>166</v>
      </c>
      <c r="T92" s="143">
        <v>124755</v>
      </c>
      <c r="U92" s="143">
        <v>31188</v>
      </c>
      <c r="V92" s="143">
        <v>31189</v>
      </c>
      <c r="W92" s="143">
        <v>31189</v>
      </c>
      <c r="X92" s="143">
        <v>31189</v>
      </c>
      <c r="Y92" s="465" t="s">
        <v>629</v>
      </c>
      <c r="Z92" s="423" t="s">
        <v>867</v>
      </c>
      <c r="AA92" s="450" t="s">
        <v>868</v>
      </c>
      <c r="AB92" s="423" t="s">
        <v>841</v>
      </c>
      <c r="AC92" s="423" t="s">
        <v>453</v>
      </c>
      <c r="AD92" s="423"/>
      <c r="AE92" s="145">
        <v>2000000000</v>
      </c>
      <c r="AF92" s="116" t="s">
        <v>833</v>
      </c>
      <c r="AG92" s="368" t="s">
        <v>836</v>
      </c>
      <c r="AH92" s="116" t="s">
        <v>223</v>
      </c>
    </row>
    <row r="93" spans="1:34" s="82" customFormat="1" ht="101.25" customHeight="1" x14ac:dyDescent="0.25">
      <c r="A93" s="368" t="s">
        <v>889</v>
      </c>
      <c r="B93" s="363" t="s">
        <v>842</v>
      </c>
      <c r="C93" s="363" t="s">
        <v>846</v>
      </c>
      <c r="D93" s="160" t="s">
        <v>1041</v>
      </c>
      <c r="E93" s="390" t="s">
        <v>222</v>
      </c>
      <c r="F93" s="116" t="s">
        <v>1040</v>
      </c>
      <c r="G93" s="160" t="s">
        <v>1047</v>
      </c>
      <c r="H93" s="368" t="s">
        <v>1049</v>
      </c>
      <c r="I93" s="160" t="s">
        <v>1051</v>
      </c>
      <c r="J93" s="368" t="s">
        <v>1051</v>
      </c>
      <c r="K93" s="124">
        <v>702500000</v>
      </c>
      <c r="L93" s="143" t="s">
        <v>633</v>
      </c>
      <c r="M93" s="328" t="s">
        <v>156</v>
      </c>
      <c r="N93" s="143" t="s">
        <v>592</v>
      </c>
      <c r="O93" s="158"/>
      <c r="P93" s="158" t="s">
        <v>831</v>
      </c>
      <c r="Q93" s="158"/>
      <c r="R93" s="158"/>
      <c r="S93" s="116" t="s">
        <v>166</v>
      </c>
      <c r="T93" s="143">
        <v>1</v>
      </c>
      <c r="U93" s="143">
        <v>0.25</v>
      </c>
      <c r="V93" s="143">
        <v>0.25</v>
      </c>
      <c r="W93" s="143">
        <v>0.25</v>
      </c>
      <c r="X93" s="143">
        <v>0.25</v>
      </c>
      <c r="Y93" s="465" t="s">
        <v>630</v>
      </c>
      <c r="Z93" s="423" t="s">
        <v>454</v>
      </c>
      <c r="AA93" s="423" t="s">
        <v>632</v>
      </c>
      <c r="AB93" s="423" t="s">
        <v>841</v>
      </c>
      <c r="AC93" s="423" t="s">
        <v>453</v>
      </c>
      <c r="AD93" s="423"/>
      <c r="AE93" s="124">
        <v>702500000</v>
      </c>
      <c r="AF93" s="116" t="s">
        <v>833</v>
      </c>
      <c r="AG93" s="368" t="s">
        <v>836</v>
      </c>
      <c r="AH93" s="116" t="s">
        <v>223</v>
      </c>
    </row>
    <row r="94" spans="1:34" s="82" customFormat="1" ht="93" customHeight="1" x14ac:dyDescent="0.25">
      <c r="A94" s="368" t="s">
        <v>889</v>
      </c>
      <c r="B94" s="363" t="s">
        <v>842</v>
      </c>
      <c r="C94" s="363" t="s">
        <v>846</v>
      </c>
      <c r="D94" s="160" t="s">
        <v>1041</v>
      </c>
      <c r="E94" s="390" t="s">
        <v>222</v>
      </c>
      <c r="F94" s="116" t="s">
        <v>1040</v>
      </c>
      <c r="G94" s="160" t="s">
        <v>1047</v>
      </c>
      <c r="H94" s="368" t="s">
        <v>1049</v>
      </c>
      <c r="I94" s="160">
        <v>804773793518</v>
      </c>
      <c r="J94" s="368" t="s">
        <v>1051</v>
      </c>
      <c r="K94" s="124">
        <v>2000000000</v>
      </c>
      <c r="L94" s="143" t="s">
        <v>633</v>
      </c>
      <c r="M94" s="328" t="s">
        <v>156</v>
      </c>
      <c r="N94" s="143" t="s">
        <v>592</v>
      </c>
      <c r="O94" s="158"/>
      <c r="P94" s="158" t="s">
        <v>831</v>
      </c>
      <c r="Q94" s="158"/>
      <c r="R94" s="158"/>
      <c r="S94" s="116" t="s">
        <v>166</v>
      </c>
      <c r="T94" s="143">
        <v>1</v>
      </c>
      <c r="U94" s="143">
        <v>0.25</v>
      </c>
      <c r="V94" s="143">
        <v>0.25</v>
      </c>
      <c r="W94" s="143">
        <v>0.25</v>
      </c>
      <c r="X94" s="143">
        <v>0.25</v>
      </c>
      <c r="Y94" s="465" t="s">
        <v>629</v>
      </c>
      <c r="Z94" s="423" t="s">
        <v>867</v>
      </c>
      <c r="AA94" s="450" t="s">
        <v>868</v>
      </c>
      <c r="AB94" s="423" t="s">
        <v>841</v>
      </c>
      <c r="AC94" s="423" t="s">
        <v>224</v>
      </c>
      <c r="AD94" s="423"/>
      <c r="AE94" s="124">
        <v>2000000000</v>
      </c>
      <c r="AF94" s="116" t="s">
        <v>833</v>
      </c>
      <c r="AG94" s="368" t="s">
        <v>836</v>
      </c>
      <c r="AH94" s="116" t="s">
        <v>223</v>
      </c>
    </row>
    <row r="95" spans="1:34" s="82" customFormat="1" ht="106.5" customHeight="1" x14ac:dyDescent="0.25">
      <c r="A95" s="368" t="s">
        <v>889</v>
      </c>
      <c r="B95" s="363" t="s">
        <v>842</v>
      </c>
      <c r="C95" s="368" t="s">
        <v>846</v>
      </c>
      <c r="D95" s="160" t="s">
        <v>1041</v>
      </c>
      <c r="E95" s="390" t="s">
        <v>222</v>
      </c>
      <c r="F95" s="116" t="s">
        <v>1040</v>
      </c>
      <c r="G95" s="160" t="s">
        <v>1045</v>
      </c>
      <c r="H95" s="368" t="s">
        <v>1049</v>
      </c>
      <c r="I95" s="160" t="s">
        <v>1051</v>
      </c>
      <c r="J95" s="368" t="s">
        <v>1051</v>
      </c>
      <c r="K95" s="145">
        <v>167763000</v>
      </c>
      <c r="L95" s="143" t="s">
        <v>435</v>
      </c>
      <c r="M95" s="388" t="s">
        <v>156</v>
      </c>
      <c r="N95" s="143" t="s">
        <v>1152</v>
      </c>
      <c r="O95" s="158"/>
      <c r="P95" s="158"/>
      <c r="Q95" s="158"/>
      <c r="R95" s="158"/>
      <c r="S95" s="116" t="s">
        <v>166</v>
      </c>
      <c r="T95" s="143">
        <v>1</v>
      </c>
      <c r="U95" s="143">
        <v>0.25</v>
      </c>
      <c r="V95" s="143">
        <v>0.25</v>
      </c>
      <c r="W95" s="143">
        <v>0.25</v>
      </c>
      <c r="X95" s="143">
        <v>0.25</v>
      </c>
      <c r="Y95" s="465" t="s">
        <v>627</v>
      </c>
      <c r="Z95" s="423" t="s">
        <v>867</v>
      </c>
      <c r="AA95" s="450" t="s">
        <v>868</v>
      </c>
      <c r="AB95" s="423" t="s">
        <v>841</v>
      </c>
      <c r="AC95" s="423" t="s">
        <v>224</v>
      </c>
      <c r="AD95" s="423"/>
      <c r="AE95" s="145">
        <v>167763000</v>
      </c>
      <c r="AF95" s="116" t="s">
        <v>833</v>
      </c>
      <c r="AG95" s="368" t="s">
        <v>836</v>
      </c>
      <c r="AH95" s="116" t="s">
        <v>223</v>
      </c>
    </row>
    <row r="96" spans="1:34" s="82" customFormat="1" ht="75" customHeight="1" x14ac:dyDescent="0.25">
      <c r="A96" s="368" t="s">
        <v>889</v>
      </c>
      <c r="B96" s="363" t="s">
        <v>842</v>
      </c>
      <c r="C96" s="368" t="s">
        <v>846</v>
      </c>
      <c r="D96" s="160" t="s">
        <v>1041</v>
      </c>
      <c r="E96" s="390" t="s">
        <v>222</v>
      </c>
      <c r="F96" s="116" t="s">
        <v>1040</v>
      </c>
      <c r="G96" s="160" t="s">
        <v>1045</v>
      </c>
      <c r="H96" s="368" t="s">
        <v>1049</v>
      </c>
      <c r="I96" s="160" t="s">
        <v>1051</v>
      </c>
      <c r="J96" s="368" t="s">
        <v>1051</v>
      </c>
      <c r="K96" s="145">
        <v>8000000</v>
      </c>
      <c r="L96" s="143" t="s">
        <v>435</v>
      </c>
      <c r="M96" s="388" t="s">
        <v>156</v>
      </c>
      <c r="N96" s="143" t="s">
        <v>1152</v>
      </c>
      <c r="O96" s="158"/>
      <c r="P96" s="158"/>
      <c r="Q96" s="158"/>
      <c r="R96" s="158"/>
      <c r="S96" s="116" t="s">
        <v>166</v>
      </c>
      <c r="T96" s="143">
        <v>1</v>
      </c>
      <c r="U96" s="143">
        <v>0.25</v>
      </c>
      <c r="V96" s="143">
        <v>0.25</v>
      </c>
      <c r="W96" s="143">
        <v>0.25</v>
      </c>
      <c r="X96" s="143">
        <v>0.25</v>
      </c>
      <c r="Y96" s="465" t="s">
        <v>628</v>
      </c>
      <c r="Z96" s="423" t="s">
        <v>190</v>
      </c>
      <c r="AA96" s="423" t="s">
        <v>190</v>
      </c>
      <c r="AB96" s="423" t="s">
        <v>841</v>
      </c>
      <c r="AC96" s="423" t="s">
        <v>224</v>
      </c>
      <c r="AD96" s="436"/>
      <c r="AE96" s="145">
        <v>8000000</v>
      </c>
      <c r="AF96" s="116" t="s">
        <v>833</v>
      </c>
      <c r="AG96" s="368" t="s">
        <v>836</v>
      </c>
      <c r="AH96" s="116" t="s">
        <v>223</v>
      </c>
    </row>
    <row r="97" spans="1:34" s="82" customFormat="1" ht="79.5" customHeight="1" x14ac:dyDescent="0.25">
      <c r="A97" s="116" t="s">
        <v>892</v>
      </c>
      <c r="B97" s="162" t="s">
        <v>65</v>
      </c>
      <c r="C97" s="160" t="s">
        <v>849</v>
      </c>
      <c r="D97" s="391" t="s">
        <v>977</v>
      </c>
      <c r="E97" s="377" t="s">
        <v>227</v>
      </c>
      <c r="F97" s="120" t="s">
        <v>978</v>
      </c>
      <c r="G97" s="160" t="s">
        <v>979</v>
      </c>
      <c r="H97" s="392" t="s">
        <v>980</v>
      </c>
      <c r="I97" s="160" t="s">
        <v>1127</v>
      </c>
      <c r="J97" s="392" t="s">
        <v>1070</v>
      </c>
      <c r="K97" s="538">
        <v>589604000</v>
      </c>
      <c r="L97" s="547" t="s">
        <v>1220</v>
      </c>
      <c r="M97" s="328" t="s">
        <v>156</v>
      </c>
      <c r="N97" s="116" t="s">
        <v>643</v>
      </c>
      <c r="O97" s="368"/>
      <c r="P97" s="368" t="s">
        <v>831</v>
      </c>
      <c r="Q97" s="368"/>
      <c r="R97" s="368"/>
      <c r="S97" s="116" t="s">
        <v>166</v>
      </c>
      <c r="T97" s="143">
        <v>40</v>
      </c>
      <c r="U97" s="143">
        <v>10</v>
      </c>
      <c r="V97" s="143">
        <v>10</v>
      </c>
      <c r="W97" s="143">
        <v>10</v>
      </c>
      <c r="X97" s="143">
        <v>10</v>
      </c>
      <c r="Y97" s="132" t="s">
        <v>634</v>
      </c>
      <c r="Z97" s="423" t="s">
        <v>867</v>
      </c>
      <c r="AA97" s="450" t="s">
        <v>868</v>
      </c>
      <c r="AB97" s="423" t="s">
        <v>65</v>
      </c>
      <c r="AC97" s="436"/>
      <c r="AD97" s="423" t="s">
        <v>456</v>
      </c>
      <c r="AE97" s="538">
        <v>589604000</v>
      </c>
      <c r="AF97" s="116" t="s">
        <v>228</v>
      </c>
      <c r="AG97" s="368" t="s">
        <v>835</v>
      </c>
      <c r="AH97" s="116" t="s">
        <v>636</v>
      </c>
    </row>
    <row r="98" spans="1:34" s="82" customFormat="1" ht="43.5" customHeight="1" x14ac:dyDescent="0.25">
      <c r="A98" s="116" t="s">
        <v>892</v>
      </c>
      <c r="B98" s="162" t="s">
        <v>65</v>
      </c>
      <c r="C98" s="160" t="s">
        <v>849</v>
      </c>
      <c r="D98" s="391" t="s">
        <v>977</v>
      </c>
      <c r="E98" s="377" t="s">
        <v>227</v>
      </c>
      <c r="F98" s="120" t="s">
        <v>978</v>
      </c>
      <c r="G98" s="160" t="s">
        <v>979</v>
      </c>
      <c r="H98" s="392" t="s">
        <v>980</v>
      </c>
      <c r="I98" s="160" t="s">
        <v>1127</v>
      </c>
      <c r="J98" s="392" t="s">
        <v>1070</v>
      </c>
      <c r="K98" s="554">
        <v>8000000</v>
      </c>
      <c r="L98" s="547" t="s">
        <v>1220</v>
      </c>
      <c r="M98" s="328" t="s">
        <v>156</v>
      </c>
      <c r="N98" s="116" t="s">
        <v>643</v>
      </c>
      <c r="O98" s="368"/>
      <c r="P98" s="368" t="s">
        <v>831</v>
      </c>
      <c r="Q98" s="368"/>
      <c r="R98" s="368"/>
      <c r="S98" s="116" t="s">
        <v>166</v>
      </c>
      <c r="T98" s="143">
        <v>40</v>
      </c>
      <c r="U98" s="143">
        <v>10</v>
      </c>
      <c r="V98" s="143">
        <v>10</v>
      </c>
      <c r="W98" s="143">
        <v>10</v>
      </c>
      <c r="X98" s="143">
        <v>10</v>
      </c>
      <c r="Y98" s="132" t="s">
        <v>635</v>
      </c>
      <c r="Z98" s="423" t="s">
        <v>190</v>
      </c>
      <c r="AA98" s="423" t="s">
        <v>190</v>
      </c>
      <c r="AB98" s="423" t="s">
        <v>65</v>
      </c>
      <c r="AC98" s="115"/>
      <c r="AD98" s="423" t="s">
        <v>456</v>
      </c>
      <c r="AE98" s="554">
        <v>8000000</v>
      </c>
      <c r="AF98" s="116" t="s">
        <v>228</v>
      </c>
      <c r="AG98" s="368" t="s">
        <v>835</v>
      </c>
      <c r="AH98" s="116" t="s">
        <v>636</v>
      </c>
    </row>
    <row r="99" spans="1:34" ht="81" customHeight="1" x14ac:dyDescent="0.25">
      <c r="A99" s="187" t="s">
        <v>892</v>
      </c>
      <c r="B99" s="182" t="s">
        <v>65</v>
      </c>
      <c r="C99" s="102" t="s">
        <v>849</v>
      </c>
      <c r="D99" s="237" t="s">
        <v>977</v>
      </c>
      <c r="E99" s="260" t="s">
        <v>227</v>
      </c>
      <c r="F99" s="206" t="s">
        <v>978</v>
      </c>
      <c r="G99" s="200" t="s">
        <v>979</v>
      </c>
      <c r="H99" s="204" t="s">
        <v>980</v>
      </c>
      <c r="I99" s="102" t="s">
        <v>1128</v>
      </c>
      <c r="J99" s="226" t="s">
        <v>1071</v>
      </c>
      <c r="K99" s="757">
        <v>3814234832</v>
      </c>
      <c r="L99" s="539" t="s">
        <v>1221</v>
      </c>
      <c r="M99" s="420" t="s">
        <v>212</v>
      </c>
      <c r="N99" s="423" t="s">
        <v>1148</v>
      </c>
      <c r="O99" s="423" t="s">
        <v>1185</v>
      </c>
      <c r="P99" s="423" t="s">
        <v>1186</v>
      </c>
      <c r="Q99" s="423" t="s">
        <v>1183</v>
      </c>
      <c r="R99" s="423"/>
      <c r="S99" s="423" t="s">
        <v>166</v>
      </c>
      <c r="T99" s="420">
        <v>115</v>
      </c>
      <c r="U99" s="420">
        <v>0</v>
      </c>
      <c r="V99" s="420">
        <v>0</v>
      </c>
      <c r="W99" s="420">
        <v>115</v>
      </c>
      <c r="X99" s="420">
        <v>0</v>
      </c>
      <c r="Y99" s="132" t="s">
        <v>638</v>
      </c>
      <c r="Z99" s="423" t="s">
        <v>867</v>
      </c>
      <c r="AA99" s="450" t="s">
        <v>868</v>
      </c>
      <c r="AB99" s="423" t="s">
        <v>65</v>
      </c>
      <c r="AC99" s="436"/>
      <c r="AD99" s="423" t="s">
        <v>456</v>
      </c>
      <c r="AE99" s="757">
        <v>3814234832</v>
      </c>
      <c r="AF99" s="423" t="s">
        <v>228</v>
      </c>
      <c r="AG99" s="423" t="s">
        <v>835</v>
      </c>
      <c r="AH99" s="423" t="s">
        <v>636</v>
      </c>
    </row>
    <row r="100" spans="1:34" s="82" customFormat="1" ht="81" customHeight="1" x14ac:dyDescent="0.25">
      <c r="A100" s="503" t="s">
        <v>892</v>
      </c>
      <c r="B100" s="504" t="s">
        <v>65</v>
      </c>
      <c r="C100" s="498" t="s">
        <v>849</v>
      </c>
      <c r="D100" s="237" t="s">
        <v>977</v>
      </c>
      <c r="E100" s="260" t="s">
        <v>227</v>
      </c>
      <c r="F100" s="226"/>
      <c r="G100" s="498"/>
      <c r="H100" s="235"/>
      <c r="I100" s="498"/>
      <c r="J100" s="226"/>
      <c r="K100" s="757">
        <v>2100000000</v>
      </c>
      <c r="L100" s="539" t="s">
        <v>1223</v>
      </c>
      <c r="M100" s="501"/>
      <c r="N100" s="497"/>
      <c r="O100" s="497"/>
      <c r="P100" s="497"/>
      <c r="Q100" s="497"/>
      <c r="R100" s="497"/>
      <c r="S100" s="497"/>
      <c r="T100" s="501">
        <v>1</v>
      </c>
      <c r="U100" s="501">
        <v>0</v>
      </c>
      <c r="V100" s="501">
        <v>0</v>
      </c>
      <c r="W100" s="501">
        <v>0</v>
      </c>
      <c r="X100" s="501">
        <v>1</v>
      </c>
      <c r="Y100" s="510" t="s">
        <v>1240</v>
      </c>
      <c r="Z100" s="497" t="s">
        <v>1237</v>
      </c>
      <c r="AA100" s="465" t="s">
        <v>689</v>
      </c>
      <c r="AB100" s="497" t="s">
        <v>65</v>
      </c>
      <c r="AC100" s="505"/>
      <c r="AD100" s="497" t="s">
        <v>456</v>
      </c>
      <c r="AE100" s="757">
        <v>2100000000</v>
      </c>
      <c r="AF100" s="497" t="s">
        <v>228</v>
      </c>
      <c r="AG100" s="497" t="s">
        <v>835</v>
      </c>
      <c r="AH100" s="497" t="s">
        <v>636</v>
      </c>
    </row>
    <row r="101" spans="1:34" ht="130.5" customHeight="1" x14ac:dyDescent="0.25">
      <c r="A101" s="189" t="s">
        <v>892</v>
      </c>
      <c r="B101" s="182" t="s">
        <v>65</v>
      </c>
      <c r="C101" s="102" t="s">
        <v>849</v>
      </c>
      <c r="D101" s="237" t="s">
        <v>977</v>
      </c>
      <c r="E101" s="131" t="s">
        <v>227</v>
      </c>
      <c r="F101" s="206" t="s">
        <v>978</v>
      </c>
      <c r="G101" s="200" t="s">
        <v>979</v>
      </c>
      <c r="H101" s="204" t="s">
        <v>980</v>
      </c>
      <c r="I101" s="102" t="s">
        <v>1129</v>
      </c>
      <c r="J101" s="226" t="s">
        <v>1072</v>
      </c>
      <c r="K101" s="758">
        <v>338195500</v>
      </c>
      <c r="L101" s="539" t="s">
        <v>1223</v>
      </c>
      <c r="M101" s="420" t="s">
        <v>212</v>
      </c>
      <c r="N101" s="423" t="s">
        <v>772</v>
      </c>
      <c r="O101" s="423" t="s">
        <v>1180</v>
      </c>
      <c r="P101" s="423" t="s">
        <v>1183</v>
      </c>
      <c r="Q101" s="423" t="s">
        <v>1183</v>
      </c>
      <c r="R101" s="423"/>
      <c r="S101" s="423" t="s">
        <v>166</v>
      </c>
      <c r="T101" s="420">
        <v>1</v>
      </c>
      <c r="U101" s="420">
        <v>0</v>
      </c>
      <c r="V101" s="420">
        <v>0</v>
      </c>
      <c r="W101" s="420">
        <v>0</v>
      </c>
      <c r="X101" s="420">
        <v>1</v>
      </c>
      <c r="Y101" s="354" t="s">
        <v>634</v>
      </c>
      <c r="Z101" s="423" t="s">
        <v>867</v>
      </c>
      <c r="AA101" s="450" t="s">
        <v>868</v>
      </c>
      <c r="AB101" s="423" t="s">
        <v>65</v>
      </c>
      <c r="AC101" s="71"/>
      <c r="AD101" s="423" t="s">
        <v>456</v>
      </c>
      <c r="AE101" s="758">
        <v>338195500</v>
      </c>
      <c r="AF101" s="423" t="s">
        <v>228</v>
      </c>
      <c r="AG101" s="423" t="s">
        <v>835</v>
      </c>
      <c r="AH101" s="423" t="s">
        <v>636</v>
      </c>
    </row>
    <row r="102" spans="1:34" s="82" customFormat="1" ht="130.5" customHeight="1" x14ac:dyDescent="0.25">
      <c r="A102" s="236" t="s">
        <v>892</v>
      </c>
      <c r="B102" s="504" t="s">
        <v>65</v>
      </c>
      <c r="C102" s="498" t="s">
        <v>849</v>
      </c>
      <c r="D102" s="237" t="s">
        <v>977</v>
      </c>
      <c r="E102" s="131" t="s">
        <v>227</v>
      </c>
      <c r="F102" s="226"/>
      <c r="G102" s="498"/>
      <c r="H102" s="235"/>
      <c r="I102" s="498"/>
      <c r="J102" s="226"/>
      <c r="K102" s="756">
        <v>405000000</v>
      </c>
      <c r="L102" s="539" t="s">
        <v>891</v>
      </c>
      <c r="M102" s="501"/>
      <c r="N102" s="497"/>
      <c r="O102" s="497"/>
      <c r="P102" s="497"/>
      <c r="Q102" s="497"/>
      <c r="R102" s="497"/>
      <c r="S102" s="497"/>
      <c r="T102" s="501">
        <v>1</v>
      </c>
      <c r="U102" s="501">
        <v>0</v>
      </c>
      <c r="V102" s="501">
        <v>0</v>
      </c>
      <c r="W102" s="501">
        <v>0</v>
      </c>
      <c r="X102" s="501">
        <v>1</v>
      </c>
      <c r="Y102" s="496" t="s">
        <v>1240</v>
      </c>
      <c r="Z102" s="497" t="s">
        <v>1237</v>
      </c>
      <c r="AA102" s="465" t="s">
        <v>689</v>
      </c>
      <c r="AB102" s="497" t="s">
        <v>65</v>
      </c>
      <c r="AC102" s="505"/>
      <c r="AD102" s="497" t="s">
        <v>456</v>
      </c>
      <c r="AE102" s="756">
        <v>405000000</v>
      </c>
      <c r="AF102" s="497" t="s">
        <v>228</v>
      </c>
      <c r="AG102" s="497" t="s">
        <v>835</v>
      </c>
      <c r="AH102" s="497" t="s">
        <v>636</v>
      </c>
    </row>
    <row r="103" spans="1:34" s="82" customFormat="1" ht="130.5" customHeight="1" x14ac:dyDescent="0.25">
      <c r="A103" s="189" t="s">
        <v>892</v>
      </c>
      <c r="B103" s="186" t="s">
        <v>65</v>
      </c>
      <c r="C103" s="185" t="s">
        <v>849</v>
      </c>
      <c r="D103" s="237" t="s">
        <v>977</v>
      </c>
      <c r="E103" s="131" t="s">
        <v>227</v>
      </c>
      <c r="F103" s="206" t="s">
        <v>978</v>
      </c>
      <c r="G103" s="200" t="s">
        <v>979</v>
      </c>
      <c r="H103" s="204" t="s">
        <v>980</v>
      </c>
      <c r="I103" s="185" t="s">
        <v>1128</v>
      </c>
      <c r="J103" s="226" t="s">
        <v>1126</v>
      </c>
      <c r="K103" s="755">
        <v>400000000</v>
      </c>
      <c r="L103" s="539" t="s">
        <v>891</v>
      </c>
      <c r="M103" s="422" t="s">
        <v>156</v>
      </c>
      <c r="N103" s="423" t="s">
        <v>585</v>
      </c>
      <c r="O103" s="423"/>
      <c r="P103" s="423"/>
      <c r="Q103" s="423"/>
      <c r="R103" s="423"/>
      <c r="S103" s="423"/>
      <c r="T103" s="420">
        <v>1</v>
      </c>
      <c r="U103" s="420">
        <v>0</v>
      </c>
      <c r="V103" s="420">
        <v>0</v>
      </c>
      <c r="W103" s="420">
        <v>0</v>
      </c>
      <c r="X103" s="420">
        <v>1</v>
      </c>
      <c r="Y103" s="132" t="s">
        <v>1239</v>
      </c>
      <c r="Z103" s="497" t="s">
        <v>190</v>
      </c>
      <c r="AA103" s="497" t="s">
        <v>190</v>
      </c>
      <c r="AB103" s="423" t="s">
        <v>65</v>
      </c>
      <c r="AC103" s="436"/>
      <c r="AD103" s="497" t="s">
        <v>456</v>
      </c>
      <c r="AE103" s="755">
        <v>400000000</v>
      </c>
      <c r="AF103" s="423" t="s">
        <v>228</v>
      </c>
      <c r="AG103" s="423" t="s">
        <v>835</v>
      </c>
      <c r="AH103" s="423" t="s">
        <v>636</v>
      </c>
    </row>
    <row r="104" spans="1:34" ht="120.75" customHeight="1" x14ac:dyDescent="0.25">
      <c r="A104" s="187" t="s">
        <v>895</v>
      </c>
      <c r="B104" s="104" t="s">
        <v>231</v>
      </c>
      <c r="C104" s="104" t="s">
        <v>846</v>
      </c>
      <c r="D104" s="183" t="s">
        <v>970</v>
      </c>
      <c r="E104" s="229" t="s">
        <v>230</v>
      </c>
      <c r="F104" s="103" t="s">
        <v>971</v>
      </c>
      <c r="G104" s="200" t="s">
        <v>973</v>
      </c>
      <c r="H104" s="103" t="s">
        <v>976</v>
      </c>
      <c r="I104" s="102" t="s">
        <v>1130</v>
      </c>
      <c r="J104" s="226" t="s">
        <v>1073</v>
      </c>
      <c r="K104" s="124">
        <v>0</v>
      </c>
      <c r="L104" s="420" t="s">
        <v>457</v>
      </c>
      <c r="M104" s="422" t="s">
        <v>156</v>
      </c>
      <c r="N104" s="420" t="s">
        <v>572</v>
      </c>
      <c r="O104" s="420" t="s">
        <v>831</v>
      </c>
      <c r="P104" s="420"/>
      <c r="Q104" s="420"/>
      <c r="R104" s="420"/>
      <c r="S104" s="423" t="s">
        <v>166</v>
      </c>
      <c r="T104" s="420">
        <v>6</v>
      </c>
      <c r="U104" s="423">
        <v>0</v>
      </c>
      <c r="V104" s="420">
        <v>1</v>
      </c>
      <c r="W104" s="420">
        <v>3</v>
      </c>
      <c r="X104" s="420">
        <v>2</v>
      </c>
      <c r="Y104" s="420"/>
      <c r="Z104" s="423"/>
      <c r="AA104" s="423"/>
      <c r="AB104" s="423" t="s">
        <v>856</v>
      </c>
      <c r="AC104" s="423"/>
      <c r="AD104" s="423"/>
      <c r="AE104" s="124">
        <v>0</v>
      </c>
      <c r="AF104" s="423" t="s">
        <v>228</v>
      </c>
      <c r="AG104" s="423" t="s">
        <v>835</v>
      </c>
      <c r="AH104" s="423" t="s">
        <v>641</v>
      </c>
    </row>
    <row r="105" spans="1:34" ht="126.75" customHeight="1" x14ac:dyDescent="0.25">
      <c r="A105" s="187" t="s">
        <v>895</v>
      </c>
      <c r="B105" s="104" t="s">
        <v>231</v>
      </c>
      <c r="C105" s="104" t="s">
        <v>846</v>
      </c>
      <c r="D105" s="200" t="s">
        <v>970</v>
      </c>
      <c r="E105" s="229" t="s">
        <v>230</v>
      </c>
      <c r="F105" s="201" t="s">
        <v>971</v>
      </c>
      <c r="G105" s="102" t="s">
        <v>975</v>
      </c>
      <c r="H105" s="201" t="s">
        <v>976</v>
      </c>
      <c r="I105" s="102" t="s">
        <v>1130</v>
      </c>
      <c r="J105" s="226" t="s">
        <v>1073</v>
      </c>
      <c r="K105" s="124">
        <v>0</v>
      </c>
      <c r="L105" s="420" t="s">
        <v>458</v>
      </c>
      <c r="M105" s="422" t="s">
        <v>156</v>
      </c>
      <c r="N105" s="420" t="s">
        <v>571</v>
      </c>
      <c r="O105" s="420" t="s">
        <v>831</v>
      </c>
      <c r="P105" s="420"/>
      <c r="Q105" s="420"/>
      <c r="R105" s="420"/>
      <c r="S105" s="423" t="s">
        <v>166</v>
      </c>
      <c r="T105" s="420">
        <v>10</v>
      </c>
      <c r="U105" s="423">
        <v>0</v>
      </c>
      <c r="V105" s="423">
        <v>4</v>
      </c>
      <c r="W105" s="423">
        <v>4</v>
      </c>
      <c r="X105" s="423">
        <v>2</v>
      </c>
      <c r="Y105" s="423"/>
      <c r="Z105" s="423"/>
      <c r="AA105" s="423"/>
      <c r="AB105" s="423" t="s">
        <v>857</v>
      </c>
      <c r="AC105" s="423"/>
      <c r="AD105" s="423"/>
      <c r="AE105" s="124">
        <v>0</v>
      </c>
      <c r="AF105" s="423" t="s">
        <v>228</v>
      </c>
      <c r="AG105" s="423" t="s">
        <v>835</v>
      </c>
      <c r="AH105" s="423" t="s">
        <v>641</v>
      </c>
    </row>
    <row r="106" spans="1:34" s="82" customFormat="1" ht="58.5" customHeight="1" x14ac:dyDescent="0.25">
      <c r="A106" s="368" t="s">
        <v>895</v>
      </c>
      <c r="B106" s="363" t="s">
        <v>231</v>
      </c>
      <c r="C106" s="363" t="s">
        <v>846</v>
      </c>
      <c r="D106" s="378" t="s">
        <v>970</v>
      </c>
      <c r="E106" s="393" t="s">
        <v>230</v>
      </c>
      <c r="F106" s="158" t="s">
        <v>971</v>
      </c>
      <c r="G106" s="378" t="s">
        <v>972</v>
      </c>
      <c r="H106" s="158" t="s">
        <v>976</v>
      </c>
      <c r="I106" s="378" t="s">
        <v>1130</v>
      </c>
      <c r="J106" s="158" t="s">
        <v>1073</v>
      </c>
      <c r="K106" s="128">
        <v>13161077</v>
      </c>
      <c r="L106" s="143" t="s">
        <v>459</v>
      </c>
      <c r="M106" s="328" t="s">
        <v>156</v>
      </c>
      <c r="N106" s="143" t="s">
        <v>572</v>
      </c>
      <c r="O106" s="158" t="s">
        <v>831</v>
      </c>
      <c r="P106" s="158"/>
      <c r="Q106" s="158"/>
      <c r="R106" s="158"/>
      <c r="S106" s="116" t="s">
        <v>166</v>
      </c>
      <c r="T106" s="143">
        <v>20</v>
      </c>
      <c r="U106" s="116">
        <v>3</v>
      </c>
      <c r="V106" s="116">
        <v>5</v>
      </c>
      <c r="W106" s="116">
        <v>8</v>
      </c>
      <c r="X106" s="116">
        <v>4</v>
      </c>
      <c r="Y106" s="465" t="s">
        <v>640</v>
      </c>
      <c r="Z106" s="423" t="s">
        <v>454</v>
      </c>
      <c r="AA106" s="423" t="s">
        <v>869</v>
      </c>
      <c r="AB106" s="423" t="s">
        <v>857</v>
      </c>
      <c r="AC106" s="423" t="s">
        <v>460</v>
      </c>
      <c r="AE106" s="128">
        <v>13161077</v>
      </c>
      <c r="AF106" s="116" t="s">
        <v>228</v>
      </c>
      <c r="AG106" s="368" t="s">
        <v>835</v>
      </c>
      <c r="AH106" s="116" t="s">
        <v>641</v>
      </c>
    </row>
    <row r="107" spans="1:34" s="82" customFormat="1" ht="79.5" customHeight="1" x14ac:dyDescent="0.25">
      <c r="A107" s="368" t="s">
        <v>895</v>
      </c>
      <c r="B107" s="363" t="s">
        <v>231</v>
      </c>
      <c r="C107" s="363" t="s">
        <v>846</v>
      </c>
      <c r="D107" s="378" t="s">
        <v>970</v>
      </c>
      <c r="E107" s="393" t="s">
        <v>230</v>
      </c>
      <c r="F107" s="158" t="s">
        <v>971</v>
      </c>
      <c r="G107" s="378" t="s">
        <v>972</v>
      </c>
      <c r="H107" s="158" t="s">
        <v>976</v>
      </c>
      <c r="I107" s="378" t="s">
        <v>1130</v>
      </c>
      <c r="J107" s="158" t="s">
        <v>1073</v>
      </c>
      <c r="K107" s="128">
        <v>378513000</v>
      </c>
      <c r="L107" s="143" t="s">
        <v>459</v>
      </c>
      <c r="M107" s="328" t="s">
        <v>156</v>
      </c>
      <c r="N107" s="143" t="s">
        <v>572</v>
      </c>
      <c r="O107" s="158" t="s">
        <v>831</v>
      </c>
      <c r="P107" s="158"/>
      <c r="Q107" s="158"/>
      <c r="R107" s="158"/>
      <c r="S107" s="116" t="s">
        <v>166</v>
      </c>
      <c r="T107" s="143">
        <v>20</v>
      </c>
      <c r="U107" s="116">
        <v>3</v>
      </c>
      <c r="V107" s="116">
        <v>5</v>
      </c>
      <c r="W107" s="116">
        <v>8</v>
      </c>
      <c r="X107" s="116">
        <v>4</v>
      </c>
      <c r="Y107" s="465" t="s">
        <v>639</v>
      </c>
      <c r="Z107" s="423" t="s">
        <v>867</v>
      </c>
      <c r="AA107" s="450" t="s">
        <v>868</v>
      </c>
      <c r="AB107" s="423" t="s">
        <v>857</v>
      </c>
      <c r="AC107" s="423" t="s">
        <v>460</v>
      </c>
      <c r="AD107" s="423"/>
      <c r="AE107" s="128">
        <v>378513000</v>
      </c>
      <c r="AF107" s="116" t="s">
        <v>228</v>
      </c>
      <c r="AG107" s="368" t="s">
        <v>835</v>
      </c>
      <c r="AH107" s="116" t="s">
        <v>641</v>
      </c>
    </row>
    <row r="108" spans="1:34" ht="122.25" customHeight="1" x14ac:dyDescent="0.25">
      <c r="A108" s="187" t="s">
        <v>895</v>
      </c>
      <c r="B108" s="104" t="s">
        <v>231</v>
      </c>
      <c r="C108" s="104" t="s">
        <v>846</v>
      </c>
      <c r="D108" s="200" t="s">
        <v>970</v>
      </c>
      <c r="E108" s="229" t="s">
        <v>230</v>
      </c>
      <c r="F108" s="103" t="s">
        <v>971</v>
      </c>
      <c r="G108" s="200" t="s">
        <v>974</v>
      </c>
      <c r="H108" s="201" t="s">
        <v>976</v>
      </c>
      <c r="I108" s="102" t="s">
        <v>1131</v>
      </c>
      <c r="J108" s="143" t="s">
        <v>1074</v>
      </c>
      <c r="K108" s="759">
        <v>264048400</v>
      </c>
      <c r="L108" s="420" t="s">
        <v>461</v>
      </c>
      <c r="M108" s="422" t="s">
        <v>156</v>
      </c>
      <c r="N108" s="420" t="s">
        <v>585</v>
      </c>
      <c r="O108" s="420"/>
      <c r="P108" s="420" t="s">
        <v>831</v>
      </c>
      <c r="Q108" s="420"/>
      <c r="R108" s="420"/>
      <c r="S108" s="423" t="s">
        <v>166</v>
      </c>
      <c r="T108" s="420">
        <v>1</v>
      </c>
      <c r="U108" s="423">
        <v>0</v>
      </c>
      <c r="V108" s="423">
        <v>0</v>
      </c>
      <c r="W108" s="423">
        <v>1</v>
      </c>
      <c r="X108" s="423">
        <v>0</v>
      </c>
      <c r="Y108" s="465" t="s">
        <v>642</v>
      </c>
      <c r="Z108" s="423" t="s">
        <v>867</v>
      </c>
      <c r="AA108" s="450" t="s">
        <v>868</v>
      </c>
      <c r="AB108" s="423" t="s">
        <v>857</v>
      </c>
      <c r="AC108" s="423" t="s">
        <v>232</v>
      </c>
      <c r="AD108" s="423"/>
      <c r="AE108" s="759">
        <v>264048400</v>
      </c>
      <c r="AF108" s="423" t="s">
        <v>228</v>
      </c>
      <c r="AG108" s="423" t="s">
        <v>835</v>
      </c>
      <c r="AH108" s="423" t="s">
        <v>641</v>
      </c>
    </row>
    <row r="109" spans="1:34" ht="134.25" customHeight="1" x14ac:dyDescent="0.25">
      <c r="A109" s="187" t="s">
        <v>895</v>
      </c>
      <c r="B109" s="104" t="s">
        <v>231</v>
      </c>
      <c r="C109" s="104" t="s">
        <v>846</v>
      </c>
      <c r="D109" s="200" t="s">
        <v>970</v>
      </c>
      <c r="E109" s="229" t="s">
        <v>230</v>
      </c>
      <c r="F109" s="201" t="s">
        <v>971</v>
      </c>
      <c r="G109" s="102" t="s">
        <v>973</v>
      </c>
      <c r="H109" s="201" t="s">
        <v>976</v>
      </c>
      <c r="I109" s="102" t="s">
        <v>1131</v>
      </c>
      <c r="J109" s="143" t="s">
        <v>1075</v>
      </c>
      <c r="K109" s="124">
        <v>300000000</v>
      </c>
      <c r="L109" s="420" t="s">
        <v>462</v>
      </c>
      <c r="M109" s="422" t="s">
        <v>156</v>
      </c>
      <c r="N109" s="420" t="s">
        <v>1149</v>
      </c>
      <c r="O109" s="420"/>
      <c r="P109" s="420" t="s">
        <v>831</v>
      </c>
      <c r="Q109" s="420"/>
      <c r="R109" s="420"/>
      <c r="S109" s="423" t="s">
        <v>166</v>
      </c>
      <c r="T109" s="420">
        <v>1</v>
      </c>
      <c r="U109" s="423">
        <v>0</v>
      </c>
      <c r="V109" s="423">
        <v>0</v>
      </c>
      <c r="W109" s="423">
        <v>1</v>
      </c>
      <c r="X109" s="423">
        <v>0</v>
      </c>
      <c r="Y109" s="465" t="s">
        <v>642</v>
      </c>
      <c r="Z109" s="423" t="s">
        <v>867</v>
      </c>
      <c r="AA109" s="450" t="s">
        <v>868</v>
      </c>
      <c r="AB109" s="423" t="s">
        <v>857</v>
      </c>
      <c r="AC109" s="423" t="s">
        <v>232</v>
      </c>
      <c r="AD109" s="423"/>
      <c r="AE109" s="124">
        <v>300000000</v>
      </c>
      <c r="AF109" s="423" t="s">
        <v>228</v>
      </c>
      <c r="AG109" s="423" t="s">
        <v>835</v>
      </c>
      <c r="AH109" s="423" t="s">
        <v>641</v>
      </c>
    </row>
    <row r="110" spans="1:34" ht="119.25" customHeight="1" x14ac:dyDescent="0.25">
      <c r="A110" s="187" t="s">
        <v>895</v>
      </c>
      <c r="B110" s="104" t="s">
        <v>231</v>
      </c>
      <c r="C110" s="104" t="s">
        <v>846</v>
      </c>
      <c r="D110" s="200" t="s">
        <v>970</v>
      </c>
      <c r="E110" s="229" t="s">
        <v>230</v>
      </c>
      <c r="F110" s="201" t="s">
        <v>971</v>
      </c>
      <c r="G110" s="102" t="s">
        <v>975</v>
      </c>
      <c r="H110" s="201" t="s">
        <v>976</v>
      </c>
      <c r="I110" s="102" t="s">
        <v>1130</v>
      </c>
      <c r="J110" s="143" t="s">
        <v>1073</v>
      </c>
      <c r="K110" s="124">
        <v>0</v>
      </c>
      <c r="L110" s="420" t="s">
        <v>463</v>
      </c>
      <c r="M110" s="422" t="s">
        <v>156</v>
      </c>
      <c r="N110" s="420" t="s">
        <v>592</v>
      </c>
      <c r="O110" s="420"/>
      <c r="P110" s="420" t="s">
        <v>831</v>
      </c>
      <c r="Q110" s="420"/>
      <c r="R110" s="420"/>
      <c r="S110" s="423" t="s">
        <v>166</v>
      </c>
      <c r="T110" s="420">
        <v>48</v>
      </c>
      <c r="U110" s="423">
        <v>12</v>
      </c>
      <c r="V110" s="423">
        <v>12</v>
      </c>
      <c r="W110" s="423">
        <v>12</v>
      </c>
      <c r="X110" s="423">
        <v>12</v>
      </c>
      <c r="Y110" s="423"/>
      <c r="Z110" s="423"/>
      <c r="AA110" s="423"/>
      <c r="AB110" s="423" t="s">
        <v>857</v>
      </c>
      <c r="AC110" s="423"/>
      <c r="AD110" s="423"/>
      <c r="AE110" s="124">
        <v>0</v>
      </c>
      <c r="AF110" s="423" t="s">
        <v>228</v>
      </c>
      <c r="AG110" s="423" t="s">
        <v>835</v>
      </c>
      <c r="AH110" s="423" t="s">
        <v>641</v>
      </c>
    </row>
    <row r="111" spans="1:34" ht="127.5" customHeight="1" x14ac:dyDescent="0.25">
      <c r="A111" s="187" t="s">
        <v>895</v>
      </c>
      <c r="B111" s="104" t="s">
        <v>231</v>
      </c>
      <c r="C111" s="104" t="s">
        <v>846</v>
      </c>
      <c r="D111" s="200" t="s">
        <v>970</v>
      </c>
      <c r="E111" s="229" t="s">
        <v>230</v>
      </c>
      <c r="F111" s="201" t="s">
        <v>971</v>
      </c>
      <c r="G111" s="200" t="s">
        <v>973</v>
      </c>
      <c r="H111" s="201" t="s">
        <v>976</v>
      </c>
      <c r="I111" s="102" t="s">
        <v>1132</v>
      </c>
      <c r="J111" s="143" t="s">
        <v>1076</v>
      </c>
      <c r="K111" s="759">
        <v>0</v>
      </c>
      <c r="L111" s="420" t="s">
        <v>644</v>
      </c>
      <c r="M111" s="422" t="s">
        <v>154</v>
      </c>
      <c r="N111" s="420" t="s">
        <v>1150</v>
      </c>
      <c r="O111" s="420" t="s">
        <v>1185</v>
      </c>
      <c r="P111" s="420" t="s">
        <v>1187</v>
      </c>
      <c r="Q111" s="420" t="s">
        <v>1182</v>
      </c>
      <c r="R111" s="420"/>
      <c r="S111" s="423" t="s">
        <v>166</v>
      </c>
      <c r="T111" s="420">
        <v>1</v>
      </c>
      <c r="U111" s="423">
        <v>0</v>
      </c>
      <c r="V111" s="423">
        <v>0</v>
      </c>
      <c r="W111" s="423">
        <v>1</v>
      </c>
      <c r="X111" s="423">
        <v>0</v>
      </c>
      <c r="Y111" s="465"/>
      <c r="Z111" s="423"/>
      <c r="AA111" s="450"/>
      <c r="AB111" s="423" t="s">
        <v>857</v>
      </c>
      <c r="AC111" s="423" t="s">
        <v>232</v>
      </c>
      <c r="AD111" s="423"/>
      <c r="AE111" s="759">
        <v>0</v>
      </c>
      <c r="AF111" s="423" t="s">
        <v>228</v>
      </c>
      <c r="AG111" s="423" t="s">
        <v>835</v>
      </c>
      <c r="AH111" s="423" t="s">
        <v>641</v>
      </c>
    </row>
    <row r="112" spans="1:34" s="62" customFormat="1" ht="95.25" customHeight="1" x14ac:dyDescent="0.25">
      <c r="A112" s="187" t="s">
        <v>895</v>
      </c>
      <c r="B112" s="104" t="s">
        <v>231</v>
      </c>
      <c r="C112" s="104" t="s">
        <v>846</v>
      </c>
      <c r="D112" s="200" t="s">
        <v>970</v>
      </c>
      <c r="E112" s="261" t="s">
        <v>230</v>
      </c>
      <c r="F112" s="201" t="s">
        <v>971</v>
      </c>
      <c r="G112" s="200" t="s">
        <v>973</v>
      </c>
      <c r="H112" s="201" t="s">
        <v>976</v>
      </c>
      <c r="I112" s="102" t="s">
        <v>1130</v>
      </c>
      <c r="J112" s="143" t="s">
        <v>1073</v>
      </c>
      <c r="K112" s="466">
        <v>10000000</v>
      </c>
      <c r="L112" s="420" t="s">
        <v>196</v>
      </c>
      <c r="M112" s="422" t="s">
        <v>156</v>
      </c>
      <c r="N112" s="420" t="s">
        <v>1151</v>
      </c>
      <c r="O112" s="420"/>
      <c r="P112" s="420"/>
      <c r="Q112" s="420"/>
      <c r="R112" s="420"/>
      <c r="S112" s="423" t="s">
        <v>166</v>
      </c>
      <c r="T112" s="420">
        <v>1</v>
      </c>
      <c r="U112" s="423">
        <v>1</v>
      </c>
      <c r="V112" s="423">
        <v>0</v>
      </c>
      <c r="W112" s="423">
        <v>0</v>
      </c>
      <c r="X112" s="423">
        <v>0</v>
      </c>
      <c r="Y112" s="465" t="s">
        <v>645</v>
      </c>
      <c r="Z112" s="423" t="s">
        <v>190</v>
      </c>
      <c r="AA112" s="423" t="s">
        <v>190</v>
      </c>
      <c r="AB112" s="423" t="s">
        <v>857</v>
      </c>
      <c r="AC112" s="423" t="s">
        <v>232</v>
      </c>
      <c r="AD112" s="82"/>
      <c r="AE112" s="466">
        <v>10000000</v>
      </c>
      <c r="AF112" s="423" t="s">
        <v>228</v>
      </c>
      <c r="AG112" s="423" t="s">
        <v>835</v>
      </c>
      <c r="AH112" s="423" t="s">
        <v>641</v>
      </c>
    </row>
    <row r="113" spans="1:34" s="82" customFormat="1" ht="74.25" customHeight="1" x14ac:dyDescent="0.25">
      <c r="A113" s="116" t="s">
        <v>895</v>
      </c>
      <c r="B113" s="162" t="s">
        <v>237</v>
      </c>
      <c r="C113" s="363" t="s">
        <v>846</v>
      </c>
      <c r="D113" s="160" t="s">
        <v>894</v>
      </c>
      <c r="E113" s="377" t="s">
        <v>234</v>
      </c>
      <c r="F113" s="143" t="s">
        <v>954</v>
      </c>
      <c r="G113" s="160" t="s">
        <v>956</v>
      </c>
      <c r="H113" s="158" t="s">
        <v>957</v>
      </c>
      <c r="I113" s="160" t="s">
        <v>958</v>
      </c>
      <c r="J113" s="158" t="s">
        <v>1077</v>
      </c>
      <c r="K113" s="124">
        <v>3000000</v>
      </c>
      <c r="L113" s="143" t="s">
        <v>236</v>
      </c>
      <c r="M113" s="328" t="s">
        <v>156</v>
      </c>
      <c r="N113" s="158" t="s">
        <v>1151</v>
      </c>
      <c r="O113" s="158"/>
      <c r="P113" s="158"/>
      <c r="Q113" s="158"/>
      <c r="R113" s="158" t="s">
        <v>831</v>
      </c>
      <c r="S113" s="116" t="s">
        <v>166</v>
      </c>
      <c r="T113" s="143">
        <v>1</v>
      </c>
      <c r="U113" s="143">
        <v>1</v>
      </c>
      <c r="V113" s="143">
        <v>0</v>
      </c>
      <c r="W113" s="143">
        <v>0</v>
      </c>
      <c r="X113" s="143">
        <v>0</v>
      </c>
      <c r="Y113" s="334" t="s">
        <v>646</v>
      </c>
      <c r="Z113" s="423" t="s">
        <v>190</v>
      </c>
      <c r="AA113" s="423" t="s">
        <v>190</v>
      </c>
      <c r="AB113" s="423" t="s">
        <v>858</v>
      </c>
      <c r="AC113" s="113"/>
      <c r="AD113" s="423" t="s">
        <v>464</v>
      </c>
      <c r="AE113" s="124">
        <v>3000000</v>
      </c>
      <c r="AF113" s="116" t="s">
        <v>228</v>
      </c>
      <c r="AG113" s="368" t="s">
        <v>835</v>
      </c>
      <c r="AH113" s="116" t="s">
        <v>545</v>
      </c>
    </row>
    <row r="114" spans="1:34" s="82" customFormat="1" ht="60" customHeight="1" x14ac:dyDescent="0.25">
      <c r="A114" s="116" t="s">
        <v>895</v>
      </c>
      <c r="B114" s="162" t="s">
        <v>237</v>
      </c>
      <c r="C114" s="363" t="s">
        <v>846</v>
      </c>
      <c r="D114" s="160" t="s">
        <v>894</v>
      </c>
      <c r="E114" s="377" t="s">
        <v>234</v>
      </c>
      <c r="F114" s="143" t="s">
        <v>954</v>
      </c>
      <c r="G114" s="160" t="s">
        <v>956</v>
      </c>
      <c r="H114" s="158" t="s">
        <v>957</v>
      </c>
      <c r="I114" s="160" t="s">
        <v>958</v>
      </c>
      <c r="J114" s="158" t="s">
        <v>1077</v>
      </c>
      <c r="K114" s="112">
        <v>411677000</v>
      </c>
      <c r="L114" s="143" t="s">
        <v>236</v>
      </c>
      <c r="M114" s="328" t="s">
        <v>156</v>
      </c>
      <c r="N114" s="158" t="s">
        <v>1151</v>
      </c>
      <c r="O114" s="158"/>
      <c r="P114" s="158"/>
      <c r="Q114" s="158"/>
      <c r="R114" s="158" t="s">
        <v>831</v>
      </c>
      <c r="S114" s="116" t="s">
        <v>166</v>
      </c>
      <c r="T114" s="143">
        <v>1</v>
      </c>
      <c r="U114" s="143">
        <v>1</v>
      </c>
      <c r="V114" s="143">
        <v>0</v>
      </c>
      <c r="W114" s="143">
        <v>0</v>
      </c>
      <c r="X114" s="143">
        <v>0</v>
      </c>
      <c r="Y114" s="334" t="s">
        <v>647</v>
      </c>
      <c r="Z114" s="423" t="s">
        <v>867</v>
      </c>
      <c r="AA114" s="450" t="s">
        <v>868</v>
      </c>
      <c r="AB114" s="423" t="s">
        <v>858</v>
      </c>
      <c r="AD114" s="423" t="s">
        <v>464</v>
      </c>
      <c r="AE114" s="112">
        <v>411677000</v>
      </c>
      <c r="AF114" s="116" t="s">
        <v>228</v>
      </c>
      <c r="AG114" s="368" t="s">
        <v>835</v>
      </c>
      <c r="AH114" s="116" t="s">
        <v>545</v>
      </c>
    </row>
    <row r="115" spans="1:34" ht="120.75" customHeight="1" x14ac:dyDescent="0.25">
      <c r="A115" s="187" t="s">
        <v>895</v>
      </c>
      <c r="B115" s="104" t="s">
        <v>237</v>
      </c>
      <c r="C115" s="161" t="s">
        <v>846</v>
      </c>
      <c r="D115" s="200" t="s">
        <v>894</v>
      </c>
      <c r="E115" s="227" t="s">
        <v>234</v>
      </c>
      <c r="F115" s="201" t="s">
        <v>954</v>
      </c>
      <c r="G115" s="102" t="s">
        <v>955</v>
      </c>
      <c r="H115" s="201" t="s">
        <v>957</v>
      </c>
      <c r="I115" s="200" t="s">
        <v>958</v>
      </c>
      <c r="J115" s="143" t="s">
        <v>1077</v>
      </c>
      <c r="K115" s="759">
        <v>0</v>
      </c>
      <c r="L115" s="420" t="s">
        <v>465</v>
      </c>
      <c r="M115" s="420" t="s">
        <v>212</v>
      </c>
      <c r="N115" s="420" t="s">
        <v>772</v>
      </c>
      <c r="O115" s="420" t="s">
        <v>1188</v>
      </c>
      <c r="P115" s="420" t="s">
        <v>1189</v>
      </c>
      <c r="Q115" s="420" t="s">
        <v>1183</v>
      </c>
      <c r="R115" s="420" t="s">
        <v>1190</v>
      </c>
      <c r="S115" s="423" t="s">
        <v>166</v>
      </c>
      <c r="T115" s="420">
        <v>1</v>
      </c>
      <c r="U115" s="420">
        <v>0</v>
      </c>
      <c r="V115" s="420">
        <v>0</v>
      </c>
      <c r="W115" s="420">
        <v>1</v>
      </c>
      <c r="X115" s="420">
        <v>0</v>
      </c>
      <c r="Y115" s="420"/>
      <c r="Z115" s="423"/>
      <c r="AA115" s="450"/>
      <c r="AB115" s="423" t="s">
        <v>61</v>
      </c>
      <c r="AC115" s="436"/>
      <c r="AD115" s="423"/>
      <c r="AE115" s="759">
        <v>0</v>
      </c>
      <c r="AF115" s="423" t="s">
        <v>228</v>
      </c>
      <c r="AG115" s="423" t="s">
        <v>835</v>
      </c>
      <c r="AH115" s="423" t="s">
        <v>545</v>
      </c>
    </row>
    <row r="116" spans="1:34" ht="128.25" customHeight="1" x14ac:dyDescent="0.25">
      <c r="A116" s="187" t="s">
        <v>895</v>
      </c>
      <c r="B116" s="104" t="s">
        <v>237</v>
      </c>
      <c r="C116" s="161" t="s">
        <v>846</v>
      </c>
      <c r="D116" s="200" t="s">
        <v>894</v>
      </c>
      <c r="E116" s="227" t="s">
        <v>234</v>
      </c>
      <c r="F116" s="201" t="s">
        <v>954</v>
      </c>
      <c r="G116" s="200" t="s">
        <v>955</v>
      </c>
      <c r="H116" s="201" t="s">
        <v>957</v>
      </c>
      <c r="I116" s="200" t="s">
        <v>958</v>
      </c>
      <c r="J116" s="143" t="s">
        <v>1077</v>
      </c>
      <c r="K116" s="759">
        <v>115120600</v>
      </c>
      <c r="L116" s="420" t="s">
        <v>473</v>
      </c>
      <c r="M116" s="422" t="s">
        <v>156</v>
      </c>
      <c r="N116" s="420" t="s">
        <v>572</v>
      </c>
      <c r="O116" s="420"/>
      <c r="P116" s="420"/>
      <c r="Q116" s="420"/>
      <c r="R116" s="420" t="s">
        <v>831</v>
      </c>
      <c r="S116" s="423" t="s">
        <v>166</v>
      </c>
      <c r="T116" s="420">
        <v>10</v>
      </c>
      <c r="U116" s="420">
        <v>0</v>
      </c>
      <c r="V116" s="420">
        <v>0</v>
      </c>
      <c r="W116" s="420">
        <v>5</v>
      </c>
      <c r="X116" s="420">
        <v>5</v>
      </c>
      <c r="Y116" s="420" t="s">
        <v>648</v>
      </c>
      <c r="Z116" s="423" t="s">
        <v>867</v>
      </c>
      <c r="AA116" s="450" t="s">
        <v>868</v>
      </c>
      <c r="AB116" s="423" t="s">
        <v>858</v>
      </c>
      <c r="AC116" s="436"/>
      <c r="AD116" s="423" t="s">
        <v>464</v>
      </c>
      <c r="AE116" s="759">
        <v>115120600</v>
      </c>
      <c r="AF116" s="423" t="s">
        <v>228</v>
      </c>
      <c r="AG116" s="423" t="s">
        <v>835</v>
      </c>
      <c r="AH116" s="423" t="s">
        <v>545</v>
      </c>
    </row>
    <row r="117" spans="1:34" ht="105" customHeight="1" x14ac:dyDescent="0.25">
      <c r="A117" s="187" t="s">
        <v>895</v>
      </c>
      <c r="B117" s="104" t="s">
        <v>237</v>
      </c>
      <c r="C117" s="161" t="s">
        <v>846</v>
      </c>
      <c r="D117" s="200" t="s">
        <v>894</v>
      </c>
      <c r="E117" s="227" t="s">
        <v>234</v>
      </c>
      <c r="F117" s="201" t="s">
        <v>954</v>
      </c>
      <c r="G117" s="200" t="s">
        <v>955</v>
      </c>
      <c r="H117" s="201" t="s">
        <v>957</v>
      </c>
      <c r="I117" s="200" t="s">
        <v>958</v>
      </c>
      <c r="J117" s="143" t="s">
        <v>1077</v>
      </c>
      <c r="K117" s="759">
        <v>0</v>
      </c>
      <c r="L117" s="420" t="s">
        <v>474</v>
      </c>
      <c r="M117" s="422" t="s">
        <v>156</v>
      </c>
      <c r="N117" s="420" t="s">
        <v>572</v>
      </c>
      <c r="O117" s="420"/>
      <c r="P117" s="420"/>
      <c r="Q117" s="420"/>
      <c r="R117" s="420" t="s">
        <v>831</v>
      </c>
      <c r="S117" s="423" t="s">
        <v>166</v>
      </c>
      <c r="T117" s="420">
        <v>40</v>
      </c>
      <c r="U117" s="420">
        <v>0</v>
      </c>
      <c r="V117" s="420">
        <v>0</v>
      </c>
      <c r="W117" s="420">
        <v>20</v>
      </c>
      <c r="X117" s="420">
        <v>20</v>
      </c>
      <c r="Y117" s="420"/>
      <c r="Z117" s="423"/>
      <c r="AA117" s="450"/>
      <c r="AB117" s="423" t="s">
        <v>61</v>
      </c>
      <c r="AC117" s="423"/>
      <c r="AD117" s="423"/>
      <c r="AE117" s="759">
        <v>0</v>
      </c>
      <c r="AF117" s="423" t="s">
        <v>228</v>
      </c>
      <c r="AG117" s="423" t="s">
        <v>835</v>
      </c>
      <c r="AH117" s="423" t="s">
        <v>545</v>
      </c>
    </row>
    <row r="118" spans="1:34" ht="115.5" customHeight="1" x14ac:dyDescent="0.25">
      <c r="A118" s="187" t="s">
        <v>895</v>
      </c>
      <c r="B118" s="104" t="s">
        <v>237</v>
      </c>
      <c r="C118" s="161" t="s">
        <v>846</v>
      </c>
      <c r="D118" s="200" t="s">
        <v>894</v>
      </c>
      <c r="E118" s="227" t="s">
        <v>234</v>
      </c>
      <c r="F118" s="201" t="s">
        <v>954</v>
      </c>
      <c r="G118" s="200" t="s">
        <v>955</v>
      </c>
      <c r="H118" s="201" t="s">
        <v>957</v>
      </c>
      <c r="I118" s="200" t="s">
        <v>958</v>
      </c>
      <c r="J118" s="143" t="s">
        <v>1077</v>
      </c>
      <c r="K118" s="759">
        <v>0</v>
      </c>
      <c r="L118" s="420" t="s">
        <v>475</v>
      </c>
      <c r="M118" s="422" t="s">
        <v>156</v>
      </c>
      <c r="N118" s="420" t="s">
        <v>572</v>
      </c>
      <c r="O118" s="420"/>
      <c r="P118" s="420"/>
      <c r="Q118" s="420"/>
      <c r="R118" s="420" t="s">
        <v>831</v>
      </c>
      <c r="S118" s="423" t="s">
        <v>166</v>
      </c>
      <c r="T118" s="420">
        <v>9</v>
      </c>
      <c r="U118" s="420">
        <v>0</v>
      </c>
      <c r="V118" s="420">
        <v>0</v>
      </c>
      <c r="W118" s="420">
        <v>5</v>
      </c>
      <c r="X118" s="420">
        <v>4</v>
      </c>
      <c r="Y118" s="420"/>
      <c r="Z118" s="423"/>
      <c r="AA118" s="450"/>
      <c r="AB118" s="423" t="s">
        <v>859</v>
      </c>
      <c r="AC118" s="423" t="s">
        <v>239</v>
      </c>
      <c r="AD118" s="423"/>
      <c r="AE118" s="759">
        <v>0</v>
      </c>
      <c r="AF118" s="423" t="s">
        <v>228</v>
      </c>
      <c r="AG118" s="423" t="s">
        <v>835</v>
      </c>
      <c r="AH118" s="423" t="s">
        <v>545</v>
      </c>
    </row>
    <row r="119" spans="1:34" s="82" customFormat="1" ht="57" customHeight="1" x14ac:dyDescent="0.25">
      <c r="A119" s="116" t="s">
        <v>895</v>
      </c>
      <c r="B119" s="162" t="s">
        <v>237</v>
      </c>
      <c r="C119" s="363" t="s">
        <v>846</v>
      </c>
      <c r="D119" s="143" t="s">
        <v>946</v>
      </c>
      <c r="E119" s="394" t="s">
        <v>238</v>
      </c>
      <c r="F119" s="76" t="s">
        <v>947</v>
      </c>
      <c r="G119" s="160" t="s">
        <v>948</v>
      </c>
      <c r="H119" s="158" t="s">
        <v>927</v>
      </c>
      <c r="I119" s="361" t="s">
        <v>952</v>
      </c>
      <c r="J119" s="395" t="s">
        <v>1078</v>
      </c>
      <c r="K119" s="112">
        <v>471677000</v>
      </c>
      <c r="L119" s="143" t="s">
        <v>180</v>
      </c>
      <c r="M119" s="328" t="s">
        <v>156</v>
      </c>
      <c r="N119" s="158" t="s">
        <v>1152</v>
      </c>
      <c r="O119" s="420"/>
      <c r="P119" s="158"/>
      <c r="Q119" s="158" t="s">
        <v>831</v>
      </c>
      <c r="R119" s="158"/>
      <c r="S119" s="116" t="s">
        <v>166</v>
      </c>
      <c r="T119" s="396">
        <v>1</v>
      </c>
      <c r="U119" s="143">
        <v>1</v>
      </c>
      <c r="V119" s="116">
        <v>0</v>
      </c>
      <c r="W119" s="116">
        <v>0</v>
      </c>
      <c r="X119" s="116">
        <v>0</v>
      </c>
      <c r="Y119" s="420" t="s">
        <v>649</v>
      </c>
      <c r="Z119" s="423" t="s">
        <v>867</v>
      </c>
      <c r="AA119" s="450" t="s">
        <v>868</v>
      </c>
      <c r="AB119" s="423" t="s">
        <v>860</v>
      </c>
      <c r="AC119" s="423" t="s">
        <v>467</v>
      </c>
      <c r="AD119" s="423"/>
      <c r="AE119" s="112">
        <v>471677000</v>
      </c>
      <c r="AF119" s="116" t="s">
        <v>228</v>
      </c>
      <c r="AG119" s="368" t="s">
        <v>835</v>
      </c>
      <c r="AH119" s="116" t="s">
        <v>546</v>
      </c>
    </row>
    <row r="120" spans="1:34" s="82" customFormat="1" ht="60" customHeight="1" x14ac:dyDescent="0.25">
      <c r="A120" s="116" t="s">
        <v>895</v>
      </c>
      <c r="B120" s="162" t="s">
        <v>237</v>
      </c>
      <c r="C120" s="363" t="s">
        <v>846</v>
      </c>
      <c r="D120" s="143" t="s">
        <v>946</v>
      </c>
      <c r="E120" s="394" t="s">
        <v>238</v>
      </c>
      <c r="F120" s="76" t="s">
        <v>947</v>
      </c>
      <c r="G120" s="160" t="s">
        <v>948</v>
      </c>
      <c r="H120" s="158" t="s">
        <v>927</v>
      </c>
      <c r="I120" s="421" t="s">
        <v>952</v>
      </c>
      <c r="J120" s="395" t="s">
        <v>1078</v>
      </c>
      <c r="K120" s="130">
        <v>6000000</v>
      </c>
      <c r="L120" s="143" t="s">
        <v>180</v>
      </c>
      <c r="M120" s="328" t="s">
        <v>156</v>
      </c>
      <c r="N120" s="158" t="s">
        <v>1152</v>
      </c>
      <c r="O120" s="420"/>
      <c r="P120" s="158"/>
      <c r="Q120" s="158" t="s">
        <v>831</v>
      </c>
      <c r="R120" s="158"/>
      <c r="S120" s="116" t="s">
        <v>166</v>
      </c>
      <c r="T120" s="396">
        <v>1</v>
      </c>
      <c r="U120" s="143">
        <v>1</v>
      </c>
      <c r="V120" s="116">
        <v>0</v>
      </c>
      <c r="W120" s="116">
        <v>0</v>
      </c>
      <c r="X120" s="116">
        <v>0</v>
      </c>
      <c r="Y120" s="420" t="s">
        <v>650</v>
      </c>
      <c r="Z120" s="423" t="s">
        <v>190</v>
      </c>
      <c r="AA120" s="423" t="s">
        <v>190</v>
      </c>
      <c r="AB120" s="423" t="s">
        <v>860</v>
      </c>
      <c r="AC120" s="423" t="s">
        <v>467</v>
      </c>
      <c r="AD120" s="436"/>
      <c r="AE120" s="130">
        <v>6000000</v>
      </c>
      <c r="AF120" s="116" t="s">
        <v>228</v>
      </c>
      <c r="AG120" s="368" t="s">
        <v>835</v>
      </c>
      <c r="AH120" s="116" t="s">
        <v>546</v>
      </c>
    </row>
    <row r="121" spans="1:34" ht="90.75" customHeight="1" x14ac:dyDescent="0.25">
      <c r="A121" s="187" t="s">
        <v>895</v>
      </c>
      <c r="B121" s="104" t="s">
        <v>237</v>
      </c>
      <c r="C121" s="161" t="s">
        <v>846</v>
      </c>
      <c r="D121" s="103" t="s">
        <v>944</v>
      </c>
      <c r="E121" s="229" t="s">
        <v>238</v>
      </c>
      <c r="F121" s="76" t="s">
        <v>947</v>
      </c>
      <c r="G121" s="102" t="s">
        <v>949</v>
      </c>
      <c r="H121" s="201" t="s">
        <v>927</v>
      </c>
      <c r="I121" s="200" t="s">
        <v>952</v>
      </c>
      <c r="J121" s="143" t="s">
        <v>1078</v>
      </c>
      <c r="K121" s="759">
        <v>175654697</v>
      </c>
      <c r="L121" s="420" t="s">
        <v>468</v>
      </c>
      <c r="M121" s="422" t="s">
        <v>156</v>
      </c>
      <c r="N121" s="420" t="s">
        <v>572</v>
      </c>
      <c r="O121" s="420"/>
      <c r="P121" s="420"/>
      <c r="Q121" s="420" t="s">
        <v>831</v>
      </c>
      <c r="R121" s="420"/>
      <c r="S121" s="423" t="s">
        <v>166</v>
      </c>
      <c r="T121" s="420">
        <v>124</v>
      </c>
      <c r="U121" s="420">
        <v>0</v>
      </c>
      <c r="V121" s="119">
        <v>40</v>
      </c>
      <c r="W121" s="119">
        <v>50</v>
      </c>
      <c r="X121" s="119">
        <v>34</v>
      </c>
      <c r="Y121" s="420" t="s">
        <v>651</v>
      </c>
      <c r="Z121" s="423" t="s">
        <v>867</v>
      </c>
      <c r="AA121" s="450" t="s">
        <v>868</v>
      </c>
      <c r="AB121" s="423" t="s">
        <v>860</v>
      </c>
      <c r="AC121" s="423" t="s">
        <v>239</v>
      </c>
      <c r="AD121" s="423"/>
      <c r="AE121" s="759">
        <v>175654697</v>
      </c>
      <c r="AF121" s="423" t="s">
        <v>228</v>
      </c>
      <c r="AG121" s="423" t="s">
        <v>835</v>
      </c>
      <c r="AH121" s="423" t="s">
        <v>546</v>
      </c>
    </row>
    <row r="122" spans="1:34" s="62" customFormat="1" ht="102" customHeight="1" x14ac:dyDescent="0.25">
      <c r="A122" s="187" t="s">
        <v>895</v>
      </c>
      <c r="B122" s="104" t="s">
        <v>237</v>
      </c>
      <c r="C122" s="161" t="s">
        <v>846</v>
      </c>
      <c r="D122" s="201" t="s">
        <v>946</v>
      </c>
      <c r="E122" s="229" t="s">
        <v>238</v>
      </c>
      <c r="F122" s="76" t="s">
        <v>947</v>
      </c>
      <c r="G122" s="102" t="s">
        <v>950</v>
      </c>
      <c r="H122" s="201" t="s">
        <v>927</v>
      </c>
      <c r="I122" s="200" t="s">
        <v>952</v>
      </c>
      <c r="J122" s="143" t="s">
        <v>1078</v>
      </c>
      <c r="K122" s="759">
        <v>0</v>
      </c>
      <c r="L122" s="420" t="s">
        <v>470</v>
      </c>
      <c r="M122" s="422" t="s">
        <v>156</v>
      </c>
      <c r="N122" s="420" t="s">
        <v>587</v>
      </c>
      <c r="O122" s="420"/>
      <c r="P122" s="420"/>
      <c r="Q122" s="420" t="s">
        <v>831</v>
      </c>
      <c r="R122" s="420"/>
      <c r="S122" s="423" t="s">
        <v>166</v>
      </c>
      <c r="T122" s="420">
        <v>1</v>
      </c>
      <c r="U122" s="420">
        <v>0</v>
      </c>
      <c r="V122" s="119">
        <v>0</v>
      </c>
      <c r="W122" s="119">
        <v>1</v>
      </c>
      <c r="X122" s="119">
        <v>0</v>
      </c>
      <c r="Y122" s="420"/>
      <c r="Z122" s="423"/>
      <c r="AA122" s="450"/>
      <c r="AB122" s="423" t="s">
        <v>860</v>
      </c>
      <c r="AC122" s="423" t="s">
        <v>239</v>
      </c>
      <c r="AD122" s="423"/>
      <c r="AE122" s="759">
        <v>0</v>
      </c>
      <c r="AF122" s="423" t="s">
        <v>228</v>
      </c>
      <c r="AG122" s="423" t="s">
        <v>835</v>
      </c>
      <c r="AH122" s="423" t="s">
        <v>546</v>
      </c>
    </row>
    <row r="123" spans="1:34" s="62" customFormat="1" ht="98.25" customHeight="1" x14ac:dyDescent="0.25">
      <c r="A123" s="187" t="s">
        <v>895</v>
      </c>
      <c r="B123" s="104" t="s">
        <v>237</v>
      </c>
      <c r="C123" s="161" t="s">
        <v>846</v>
      </c>
      <c r="D123" s="103" t="s">
        <v>946</v>
      </c>
      <c r="E123" s="229" t="s">
        <v>238</v>
      </c>
      <c r="F123" s="76" t="s">
        <v>947</v>
      </c>
      <c r="G123" s="102" t="s">
        <v>951</v>
      </c>
      <c r="H123" s="201" t="s">
        <v>927</v>
      </c>
      <c r="I123" s="200" t="s">
        <v>952</v>
      </c>
      <c r="J123" s="143" t="s">
        <v>1078</v>
      </c>
      <c r="K123" s="759">
        <v>0</v>
      </c>
      <c r="L123" s="420" t="s">
        <v>471</v>
      </c>
      <c r="M123" s="352" t="s">
        <v>212</v>
      </c>
      <c r="N123" s="420" t="s">
        <v>773</v>
      </c>
      <c r="O123" s="420" t="s">
        <v>1180</v>
      </c>
      <c r="P123" s="420" t="s">
        <v>1192</v>
      </c>
      <c r="Q123" s="420" t="s">
        <v>1193</v>
      </c>
      <c r="R123" s="420"/>
      <c r="S123" s="423" t="s">
        <v>166</v>
      </c>
      <c r="T123" s="420">
        <v>1</v>
      </c>
      <c r="U123" s="420">
        <v>0</v>
      </c>
      <c r="V123" s="119">
        <v>0</v>
      </c>
      <c r="W123" s="119">
        <v>1</v>
      </c>
      <c r="X123" s="119">
        <v>0</v>
      </c>
      <c r="Y123" s="420"/>
      <c r="Z123" s="423"/>
      <c r="AA123" s="450"/>
      <c r="AB123" s="423" t="s">
        <v>860</v>
      </c>
      <c r="AC123" s="423" t="s">
        <v>239</v>
      </c>
      <c r="AD123" s="423"/>
      <c r="AE123" s="759">
        <v>0</v>
      </c>
      <c r="AF123" s="423" t="s">
        <v>228</v>
      </c>
      <c r="AG123" s="423" t="s">
        <v>835</v>
      </c>
      <c r="AH123" s="423" t="s">
        <v>546</v>
      </c>
    </row>
    <row r="124" spans="1:34" s="62" customFormat="1" ht="130.5" customHeight="1" x14ac:dyDescent="0.25">
      <c r="A124" s="187" t="s">
        <v>895</v>
      </c>
      <c r="B124" s="104" t="s">
        <v>237</v>
      </c>
      <c r="C124" s="161" t="s">
        <v>846</v>
      </c>
      <c r="D124" s="103" t="s">
        <v>945</v>
      </c>
      <c r="E124" s="229" t="s">
        <v>238</v>
      </c>
      <c r="F124" s="76" t="s">
        <v>947</v>
      </c>
      <c r="G124" s="200" t="s">
        <v>951</v>
      </c>
      <c r="H124" s="201" t="s">
        <v>927</v>
      </c>
      <c r="I124" s="200" t="s">
        <v>952</v>
      </c>
      <c r="J124" s="143" t="s">
        <v>1078</v>
      </c>
      <c r="K124" s="124">
        <v>0</v>
      </c>
      <c r="L124" s="420" t="s">
        <v>472</v>
      </c>
      <c r="M124" s="422" t="s">
        <v>156</v>
      </c>
      <c r="N124" s="420" t="s">
        <v>571</v>
      </c>
      <c r="O124" s="420"/>
      <c r="P124" s="420"/>
      <c r="Q124" s="420" t="s">
        <v>831</v>
      </c>
      <c r="R124" s="420"/>
      <c r="S124" s="423" t="s">
        <v>166</v>
      </c>
      <c r="T124" s="420">
        <v>124</v>
      </c>
      <c r="U124" s="420">
        <v>0</v>
      </c>
      <c r="V124" s="119">
        <v>0</v>
      </c>
      <c r="W124" s="119">
        <v>0</v>
      </c>
      <c r="X124" s="119">
        <v>124</v>
      </c>
      <c r="Y124" s="119"/>
      <c r="Z124" s="423"/>
      <c r="AA124" s="423"/>
      <c r="AB124" s="423" t="s">
        <v>860</v>
      </c>
      <c r="AC124" s="423"/>
      <c r="AD124" s="423"/>
      <c r="AE124" s="124">
        <v>0</v>
      </c>
      <c r="AF124" s="423" t="s">
        <v>228</v>
      </c>
      <c r="AG124" s="423" t="s">
        <v>835</v>
      </c>
      <c r="AH124" s="423" t="s">
        <v>546</v>
      </c>
    </row>
    <row r="125" spans="1:34" ht="102.75" customHeight="1" x14ac:dyDescent="0.25">
      <c r="A125" s="187" t="s">
        <v>895</v>
      </c>
      <c r="B125" s="104" t="s">
        <v>237</v>
      </c>
      <c r="C125" s="161" t="s">
        <v>846</v>
      </c>
      <c r="D125" s="201" t="s">
        <v>946</v>
      </c>
      <c r="E125" s="214" t="s">
        <v>238</v>
      </c>
      <c r="F125" s="76" t="s">
        <v>947</v>
      </c>
      <c r="G125" s="200" t="s">
        <v>950</v>
      </c>
      <c r="H125" s="201" t="s">
        <v>927</v>
      </c>
      <c r="I125" s="200" t="s">
        <v>953</v>
      </c>
      <c r="J125" s="143" t="s">
        <v>1078</v>
      </c>
      <c r="K125" s="759">
        <v>175654697</v>
      </c>
      <c r="L125" s="420" t="s">
        <v>469</v>
      </c>
      <c r="M125" s="422" t="s">
        <v>156</v>
      </c>
      <c r="N125" s="420" t="s">
        <v>592</v>
      </c>
      <c r="O125" s="420"/>
      <c r="P125" s="420"/>
      <c r="Q125" s="420" t="s">
        <v>831</v>
      </c>
      <c r="R125" s="420"/>
      <c r="S125" s="423" t="s">
        <v>166</v>
      </c>
      <c r="T125" s="133">
        <v>124</v>
      </c>
      <c r="U125" s="133">
        <v>124</v>
      </c>
      <c r="V125" s="423">
        <v>0</v>
      </c>
      <c r="W125" s="423">
        <v>0</v>
      </c>
      <c r="X125" s="423">
        <v>0</v>
      </c>
      <c r="Y125" s="420" t="s">
        <v>651</v>
      </c>
      <c r="Z125" s="423" t="s">
        <v>867</v>
      </c>
      <c r="AA125" s="450" t="s">
        <v>868</v>
      </c>
      <c r="AB125" s="423" t="s">
        <v>860</v>
      </c>
      <c r="AC125" s="423" t="s">
        <v>239</v>
      </c>
      <c r="AD125" s="423"/>
      <c r="AE125" s="759">
        <v>175654697</v>
      </c>
      <c r="AF125" s="423" t="s">
        <v>228</v>
      </c>
      <c r="AG125" s="423" t="s">
        <v>835</v>
      </c>
      <c r="AH125" s="423" t="s">
        <v>546</v>
      </c>
    </row>
    <row r="126" spans="1:34" s="82" customFormat="1" ht="75" customHeight="1" x14ac:dyDescent="0.25">
      <c r="A126" s="116" t="s">
        <v>892</v>
      </c>
      <c r="B126" s="162" t="s">
        <v>65</v>
      </c>
      <c r="C126" s="363" t="s">
        <v>846</v>
      </c>
      <c r="D126" s="160" t="s">
        <v>981</v>
      </c>
      <c r="E126" s="397" t="s">
        <v>246</v>
      </c>
      <c r="F126" s="143" t="s">
        <v>984</v>
      </c>
      <c r="G126" s="160" t="s">
        <v>985</v>
      </c>
      <c r="H126" s="158" t="s">
        <v>986</v>
      </c>
      <c r="I126" s="160" t="s">
        <v>987</v>
      </c>
      <c r="J126" s="252" t="s">
        <v>1079</v>
      </c>
      <c r="K126" s="152">
        <v>500000000</v>
      </c>
      <c r="L126" s="143" t="s">
        <v>240</v>
      </c>
      <c r="M126" s="328" t="s">
        <v>156</v>
      </c>
      <c r="N126" s="143" t="s">
        <v>637</v>
      </c>
      <c r="O126" s="158"/>
      <c r="P126" s="158"/>
      <c r="Q126" s="158"/>
      <c r="R126" s="158"/>
      <c r="S126" s="116" t="s">
        <v>166</v>
      </c>
      <c r="T126" s="398">
        <v>12</v>
      </c>
      <c r="U126" s="116">
        <v>3</v>
      </c>
      <c r="V126" s="116">
        <v>3</v>
      </c>
      <c r="W126" s="116">
        <v>3</v>
      </c>
      <c r="X126" s="116">
        <v>3</v>
      </c>
      <c r="Y126" s="467" t="s">
        <v>652</v>
      </c>
      <c r="Z126" s="423" t="s">
        <v>190</v>
      </c>
      <c r="AA126" s="423" t="s">
        <v>190</v>
      </c>
      <c r="AB126" s="423" t="s">
        <v>65</v>
      </c>
      <c r="AC126" s="423" t="s">
        <v>466</v>
      </c>
      <c r="AD126" s="71"/>
      <c r="AE126" s="152">
        <v>500000000</v>
      </c>
      <c r="AF126" s="116" t="s">
        <v>228</v>
      </c>
      <c r="AG126" s="368" t="s">
        <v>837</v>
      </c>
      <c r="AH126" s="116" t="s">
        <v>654</v>
      </c>
    </row>
    <row r="127" spans="1:34" s="82" customFormat="1" ht="63" customHeight="1" x14ac:dyDescent="0.25">
      <c r="A127" s="116" t="s">
        <v>892</v>
      </c>
      <c r="B127" s="162" t="s">
        <v>65</v>
      </c>
      <c r="C127" s="363" t="s">
        <v>846</v>
      </c>
      <c r="D127" s="160" t="s">
        <v>981</v>
      </c>
      <c r="E127" s="397" t="s">
        <v>246</v>
      </c>
      <c r="F127" s="143" t="s">
        <v>984</v>
      </c>
      <c r="G127" s="160" t="s">
        <v>985</v>
      </c>
      <c r="H127" s="158" t="s">
        <v>986</v>
      </c>
      <c r="I127" s="160" t="s">
        <v>987</v>
      </c>
      <c r="J127" s="252" t="s">
        <v>1079</v>
      </c>
      <c r="K127" s="152">
        <v>1000000000</v>
      </c>
      <c r="L127" s="143" t="s">
        <v>240</v>
      </c>
      <c r="M127" s="328" t="s">
        <v>156</v>
      </c>
      <c r="N127" s="143" t="s">
        <v>637</v>
      </c>
      <c r="O127" s="158"/>
      <c r="P127" s="158"/>
      <c r="Q127" s="158"/>
      <c r="R127" s="158"/>
      <c r="S127" s="116" t="s">
        <v>166</v>
      </c>
      <c r="T127" s="398">
        <v>12</v>
      </c>
      <c r="U127" s="116">
        <v>3</v>
      </c>
      <c r="V127" s="116">
        <v>3</v>
      </c>
      <c r="W127" s="116">
        <v>3</v>
      </c>
      <c r="X127" s="116">
        <v>3</v>
      </c>
      <c r="Y127" s="467" t="s">
        <v>653</v>
      </c>
      <c r="Z127" s="423" t="s">
        <v>190</v>
      </c>
      <c r="AA127" s="465" t="s">
        <v>623</v>
      </c>
      <c r="AB127" s="423" t="s">
        <v>65</v>
      </c>
      <c r="AC127" s="423" t="s">
        <v>466</v>
      </c>
      <c r="AD127" s="14"/>
      <c r="AE127" s="152">
        <v>1000000000</v>
      </c>
      <c r="AF127" s="116" t="s">
        <v>228</v>
      </c>
      <c r="AG127" s="368" t="s">
        <v>837</v>
      </c>
      <c r="AH127" s="116" t="s">
        <v>654</v>
      </c>
    </row>
    <row r="128" spans="1:34" s="82" customFormat="1" ht="64.5" customHeight="1" x14ac:dyDescent="0.25">
      <c r="A128" s="187" t="s">
        <v>892</v>
      </c>
      <c r="B128" s="182" t="s">
        <v>65</v>
      </c>
      <c r="C128" s="180" t="s">
        <v>846</v>
      </c>
      <c r="D128" s="200" t="s">
        <v>981</v>
      </c>
      <c r="E128" s="397" t="s">
        <v>872</v>
      </c>
      <c r="F128" s="362" t="s">
        <v>984</v>
      </c>
      <c r="G128" s="361" t="s">
        <v>985</v>
      </c>
      <c r="H128" s="362" t="s">
        <v>986</v>
      </c>
      <c r="I128" s="361" t="s">
        <v>987</v>
      </c>
      <c r="J128" s="252" t="s">
        <v>1079</v>
      </c>
      <c r="K128" s="134">
        <v>60000000</v>
      </c>
      <c r="L128" s="143" t="s">
        <v>241</v>
      </c>
      <c r="M128" s="388" t="s">
        <v>156</v>
      </c>
      <c r="N128" s="158" t="s">
        <v>592</v>
      </c>
      <c r="O128" s="158"/>
      <c r="P128" s="158"/>
      <c r="Q128" s="158"/>
      <c r="R128" s="158"/>
      <c r="S128" s="116" t="s">
        <v>166</v>
      </c>
      <c r="T128" s="398">
        <v>23</v>
      </c>
      <c r="U128" s="116">
        <v>3</v>
      </c>
      <c r="V128" s="116">
        <v>5</v>
      </c>
      <c r="W128" s="116">
        <v>7</v>
      </c>
      <c r="X128" s="116">
        <v>8</v>
      </c>
      <c r="Y128" s="467" t="s">
        <v>656</v>
      </c>
      <c r="Z128" s="423" t="s">
        <v>190</v>
      </c>
      <c r="AA128" s="423" t="s">
        <v>190</v>
      </c>
      <c r="AB128" s="423" t="s">
        <v>65</v>
      </c>
      <c r="AC128" s="423" t="s">
        <v>247</v>
      </c>
      <c r="AE128" s="134">
        <v>60000000</v>
      </c>
      <c r="AF128" s="116" t="s">
        <v>228</v>
      </c>
      <c r="AG128" s="368" t="s">
        <v>837</v>
      </c>
      <c r="AH128" s="116" t="s">
        <v>654</v>
      </c>
    </row>
    <row r="129" spans="1:34" s="62" customFormat="1" ht="97.5" customHeight="1" x14ac:dyDescent="0.25">
      <c r="A129" s="187" t="s">
        <v>892</v>
      </c>
      <c r="B129" s="182" t="s">
        <v>65</v>
      </c>
      <c r="C129" s="180" t="s">
        <v>846</v>
      </c>
      <c r="D129" s="200" t="s">
        <v>981</v>
      </c>
      <c r="E129" s="397" t="s">
        <v>246</v>
      </c>
      <c r="F129" s="362" t="s">
        <v>984</v>
      </c>
      <c r="G129" s="361" t="s">
        <v>985</v>
      </c>
      <c r="H129" s="362" t="s">
        <v>986</v>
      </c>
      <c r="I129" s="361" t="s">
        <v>987</v>
      </c>
      <c r="J129" s="399"/>
      <c r="K129" s="134">
        <v>3255845000</v>
      </c>
      <c r="L129" s="143" t="s">
        <v>241</v>
      </c>
      <c r="M129" s="388" t="s">
        <v>156</v>
      </c>
      <c r="N129" s="158" t="s">
        <v>592</v>
      </c>
      <c r="O129" s="158"/>
      <c r="P129" s="158"/>
      <c r="Q129" s="158"/>
      <c r="R129" s="158"/>
      <c r="S129" s="116" t="s">
        <v>166</v>
      </c>
      <c r="T129" s="398">
        <v>23</v>
      </c>
      <c r="U129" s="116">
        <v>3</v>
      </c>
      <c r="V129" s="116">
        <v>5</v>
      </c>
      <c r="W129" s="116">
        <v>7</v>
      </c>
      <c r="X129" s="116">
        <v>8</v>
      </c>
      <c r="Y129" s="467" t="s">
        <v>655</v>
      </c>
      <c r="Z129" s="423" t="s">
        <v>867</v>
      </c>
      <c r="AA129" s="450" t="s">
        <v>868</v>
      </c>
      <c r="AB129" s="423" t="s">
        <v>65</v>
      </c>
      <c r="AC129" s="423" t="s">
        <v>247</v>
      </c>
      <c r="AD129" s="423"/>
      <c r="AE129" s="134">
        <v>3255845000</v>
      </c>
      <c r="AF129" s="116" t="s">
        <v>228</v>
      </c>
      <c r="AG129" s="368" t="s">
        <v>837</v>
      </c>
      <c r="AH129" s="116" t="s">
        <v>654</v>
      </c>
    </row>
    <row r="130" spans="1:34" ht="111.75" customHeight="1" x14ac:dyDescent="0.25">
      <c r="A130" s="187" t="s">
        <v>892</v>
      </c>
      <c r="B130" s="182" t="s">
        <v>65</v>
      </c>
      <c r="C130" s="180" t="s">
        <v>846</v>
      </c>
      <c r="D130" s="200" t="s">
        <v>981</v>
      </c>
      <c r="E130" s="262" t="s">
        <v>246</v>
      </c>
      <c r="F130" s="201" t="s">
        <v>984</v>
      </c>
      <c r="G130" s="200" t="s">
        <v>985</v>
      </c>
      <c r="H130" s="103" t="s">
        <v>986</v>
      </c>
      <c r="I130" s="200" t="s">
        <v>987</v>
      </c>
      <c r="J130" s="252" t="s">
        <v>1079</v>
      </c>
      <c r="K130" s="468">
        <v>101677000</v>
      </c>
      <c r="L130" s="420" t="s">
        <v>242</v>
      </c>
      <c r="M130" s="422" t="s">
        <v>156</v>
      </c>
      <c r="N130" s="420" t="s">
        <v>572</v>
      </c>
      <c r="O130" s="420"/>
      <c r="P130" s="420"/>
      <c r="Q130" s="420"/>
      <c r="R130" s="420"/>
      <c r="S130" s="423" t="s">
        <v>166</v>
      </c>
      <c r="T130" s="135">
        <v>146</v>
      </c>
      <c r="U130" s="420">
        <v>8</v>
      </c>
      <c r="V130" s="420">
        <v>25</v>
      </c>
      <c r="W130" s="420">
        <v>49</v>
      </c>
      <c r="X130" s="420">
        <v>64</v>
      </c>
      <c r="Y130" s="467" t="s">
        <v>657</v>
      </c>
      <c r="Z130" s="423" t="s">
        <v>190</v>
      </c>
      <c r="AA130" s="423" t="s">
        <v>190</v>
      </c>
      <c r="AB130" s="423" t="s">
        <v>65</v>
      </c>
      <c r="AC130" s="423" t="s">
        <v>247</v>
      </c>
      <c r="AD130" s="436"/>
      <c r="AE130" s="468">
        <v>101677000</v>
      </c>
      <c r="AF130" s="423" t="s">
        <v>228</v>
      </c>
      <c r="AG130" s="912" t="s">
        <v>837</v>
      </c>
      <c r="AH130" s="423" t="s">
        <v>654</v>
      </c>
    </row>
    <row r="131" spans="1:34" ht="135" customHeight="1" x14ac:dyDescent="0.25">
      <c r="A131" s="187" t="s">
        <v>892</v>
      </c>
      <c r="B131" s="182" t="s">
        <v>65</v>
      </c>
      <c r="C131" s="180" t="s">
        <v>846</v>
      </c>
      <c r="D131" s="200" t="s">
        <v>981</v>
      </c>
      <c r="E131" s="223" t="s">
        <v>246</v>
      </c>
      <c r="F131" s="201" t="s">
        <v>984</v>
      </c>
      <c r="G131" s="200" t="s">
        <v>985</v>
      </c>
      <c r="H131" s="103" t="s">
        <v>986</v>
      </c>
      <c r="I131" s="200" t="s">
        <v>987</v>
      </c>
      <c r="J131" s="252" t="s">
        <v>1079</v>
      </c>
      <c r="K131" s="437">
        <v>0</v>
      </c>
      <c r="L131" s="420" t="s">
        <v>243</v>
      </c>
      <c r="M131" s="422" t="s">
        <v>156</v>
      </c>
      <c r="N131" s="420" t="s">
        <v>592</v>
      </c>
      <c r="O131" s="420"/>
      <c r="P131" s="420"/>
      <c r="Q131" s="420"/>
      <c r="R131" s="420"/>
      <c r="S131" s="423" t="s">
        <v>166</v>
      </c>
      <c r="T131" s="135">
        <v>7360</v>
      </c>
      <c r="U131" s="420">
        <v>1840</v>
      </c>
      <c r="V131" s="420">
        <v>1840</v>
      </c>
      <c r="W131" s="420">
        <v>1840</v>
      </c>
      <c r="X131" s="420">
        <v>1840</v>
      </c>
      <c r="Y131" s="420"/>
      <c r="Z131" s="423"/>
      <c r="AA131" s="423"/>
      <c r="AB131" s="423" t="s">
        <v>65</v>
      </c>
      <c r="AC131" s="423"/>
      <c r="AD131" s="423"/>
      <c r="AE131" s="777">
        <v>0</v>
      </c>
      <c r="AF131" s="423" t="s">
        <v>228</v>
      </c>
      <c r="AG131" s="913"/>
      <c r="AH131" s="423" t="s">
        <v>654</v>
      </c>
    </row>
    <row r="132" spans="1:34" ht="132" customHeight="1" x14ac:dyDescent="0.25">
      <c r="A132" s="187" t="s">
        <v>892</v>
      </c>
      <c r="B132" s="182" t="s">
        <v>65</v>
      </c>
      <c r="C132" s="180" t="s">
        <v>846</v>
      </c>
      <c r="D132" s="200" t="s">
        <v>981</v>
      </c>
      <c r="E132" s="223" t="s">
        <v>246</v>
      </c>
      <c r="F132" s="201" t="s">
        <v>984</v>
      </c>
      <c r="G132" s="200" t="s">
        <v>985</v>
      </c>
      <c r="H132" s="103" t="s">
        <v>986</v>
      </c>
      <c r="I132" s="200" t="s">
        <v>987</v>
      </c>
      <c r="J132" s="252" t="s">
        <v>1079</v>
      </c>
      <c r="K132" s="437">
        <v>0</v>
      </c>
      <c r="L132" s="420" t="s">
        <v>244</v>
      </c>
      <c r="M132" s="422" t="s">
        <v>156</v>
      </c>
      <c r="N132" s="420" t="s">
        <v>592</v>
      </c>
      <c r="O132" s="420"/>
      <c r="P132" s="420"/>
      <c r="Q132" s="420"/>
      <c r="R132" s="420"/>
      <c r="S132" s="423" t="s">
        <v>166</v>
      </c>
      <c r="T132" s="135">
        <v>54730</v>
      </c>
      <c r="U132" s="420">
        <v>9257</v>
      </c>
      <c r="V132" s="420">
        <v>17115</v>
      </c>
      <c r="W132" s="420">
        <v>16339</v>
      </c>
      <c r="X132" s="420">
        <v>12019</v>
      </c>
      <c r="Y132" s="420"/>
      <c r="Z132" s="423"/>
      <c r="AA132" s="423"/>
      <c r="AB132" s="423" t="s">
        <v>65</v>
      </c>
      <c r="AC132" s="423"/>
      <c r="AD132" s="423"/>
      <c r="AE132" s="777">
        <v>0</v>
      </c>
      <c r="AF132" s="423" t="s">
        <v>228</v>
      </c>
      <c r="AG132" s="423" t="s">
        <v>837</v>
      </c>
      <c r="AH132" s="423" t="s">
        <v>654</v>
      </c>
    </row>
    <row r="133" spans="1:34" s="82" customFormat="1" ht="48.75" customHeight="1" x14ac:dyDescent="0.25">
      <c r="A133" s="368" t="s">
        <v>892</v>
      </c>
      <c r="B133" s="363" t="s">
        <v>65</v>
      </c>
      <c r="C133" s="363" t="s">
        <v>846</v>
      </c>
      <c r="D133" s="378" t="s">
        <v>981</v>
      </c>
      <c r="E133" s="400" t="s">
        <v>246</v>
      </c>
      <c r="F133" s="158" t="s">
        <v>984</v>
      </c>
      <c r="G133" s="378" t="s">
        <v>985</v>
      </c>
      <c r="H133" s="158" t="s">
        <v>986</v>
      </c>
      <c r="I133" s="378" t="s">
        <v>987</v>
      </c>
      <c r="J133" s="252" t="s">
        <v>1079</v>
      </c>
      <c r="K133" s="753">
        <v>2240880243</v>
      </c>
      <c r="L133" s="143" t="s">
        <v>245</v>
      </c>
      <c r="M133" s="328" t="s">
        <v>156</v>
      </c>
      <c r="N133" s="143" t="s">
        <v>587</v>
      </c>
      <c r="O133" s="158"/>
      <c r="P133" s="158"/>
      <c r="Q133" s="158"/>
      <c r="R133" s="158"/>
      <c r="S133" s="116" t="s">
        <v>166</v>
      </c>
      <c r="T133" s="398">
        <v>3</v>
      </c>
      <c r="U133" s="116">
        <v>0</v>
      </c>
      <c r="V133" s="116">
        <v>0</v>
      </c>
      <c r="W133" s="116">
        <v>3</v>
      </c>
      <c r="X133" s="116">
        <v>0</v>
      </c>
      <c r="Y133" s="467" t="s">
        <v>659</v>
      </c>
      <c r="Z133" s="423" t="s">
        <v>454</v>
      </c>
      <c r="AA133" s="423" t="s">
        <v>869</v>
      </c>
      <c r="AB133" s="423" t="s">
        <v>65</v>
      </c>
      <c r="AC133" s="423" t="s">
        <v>247</v>
      </c>
      <c r="AE133" s="753">
        <v>2240880243</v>
      </c>
      <c r="AF133" s="116" t="s">
        <v>228</v>
      </c>
      <c r="AG133" s="368" t="s">
        <v>837</v>
      </c>
      <c r="AH133" s="116" t="s">
        <v>654</v>
      </c>
    </row>
    <row r="134" spans="1:34" s="364" customFormat="1" ht="120" customHeight="1" x14ac:dyDescent="0.25">
      <c r="A134" s="368" t="s">
        <v>892</v>
      </c>
      <c r="B134" s="363" t="s">
        <v>65</v>
      </c>
      <c r="C134" s="363" t="s">
        <v>846</v>
      </c>
      <c r="D134" s="378" t="s">
        <v>981</v>
      </c>
      <c r="E134" s="400" t="s">
        <v>246</v>
      </c>
      <c r="F134" s="158" t="s">
        <v>984</v>
      </c>
      <c r="G134" s="378" t="s">
        <v>985</v>
      </c>
      <c r="H134" s="158" t="s">
        <v>986</v>
      </c>
      <c r="I134" s="378" t="s">
        <v>987</v>
      </c>
      <c r="J134" s="252" t="s">
        <v>1079</v>
      </c>
      <c r="K134" s="753">
        <v>3665667459</v>
      </c>
      <c r="L134" s="143" t="s">
        <v>245</v>
      </c>
      <c r="M134" s="328" t="s">
        <v>156</v>
      </c>
      <c r="N134" s="143" t="s">
        <v>587</v>
      </c>
      <c r="O134" s="158"/>
      <c r="P134" s="158"/>
      <c r="Q134" s="158"/>
      <c r="R134" s="158"/>
      <c r="S134" s="116" t="s">
        <v>166</v>
      </c>
      <c r="T134" s="398">
        <v>3</v>
      </c>
      <c r="U134" s="116">
        <v>0</v>
      </c>
      <c r="V134" s="116">
        <v>0</v>
      </c>
      <c r="W134" s="116">
        <v>3</v>
      </c>
      <c r="X134" s="116">
        <v>0</v>
      </c>
      <c r="Y134" s="467" t="s">
        <v>658</v>
      </c>
      <c r="Z134" s="423" t="s">
        <v>867</v>
      </c>
      <c r="AA134" s="450" t="s">
        <v>868</v>
      </c>
      <c r="AB134" s="423" t="s">
        <v>65</v>
      </c>
      <c r="AC134" s="423" t="s">
        <v>247</v>
      </c>
      <c r="AD134" s="423"/>
      <c r="AE134" s="753">
        <v>3665667459</v>
      </c>
      <c r="AF134" s="116" t="s">
        <v>228</v>
      </c>
      <c r="AG134" s="368" t="s">
        <v>837</v>
      </c>
      <c r="AH134" s="116" t="s">
        <v>654</v>
      </c>
    </row>
    <row r="135" spans="1:34" s="505" customFormat="1" ht="120" customHeight="1" x14ac:dyDescent="0.25">
      <c r="A135" s="368" t="s">
        <v>892</v>
      </c>
      <c r="B135" s="428" t="s">
        <v>65</v>
      </c>
      <c r="C135" s="428" t="s">
        <v>846</v>
      </c>
      <c r="D135" s="378" t="s">
        <v>981</v>
      </c>
      <c r="E135" s="400" t="s">
        <v>246</v>
      </c>
      <c r="F135" s="158"/>
      <c r="G135" s="378"/>
      <c r="H135" s="158"/>
      <c r="I135" s="378"/>
      <c r="J135" s="252"/>
      <c r="K135" s="753">
        <v>3187500000</v>
      </c>
      <c r="L135" s="585" t="s">
        <v>245</v>
      </c>
      <c r="M135" s="328"/>
      <c r="N135" s="143"/>
      <c r="O135" s="158"/>
      <c r="P135" s="158"/>
      <c r="Q135" s="158"/>
      <c r="R135" s="158"/>
      <c r="S135" s="116"/>
      <c r="T135" s="398">
        <v>3</v>
      </c>
      <c r="U135" s="116">
        <v>0</v>
      </c>
      <c r="V135" s="116">
        <v>0</v>
      </c>
      <c r="W135" s="116">
        <v>3</v>
      </c>
      <c r="X135" s="116">
        <v>0</v>
      </c>
      <c r="Y135" s="507" t="s">
        <v>1236</v>
      </c>
      <c r="Z135" s="523" t="s">
        <v>1237</v>
      </c>
      <c r="AA135" s="465" t="s">
        <v>689</v>
      </c>
      <c r="AB135" s="497" t="s">
        <v>65</v>
      </c>
      <c r="AC135" s="497" t="s">
        <v>247</v>
      </c>
      <c r="AD135" s="497"/>
      <c r="AE135" s="753">
        <v>3187500000</v>
      </c>
      <c r="AF135" s="116" t="s">
        <v>228</v>
      </c>
      <c r="AG135" s="368" t="s">
        <v>837</v>
      </c>
      <c r="AH135" s="116" t="s">
        <v>654</v>
      </c>
    </row>
    <row r="136" spans="1:34" s="100" customFormat="1" ht="90.75" customHeight="1" x14ac:dyDescent="0.25">
      <c r="A136" s="187" t="s">
        <v>892</v>
      </c>
      <c r="B136" s="104" t="s">
        <v>65</v>
      </c>
      <c r="C136" s="182" t="s">
        <v>846</v>
      </c>
      <c r="D136" s="200" t="s">
        <v>982</v>
      </c>
      <c r="E136" s="263" t="s">
        <v>246</v>
      </c>
      <c r="F136" s="103" t="s">
        <v>984</v>
      </c>
      <c r="G136" s="102" t="s">
        <v>985</v>
      </c>
      <c r="H136" s="103" t="s">
        <v>986</v>
      </c>
      <c r="I136" s="200" t="s">
        <v>987</v>
      </c>
      <c r="J136" s="253" t="s">
        <v>1079</v>
      </c>
      <c r="K136" s="469">
        <v>600000000</v>
      </c>
      <c r="L136" s="255" t="s">
        <v>660</v>
      </c>
      <c r="M136" s="422" t="s">
        <v>156</v>
      </c>
      <c r="N136" s="420" t="s">
        <v>587</v>
      </c>
      <c r="O136" s="420"/>
      <c r="P136" s="420"/>
      <c r="Q136" s="420"/>
      <c r="R136" s="420"/>
      <c r="S136" s="423" t="s">
        <v>166</v>
      </c>
      <c r="T136" s="135">
        <v>25</v>
      </c>
      <c r="U136" s="423">
        <v>0</v>
      </c>
      <c r="V136" s="423">
        <v>10</v>
      </c>
      <c r="W136" s="423">
        <v>10</v>
      </c>
      <c r="X136" s="423">
        <v>5</v>
      </c>
      <c r="Y136" s="467" t="s">
        <v>661</v>
      </c>
      <c r="Z136" s="423" t="s">
        <v>190</v>
      </c>
      <c r="AA136" s="423" t="s">
        <v>190</v>
      </c>
      <c r="AB136" s="423" t="s">
        <v>65</v>
      </c>
      <c r="AC136" s="423" t="s">
        <v>247</v>
      </c>
      <c r="AD136" s="71"/>
      <c r="AE136" s="469">
        <v>600000000</v>
      </c>
      <c r="AF136" s="423" t="s">
        <v>228</v>
      </c>
      <c r="AG136" s="423" t="s">
        <v>837</v>
      </c>
      <c r="AH136" s="423" t="s">
        <v>654</v>
      </c>
    </row>
    <row r="137" spans="1:34" s="82" customFormat="1" ht="59.25" customHeight="1" x14ac:dyDescent="0.25">
      <c r="A137" s="116" t="s">
        <v>893</v>
      </c>
      <c r="B137" s="162" t="s">
        <v>250</v>
      </c>
      <c r="C137" s="363" t="s">
        <v>845</v>
      </c>
      <c r="D137" s="76" t="s">
        <v>983</v>
      </c>
      <c r="E137" s="401" t="s">
        <v>249</v>
      </c>
      <c r="F137" s="160" t="s">
        <v>896</v>
      </c>
      <c r="G137" s="160" t="s">
        <v>909</v>
      </c>
      <c r="H137" s="158" t="s">
        <v>913</v>
      </c>
      <c r="I137" s="160" t="s">
        <v>1135</v>
      </c>
      <c r="J137" s="402" t="s">
        <v>1080</v>
      </c>
      <c r="K137" s="423">
        <v>15000000</v>
      </c>
      <c r="L137" s="143" t="s">
        <v>476</v>
      </c>
      <c r="M137" s="328" t="s">
        <v>156</v>
      </c>
      <c r="N137" s="158" t="s">
        <v>1145</v>
      </c>
      <c r="O137" s="158"/>
      <c r="P137" s="158"/>
      <c r="Q137" s="158"/>
      <c r="R137" s="158"/>
      <c r="S137" s="116" t="s">
        <v>166</v>
      </c>
      <c r="T137" s="143">
        <v>8</v>
      </c>
      <c r="U137" s="116">
        <v>2</v>
      </c>
      <c r="V137" s="116">
        <v>2</v>
      </c>
      <c r="W137" s="116">
        <v>2</v>
      </c>
      <c r="X137" s="116">
        <v>2</v>
      </c>
      <c r="Y137" s="423" t="s">
        <v>1205</v>
      </c>
      <c r="Z137" s="423" t="s">
        <v>190</v>
      </c>
      <c r="AA137" s="423" t="s">
        <v>190</v>
      </c>
      <c r="AB137" s="423" t="s">
        <v>861</v>
      </c>
      <c r="AC137" s="423" t="s">
        <v>477</v>
      </c>
      <c r="AD137" s="14"/>
      <c r="AE137" s="775">
        <v>15000000</v>
      </c>
      <c r="AF137" s="116" t="s">
        <v>228</v>
      </c>
      <c r="AG137" s="368" t="s">
        <v>835</v>
      </c>
      <c r="AH137" s="116" t="s">
        <v>251</v>
      </c>
    </row>
    <row r="138" spans="1:34" s="82" customFormat="1" ht="74.25" customHeight="1" x14ac:dyDescent="0.25">
      <c r="A138" s="116" t="s">
        <v>893</v>
      </c>
      <c r="B138" s="162" t="s">
        <v>250</v>
      </c>
      <c r="C138" s="363" t="s">
        <v>845</v>
      </c>
      <c r="D138" s="76" t="s">
        <v>983</v>
      </c>
      <c r="E138" s="401" t="s">
        <v>249</v>
      </c>
      <c r="F138" s="160" t="s">
        <v>896</v>
      </c>
      <c r="G138" s="160" t="s">
        <v>909</v>
      </c>
      <c r="H138" s="158" t="s">
        <v>913</v>
      </c>
      <c r="I138" s="160" t="s">
        <v>1135</v>
      </c>
      <c r="J138" s="402" t="s">
        <v>1080</v>
      </c>
      <c r="K138" s="423">
        <v>9000000</v>
      </c>
      <c r="L138" s="143" t="s">
        <v>476</v>
      </c>
      <c r="M138" s="328" t="s">
        <v>156</v>
      </c>
      <c r="N138" s="158" t="s">
        <v>1145</v>
      </c>
      <c r="O138" s="158"/>
      <c r="P138" s="158"/>
      <c r="Q138" s="158"/>
      <c r="R138" s="158"/>
      <c r="S138" s="116" t="s">
        <v>166</v>
      </c>
      <c r="T138" s="143">
        <v>8</v>
      </c>
      <c r="U138" s="116">
        <v>2</v>
      </c>
      <c r="V138" s="116">
        <v>2</v>
      </c>
      <c r="W138" s="116">
        <v>2</v>
      </c>
      <c r="X138" s="116">
        <v>2</v>
      </c>
      <c r="Y138" s="423" t="s">
        <v>663</v>
      </c>
      <c r="Z138" s="423" t="s">
        <v>190</v>
      </c>
      <c r="AA138" s="423" t="s">
        <v>190</v>
      </c>
      <c r="AB138" s="423" t="s">
        <v>861</v>
      </c>
      <c r="AC138" s="423" t="s">
        <v>478</v>
      </c>
      <c r="AE138" s="775">
        <v>9000000</v>
      </c>
      <c r="AF138" s="116" t="s">
        <v>228</v>
      </c>
      <c r="AG138" s="368" t="s">
        <v>835</v>
      </c>
      <c r="AH138" s="116" t="s">
        <v>251</v>
      </c>
    </row>
    <row r="139" spans="1:34" s="82" customFormat="1" ht="80.25" customHeight="1" x14ac:dyDescent="0.25">
      <c r="A139" s="368" t="s">
        <v>893</v>
      </c>
      <c r="B139" s="363" t="s">
        <v>250</v>
      </c>
      <c r="C139" s="363" t="s">
        <v>845</v>
      </c>
      <c r="D139" s="403" t="s">
        <v>897</v>
      </c>
      <c r="E139" s="404" t="s">
        <v>249</v>
      </c>
      <c r="F139" s="378" t="s">
        <v>896</v>
      </c>
      <c r="G139" s="378" t="s">
        <v>909</v>
      </c>
      <c r="H139" s="158" t="s">
        <v>914</v>
      </c>
      <c r="I139" s="378" t="s">
        <v>1136</v>
      </c>
      <c r="J139" s="158" t="s">
        <v>1081</v>
      </c>
      <c r="K139" s="330">
        <v>365000000</v>
      </c>
      <c r="L139" s="158" t="s">
        <v>248</v>
      </c>
      <c r="M139" s="388" t="s">
        <v>156</v>
      </c>
      <c r="N139" s="158" t="s">
        <v>572</v>
      </c>
      <c r="O139" s="158"/>
      <c r="P139" s="158" t="s">
        <v>831</v>
      </c>
      <c r="Q139" s="158"/>
      <c r="R139" s="158"/>
      <c r="S139" s="368" t="s">
        <v>166</v>
      </c>
      <c r="T139" s="158">
        <v>125</v>
      </c>
      <c r="U139" s="368">
        <v>0</v>
      </c>
      <c r="V139" s="368">
        <v>0</v>
      </c>
      <c r="W139" s="368">
        <v>0</v>
      </c>
      <c r="X139" s="368">
        <v>125</v>
      </c>
      <c r="Y139" s="333" t="s">
        <v>664</v>
      </c>
      <c r="Z139" s="423" t="s">
        <v>867</v>
      </c>
      <c r="AA139" s="450" t="s">
        <v>868</v>
      </c>
      <c r="AB139" s="423" t="s">
        <v>861</v>
      </c>
      <c r="AC139" s="436" t="s">
        <v>1211</v>
      </c>
      <c r="AD139" s="423"/>
      <c r="AE139" s="330">
        <v>365000000</v>
      </c>
      <c r="AF139" s="368" t="s">
        <v>228</v>
      </c>
      <c r="AG139" s="368" t="s">
        <v>835</v>
      </c>
      <c r="AH139" s="368" t="s">
        <v>251</v>
      </c>
    </row>
    <row r="140" spans="1:34" s="82" customFormat="1" ht="69" customHeight="1" x14ac:dyDescent="0.25">
      <c r="A140" s="368" t="s">
        <v>893</v>
      </c>
      <c r="B140" s="363" t="s">
        <v>250</v>
      </c>
      <c r="C140" s="363" t="s">
        <v>845</v>
      </c>
      <c r="D140" s="403" t="s">
        <v>897</v>
      </c>
      <c r="E140" s="404" t="s">
        <v>249</v>
      </c>
      <c r="F140" s="378" t="s">
        <v>896</v>
      </c>
      <c r="G140" s="378" t="s">
        <v>909</v>
      </c>
      <c r="H140" s="158" t="s">
        <v>914</v>
      </c>
      <c r="I140" s="378" t="s">
        <v>1136</v>
      </c>
      <c r="J140" s="158" t="s">
        <v>1081</v>
      </c>
      <c r="K140" s="330">
        <v>370000000</v>
      </c>
      <c r="L140" s="158" t="s">
        <v>248</v>
      </c>
      <c r="M140" s="388" t="s">
        <v>156</v>
      </c>
      <c r="N140" s="158" t="s">
        <v>572</v>
      </c>
      <c r="O140" s="158"/>
      <c r="P140" s="158" t="s">
        <v>831</v>
      </c>
      <c r="Q140" s="158"/>
      <c r="R140" s="158"/>
      <c r="S140" s="368" t="s">
        <v>166</v>
      </c>
      <c r="T140" s="158">
        <v>125</v>
      </c>
      <c r="U140" s="368">
        <v>0</v>
      </c>
      <c r="V140" s="368">
        <v>0</v>
      </c>
      <c r="W140" s="368">
        <v>0</v>
      </c>
      <c r="X140" s="368">
        <v>125</v>
      </c>
      <c r="Y140" s="333" t="s">
        <v>1218</v>
      </c>
      <c r="Z140" s="423" t="s">
        <v>867</v>
      </c>
      <c r="AA140" s="450" t="s">
        <v>868</v>
      </c>
      <c r="AB140" s="423" t="s">
        <v>861</v>
      </c>
      <c r="AC140" s="743" t="s">
        <v>478</v>
      </c>
      <c r="AD140" s="423"/>
      <c r="AE140" s="330">
        <v>370000000</v>
      </c>
      <c r="AF140" s="368" t="s">
        <v>228</v>
      </c>
      <c r="AG140" s="368" t="s">
        <v>835</v>
      </c>
      <c r="AH140" s="368" t="s">
        <v>251</v>
      </c>
    </row>
    <row r="141" spans="1:34" s="82" customFormat="1" ht="69" customHeight="1" x14ac:dyDescent="0.25">
      <c r="A141" s="368" t="s">
        <v>893</v>
      </c>
      <c r="B141" s="428" t="s">
        <v>250</v>
      </c>
      <c r="C141" s="428" t="s">
        <v>845</v>
      </c>
      <c r="D141" s="403" t="s">
        <v>897</v>
      </c>
      <c r="E141" s="404" t="s">
        <v>249</v>
      </c>
      <c r="F141" s="378"/>
      <c r="G141" s="378"/>
      <c r="H141" s="158"/>
      <c r="I141" s="378"/>
      <c r="J141" s="158"/>
      <c r="K141" s="752">
        <v>210000000</v>
      </c>
      <c r="L141" s="778" t="s">
        <v>248</v>
      </c>
      <c r="M141" s="158">
        <v>125</v>
      </c>
      <c r="N141" s="368">
        <v>0</v>
      </c>
      <c r="O141" s="368">
        <v>0</v>
      </c>
      <c r="P141" s="368">
        <v>0</v>
      </c>
      <c r="Q141" s="368">
        <v>125</v>
      </c>
      <c r="R141" s="158"/>
      <c r="S141" s="368"/>
      <c r="T141" s="158">
        <v>125</v>
      </c>
      <c r="U141" s="368">
        <v>0</v>
      </c>
      <c r="V141" s="368">
        <v>0</v>
      </c>
      <c r="W141" s="368">
        <v>0</v>
      </c>
      <c r="X141" s="368">
        <v>125</v>
      </c>
      <c r="Y141" s="760" t="s">
        <v>1255</v>
      </c>
      <c r="Z141" s="743" t="s">
        <v>1237</v>
      </c>
      <c r="AA141" s="465" t="s">
        <v>689</v>
      </c>
      <c r="AB141" s="743" t="s">
        <v>861</v>
      </c>
      <c r="AC141" s="743" t="s">
        <v>478</v>
      </c>
      <c r="AD141" s="743"/>
      <c r="AE141" s="752">
        <v>210000000</v>
      </c>
      <c r="AF141" s="368" t="s">
        <v>228</v>
      </c>
      <c r="AG141" s="368" t="s">
        <v>835</v>
      </c>
      <c r="AH141" s="368" t="s">
        <v>251</v>
      </c>
    </row>
    <row r="142" spans="1:34" s="82" customFormat="1" ht="89.25" customHeight="1" x14ac:dyDescent="0.25">
      <c r="A142" s="368" t="s">
        <v>893</v>
      </c>
      <c r="B142" s="363" t="s">
        <v>250</v>
      </c>
      <c r="C142" s="363" t="s">
        <v>845</v>
      </c>
      <c r="D142" s="405" t="s">
        <v>898</v>
      </c>
      <c r="E142" s="406" t="s">
        <v>249</v>
      </c>
      <c r="F142" s="378" t="s">
        <v>896</v>
      </c>
      <c r="G142" s="378" t="s">
        <v>909</v>
      </c>
      <c r="H142" s="158" t="s">
        <v>914</v>
      </c>
      <c r="I142" s="378" t="s">
        <v>1134</v>
      </c>
      <c r="J142" s="158" t="s">
        <v>1082</v>
      </c>
      <c r="K142" s="437">
        <v>466708000</v>
      </c>
      <c r="L142" s="158" t="s">
        <v>665</v>
      </c>
      <c r="M142" s="388" t="s">
        <v>156</v>
      </c>
      <c r="N142" s="158" t="s">
        <v>572</v>
      </c>
      <c r="O142" s="158"/>
      <c r="P142" s="158" t="s">
        <v>831</v>
      </c>
      <c r="Q142" s="158"/>
      <c r="R142" s="158"/>
      <c r="S142" s="368" t="s">
        <v>166</v>
      </c>
      <c r="T142" s="407">
        <v>125</v>
      </c>
      <c r="U142" s="158">
        <v>0</v>
      </c>
      <c r="V142" s="158">
        <v>25</v>
      </c>
      <c r="W142" s="158">
        <v>40</v>
      </c>
      <c r="X142" s="158">
        <v>60</v>
      </c>
      <c r="Y142" s="333" t="s">
        <v>1206</v>
      </c>
      <c r="Z142" s="423" t="s">
        <v>867</v>
      </c>
      <c r="AA142" s="450" t="s">
        <v>868</v>
      </c>
      <c r="AB142" s="423" t="s">
        <v>861</v>
      </c>
      <c r="AC142" s="423" t="s">
        <v>479</v>
      </c>
      <c r="AD142" s="423"/>
      <c r="AE142" s="777">
        <v>466708000</v>
      </c>
      <c r="AF142" s="368" t="s">
        <v>228</v>
      </c>
      <c r="AG142" s="368" t="s">
        <v>835</v>
      </c>
      <c r="AH142" s="423" t="s">
        <v>251</v>
      </c>
    </row>
    <row r="143" spans="1:34" s="82" customFormat="1" ht="89.25" customHeight="1" x14ac:dyDescent="0.25">
      <c r="A143" s="368" t="s">
        <v>893</v>
      </c>
      <c r="B143" s="428" t="s">
        <v>250</v>
      </c>
      <c r="C143" s="428" t="s">
        <v>845</v>
      </c>
      <c r="D143" s="405" t="s">
        <v>898</v>
      </c>
      <c r="E143" s="406" t="s">
        <v>249</v>
      </c>
      <c r="F143" s="378"/>
      <c r="G143" s="378"/>
      <c r="H143" s="158"/>
      <c r="I143" s="378"/>
      <c r="J143" s="158"/>
      <c r="K143" s="780">
        <v>69500000</v>
      </c>
      <c r="L143" s="778" t="s">
        <v>665</v>
      </c>
      <c r="M143" s="388"/>
      <c r="N143" s="158"/>
      <c r="O143" s="158"/>
      <c r="P143" s="158"/>
      <c r="Q143" s="158"/>
      <c r="R143" s="158"/>
      <c r="S143" s="368"/>
      <c r="T143" s="407">
        <v>125</v>
      </c>
      <c r="U143" s="158">
        <v>0</v>
      </c>
      <c r="V143" s="158">
        <v>25</v>
      </c>
      <c r="W143" s="158">
        <v>40</v>
      </c>
      <c r="X143" s="158">
        <v>60</v>
      </c>
      <c r="Y143" s="760" t="s">
        <v>1255</v>
      </c>
      <c r="Z143" s="775" t="s">
        <v>1237</v>
      </c>
      <c r="AA143" s="465" t="s">
        <v>689</v>
      </c>
      <c r="AB143" s="775" t="s">
        <v>861</v>
      </c>
      <c r="AC143" s="775" t="s">
        <v>478</v>
      </c>
      <c r="AD143" s="335"/>
      <c r="AE143" s="780">
        <v>69500000</v>
      </c>
      <c r="AF143" s="368"/>
      <c r="AG143" s="368"/>
      <c r="AH143" s="775"/>
    </row>
    <row r="144" spans="1:34" s="82" customFormat="1" ht="84" customHeight="1" x14ac:dyDescent="0.25">
      <c r="A144" s="368" t="s">
        <v>893</v>
      </c>
      <c r="B144" s="363" t="s">
        <v>250</v>
      </c>
      <c r="C144" s="363" t="s">
        <v>845</v>
      </c>
      <c r="D144" s="405" t="s">
        <v>898</v>
      </c>
      <c r="E144" s="406" t="s">
        <v>249</v>
      </c>
      <c r="F144" s="378" t="s">
        <v>896</v>
      </c>
      <c r="G144" s="378" t="s">
        <v>909</v>
      </c>
      <c r="H144" s="158" t="s">
        <v>914</v>
      </c>
      <c r="I144" s="378" t="s">
        <v>1134</v>
      </c>
      <c r="J144" s="158" t="s">
        <v>1082</v>
      </c>
      <c r="K144" s="761">
        <f>365031000</f>
        <v>365031000</v>
      </c>
      <c r="L144" s="158" t="s">
        <v>665</v>
      </c>
      <c r="M144" s="388" t="s">
        <v>156</v>
      </c>
      <c r="N144" s="158" t="s">
        <v>572</v>
      </c>
      <c r="O144" s="158"/>
      <c r="P144" s="158" t="s">
        <v>831</v>
      </c>
      <c r="Q144" s="158"/>
      <c r="R144" s="158"/>
      <c r="S144" s="368" t="s">
        <v>166</v>
      </c>
      <c r="T144" s="407">
        <v>125</v>
      </c>
      <c r="U144" s="158">
        <v>0</v>
      </c>
      <c r="V144" s="158">
        <v>25</v>
      </c>
      <c r="W144" s="158">
        <v>40</v>
      </c>
      <c r="X144" s="158">
        <v>60</v>
      </c>
      <c r="Y144" s="333" t="s">
        <v>1212</v>
      </c>
      <c r="Z144" s="423" t="s">
        <v>867</v>
      </c>
      <c r="AA144" s="450" t="s">
        <v>868</v>
      </c>
      <c r="AB144" s="423" t="s">
        <v>861</v>
      </c>
      <c r="AC144" s="423" t="s">
        <v>478</v>
      </c>
      <c r="AD144" s="335"/>
      <c r="AE144" s="761">
        <f>365031000</f>
        <v>365031000</v>
      </c>
      <c r="AF144" s="368" t="s">
        <v>228</v>
      </c>
      <c r="AG144" s="368" t="s">
        <v>835</v>
      </c>
      <c r="AH144" s="423" t="s">
        <v>251</v>
      </c>
    </row>
    <row r="145" spans="1:34" s="82" customFormat="1" ht="75" customHeight="1" x14ac:dyDescent="0.25">
      <c r="A145" s="338" t="s">
        <v>893</v>
      </c>
      <c r="B145" s="340" t="s">
        <v>250</v>
      </c>
      <c r="C145" s="340" t="s">
        <v>845</v>
      </c>
      <c r="D145" s="350" t="s">
        <v>898</v>
      </c>
      <c r="E145" s="351" t="s">
        <v>249</v>
      </c>
      <c r="F145" s="346" t="s">
        <v>896</v>
      </c>
      <c r="G145" s="346" t="s">
        <v>909</v>
      </c>
      <c r="H145" s="344" t="s">
        <v>914</v>
      </c>
      <c r="I145" s="346" t="s">
        <v>1134</v>
      </c>
      <c r="J145" s="143" t="s">
        <v>1082</v>
      </c>
      <c r="K145" s="470">
        <v>795797000</v>
      </c>
      <c r="L145" s="417" t="s">
        <v>480</v>
      </c>
      <c r="M145" s="353" t="s">
        <v>156</v>
      </c>
      <c r="N145" s="418" t="s">
        <v>572</v>
      </c>
      <c r="O145" s="420"/>
      <c r="P145" s="420"/>
      <c r="Q145" s="420"/>
      <c r="R145" s="420"/>
      <c r="S145" s="413" t="s">
        <v>166</v>
      </c>
      <c r="T145" s="417">
        <v>125</v>
      </c>
      <c r="U145" s="413">
        <v>0</v>
      </c>
      <c r="V145" s="413">
        <v>0</v>
      </c>
      <c r="W145" s="413">
        <v>0</v>
      </c>
      <c r="X145" s="413">
        <v>125</v>
      </c>
      <c r="Y145" s="333" t="s">
        <v>1213</v>
      </c>
      <c r="Z145" s="423" t="s">
        <v>190</v>
      </c>
      <c r="AA145" s="423" t="s">
        <v>190</v>
      </c>
      <c r="AB145" s="423" t="s">
        <v>861</v>
      </c>
      <c r="AC145" s="423" t="s">
        <v>670</v>
      </c>
      <c r="AD145" s="423"/>
      <c r="AE145" s="470">
        <v>795797000</v>
      </c>
      <c r="AF145" s="413" t="s">
        <v>228</v>
      </c>
      <c r="AG145" s="413" t="s">
        <v>835</v>
      </c>
      <c r="AH145" s="413" t="s">
        <v>251</v>
      </c>
    </row>
    <row r="146" spans="1:34" ht="90" customHeight="1" x14ac:dyDescent="0.25">
      <c r="A146" s="187" t="s">
        <v>893</v>
      </c>
      <c r="B146" s="104" t="s">
        <v>250</v>
      </c>
      <c r="C146" s="182" t="s">
        <v>845</v>
      </c>
      <c r="D146" s="76" t="s">
        <v>898</v>
      </c>
      <c r="E146" s="214" t="s">
        <v>249</v>
      </c>
      <c r="F146" s="188" t="s">
        <v>896</v>
      </c>
      <c r="G146" s="102" t="s">
        <v>912</v>
      </c>
      <c r="H146" s="193" t="s">
        <v>914</v>
      </c>
      <c r="I146" s="102" t="s">
        <v>1137</v>
      </c>
      <c r="J146" s="159" t="s">
        <v>1083</v>
      </c>
      <c r="K146" s="752">
        <v>265867567</v>
      </c>
      <c r="L146" s="228" t="s">
        <v>551</v>
      </c>
      <c r="M146" s="420" t="s">
        <v>212</v>
      </c>
      <c r="N146" s="420" t="s">
        <v>1153</v>
      </c>
      <c r="O146" s="420" t="s">
        <v>1180</v>
      </c>
      <c r="P146" s="420" t="s">
        <v>1194</v>
      </c>
      <c r="Q146" s="420"/>
      <c r="R146" s="420"/>
      <c r="S146" s="423" t="s">
        <v>166</v>
      </c>
      <c r="T146" s="123">
        <v>1</v>
      </c>
      <c r="U146" s="423">
        <v>0</v>
      </c>
      <c r="V146" s="423">
        <v>0</v>
      </c>
      <c r="W146" s="423">
        <v>0</v>
      </c>
      <c r="X146" s="423">
        <v>1</v>
      </c>
      <c r="Y146" s="334" t="s">
        <v>1241</v>
      </c>
      <c r="Z146" s="497" t="s">
        <v>1237</v>
      </c>
      <c r="AA146" s="465" t="s">
        <v>689</v>
      </c>
      <c r="AB146" s="497" t="s">
        <v>862</v>
      </c>
      <c r="AC146" s="497" t="s">
        <v>670</v>
      </c>
      <c r="AD146" s="423"/>
      <c r="AE146" s="752">
        <v>265867567</v>
      </c>
      <c r="AF146" s="423" t="s">
        <v>228</v>
      </c>
      <c r="AG146" s="423" t="s">
        <v>835</v>
      </c>
      <c r="AH146" s="423" t="s">
        <v>251</v>
      </c>
    </row>
    <row r="147" spans="1:34" ht="111.75" customHeight="1" x14ac:dyDescent="0.25">
      <c r="A147" s="189" t="s">
        <v>893</v>
      </c>
      <c r="B147" s="104" t="s">
        <v>250</v>
      </c>
      <c r="C147" s="182" t="s">
        <v>845</v>
      </c>
      <c r="D147" s="76" t="s">
        <v>898</v>
      </c>
      <c r="E147" s="214" t="s">
        <v>249</v>
      </c>
      <c r="F147" s="188" t="s">
        <v>896</v>
      </c>
      <c r="G147" s="102" t="s">
        <v>911</v>
      </c>
      <c r="H147" s="193" t="s">
        <v>914</v>
      </c>
      <c r="I147" s="102" t="s">
        <v>1133</v>
      </c>
      <c r="J147" s="159" t="s">
        <v>1084</v>
      </c>
      <c r="K147" s="645">
        <v>800000000</v>
      </c>
      <c r="L147" s="228" t="s">
        <v>481</v>
      </c>
      <c r="M147" s="420" t="s">
        <v>212</v>
      </c>
      <c r="N147" s="420" t="s">
        <v>1154</v>
      </c>
      <c r="O147" s="420" t="s">
        <v>1180</v>
      </c>
      <c r="P147" s="420" t="s">
        <v>1194</v>
      </c>
      <c r="Q147" s="420"/>
      <c r="R147" s="420"/>
      <c r="S147" s="423" t="s">
        <v>166</v>
      </c>
      <c r="T147" s="123">
        <v>2000</v>
      </c>
      <c r="U147" s="423">
        <v>0</v>
      </c>
      <c r="V147" s="423">
        <v>0</v>
      </c>
      <c r="W147" s="423">
        <v>0</v>
      </c>
      <c r="X147" s="423">
        <v>2000</v>
      </c>
      <c r="Y147" s="334" t="s">
        <v>666</v>
      </c>
      <c r="Z147" s="423" t="s">
        <v>867</v>
      </c>
      <c r="AA147" s="450" t="s">
        <v>868</v>
      </c>
      <c r="AB147" s="423" t="s">
        <v>862</v>
      </c>
      <c r="AC147" s="423" t="s">
        <v>479</v>
      </c>
      <c r="AD147" s="423"/>
      <c r="AE147" s="645">
        <v>800000000</v>
      </c>
      <c r="AF147" s="423" t="s">
        <v>228</v>
      </c>
      <c r="AG147" s="423" t="s">
        <v>835</v>
      </c>
      <c r="AH147" s="423" t="s">
        <v>251</v>
      </c>
    </row>
    <row r="148" spans="1:34" s="77" customFormat="1" ht="92.25" customHeight="1" x14ac:dyDescent="0.25">
      <c r="A148" s="189" t="s">
        <v>893</v>
      </c>
      <c r="B148" s="104" t="s">
        <v>250</v>
      </c>
      <c r="C148" s="182" t="s">
        <v>845</v>
      </c>
      <c r="D148" s="76" t="s">
        <v>898</v>
      </c>
      <c r="E148" s="214" t="s">
        <v>249</v>
      </c>
      <c r="F148" s="188" t="s">
        <v>896</v>
      </c>
      <c r="G148" s="102" t="s">
        <v>911</v>
      </c>
      <c r="H148" s="193" t="s">
        <v>914</v>
      </c>
      <c r="I148" s="102" t="s">
        <v>1133</v>
      </c>
      <c r="J148" s="159" t="s">
        <v>1084</v>
      </c>
      <c r="K148" s="645">
        <v>55778038</v>
      </c>
      <c r="L148" s="228" t="s">
        <v>552</v>
      </c>
      <c r="M148" s="422" t="s">
        <v>156</v>
      </c>
      <c r="N148" s="420" t="s">
        <v>572</v>
      </c>
      <c r="O148" s="420"/>
      <c r="P148" s="420" t="s">
        <v>831</v>
      </c>
      <c r="Q148" s="420"/>
      <c r="R148" s="420"/>
      <c r="S148" s="423" t="s">
        <v>166</v>
      </c>
      <c r="T148" s="123">
        <v>100</v>
      </c>
      <c r="U148" s="423">
        <v>0</v>
      </c>
      <c r="V148" s="423">
        <v>0</v>
      </c>
      <c r="W148" s="423">
        <v>0</v>
      </c>
      <c r="X148" s="423">
        <v>100</v>
      </c>
      <c r="Y148" s="334" t="s">
        <v>1207</v>
      </c>
      <c r="Z148" s="423" t="s">
        <v>454</v>
      </c>
      <c r="AA148" s="423" t="s">
        <v>454</v>
      </c>
      <c r="AB148" s="423" t="s">
        <v>862</v>
      </c>
      <c r="AC148" s="423" t="s">
        <v>479</v>
      </c>
      <c r="AD148" s="332"/>
      <c r="AE148" s="645">
        <v>55778038</v>
      </c>
      <c r="AF148" s="423" t="s">
        <v>228</v>
      </c>
      <c r="AG148" s="423" t="s">
        <v>835</v>
      </c>
      <c r="AH148" s="423" t="s">
        <v>251</v>
      </c>
    </row>
    <row r="149" spans="1:34" s="82" customFormat="1" ht="92.25" customHeight="1" x14ac:dyDescent="0.25">
      <c r="A149" s="502" t="s">
        <v>893</v>
      </c>
      <c r="B149" s="502" t="s">
        <v>250</v>
      </c>
      <c r="C149" s="502" t="s">
        <v>845</v>
      </c>
      <c r="D149" s="341" t="s">
        <v>898</v>
      </c>
      <c r="E149" s="339" t="s">
        <v>249</v>
      </c>
      <c r="F149" s="498"/>
      <c r="G149" s="498"/>
      <c r="H149" s="501"/>
      <c r="I149" s="498"/>
      <c r="J149" s="159"/>
      <c r="K149" s="751">
        <v>322132433</v>
      </c>
      <c r="L149" s="746" t="s">
        <v>667</v>
      </c>
      <c r="M149" s="499"/>
      <c r="N149" s="501"/>
      <c r="O149" s="501"/>
      <c r="P149" s="501"/>
      <c r="Q149" s="501"/>
      <c r="R149" s="501"/>
      <c r="S149" s="500"/>
      <c r="T149" s="343">
        <v>250</v>
      </c>
      <c r="U149" s="500">
        <v>0</v>
      </c>
      <c r="V149" s="500">
        <v>125</v>
      </c>
      <c r="W149" s="500">
        <v>125</v>
      </c>
      <c r="X149" s="500">
        <v>0</v>
      </c>
      <c r="Y149" s="334" t="s">
        <v>1241</v>
      </c>
      <c r="Z149" s="497" t="s">
        <v>1237</v>
      </c>
      <c r="AA149" s="465" t="s">
        <v>689</v>
      </c>
      <c r="AB149" s="497" t="s">
        <v>862</v>
      </c>
      <c r="AC149" s="497" t="s">
        <v>670</v>
      </c>
      <c r="AD149" s="332"/>
      <c r="AE149" s="751">
        <v>322132433</v>
      </c>
      <c r="AF149" s="497" t="s">
        <v>228</v>
      </c>
      <c r="AG149" s="497" t="s">
        <v>835</v>
      </c>
      <c r="AH149" s="497" t="s">
        <v>251</v>
      </c>
    </row>
    <row r="150" spans="1:34" s="82" customFormat="1" ht="96" customHeight="1" x14ac:dyDescent="0.25">
      <c r="A150" s="340" t="s">
        <v>893</v>
      </c>
      <c r="B150" s="340" t="s">
        <v>250</v>
      </c>
      <c r="C150" s="340" t="s">
        <v>845</v>
      </c>
      <c r="D150" s="341" t="s">
        <v>898</v>
      </c>
      <c r="E150" s="339" t="s">
        <v>249</v>
      </c>
      <c r="F150" s="188" t="s">
        <v>896</v>
      </c>
      <c r="G150" s="102" t="s">
        <v>909</v>
      </c>
      <c r="H150" s="193" t="s">
        <v>914</v>
      </c>
      <c r="I150" s="102" t="s">
        <v>1134</v>
      </c>
      <c r="J150" s="159" t="s">
        <v>1082</v>
      </c>
      <c r="K150" s="330">
        <v>734937500</v>
      </c>
      <c r="L150" s="417" t="s">
        <v>667</v>
      </c>
      <c r="M150" s="423" t="s">
        <v>212</v>
      </c>
      <c r="N150" s="420" t="s">
        <v>1195</v>
      </c>
      <c r="O150" s="420" t="s">
        <v>1180</v>
      </c>
      <c r="P150" s="420" t="s">
        <v>1194</v>
      </c>
      <c r="Q150" s="420"/>
      <c r="R150" s="420"/>
      <c r="S150" s="413" t="s">
        <v>166</v>
      </c>
      <c r="T150" s="343">
        <v>250</v>
      </c>
      <c r="U150" s="413">
        <v>0</v>
      </c>
      <c r="V150" s="413">
        <v>125</v>
      </c>
      <c r="W150" s="413">
        <v>125</v>
      </c>
      <c r="X150" s="413">
        <v>0</v>
      </c>
      <c r="Y150" s="333" t="s">
        <v>1214</v>
      </c>
      <c r="Z150" s="423" t="s">
        <v>867</v>
      </c>
      <c r="AA150" s="450" t="s">
        <v>868</v>
      </c>
      <c r="AB150" s="423" t="s">
        <v>862</v>
      </c>
      <c r="AC150" s="423" t="s">
        <v>670</v>
      </c>
      <c r="AD150" s="423"/>
      <c r="AE150" s="330">
        <v>734937500</v>
      </c>
      <c r="AF150" s="413" t="s">
        <v>228</v>
      </c>
      <c r="AG150" s="413" t="s">
        <v>835</v>
      </c>
      <c r="AH150" s="413" t="s">
        <v>251</v>
      </c>
    </row>
    <row r="151" spans="1:34" s="77" customFormat="1" ht="105" customHeight="1" x14ac:dyDescent="0.25">
      <c r="A151" s="189" t="s">
        <v>893</v>
      </c>
      <c r="B151" s="104" t="s">
        <v>250</v>
      </c>
      <c r="C151" s="182" t="s">
        <v>845</v>
      </c>
      <c r="D151" s="76" t="s">
        <v>1233</v>
      </c>
      <c r="E151" s="264" t="s">
        <v>543</v>
      </c>
      <c r="F151" s="188" t="s">
        <v>896</v>
      </c>
      <c r="G151" s="194" t="s">
        <v>909</v>
      </c>
      <c r="H151" s="190" t="s">
        <v>1234</v>
      </c>
      <c r="I151" s="188" t="s">
        <v>1235</v>
      </c>
      <c r="J151" s="226" t="s">
        <v>1085</v>
      </c>
      <c r="K151" s="471">
        <v>1920000000</v>
      </c>
      <c r="L151" s="136" t="s">
        <v>823</v>
      </c>
      <c r="M151" s="422" t="s">
        <v>156</v>
      </c>
      <c r="N151" s="420" t="s">
        <v>585</v>
      </c>
      <c r="O151" s="420"/>
      <c r="P151" s="420"/>
      <c r="Q151" s="420"/>
      <c r="R151" s="420"/>
      <c r="S151" s="423" t="s">
        <v>166</v>
      </c>
      <c r="T151" s="123">
        <v>20</v>
      </c>
      <c r="U151" s="420">
        <v>0</v>
      </c>
      <c r="V151" s="420">
        <v>0</v>
      </c>
      <c r="W151" s="420">
        <v>0</v>
      </c>
      <c r="X151" s="420">
        <v>20</v>
      </c>
      <c r="Y151" s="420" t="s">
        <v>828</v>
      </c>
      <c r="Z151" s="423" t="s">
        <v>190</v>
      </c>
      <c r="AA151" s="465" t="s">
        <v>623</v>
      </c>
      <c r="AB151" s="423" t="s">
        <v>861</v>
      </c>
      <c r="AC151" s="82"/>
      <c r="AD151" s="423" t="s">
        <v>553</v>
      </c>
      <c r="AE151" s="471">
        <v>1920000000</v>
      </c>
      <c r="AF151" s="423" t="s">
        <v>228</v>
      </c>
      <c r="AG151" s="423" t="s">
        <v>838</v>
      </c>
      <c r="AH151" s="423" t="s">
        <v>825</v>
      </c>
    </row>
    <row r="152" spans="1:34" s="77" customFormat="1" ht="102" customHeight="1" x14ac:dyDescent="0.25">
      <c r="A152" s="189" t="s">
        <v>893</v>
      </c>
      <c r="B152" s="104" t="s">
        <v>250</v>
      </c>
      <c r="C152" s="182" t="s">
        <v>845</v>
      </c>
      <c r="D152" s="76" t="s">
        <v>1233</v>
      </c>
      <c r="E152" s="264" t="s">
        <v>543</v>
      </c>
      <c r="F152" s="188" t="s">
        <v>896</v>
      </c>
      <c r="G152" s="194" t="s">
        <v>909</v>
      </c>
      <c r="H152" s="190" t="s">
        <v>901</v>
      </c>
      <c r="I152" s="448" t="s">
        <v>1235</v>
      </c>
      <c r="J152" s="226" t="s">
        <v>1085</v>
      </c>
      <c r="K152" s="471">
        <v>480000000</v>
      </c>
      <c r="L152" s="136" t="s">
        <v>180</v>
      </c>
      <c r="M152" s="422" t="s">
        <v>156</v>
      </c>
      <c r="N152" s="420" t="s">
        <v>1151</v>
      </c>
      <c r="O152" s="420"/>
      <c r="P152" s="420"/>
      <c r="Q152" s="420"/>
      <c r="R152" s="420"/>
      <c r="S152" s="423" t="s">
        <v>166</v>
      </c>
      <c r="T152" s="123">
        <v>1</v>
      </c>
      <c r="U152" s="420">
        <v>1</v>
      </c>
      <c r="V152" s="420">
        <v>0</v>
      </c>
      <c r="W152" s="420">
        <v>0</v>
      </c>
      <c r="X152" s="420">
        <v>0</v>
      </c>
      <c r="Y152" s="420" t="s">
        <v>828</v>
      </c>
      <c r="Z152" s="423" t="s">
        <v>190</v>
      </c>
      <c r="AA152" s="465" t="s">
        <v>623</v>
      </c>
      <c r="AB152" s="423" t="s">
        <v>861</v>
      </c>
      <c r="AC152" s="14"/>
      <c r="AD152" s="423" t="s">
        <v>553</v>
      </c>
      <c r="AE152" s="471">
        <v>480000000</v>
      </c>
      <c r="AF152" s="423" t="s">
        <v>228</v>
      </c>
      <c r="AG152" s="423" t="s">
        <v>838</v>
      </c>
      <c r="AH152" s="423" t="s">
        <v>825</v>
      </c>
    </row>
    <row r="153" spans="1:34" s="77" customFormat="1" ht="99.75" customHeight="1" x14ac:dyDescent="0.25">
      <c r="A153" s="189" t="s">
        <v>893</v>
      </c>
      <c r="B153" s="104" t="s">
        <v>250</v>
      </c>
      <c r="C153" s="182" t="s">
        <v>845</v>
      </c>
      <c r="D153" s="76" t="s">
        <v>1233</v>
      </c>
      <c r="E153" s="223" t="s">
        <v>543</v>
      </c>
      <c r="F153" s="188" t="s">
        <v>896</v>
      </c>
      <c r="G153" s="194" t="s">
        <v>909</v>
      </c>
      <c r="H153" s="190" t="s">
        <v>901</v>
      </c>
      <c r="I153" s="448" t="s">
        <v>1235</v>
      </c>
      <c r="J153" s="226" t="s">
        <v>1085</v>
      </c>
      <c r="K153" s="437">
        <v>0</v>
      </c>
      <c r="L153" s="472" t="s">
        <v>824</v>
      </c>
      <c r="M153" s="422" t="s">
        <v>156</v>
      </c>
      <c r="N153" s="420" t="s">
        <v>643</v>
      </c>
      <c r="O153" s="420"/>
      <c r="P153" s="420"/>
      <c r="Q153" s="420"/>
      <c r="R153" s="420"/>
      <c r="S153" s="423" t="s">
        <v>166</v>
      </c>
      <c r="T153" s="123">
        <v>5</v>
      </c>
      <c r="U153" s="423">
        <v>0</v>
      </c>
      <c r="V153" s="423">
        <v>0</v>
      </c>
      <c r="W153" s="423">
        <v>2</v>
      </c>
      <c r="X153" s="113">
        <v>3</v>
      </c>
      <c r="Y153" s="423"/>
      <c r="Z153" s="423"/>
      <c r="AA153" s="423"/>
      <c r="AB153" s="423" t="s">
        <v>861</v>
      </c>
      <c r="AC153" s="423"/>
      <c r="AD153" s="423"/>
      <c r="AE153" s="777">
        <v>0</v>
      </c>
      <c r="AF153" s="423" t="s">
        <v>228</v>
      </c>
      <c r="AG153" s="423" t="s">
        <v>838</v>
      </c>
      <c r="AH153" s="423" t="s">
        <v>825</v>
      </c>
    </row>
    <row r="154" spans="1:34" s="77" customFormat="1" ht="68.25" customHeight="1" x14ac:dyDescent="0.25">
      <c r="A154" s="162" t="s">
        <v>893</v>
      </c>
      <c r="B154" s="162" t="s">
        <v>250</v>
      </c>
      <c r="C154" s="182" t="s">
        <v>845</v>
      </c>
      <c r="D154" s="76" t="s">
        <v>1233</v>
      </c>
      <c r="E154" s="223" t="s">
        <v>543</v>
      </c>
      <c r="F154" s="160" t="s">
        <v>896</v>
      </c>
      <c r="G154" s="160" t="s">
        <v>909</v>
      </c>
      <c r="H154" s="190" t="s">
        <v>901</v>
      </c>
      <c r="I154" s="448" t="s">
        <v>1235</v>
      </c>
      <c r="J154" s="226" t="s">
        <v>1085</v>
      </c>
      <c r="K154" s="437">
        <v>0</v>
      </c>
      <c r="L154" s="472" t="s">
        <v>826</v>
      </c>
      <c r="M154" s="422" t="s">
        <v>156</v>
      </c>
      <c r="N154" s="420" t="s">
        <v>585</v>
      </c>
      <c r="O154" s="420"/>
      <c r="P154" s="420"/>
      <c r="Q154" s="420"/>
      <c r="R154" s="420"/>
      <c r="S154" s="423" t="s">
        <v>166</v>
      </c>
      <c r="T154" s="123">
        <v>1</v>
      </c>
      <c r="U154" s="116">
        <v>0</v>
      </c>
      <c r="V154" s="116">
        <v>0</v>
      </c>
      <c r="W154" s="116">
        <v>0</v>
      </c>
      <c r="X154" s="423">
        <v>1</v>
      </c>
      <c r="Y154" s="423"/>
      <c r="Z154" s="423"/>
      <c r="AA154" s="423"/>
      <c r="AB154" s="423" t="s">
        <v>861</v>
      </c>
      <c r="AC154" s="423"/>
      <c r="AD154" s="423"/>
      <c r="AE154" s="777">
        <v>0</v>
      </c>
      <c r="AF154" s="116" t="s">
        <v>228</v>
      </c>
      <c r="AG154" s="423" t="s">
        <v>838</v>
      </c>
      <c r="AH154" s="116" t="s">
        <v>825</v>
      </c>
    </row>
    <row r="155" spans="1:34" s="77" customFormat="1" ht="85.5" customHeight="1" x14ac:dyDescent="0.25">
      <c r="A155" s="162" t="s">
        <v>893</v>
      </c>
      <c r="B155" s="162" t="s">
        <v>250</v>
      </c>
      <c r="C155" s="182" t="s">
        <v>845</v>
      </c>
      <c r="D155" s="76" t="s">
        <v>1233</v>
      </c>
      <c r="E155" s="223" t="s">
        <v>543</v>
      </c>
      <c r="F155" s="160" t="s">
        <v>896</v>
      </c>
      <c r="G155" s="160" t="s">
        <v>909</v>
      </c>
      <c r="H155" s="190" t="s">
        <v>901</v>
      </c>
      <c r="I155" s="448" t="s">
        <v>1235</v>
      </c>
      <c r="J155" s="226" t="s">
        <v>1085</v>
      </c>
      <c r="K155" s="437">
        <v>0</v>
      </c>
      <c r="L155" s="472" t="s">
        <v>827</v>
      </c>
      <c r="M155" s="432" t="s">
        <v>212</v>
      </c>
      <c r="N155" s="433" t="s">
        <v>772</v>
      </c>
      <c r="O155" s="420"/>
      <c r="P155" s="420"/>
      <c r="Q155" s="420"/>
      <c r="R155" s="420"/>
      <c r="S155" s="423" t="s">
        <v>166</v>
      </c>
      <c r="T155" s="123">
        <v>4</v>
      </c>
      <c r="U155" s="116">
        <v>0</v>
      </c>
      <c r="V155" s="116">
        <v>0</v>
      </c>
      <c r="W155" s="116">
        <v>0</v>
      </c>
      <c r="X155" s="116">
        <v>4</v>
      </c>
      <c r="Y155" s="423"/>
      <c r="Z155" s="423"/>
      <c r="AA155" s="423"/>
      <c r="AB155" s="423" t="s">
        <v>861</v>
      </c>
      <c r="AC155" s="423"/>
      <c r="AD155" s="423"/>
      <c r="AE155" s="777">
        <v>0</v>
      </c>
      <c r="AF155" s="116" t="s">
        <v>228</v>
      </c>
      <c r="AG155" s="423" t="s">
        <v>838</v>
      </c>
      <c r="AH155" s="116" t="s">
        <v>825</v>
      </c>
    </row>
    <row r="156" spans="1:34" ht="119.25" customHeight="1" x14ac:dyDescent="0.25">
      <c r="A156" s="187" t="s">
        <v>892</v>
      </c>
      <c r="B156" s="182" t="s">
        <v>65</v>
      </c>
      <c r="C156" s="182" t="s">
        <v>846</v>
      </c>
      <c r="D156" s="200" t="s">
        <v>982</v>
      </c>
      <c r="E156" s="214" t="s">
        <v>254</v>
      </c>
      <c r="F156" s="201" t="s">
        <v>984</v>
      </c>
      <c r="G156" s="102" t="s">
        <v>988</v>
      </c>
      <c r="H156" s="103" t="s">
        <v>998</v>
      </c>
      <c r="I156" s="102" t="s">
        <v>1138</v>
      </c>
      <c r="J156" s="226" t="s">
        <v>1086</v>
      </c>
      <c r="K156" s="437">
        <v>200000000</v>
      </c>
      <c r="L156" s="439" t="s">
        <v>482</v>
      </c>
      <c r="M156" s="422" t="s">
        <v>156</v>
      </c>
      <c r="N156" s="439" t="s">
        <v>572</v>
      </c>
      <c r="O156" s="439" t="s">
        <v>831</v>
      </c>
      <c r="P156" s="439"/>
      <c r="Q156" s="439"/>
      <c r="R156" s="439"/>
      <c r="S156" s="423" t="s">
        <v>166</v>
      </c>
      <c r="T156" s="420">
        <v>9</v>
      </c>
      <c r="U156" s="423">
        <v>0</v>
      </c>
      <c r="V156" s="423">
        <v>9</v>
      </c>
      <c r="W156" s="423">
        <v>0</v>
      </c>
      <c r="X156" s="423">
        <v>0</v>
      </c>
      <c r="Y156" s="420" t="s">
        <v>671</v>
      </c>
      <c r="Z156" s="423" t="s">
        <v>867</v>
      </c>
      <c r="AA156" s="450" t="s">
        <v>868</v>
      </c>
      <c r="AB156" s="423" t="s">
        <v>65</v>
      </c>
      <c r="AC156" s="423" t="s">
        <v>483</v>
      </c>
      <c r="AD156" s="423"/>
      <c r="AE156" s="777">
        <v>200000000</v>
      </c>
      <c r="AF156" s="423" t="s">
        <v>228</v>
      </c>
      <c r="AG156" s="423" t="s">
        <v>835</v>
      </c>
      <c r="AH156" s="423" t="s">
        <v>260</v>
      </c>
    </row>
    <row r="157" spans="1:34" ht="79.5" customHeight="1" x14ac:dyDescent="0.25">
      <c r="A157" s="187" t="s">
        <v>892</v>
      </c>
      <c r="B157" s="182" t="s">
        <v>65</v>
      </c>
      <c r="C157" s="182" t="s">
        <v>846</v>
      </c>
      <c r="D157" s="200" t="s">
        <v>982</v>
      </c>
      <c r="E157" s="214" t="s">
        <v>254</v>
      </c>
      <c r="F157" s="201" t="s">
        <v>984</v>
      </c>
      <c r="G157" s="200" t="s">
        <v>988</v>
      </c>
      <c r="H157" s="103" t="s">
        <v>998</v>
      </c>
      <c r="I157" s="102" t="s">
        <v>1001</v>
      </c>
      <c r="J157" s="226" t="s">
        <v>1087</v>
      </c>
      <c r="K157" s="437">
        <v>300000000</v>
      </c>
      <c r="L157" s="439" t="s">
        <v>484</v>
      </c>
      <c r="M157" s="422" t="s">
        <v>156</v>
      </c>
      <c r="N157" s="439" t="s">
        <v>571</v>
      </c>
      <c r="O157" s="439" t="s">
        <v>831</v>
      </c>
      <c r="P157" s="439"/>
      <c r="Q157" s="439"/>
      <c r="R157" s="439"/>
      <c r="S157" s="423" t="s">
        <v>166</v>
      </c>
      <c r="T157" s="425">
        <v>39</v>
      </c>
      <c r="U157" s="137">
        <v>0</v>
      </c>
      <c r="V157" s="473">
        <v>10</v>
      </c>
      <c r="W157" s="473">
        <v>16</v>
      </c>
      <c r="X157" s="473">
        <v>13</v>
      </c>
      <c r="Y157" s="420" t="s">
        <v>671</v>
      </c>
      <c r="Z157" s="423" t="s">
        <v>867</v>
      </c>
      <c r="AA157" s="450" t="s">
        <v>868</v>
      </c>
      <c r="AB157" s="423" t="s">
        <v>65</v>
      </c>
      <c r="AC157" s="423" t="s">
        <v>483</v>
      </c>
      <c r="AD157" s="423"/>
      <c r="AE157" s="777">
        <v>300000000</v>
      </c>
      <c r="AF157" s="423" t="s">
        <v>228</v>
      </c>
      <c r="AG157" s="423" t="s">
        <v>835</v>
      </c>
      <c r="AH157" s="423" t="s">
        <v>260</v>
      </c>
    </row>
    <row r="158" spans="1:34" s="82" customFormat="1" ht="85.5" customHeight="1" x14ac:dyDescent="0.25">
      <c r="A158" s="368" t="s">
        <v>892</v>
      </c>
      <c r="B158" s="363" t="s">
        <v>65</v>
      </c>
      <c r="C158" s="363" t="s">
        <v>846</v>
      </c>
      <c r="D158" s="378" t="s">
        <v>982</v>
      </c>
      <c r="E158" s="394" t="s">
        <v>254</v>
      </c>
      <c r="F158" s="378" t="s">
        <v>984</v>
      </c>
      <c r="G158" s="378" t="s">
        <v>988</v>
      </c>
      <c r="H158" s="158" t="s">
        <v>998</v>
      </c>
      <c r="I158" s="378" t="s">
        <v>1139</v>
      </c>
      <c r="J158" s="392" t="s">
        <v>1088</v>
      </c>
      <c r="K158" s="754">
        <v>3679200000</v>
      </c>
      <c r="L158" s="450" t="s">
        <v>485</v>
      </c>
      <c r="M158" s="409" t="s">
        <v>156</v>
      </c>
      <c r="N158" s="410" t="s">
        <v>592</v>
      </c>
      <c r="O158" s="411" t="s">
        <v>831</v>
      </c>
      <c r="P158" s="411"/>
      <c r="Q158" s="411"/>
      <c r="R158" s="411"/>
      <c r="S158" s="116" t="s">
        <v>166</v>
      </c>
      <c r="T158" s="143">
        <v>12</v>
      </c>
      <c r="U158" s="116">
        <v>3</v>
      </c>
      <c r="V158" s="116">
        <v>3</v>
      </c>
      <c r="W158" s="116">
        <v>3</v>
      </c>
      <c r="X158" s="116">
        <v>3</v>
      </c>
      <c r="Y158" s="474" t="s">
        <v>672</v>
      </c>
      <c r="Z158" s="423" t="s">
        <v>867</v>
      </c>
      <c r="AA158" s="450" t="s">
        <v>868</v>
      </c>
      <c r="AB158" s="423" t="s">
        <v>65</v>
      </c>
      <c r="AC158" s="423" t="s">
        <v>673</v>
      </c>
      <c r="AD158" s="423"/>
      <c r="AE158" s="754">
        <v>3679200000</v>
      </c>
      <c r="AF158" s="116" t="s">
        <v>228</v>
      </c>
      <c r="AG158" s="368" t="s">
        <v>835</v>
      </c>
      <c r="AH158" s="116" t="s">
        <v>260</v>
      </c>
    </row>
    <row r="159" spans="1:34" s="82" customFormat="1" ht="67.5" customHeight="1" x14ac:dyDescent="0.25">
      <c r="A159" s="368" t="s">
        <v>892</v>
      </c>
      <c r="B159" s="365" t="s">
        <v>65</v>
      </c>
      <c r="C159" s="365" t="s">
        <v>846</v>
      </c>
      <c r="D159" s="378" t="s">
        <v>982</v>
      </c>
      <c r="E159" s="394" t="s">
        <v>254</v>
      </c>
      <c r="F159" s="378" t="s">
        <v>984</v>
      </c>
      <c r="G159" s="378" t="s">
        <v>988</v>
      </c>
      <c r="H159" s="158" t="s">
        <v>998</v>
      </c>
      <c r="I159" s="378" t="s">
        <v>1139</v>
      </c>
      <c r="J159" s="392" t="s">
        <v>1088</v>
      </c>
      <c r="K159" s="754">
        <v>3027907038</v>
      </c>
      <c r="L159" s="450" t="s">
        <v>485</v>
      </c>
      <c r="M159" s="409" t="s">
        <v>156</v>
      </c>
      <c r="N159" s="410" t="s">
        <v>592</v>
      </c>
      <c r="O159" s="411" t="s">
        <v>831</v>
      </c>
      <c r="P159" s="411"/>
      <c r="Q159" s="411"/>
      <c r="R159" s="411"/>
      <c r="S159" s="116" t="s">
        <v>166</v>
      </c>
      <c r="T159" s="143">
        <v>12</v>
      </c>
      <c r="U159" s="116">
        <v>3</v>
      </c>
      <c r="V159" s="116">
        <v>3</v>
      </c>
      <c r="W159" s="116">
        <v>3</v>
      </c>
      <c r="X159" s="116">
        <v>3</v>
      </c>
      <c r="Y159" s="474" t="s">
        <v>671</v>
      </c>
      <c r="Z159" s="423" t="s">
        <v>867</v>
      </c>
      <c r="AA159" s="450" t="s">
        <v>868</v>
      </c>
      <c r="AB159" s="423" t="s">
        <v>65</v>
      </c>
      <c r="AC159" s="423" t="s">
        <v>483</v>
      </c>
      <c r="AD159" s="423"/>
      <c r="AE159" s="754">
        <v>3027907038</v>
      </c>
      <c r="AF159" s="116" t="s">
        <v>228</v>
      </c>
      <c r="AG159" s="368" t="s">
        <v>835</v>
      </c>
      <c r="AH159" s="116" t="s">
        <v>260</v>
      </c>
    </row>
    <row r="160" spans="1:34" s="82" customFormat="1" ht="67.5" customHeight="1" x14ac:dyDescent="0.25">
      <c r="A160" s="368" t="s">
        <v>892</v>
      </c>
      <c r="B160" s="428" t="s">
        <v>65</v>
      </c>
      <c r="C160" s="428" t="s">
        <v>846</v>
      </c>
      <c r="D160" s="378" t="s">
        <v>982</v>
      </c>
      <c r="E160" s="394" t="s">
        <v>254</v>
      </c>
      <c r="F160" s="508"/>
      <c r="G160" s="508"/>
      <c r="H160" s="355"/>
      <c r="I160" s="508"/>
      <c r="J160" s="509"/>
      <c r="K160" s="538">
        <v>2540000000</v>
      </c>
      <c r="L160" s="603" t="s">
        <v>485</v>
      </c>
      <c r="M160" s="409"/>
      <c r="N160" s="410"/>
      <c r="O160" s="411"/>
      <c r="P160" s="411"/>
      <c r="Q160" s="411"/>
      <c r="R160" s="411"/>
      <c r="S160" s="116" t="s">
        <v>166</v>
      </c>
      <c r="T160" s="790">
        <v>81</v>
      </c>
      <c r="U160" s="796">
        <v>0</v>
      </c>
      <c r="V160" s="796">
        <v>0</v>
      </c>
      <c r="W160" s="796">
        <v>0</v>
      </c>
      <c r="X160" s="796">
        <v>81</v>
      </c>
      <c r="Y160" s="474" t="s">
        <v>1238</v>
      </c>
      <c r="Z160" s="497" t="s">
        <v>1237</v>
      </c>
      <c r="AA160" s="465" t="s">
        <v>689</v>
      </c>
      <c r="AB160" s="497" t="s">
        <v>65</v>
      </c>
      <c r="AC160" s="497" t="s">
        <v>483</v>
      </c>
      <c r="AD160" s="497"/>
      <c r="AE160" s="538">
        <v>2540000000</v>
      </c>
      <c r="AF160" s="116" t="s">
        <v>228</v>
      </c>
      <c r="AG160" s="368" t="s">
        <v>835</v>
      </c>
      <c r="AH160" s="116" t="s">
        <v>260</v>
      </c>
    </row>
    <row r="161" spans="1:34" s="82" customFormat="1" ht="67.5" customHeight="1" x14ac:dyDescent="0.25">
      <c r="A161" s="242" t="s">
        <v>1167</v>
      </c>
      <c r="B161" s="244" t="s">
        <v>65</v>
      </c>
      <c r="C161" s="244" t="s">
        <v>846</v>
      </c>
      <c r="D161" s="243" t="s">
        <v>982</v>
      </c>
      <c r="E161" s="248" t="s">
        <v>1168</v>
      </c>
      <c r="F161" s="243" t="s">
        <v>984</v>
      </c>
      <c r="G161" s="243" t="s">
        <v>988</v>
      </c>
      <c r="H161" s="245" t="s">
        <v>998</v>
      </c>
      <c r="I161" s="243" t="s">
        <v>1139</v>
      </c>
      <c r="J161" s="246" t="s">
        <v>1088</v>
      </c>
      <c r="K161" s="645">
        <v>1320800000</v>
      </c>
      <c r="L161" s="555" t="s">
        <v>1219</v>
      </c>
      <c r="M161" s="422" t="s">
        <v>212</v>
      </c>
      <c r="N161" s="439" t="s">
        <v>1196</v>
      </c>
      <c r="O161" s="247" t="s">
        <v>1197</v>
      </c>
      <c r="P161" s="247" t="s">
        <v>1184</v>
      </c>
      <c r="Q161" s="247" t="s">
        <v>1183</v>
      </c>
      <c r="R161" s="247"/>
      <c r="S161" s="423" t="s">
        <v>166</v>
      </c>
      <c r="T161" s="420">
        <v>115</v>
      </c>
      <c r="U161" s="423">
        <v>0</v>
      </c>
      <c r="V161" s="423">
        <v>115</v>
      </c>
      <c r="W161" s="423">
        <v>0</v>
      </c>
      <c r="X161" s="423">
        <v>0</v>
      </c>
      <c r="Y161" s="474" t="s">
        <v>672</v>
      </c>
      <c r="Z161" s="423" t="s">
        <v>867</v>
      </c>
      <c r="AA161" s="450" t="s">
        <v>868</v>
      </c>
      <c r="AB161" s="423" t="s">
        <v>65</v>
      </c>
      <c r="AC161" s="423" t="s">
        <v>673</v>
      </c>
      <c r="AD161" s="423"/>
      <c r="AE161" s="645">
        <v>1320800000</v>
      </c>
      <c r="AF161" s="423" t="s">
        <v>228</v>
      </c>
      <c r="AG161" s="414" t="s">
        <v>835</v>
      </c>
      <c r="AH161" s="423" t="s">
        <v>260</v>
      </c>
    </row>
    <row r="162" spans="1:34" ht="135.75" customHeight="1" x14ac:dyDescent="0.25">
      <c r="A162" s="187" t="s">
        <v>892</v>
      </c>
      <c r="B162" s="182" t="s">
        <v>65</v>
      </c>
      <c r="C162" s="182" t="s">
        <v>846</v>
      </c>
      <c r="D162" s="200" t="s">
        <v>982</v>
      </c>
      <c r="E162" s="214" t="s">
        <v>254</v>
      </c>
      <c r="F162" s="102" t="s">
        <v>984</v>
      </c>
      <c r="G162" s="102" t="s">
        <v>988</v>
      </c>
      <c r="H162" s="103" t="s">
        <v>998</v>
      </c>
      <c r="I162" s="102" t="s">
        <v>1139</v>
      </c>
      <c r="J162" s="226" t="s">
        <v>1088</v>
      </c>
      <c r="K162" s="645">
        <v>0</v>
      </c>
      <c r="L162" s="555" t="s">
        <v>486</v>
      </c>
      <c r="M162" s="422" t="s">
        <v>156</v>
      </c>
      <c r="N162" s="439" t="s">
        <v>1156</v>
      </c>
      <c r="O162" s="439" t="s">
        <v>831</v>
      </c>
      <c r="P162" s="439"/>
      <c r="Q162" s="439"/>
      <c r="R162" s="439"/>
      <c r="S162" s="423" t="s">
        <v>166</v>
      </c>
      <c r="T162" s="420">
        <v>12</v>
      </c>
      <c r="U162" s="423">
        <v>3</v>
      </c>
      <c r="V162" s="423">
        <v>3</v>
      </c>
      <c r="W162" s="423">
        <v>3</v>
      </c>
      <c r="X162" s="423">
        <v>3</v>
      </c>
      <c r="Y162" s="423"/>
      <c r="Z162" s="423">
        <v>0</v>
      </c>
      <c r="AA162" s="423"/>
      <c r="AB162" s="423" t="s">
        <v>65</v>
      </c>
      <c r="AC162" s="423"/>
      <c r="AD162" s="423"/>
      <c r="AE162" s="645">
        <v>0</v>
      </c>
      <c r="AF162" s="423" t="s">
        <v>228</v>
      </c>
      <c r="AG162" s="423" t="s">
        <v>835</v>
      </c>
      <c r="AH162" s="423" t="s">
        <v>260</v>
      </c>
    </row>
    <row r="163" spans="1:34" s="82" customFormat="1" ht="90.75" customHeight="1" x14ac:dyDescent="0.25">
      <c r="A163" s="116" t="s">
        <v>892</v>
      </c>
      <c r="B163" s="162" t="s">
        <v>65</v>
      </c>
      <c r="C163" s="365" t="s">
        <v>846</v>
      </c>
      <c r="D163" s="378" t="s">
        <v>982</v>
      </c>
      <c r="E163" s="394" t="s">
        <v>254</v>
      </c>
      <c r="F163" s="160" t="s">
        <v>984</v>
      </c>
      <c r="G163" s="160" t="s">
        <v>988</v>
      </c>
      <c r="H163" s="158" t="s">
        <v>998</v>
      </c>
      <c r="I163" s="160" t="s">
        <v>1138</v>
      </c>
      <c r="J163" s="392" t="s">
        <v>1086</v>
      </c>
      <c r="K163" s="672">
        <v>6000000</v>
      </c>
      <c r="L163" s="585" t="s">
        <v>487</v>
      </c>
      <c r="M163" s="328" t="s">
        <v>156</v>
      </c>
      <c r="N163" s="143" t="s">
        <v>1151</v>
      </c>
      <c r="O163" s="158"/>
      <c r="P163" s="158"/>
      <c r="Q163" s="158"/>
      <c r="R163" s="158"/>
      <c r="S163" s="116" t="s">
        <v>166</v>
      </c>
      <c r="T163" s="143">
        <v>4</v>
      </c>
      <c r="U163" s="116">
        <v>4</v>
      </c>
      <c r="V163" s="116">
        <v>0</v>
      </c>
      <c r="W163" s="116">
        <v>0</v>
      </c>
      <c r="X163" s="116">
        <v>0</v>
      </c>
      <c r="Y163" s="474" t="s">
        <v>674</v>
      </c>
      <c r="Z163" s="423" t="s">
        <v>190</v>
      </c>
      <c r="AA163" s="465" t="s">
        <v>623</v>
      </c>
      <c r="AB163" s="423" t="s">
        <v>65</v>
      </c>
      <c r="AC163" s="423" t="s">
        <v>488</v>
      </c>
      <c r="AD163" s="423"/>
      <c r="AE163" s="672">
        <v>6000000</v>
      </c>
      <c r="AF163" s="116" t="s">
        <v>228</v>
      </c>
      <c r="AG163" s="368" t="s">
        <v>835</v>
      </c>
      <c r="AH163" s="116" t="s">
        <v>260</v>
      </c>
    </row>
    <row r="164" spans="1:34" s="82" customFormat="1" ht="81.75" customHeight="1" x14ac:dyDescent="0.25">
      <c r="A164" s="116" t="s">
        <v>892</v>
      </c>
      <c r="B164" s="162" t="s">
        <v>65</v>
      </c>
      <c r="C164" s="365" t="s">
        <v>846</v>
      </c>
      <c r="D164" s="378" t="s">
        <v>982</v>
      </c>
      <c r="E164" s="394" t="s">
        <v>254</v>
      </c>
      <c r="F164" s="160" t="s">
        <v>984</v>
      </c>
      <c r="G164" s="160" t="s">
        <v>988</v>
      </c>
      <c r="H164" s="158" t="s">
        <v>998</v>
      </c>
      <c r="I164" s="160" t="s">
        <v>1138</v>
      </c>
      <c r="J164" s="392" t="s">
        <v>1086</v>
      </c>
      <c r="K164" s="532">
        <v>907063000</v>
      </c>
      <c r="L164" s="585" t="s">
        <v>487</v>
      </c>
      <c r="M164" s="328" t="s">
        <v>156</v>
      </c>
      <c r="N164" s="143" t="s">
        <v>1151</v>
      </c>
      <c r="O164" s="158"/>
      <c r="P164" s="158"/>
      <c r="Q164" s="158"/>
      <c r="R164" s="158"/>
      <c r="S164" s="116" t="s">
        <v>166</v>
      </c>
      <c r="T164" s="143">
        <v>4</v>
      </c>
      <c r="U164" s="116">
        <v>4</v>
      </c>
      <c r="V164" s="116">
        <v>0</v>
      </c>
      <c r="W164" s="116">
        <v>0</v>
      </c>
      <c r="X164" s="116">
        <v>0</v>
      </c>
      <c r="Y164" s="474" t="s">
        <v>675</v>
      </c>
      <c r="Z164" s="423" t="s">
        <v>867</v>
      </c>
      <c r="AA164" s="450" t="s">
        <v>868</v>
      </c>
      <c r="AB164" s="423" t="s">
        <v>65</v>
      </c>
      <c r="AC164" s="423" t="s">
        <v>488</v>
      </c>
      <c r="AD164" s="423"/>
      <c r="AE164" s="532">
        <v>907063000</v>
      </c>
      <c r="AF164" s="116"/>
      <c r="AG164" s="371"/>
      <c r="AH164" s="116"/>
    </row>
    <row r="165" spans="1:34" s="82" customFormat="1" ht="90" customHeight="1" x14ac:dyDescent="0.25">
      <c r="A165" s="116" t="s">
        <v>893</v>
      </c>
      <c r="B165" s="162" t="s">
        <v>258</v>
      </c>
      <c r="C165" s="428" t="s">
        <v>846</v>
      </c>
      <c r="D165" s="451" t="s">
        <v>935</v>
      </c>
      <c r="E165" s="397" t="s">
        <v>256</v>
      </c>
      <c r="F165" s="160" t="s">
        <v>936</v>
      </c>
      <c r="G165" s="160" t="s">
        <v>937</v>
      </c>
      <c r="H165" s="158" t="s">
        <v>942</v>
      </c>
      <c r="I165" s="160" t="s">
        <v>943</v>
      </c>
      <c r="J165" s="495" t="s">
        <v>1089</v>
      </c>
      <c r="K165" s="525">
        <v>126980000</v>
      </c>
      <c r="L165" s="143" t="s">
        <v>229</v>
      </c>
      <c r="M165" s="328" t="s">
        <v>156</v>
      </c>
      <c r="N165" s="143" t="s">
        <v>1151</v>
      </c>
      <c r="O165" s="158"/>
      <c r="P165" s="158"/>
      <c r="Q165" s="158"/>
      <c r="R165" s="158"/>
      <c r="S165" s="116" t="s">
        <v>166</v>
      </c>
      <c r="T165" s="116">
        <v>12</v>
      </c>
      <c r="U165" s="143">
        <v>3</v>
      </c>
      <c r="V165" s="143">
        <v>3</v>
      </c>
      <c r="W165" s="143">
        <v>3</v>
      </c>
      <c r="X165" s="143">
        <v>3</v>
      </c>
      <c r="Y165" s="465" t="s">
        <v>677</v>
      </c>
      <c r="Z165" s="524" t="s">
        <v>867</v>
      </c>
      <c r="AA165" s="450" t="s">
        <v>868</v>
      </c>
      <c r="AB165" s="524" t="s">
        <v>50</v>
      </c>
      <c r="AC165" s="524" t="s">
        <v>501</v>
      </c>
      <c r="AD165" s="524"/>
      <c r="AE165" s="777">
        <v>126980000</v>
      </c>
      <c r="AF165" s="116" t="s">
        <v>228</v>
      </c>
      <c r="AG165" s="368" t="s">
        <v>835</v>
      </c>
      <c r="AH165" s="116" t="s">
        <v>500</v>
      </c>
    </row>
    <row r="166" spans="1:34" s="82" customFormat="1" ht="66" customHeight="1" x14ac:dyDescent="0.25">
      <c r="A166" s="116" t="s">
        <v>893</v>
      </c>
      <c r="B166" s="162" t="s">
        <v>258</v>
      </c>
      <c r="C166" s="428" t="s">
        <v>846</v>
      </c>
      <c r="D166" s="451" t="s">
        <v>935</v>
      </c>
      <c r="E166" s="397" t="s">
        <v>256</v>
      </c>
      <c r="F166" s="160"/>
      <c r="G166" s="160"/>
      <c r="H166" s="159"/>
      <c r="I166" s="160"/>
      <c r="J166" s="530"/>
      <c r="K166" s="525">
        <v>8000000</v>
      </c>
      <c r="L166" s="143" t="s">
        <v>229</v>
      </c>
      <c r="M166" s="328"/>
      <c r="N166" s="143"/>
      <c r="O166" s="159"/>
      <c r="P166" s="159"/>
      <c r="Q166" s="159"/>
      <c r="R166" s="159"/>
      <c r="S166" s="116"/>
      <c r="T166" s="116">
        <v>12</v>
      </c>
      <c r="U166" s="143">
        <v>3</v>
      </c>
      <c r="V166" s="143">
        <v>3</v>
      </c>
      <c r="W166" s="143">
        <v>3</v>
      </c>
      <c r="X166" s="143">
        <v>3</v>
      </c>
      <c r="Y166" s="144" t="s">
        <v>676</v>
      </c>
      <c r="Z166" s="524" t="s">
        <v>190</v>
      </c>
      <c r="AA166" s="524" t="s">
        <v>190</v>
      </c>
      <c r="AB166" s="524" t="s">
        <v>50</v>
      </c>
      <c r="AC166" s="524" t="s">
        <v>501</v>
      </c>
      <c r="AD166" s="526"/>
      <c r="AE166" s="777">
        <v>8000000</v>
      </c>
      <c r="AF166" s="116" t="s">
        <v>228</v>
      </c>
      <c r="AG166" s="368" t="s">
        <v>835</v>
      </c>
      <c r="AH166" s="116" t="s">
        <v>500</v>
      </c>
    </row>
    <row r="167" spans="1:34" ht="161.25" customHeight="1" x14ac:dyDescent="0.25">
      <c r="A167" s="187" t="s">
        <v>893</v>
      </c>
      <c r="B167" s="104" t="s">
        <v>258</v>
      </c>
      <c r="C167" s="104" t="s">
        <v>846</v>
      </c>
      <c r="D167" s="76" t="s">
        <v>933</v>
      </c>
      <c r="E167" s="223" t="s">
        <v>256</v>
      </c>
      <c r="F167" s="200" t="s">
        <v>936</v>
      </c>
      <c r="G167" s="102" t="s">
        <v>937</v>
      </c>
      <c r="H167" s="201" t="s">
        <v>942</v>
      </c>
      <c r="I167" s="200" t="s">
        <v>943</v>
      </c>
      <c r="J167" s="254" t="s">
        <v>1089</v>
      </c>
      <c r="K167" s="437">
        <v>400000000</v>
      </c>
      <c r="L167" s="420" t="s">
        <v>502</v>
      </c>
      <c r="M167" s="422" t="s">
        <v>156</v>
      </c>
      <c r="N167" s="420" t="s">
        <v>592</v>
      </c>
      <c r="O167" s="420"/>
      <c r="P167" s="420" t="s">
        <v>831</v>
      </c>
      <c r="Q167" s="420"/>
      <c r="R167" s="420"/>
      <c r="S167" s="423" t="s">
        <v>166</v>
      </c>
      <c r="T167" s="423">
        <v>300</v>
      </c>
      <c r="U167" s="420">
        <v>50</v>
      </c>
      <c r="V167" s="420">
        <v>100</v>
      </c>
      <c r="W167" s="420">
        <v>100</v>
      </c>
      <c r="X167" s="420">
        <v>50</v>
      </c>
      <c r="Y167" s="138" t="s">
        <v>678</v>
      </c>
      <c r="Z167" s="423" t="s">
        <v>867</v>
      </c>
      <c r="AA167" s="450" t="s">
        <v>868</v>
      </c>
      <c r="AB167" s="423" t="s">
        <v>50</v>
      </c>
      <c r="AC167" s="423" t="s">
        <v>503</v>
      </c>
      <c r="AD167" s="423"/>
      <c r="AE167" s="777">
        <v>400000000</v>
      </c>
      <c r="AF167" s="423" t="s">
        <v>228</v>
      </c>
      <c r="AG167" s="423" t="s">
        <v>835</v>
      </c>
      <c r="AH167" s="423" t="s">
        <v>500</v>
      </c>
    </row>
    <row r="168" spans="1:34" ht="147.75" customHeight="1" x14ac:dyDescent="0.25">
      <c r="A168" s="187" t="s">
        <v>893</v>
      </c>
      <c r="B168" s="104" t="s">
        <v>258</v>
      </c>
      <c r="C168" s="104" t="s">
        <v>846</v>
      </c>
      <c r="D168" s="76" t="s">
        <v>933</v>
      </c>
      <c r="E168" s="223" t="s">
        <v>256</v>
      </c>
      <c r="F168" s="200" t="s">
        <v>936</v>
      </c>
      <c r="G168" s="102" t="s">
        <v>938</v>
      </c>
      <c r="H168" s="201" t="s">
        <v>942</v>
      </c>
      <c r="I168" s="200" t="s">
        <v>943</v>
      </c>
      <c r="J168" s="254" t="s">
        <v>1089</v>
      </c>
      <c r="K168" s="437">
        <v>100000000</v>
      </c>
      <c r="L168" s="420" t="s">
        <v>504</v>
      </c>
      <c r="M168" s="422" t="s">
        <v>156</v>
      </c>
      <c r="N168" s="420" t="s">
        <v>572</v>
      </c>
      <c r="O168" s="420"/>
      <c r="P168" s="420" t="s">
        <v>831</v>
      </c>
      <c r="Q168" s="420"/>
      <c r="R168" s="420"/>
      <c r="S168" s="423" t="s">
        <v>166</v>
      </c>
      <c r="T168" s="423">
        <v>50</v>
      </c>
      <c r="U168" s="420">
        <v>0</v>
      </c>
      <c r="V168" s="420">
        <v>10</v>
      </c>
      <c r="W168" s="420">
        <v>20</v>
      </c>
      <c r="X168" s="420">
        <v>20</v>
      </c>
      <c r="Y168" s="138" t="s">
        <v>678</v>
      </c>
      <c r="Z168" s="423" t="s">
        <v>867</v>
      </c>
      <c r="AA168" s="450" t="s">
        <v>868</v>
      </c>
      <c r="AB168" s="423" t="s">
        <v>50</v>
      </c>
      <c r="AC168" s="423" t="s">
        <v>503</v>
      </c>
      <c r="AD168" s="423"/>
      <c r="AE168" s="777">
        <v>100000000</v>
      </c>
      <c r="AF168" s="423" t="s">
        <v>228</v>
      </c>
      <c r="AG168" s="423" t="s">
        <v>835</v>
      </c>
      <c r="AH168" s="423" t="s">
        <v>500</v>
      </c>
    </row>
    <row r="169" spans="1:34" ht="135.75" customHeight="1" x14ac:dyDescent="0.25">
      <c r="A169" s="187" t="s">
        <v>893</v>
      </c>
      <c r="B169" s="104" t="s">
        <v>258</v>
      </c>
      <c r="C169" s="104" t="s">
        <v>846</v>
      </c>
      <c r="D169" s="76" t="s">
        <v>934</v>
      </c>
      <c r="E169" s="223" t="s">
        <v>256</v>
      </c>
      <c r="F169" s="200" t="s">
        <v>936</v>
      </c>
      <c r="G169" s="102" t="s">
        <v>939</v>
      </c>
      <c r="H169" s="201" t="s">
        <v>942</v>
      </c>
      <c r="I169" s="200" t="s">
        <v>943</v>
      </c>
      <c r="J169" s="253" t="s">
        <v>1089</v>
      </c>
      <c r="K169" s="751">
        <v>553956292</v>
      </c>
      <c r="L169" s="420" t="s">
        <v>505</v>
      </c>
      <c r="M169" s="422" t="s">
        <v>156</v>
      </c>
      <c r="N169" s="420" t="s">
        <v>1157</v>
      </c>
      <c r="O169" s="420"/>
      <c r="P169" s="420" t="s">
        <v>831</v>
      </c>
      <c r="Q169" s="420"/>
      <c r="R169" s="420"/>
      <c r="S169" s="423" t="s">
        <v>166</v>
      </c>
      <c r="T169" s="423">
        <v>150</v>
      </c>
      <c r="U169" s="420">
        <v>0</v>
      </c>
      <c r="V169" s="420">
        <v>50</v>
      </c>
      <c r="W169" s="420">
        <v>50</v>
      </c>
      <c r="X169" s="420">
        <v>50</v>
      </c>
      <c r="Y169" s="475" t="s">
        <v>678</v>
      </c>
      <c r="Z169" s="423" t="s">
        <v>867</v>
      </c>
      <c r="AA169" s="450" t="s">
        <v>868</v>
      </c>
      <c r="AB169" s="423" t="s">
        <v>50</v>
      </c>
      <c r="AC169" s="423" t="s">
        <v>503</v>
      </c>
      <c r="AD169" s="423"/>
      <c r="AE169" s="751">
        <v>553956292</v>
      </c>
      <c r="AF169" s="423" t="s">
        <v>228</v>
      </c>
      <c r="AG169" s="423" t="s">
        <v>835</v>
      </c>
      <c r="AH169" s="423" t="s">
        <v>500</v>
      </c>
    </row>
    <row r="170" spans="1:34" ht="118.5" customHeight="1" x14ac:dyDescent="0.25">
      <c r="A170" s="189" t="s">
        <v>893</v>
      </c>
      <c r="B170" s="104" t="s">
        <v>258</v>
      </c>
      <c r="C170" s="104" t="s">
        <v>846</v>
      </c>
      <c r="D170" s="76" t="s">
        <v>935</v>
      </c>
      <c r="E170" s="223" t="s">
        <v>256</v>
      </c>
      <c r="F170" s="200" t="s">
        <v>936</v>
      </c>
      <c r="G170" s="102" t="s">
        <v>940</v>
      </c>
      <c r="H170" s="205" t="s">
        <v>942</v>
      </c>
      <c r="I170" s="200" t="s">
        <v>943</v>
      </c>
      <c r="J170" s="253" t="s">
        <v>1089</v>
      </c>
      <c r="K170" s="437">
        <v>150000000</v>
      </c>
      <c r="L170" s="420" t="s">
        <v>506</v>
      </c>
      <c r="M170" s="422" t="s">
        <v>156</v>
      </c>
      <c r="N170" s="420" t="s">
        <v>572</v>
      </c>
      <c r="O170" s="420"/>
      <c r="P170" s="420" t="s">
        <v>831</v>
      </c>
      <c r="Q170" s="420"/>
      <c r="R170" s="420"/>
      <c r="S170" s="423" t="s">
        <v>166</v>
      </c>
      <c r="T170" s="423">
        <v>50</v>
      </c>
      <c r="U170" s="420">
        <v>0</v>
      </c>
      <c r="V170" s="420">
        <v>0</v>
      </c>
      <c r="W170" s="420">
        <v>25</v>
      </c>
      <c r="X170" s="420">
        <v>25</v>
      </c>
      <c r="Y170" s="138" t="s">
        <v>678</v>
      </c>
      <c r="Z170" s="423" t="s">
        <v>867</v>
      </c>
      <c r="AA170" s="450" t="s">
        <v>868</v>
      </c>
      <c r="AB170" s="423" t="s">
        <v>50</v>
      </c>
      <c r="AC170" s="423" t="s">
        <v>503</v>
      </c>
      <c r="AD170" s="423"/>
      <c r="AE170" s="777">
        <v>150000000</v>
      </c>
      <c r="AF170" s="423" t="s">
        <v>228</v>
      </c>
      <c r="AG170" s="423" t="s">
        <v>835</v>
      </c>
      <c r="AH170" s="423" t="s">
        <v>500</v>
      </c>
    </row>
    <row r="171" spans="1:34" s="75" customFormat="1" ht="119.25" customHeight="1" x14ac:dyDescent="0.25">
      <c r="A171" s="189" t="s">
        <v>893</v>
      </c>
      <c r="B171" s="104" t="s">
        <v>258</v>
      </c>
      <c r="C171" s="182" t="s">
        <v>846</v>
      </c>
      <c r="D171" s="76" t="s">
        <v>935</v>
      </c>
      <c r="E171" s="223" t="s">
        <v>256</v>
      </c>
      <c r="F171" s="200" t="s">
        <v>936</v>
      </c>
      <c r="G171" s="102" t="s">
        <v>941</v>
      </c>
      <c r="H171" s="205" t="s">
        <v>942</v>
      </c>
      <c r="I171" s="200" t="s">
        <v>943</v>
      </c>
      <c r="J171" s="253" t="s">
        <v>1089</v>
      </c>
      <c r="K171" s="437">
        <v>50000000</v>
      </c>
      <c r="L171" s="420" t="s">
        <v>507</v>
      </c>
      <c r="M171" s="422" t="s">
        <v>156</v>
      </c>
      <c r="N171" s="420" t="s">
        <v>587</v>
      </c>
      <c r="O171" s="420"/>
      <c r="P171" s="420" t="s">
        <v>831</v>
      </c>
      <c r="Q171" s="420"/>
      <c r="R171" s="420"/>
      <c r="S171" s="423" t="s">
        <v>166</v>
      </c>
      <c r="T171" s="420">
        <v>2</v>
      </c>
      <c r="U171" s="420">
        <v>0</v>
      </c>
      <c r="V171" s="420">
        <v>1</v>
      </c>
      <c r="W171" s="420">
        <v>1</v>
      </c>
      <c r="X171" s="420">
        <v>0</v>
      </c>
      <c r="Y171" s="138" t="s">
        <v>678</v>
      </c>
      <c r="Z171" s="423" t="s">
        <v>867</v>
      </c>
      <c r="AA171" s="450" t="s">
        <v>868</v>
      </c>
      <c r="AB171" s="423" t="s">
        <v>50</v>
      </c>
      <c r="AC171" s="423" t="s">
        <v>503</v>
      </c>
      <c r="AD171" s="423"/>
      <c r="AE171" s="777">
        <v>50000000</v>
      </c>
      <c r="AF171" s="423" t="s">
        <v>228</v>
      </c>
      <c r="AG171" s="423" t="s">
        <v>835</v>
      </c>
      <c r="AH171" s="423" t="s">
        <v>500</v>
      </c>
    </row>
    <row r="172" spans="1:34" s="75" customFormat="1" ht="113.25" customHeight="1" x14ac:dyDescent="0.25">
      <c r="A172" s="189" t="s">
        <v>893</v>
      </c>
      <c r="B172" s="104" t="s">
        <v>258</v>
      </c>
      <c r="C172" s="182" t="s">
        <v>846</v>
      </c>
      <c r="D172" s="76" t="s">
        <v>935</v>
      </c>
      <c r="E172" s="223" t="s">
        <v>256</v>
      </c>
      <c r="F172" s="200" t="s">
        <v>936</v>
      </c>
      <c r="G172" s="102" t="s">
        <v>941</v>
      </c>
      <c r="H172" s="205" t="s">
        <v>942</v>
      </c>
      <c r="I172" s="200" t="s">
        <v>943</v>
      </c>
      <c r="J172" s="253" t="s">
        <v>1089</v>
      </c>
      <c r="K172" s="437">
        <v>466680000</v>
      </c>
      <c r="L172" s="420" t="s">
        <v>181</v>
      </c>
      <c r="M172" s="422" t="s">
        <v>156</v>
      </c>
      <c r="N172" s="420" t="s">
        <v>1152</v>
      </c>
      <c r="O172" s="420"/>
      <c r="P172" s="420"/>
      <c r="Q172" s="420"/>
      <c r="R172" s="420"/>
      <c r="S172" s="423" t="s">
        <v>166</v>
      </c>
      <c r="T172" s="423">
        <v>150</v>
      </c>
      <c r="U172" s="420">
        <v>0</v>
      </c>
      <c r="V172" s="420">
        <v>25</v>
      </c>
      <c r="W172" s="420">
        <v>100</v>
      </c>
      <c r="X172" s="420">
        <v>25</v>
      </c>
      <c r="Y172" s="336" t="s">
        <v>679</v>
      </c>
      <c r="Z172" s="423" t="s">
        <v>867</v>
      </c>
      <c r="AA172" s="450" t="s">
        <v>868</v>
      </c>
      <c r="AB172" s="423" t="s">
        <v>50</v>
      </c>
      <c r="AC172" s="423" t="s">
        <v>503</v>
      </c>
      <c r="AD172" s="423"/>
      <c r="AE172" s="777">
        <v>466680000</v>
      </c>
      <c r="AF172" s="423" t="s">
        <v>228</v>
      </c>
      <c r="AG172" s="423" t="s">
        <v>835</v>
      </c>
      <c r="AH172" s="423" t="s">
        <v>500</v>
      </c>
    </row>
    <row r="173" spans="1:34" s="75" customFormat="1" ht="121.5" customHeight="1" x14ac:dyDescent="0.25">
      <c r="A173" s="189" t="s">
        <v>893</v>
      </c>
      <c r="B173" s="104" t="s">
        <v>258</v>
      </c>
      <c r="C173" s="182" t="s">
        <v>846</v>
      </c>
      <c r="D173" s="76" t="s">
        <v>934</v>
      </c>
      <c r="E173" s="223" t="s">
        <v>256</v>
      </c>
      <c r="F173" s="200" t="s">
        <v>936</v>
      </c>
      <c r="G173" s="200" t="s">
        <v>939</v>
      </c>
      <c r="H173" s="205" t="s">
        <v>942</v>
      </c>
      <c r="I173" s="200" t="s">
        <v>943</v>
      </c>
      <c r="J173" s="253" t="s">
        <v>1089</v>
      </c>
      <c r="K173" s="437">
        <v>40000000</v>
      </c>
      <c r="L173" s="420" t="s">
        <v>508</v>
      </c>
      <c r="M173" s="422" t="s">
        <v>154</v>
      </c>
      <c r="N173" s="420" t="s">
        <v>773</v>
      </c>
      <c r="O173" s="420" t="s">
        <v>1188</v>
      </c>
      <c r="P173" s="420" t="s">
        <v>1181</v>
      </c>
      <c r="Q173" s="420" t="s">
        <v>1183</v>
      </c>
      <c r="R173" s="420"/>
      <c r="S173" s="423" t="s">
        <v>166</v>
      </c>
      <c r="T173" s="423">
        <v>1</v>
      </c>
      <c r="U173" s="420">
        <v>0</v>
      </c>
      <c r="V173" s="420">
        <v>0</v>
      </c>
      <c r="W173" s="420">
        <v>0</v>
      </c>
      <c r="X173" s="420">
        <v>1</v>
      </c>
      <c r="Y173" s="420" t="s">
        <v>680</v>
      </c>
      <c r="Z173" s="423" t="s">
        <v>867</v>
      </c>
      <c r="AA173" s="450" t="s">
        <v>868</v>
      </c>
      <c r="AB173" s="423" t="s">
        <v>50</v>
      </c>
      <c r="AC173" s="423" t="s">
        <v>503</v>
      </c>
      <c r="AD173" s="423"/>
      <c r="AE173" s="777">
        <v>40000000</v>
      </c>
      <c r="AF173" s="423" t="s">
        <v>228</v>
      </c>
      <c r="AG173" s="423" t="s">
        <v>835</v>
      </c>
      <c r="AH173" s="423" t="s">
        <v>500</v>
      </c>
    </row>
    <row r="174" spans="1:34" s="82" customFormat="1" ht="87.75" customHeight="1" x14ac:dyDescent="0.25">
      <c r="A174" s="116" t="s">
        <v>892</v>
      </c>
      <c r="B174" s="412" t="s">
        <v>842</v>
      </c>
      <c r="C174" s="412" t="s">
        <v>846</v>
      </c>
      <c r="D174" s="447" t="s">
        <v>1053</v>
      </c>
      <c r="E174" s="394" t="s">
        <v>489</v>
      </c>
      <c r="F174" s="116" t="s">
        <v>1054</v>
      </c>
      <c r="G174" s="116" t="s">
        <v>1055</v>
      </c>
      <c r="H174" s="158" t="s">
        <v>1049</v>
      </c>
      <c r="I174" s="116" t="s">
        <v>1140</v>
      </c>
      <c r="J174" s="158" t="s">
        <v>1090</v>
      </c>
      <c r="K174" s="645">
        <v>288120344</v>
      </c>
      <c r="L174" s="143" t="s">
        <v>252</v>
      </c>
      <c r="M174" s="328" t="s">
        <v>156</v>
      </c>
      <c r="N174" s="143" t="s">
        <v>572</v>
      </c>
      <c r="O174" s="158" t="s">
        <v>831</v>
      </c>
      <c r="P174" s="158"/>
      <c r="Q174" s="158"/>
      <c r="R174" s="158"/>
      <c r="S174" s="116" t="s">
        <v>166</v>
      </c>
      <c r="T174" s="143">
        <f>U174+V174+W174+X174</f>
        <v>548</v>
      </c>
      <c r="U174" s="143">
        <v>137</v>
      </c>
      <c r="V174" s="143">
        <v>137</v>
      </c>
      <c r="W174" s="143">
        <v>137</v>
      </c>
      <c r="X174" s="143">
        <v>137</v>
      </c>
      <c r="Y174" s="420" t="s">
        <v>682</v>
      </c>
      <c r="Z174" s="423" t="s">
        <v>454</v>
      </c>
      <c r="AA174" s="465" t="s">
        <v>683</v>
      </c>
      <c r="AB174" s="423" t="s">
        <v>52</v>
      </c>
      <c r="AC174" s="423" t="s">
        <v>490</v>
      </c>
      <c r="AD174" s="423"/>
      <c r="AE174" s="645">
        <v>288120344</v>
      </c>
      <c r="AF174" s="116" t="s">
        <v>228</v>
      </c>
      <c r="AG174" s="368" t="s">
        <v>835</v>
      </c>
      <c r="AH174" s="116" t="s">
        <v>832</v>
      </c>
    </row>
    <row r="175" spans="1:34" s="82" customFormat="1" ht="55.5" customHeight="1" x14ac:dyDescent="0.25">
      <c r="A175" s="116" t="s">
        <v>892</v>
      </c>
      <c r="B175" s="428" t="s">
        <v>842</v>
      </c>
      <c r="C175" s="428" t="s">
        <v>846</v>
      </c>
      <c r="D175" s="447" t="s">
        <v>1053</v>
      </c>
      <c r="E175" s="394" t="s">
        <v>489</v>
      </c>
      <c r="F175" s="116" t="s">
        <v>1054</v>
      </c>
      <c r="G175" s="116" t="s">
        <v>1055</v>
      </c>
      <c r="H175" s="158" t="s">
        <v>1049</v>
      </c>
      <c r="I175" s="116" t="s">
        <v>1140</v>
      </c>
      <c r="J175" s="158" t="s">
        <v>1090</v>
      </c>
      <c r="K175" s="645">
        <v>61604267</v>
      </c>
      <c r="L175" s="143" t="s">
        <v>252</v>
      </c>
      <c r="M175" s="328" t="s">
        <v>156</v>
      </c>
      <c r="N175" s="143" t="s">
        <v>572</v>
      </c>
      <c r="O175" s="158" t="s">
        <v>831</v>
      </c>
      <c r="P175" s="158"/>
      <c r="Q175" s="158"/>
      <c r="R175" s="158"/>
      <c r="S175" s="116" t="s">
        <v>166</v>
      </c>
      <c r="T175" s="143">
        <f>U175+V175+W175+X175</f>
        <v>548</v>
      </c>
      <c r="U175" s="143">
        <v>137</v>
      </c>
      <c r="V175" s="143">
        <v>137</v>
      </c>
      <c r="W175" s="143">
        <v>137</v>
      </c>
      <c r="X175" s="143">
        <v>137</v>
      </c>
      <c r="Y175" s="420" t="s">
        <v>684</v>
      </c>
      <c r="Z175" s="423" t="s">
        <v>454</v>
      </c>
      <c r="AA175" s="465" t="s">
        <v>686</v>
      </c>
      <c r="AB175" s="423" t="s">
        <v>52</v>
      </c>
      <c r="AC175" s="423" t="s">
        <v>685</v>
      </c>
      <c r="AD175" s="423"/>
      <c r="AE175" s="645">
        <v>61604267</v>
      </c>
      <c r="AF175" s="116" t="s">
        <v>228</v>
      </c>
      <c r="AG175" s="368" t="s">
        <v>835</v>
      </c>
      <c r="AH175" s="116" t="s">
        <v>832</v>
      </c>
    </row>
    <row r="176" spans="1:34" s="82" customFormat="1" ht="55.5" customHeight="1" x14ac:dyDescent="0.25">
      <c r="A176" s="116" t="s">
        <v>892</v>
      </c>
      <c r="B176" s="428" t="s">
        <v>842</v>
      </c>
      <c r="C176" s="428" t="s">
        <v>846</v>
      </c>
      <c r="D176" s="447" t="s">
        <v>1053</v>
      </c>
      <c r="E176" s="394" t="s">
        <v>489</v>
      </c>
      <c r="F176" s="116" t="s">
        <v>1054</v>
      </c>
      <c r="G176" s="116" t="s">
        <v>1055</v>
      </c>
      <c r="H176" s="158" t="s">
        <v>1049</v>
      </c>
      <c r="I176" s="116" t="s">
        <v>1140</v>
      </c>
      <c r="J176" s="158" t="s">
        <v>1090</v>
      </c>
      <c r="K176" s="678">
        <v>482500000</v>
      </c>
      <c r="L176" s="143" t="s">
        <v>252</v>
      </c>
      <c r="M176" s="328" t="s">
        <v>156</v>
      </c>
      <c r="N176" s="143" t="s">
        <v>572</v>
      </c>
      <c r="O176" s="158" t="s">
        <v>831</v>
      </c>
      <c r="P176" s="158"/>
      <c r="Q176" s="158"/>
      <c r="R176" s="158"/>
      <c r="S176" s="116" t="s">
        <v>166</v>
      </c>
      <c r="T176" s="143">
        <f>U176+V176+W176+X176</f>
        <v>548</v>
      </c>
      <c r="U176" s="143">
        <v>137</v>
      </c>
      <c r="V176" s="143">
        <v>137</v>
      </c>
      <c r="W176" s="143">
        <v>137</v>
      </c>
      <c r="X176" s="143">
        <v>137</v>
      </c>
      <c r="Y176" s="465" t="s">
        <v>681</v>
      </c>
      <c r="Z176" s="423" t="s">
        <v>867</v>
      </c>
      <c r="AA176" s="450" t="s">
        <v>868</v>
      </c>
      <c r="AB176" s="423" t="s">
        <v>52</v>
      </c>
      <c r="AC176" s="423" t="s">
        <v>490</v>
      </c>
      <c r="AD176" s="423"/>
      <c r="AE176" s="678">
        <v>482500000</v>
      </c>
      <c r="AF176" s="116" t="s">
        <v>228</v>
      </c>
      <c r="AG176" s="368" t="s">
        <v>835</v>
      </c>
      <c r="AH176" s="116" t="s">
        <v>832</v>
      </c>
    </row>
    <row r="177" spans="1:34" s="78" customFormat="1" ht="65.25" customHeight="1" x14ac:dyDescent="0.25">
      <c r="A177" s="116" t="s">
        <v>892</v>
      </c>
      <c r="B177" s="428" t="s">
        <v>842</v>
      </c>
      <c r="C177" s="428" t="s">
        <v>846</v>
      </c>
      <c r="D177" s="447" t="s">
        <v>1053</v>
      </c>
      <c r="E177" s="394" t="s">
        <v>489</v>
      </c>
      <c r="F177" s="116" t="s">
        <v>1054</v>
      </c>
      <c r="G177" s="116" t="s">
        <v>1055</v>
      </c>
      <c r="H177" s="158" t="s">
        <v>1049</v>
      </c>
      <c r="I177" s="116" t="s">
        <v>1140</v>
      </c>
      <c r="J177" s="158" t="s">
        <v>1090</v>
      </c>
      <c r="K177" s="645">
        <v>191000000</v>
      </c>
      <c r="L177" s="143" t="s">
        <v>491</v>
      </c>
      <c r="M177" s="328" t="s">
        <v>156</v>
      </c>
      <c r="N177" s="143" t="s">
        <v>592</v>
      </c>
      <c r="O177" s="158" t="s">
        <v>831</v>
      </c>
      <c r="P177" s="158"/>
      <c r="Q177" s="158"/>
      <c r="R177" s="158"/>
      <c r="S177" s="116" t="s">
        <v>166</v>
      </c>
      <c r="T177" s="143">
        <v>92</v>
      </c>
      <c r="U177" s="143">
        <v>19</v>
      </c>
      <c r="V177" s="143">
        <v>28</v>
      </c>
      <c r="W177" s="143">
        <v>24</v>
      </c>
      <c r="X177" s="143">
        <v>21</v>
      </c>
      <c r="Y177" s="420" t="s">
        <v>682</v>
      </c>
      <c r="Z177" s="423" t="s">
        <v>454</v>
      </c>
      <c r="AA177" s="465" t="s">
        <v>683</v>
      </c>
      <c r="AB177" s="423" t="s">
        <v>52</v>
      </c>
      <c r="AC177" s="423" t="s">
        <v>490</v>
      </c>
      <c r="AD177" s="423"/>
      <c r="AE177" s="645">
        <v>191000000</v>
      </c>
      <c r="AF177" s="116" t="s">
        <v>228</v>
      </c>
      <c r="AG177" s="368" t="s">
        <v>835</v>
      </c>
      <c r="AH177" s="116" t="s">
        <v>832</v>
      </c>
    </row>
    <row r="178" spans="1:34" s="78" customFormat="1" ht="58.5" customHeight="1" x14ac:dyDescent="0.25">
      <c r="A178" s="116" t="s">
        <v>892</v>
      </c>
      <c r="B178" s="428" t="s">
        <v>842</v>
      </c>
      <c r="C178" s="428" t="s">
        <v>846</v>
      </c>
      <c r="D178" s="447" t="s">
        <v>1053</v>
      </c>
      <c r="E178" s="394" t="s">
        <v>489</v>
      </c>
      <c r="F178" s="116" t="s">
        <v>1054</v>
      </c>
      <c r="G178" s="116" t="s">
        <v>1055</v>
      </c>
      <c r="H178" s="158" t="s">
        <v>1049</v>
      </c>
      <c r="I178" s="116" t="s">
        <v>1140</v>
      </c>
      <c r="J178" s="158" t="s">
        <v>1090</v>
      </c>
      <c r="K178" s="645">
        <v>76499962</v>
      </c>
      <c r="L178" s="143" t="s">
        <v>491</v>
      </c>
      <c r="M178" s="328" t="s">
        <v>156</v>
      </c>
      <c r="N178" s="143" t="s">
        <v>592</v>
      </c>
      <c r="O178" s="158" t="s">
        <v>831</v>
      </c>
      <c r="P178" s="158"/>
      <c r="Q178" s="158"/>
      <c r="R178" s="158"/>
      <c r="S178" s="116" t="s">
        <v>166</v>
      </c>
      <c r="T178" s="143">
        <v>92</v>
      </c>
      <c r="U178" s="143">
        <v>19</v>
      </c>
      <c r="V178" s="143">
        <v>28</v>
      </c>
      <c r="W178" s="143">
        <v>24</v>
      </c>
      <c r="X178" s="143">
        <v>21</v>
      </c>
      <c r="Y178" s="420" t="s">
        <v>687</v>
      </c>
      <c r="Z178" s="423" t="s">
        <v>454</v>
      </c>
      <c r="AA178" s="465" t="s">
        <v>686</v>
      </c>
      <c r="AB178" s="423" t="s">
        <v>53</v>
      </c>
      <c r="AC178" s="423" t="s">
        <v>494</v>
      </c>
      <c r="AD178" s="423"/>
      <c r="AE178" s="645">
        <v>76499962</v>
      </c>
      <c r="AF178" s="116" t="s">
        <v>228</v>
      </c>
      <c r="AG178" s="368" t="s">
        <v>835</v>
      </c>
      <c r="AH178" s="116" t="s">
        <v>832</v>
      </c>
    </row>
    <row r="179" spans="1:34" s="78" customFormat="1" ht="90.75" customHeight="1" x14ac:dyDescent="0.25">
      <c r="A179" s="116" t="s">
        <v>892</v>
      </c>
      <c r="B179" s="428" t="s">
        <v>842</v>
      </c>
      <c r="C179" s="428" t="s">
        <v>846</v>
      </c>
      <c r="D179" s="447" t="s">
        <v>1053</v>
      </c>
      <c r="E179" s="394" t="s">
        <v>489</v>
      </c>
      <c r="F179" s="116" t="s">
        <v>1054</v>
      </c>
      <c r="G179" s="116" t="s">
        <v>1055</v>
      </c>
      <c r="H179" s="158" t="s">
        <v>1049</v>
      </c>
      <c r="I179" s="116" t="s">
        <v>1140</v>
      </c>
      <c r="J179" s="158" t="s">
        <v>1090</v>
      </c>
      <c r="K179" s="751">
        <v>1334708349</v>
      </c>
      <c r="L179" s="143" t="s">
        <v>491</v>
      </c>
      <c r="M179" s="328" t="s">
        <v>156</v>
      </c>
      <c r="N179" s="143" t="s">
        <v>592</v>
      </c>
      <c r="O179" s="158" t="s">
        <v>831</v>
      </c>
      <c r="P179" s="158"/>
      <c r="Q179" s="158"/>
      <c r="R179" s="158"/>
      <c r="S179" s="116" t="s">
        <v>166</v>
      </c>
      <c r="T179" s="143">
        <v>92</v>
      </c>
      <c r="U179" s="143">
        <v>19</v>
      </c>
      <c r="V179" s="143">
        <v>28</v>
      </c>
      <c r="W179" s="143">
        <v>24</v>
      </c>
      <c r="X179" s="143">
        <v>21</v>
      </c>
      <c r="Y179" s="465" t="s">
        <v>681</v>
      </c>
      <c r="Z179" s="423" t="s">
        <v>867</v>
      </c>
      <c r="AA179" s="450" t="s">
        <v>868</v>
      </c>
      <c r="AB179" s="423" t="s">
        <v>52</v>
      </c>
      <c r="AC179" s="423" t="s">
        <v>490</v>
      </c>
      <c r="AD179" s="423"/>
      <c r="AE179" s="751">
        <v>1334708349</v>
      </c>
      <c r="AF179" s="116" t="s">
        <v>228</v>
      </c>
      <c r="AG179" s="368" t="s">
        <v>835</v>
      </c>
      <c r="AH179" s="116" t="s">
        <v>832</v>
      </c>
    </row>
    <row r="180" spans="1:34" s="61" customFormat="1" ht="129.75" customHeight="1" x14ac:dyDescent="0.25">
      <c r="A180" s="187" t="s">
        <v>892</v>
      </c>
      <c r="B180" s="104" t="s">
        <v>842</v>
      </c>
      <c r="C180" s="182" t="s">
        <v>846</v>
      </c>
      <c r="D180" s="447" t="s">
        <v>1053</v>
      </c>
      <c r="E180" s="214" t="s">
        <v>489</v>
      </c>
      <c r="F180" s="111" t="s">
        <v>1054</v>
      </c>
      <c r="G180" s="111" t="s">
        <v>1055</v>
      </c>
      <c r="H180" s="201" t="s">
        <v>1049</v>
      </c>
      <c r="I180" s="111" t="s">
        <v>1091</v>
      </c>
      <c r="J180" s="250" t="s">
        <v>1091</v>
      </c>
      <c r="K180" s="645">
        <v>17500000</v>
      </c>
      <c r="L180" s="420" t="s">
        <v>492</v>
      </c>
      <c r="M180" s="422" t="s">
        <v>156</v>
      </c>
      <c r="N180" s="420" t="s">
        <v>572</v>
      </c>
      <c r="O180" s="420" t="s">
        <v>831</v>
      </c>
      <c r="P180" s="420"/>
      <c r="Q180" s="420"/>
      <c r="R180" s="420"/>
      <c r="S180" s="423" t="s">
        <v>166</v>
      </c>
      <c r="T180" s="420">
        <v>125</v>
      </c>
      <c r="U180" s="139">
        <v>15</v>
      </c>
      <c r="V180" s="139">
        <v>40</v>
      </c>
      <c r="W180" s="139">
        <v>40</v>
      </c>
      <c r="X180" s="139">
        <v>30</v>
      </c>
      <c r="Y180" s="439" t="s">
        <v>681</v>
      </c>
      <c r="Z180" s="423" t="s">
        <v>867</v>
      </c>
      <c r="AA180" s="450" t="s">
        <v>868</v>
      </c>
      <c r="AB180" s="423" t="s">
        <v>52</v>
      </c>
      <c r="AC180" s="423" t="s">
        <v>490</v>
      </c>
      <c r="AD180" s="423"/>
      <c r="AE180" s="645">
        <v>17500000</v>
      </c>
      <c r="AF180" s="423" t="s">
        <v>228</v>
      </c>
      <c r="AG180" s="423" t="s">
        <v>835</v>
      </c>
      <c r="AH180" s="423" t="s">
        <v>832</v>
      </c>
    </row>
    <row r="181" spans="1:34" s="436" customFormat="1" ht="51.75" customHeight="1" x14ac:dyDescent="0.25">
      <c r="A181" s="158" t="s">
        <v>892</v>
      </c>
      <c r="B181" s="158" t="s">
        <v>842</v>
      </c>
      <c r="C181" s="158" t="s">
        <v>846</v>
      </c>
      <c r="D181" s="447" t="s">
        <v>1053</v>
      </c>
      <c r="E181" s="394" t="s">
        <v>489</v>
      </c>
      <c r="F181" s="158" t="s">
        <v>1054</v>
      </c>
      <c r="G181" s="158" t="s">
        <v>1055</v>
      </c>
      <c r="H181" s="158" t="s">
        <v>1049</v>
      </c>
      <c r="I181" s="158" t="s">
        <v>1140</v>
      </c>
      <c r="J181" s="158" t="s">
        <v>1090</v>
      </c>
      <c r="K181" s="645">
        <v>10000000000</v>
      </c>
      <c r="L181" s="143" t="s">
        <v>253</v>
      </c>
      <c r="M181" s="328" t="s">
        <v>156</v>
      </c>
      <c r="N181" s="143" t="s">
        <v>587</v>
      </c>
      <c r="O181" s="158" t="s">
        <v>831</v>
      </c>
      <c r="P181" s="158"/>
      <c r="Q181" s="158"/>
      <c r="R181" s="158"/>
      <c r="S181" s="116" t="s">
        <v>166</v>
      </c>
      <c r="T181" s="423">
        <v>12</v>
      </c>
      <c r="U181" s="423">
        <v>3</v>
      </c>
      <c r="V181" s="116">
        <v>3</v>
      </c>
      <c r="W181" s="423">
        <v>3</v>
      </c>
      <c r="X181" s="423">
        <v>3</v>
      </c>
      <c r="Y181" s="465" t="s">
        <v>688</v>
      </c>
      <c r="Z181" s="423" t="s">
        <v>198</v>
      </c>
      <c r="AA181" s="465" t="s">
        <v>689</v>
      </c>
      <c r="AB181" s="423" t="s">
        <v>52</v>
      </c>
      <c r="AC181" s="423" t="s">
        <v>673</v>
      </c>
      <c r="AD181" s="71"/>
      <c r="AE181" s="645">
        <v>10000000000</v>
      </c>
      <c r="AF181" s="368" t="s">
        <v>228</v>
      </c>
      <c r="AG181" s="368" t="s">
        <v>835</v>
      </c>
      <c r="AH181" s="368" t="s">
        <v>832</v>
      </c>
    </row>
    <row r="182" spans="1:34" s="436" customFormat="1" ht="43.5" customHeight="1" x14ac:dyDescent="0.25">
      <c r="A182" s="158" t="s">
        <v>892</v>
      </c>
      <c r="B182" s="158" t="s">
        <v>842</v>
      </c>
      <c r="C182" s="158" t="s">
        <v>846</v>
      </c>
      <c r="D182" s="447" t="s">
        <v>1053</v>
      </c>
      <c r="E182" s="394" t="s">
        <v>489</v>
      </c>
      <c r="F182" s="158" t="s">
        <v>1054</v>
      </c>
      <c r="G182" s="158" t="s">
        <v>1055</v>
      </c>
      <c r="H182" s="158" t="s">
        <v>1049</v>
      </c>
      <c r="I182" s="158" t="s">
        <v>1140</v>
      </c>
      <c r="J182" s="158" t="s">
        <v>1090</v>
      </c>
      <c r="K182" s="645">
        <v>5000000000</v>
      </c>
      <c r="L182" s="143" t="s">
        <v>253</v>
      </c>
      <c r="M182" s="328" t="s">
        <v>156</v>
      </c>
      <c r="N182" s="143" t="s">
        <v>587</v>
      </c>
      <c r="O182" s="158" t="s">
        <v>831</v>
      </c>
      <c r="P182" s="158"/>
      <c r="Q182" s="158"/>
      <c r="R182" s="158"/>
      <c r="S182" s="116" t="s">
        <v>166</v>
      </c>
      <c r="T182" s="423">
        <v>12</v>
      </c>
      <c r="U182" s="423">
        <v>3</v>
      </c>
      <c r="V182" s="116">
        <v>3</v>
      </c>
      <c r="W182" s="423">
        <v>3</v>
      </c>
      <c r="X182" s="423">
        <v>3</v>
      </c>
      <c r="Y182" s="465" t="s">
        <v>690</v>
      </c>
      <c r="Z182" s="423" t="s">
        <v>190</v>
      </c>
      <c r="AA182" s="465" t="s">
        <v>623</v>
      </c>
      <c r="AB182" s="423" t="s">
        <v>52</v>
      </c>
      <c r="AC182" s="423" t="s">
        <v>673</v>
      </c>
      <c r="AD182" s="71"/>
      <c r="AE182" s="645">
        <v>5000000000</v>
      </c>
      <c r="AF182" s="368" t="s">
        <v>228</v>
      </c>
      <c r="AG182" s="368" t="s">
        <v>835</v>
      </c>
      <c r="AH182" s="368" t="s">
        <v>832</v>
      </c>
    </row>
    <row r="183" spans="1:34" s="436" customFormat="1" ht="47.25" customHeight="1" x14ac:dyDescent="0.25">
      <c r="A183" s="158" t="s">
        <v>892</v>
      </c>
      <c r="B183" s="158" t="s">
        <v>842</v>
      </c>
      <c r="C183" s="158" t="s">
        <v>846</v>
      </c>
      <c r="D183" s="447" t="s">
        <v>1053</v>
      </c>
      <c r="E183" s="394" t="s">
        <v>489</v>
      </c>
      <c r="F183" s="158" t="s">
        <v>1054</v>
      </c>
      <c r="G183" s="158" t="s">
        <v>1055</v>
      </c>
      <c r="H183" s="158" t="s">
        <v>1049</v>
      </c>
      <c r="I183" s="158" t="s">
        <v>1140</v>
      </c>
      <c r="J183" s="158" t="s">
        <v>1090</v>
      </c>
      <c r="K183" s="645">
        <v>7375399133</v>
      </c>
      <c r="L183" s="143" t="s">
        <v>253</v>
      </c>
      <c r="M183" s="328" t="s">
        <v>156</v>
      </c>
      <c r="N183" s="143" t="s">
        <v>587</v>
      </c>
      <c r="O183" s="158" t="s">
        <v>831</v>
      </c>
      <c r="P183" s="158"/>
      <c r="Q183" s="158"/>
      <c r="R183" s="158"/>
      <c r="S183" s="116" t="s">
        <v>166</v>
      </c>
      <c r="T183" s="423">
        <v>12</v>
      </c>
      <c r="U183" s="423">
        <v>3</v>
      </c>
      <c r="V183" s="116">
        <v>3</v>
      </c>
      <c r="W183" s="423">
        <v>3</v>
      </c>
      <c r="X183" s="423">
        <v>3</v>
      </c>
      <c r="Y183" s="465" t="s">
        <v>691</v>
      </c>
      <c r="Z183" s="423" t="s">
        <v>198</v>
      </c>
      <c r="AA183" s="465" t="s">
        <v>689</v>
      </c>
      <c r="AB183" s="423" t="s">
        <v>52</v>
      </c>
      <c r="AC183" s="423" t="s">
        <v>673</v>
      </c>
      <c r="AD183" s="71"/>
      <c r="AE183" s="645">
        <v>7375399133</v>
      </c>
      <c r="AF183" s="368" t="s">
        <v>228</v>
      </c>
      <c r="AG183" s="368" t="s">
        <v>835</v>
      </c>
      <c r="AH183" s="368" t="s">
        <v>832</v>
      </c>
    </row>
    <row r="184" spans="1:34" s="436" customFormat="1" ht="57" customHeight="1" x14ac:dyDescent="0.25">
      <c r="A184" s="158" t="s">
        <v>892</v>
      </c>
      <c r="B184" s="158" t="s">
        <v>842</v>
      </c>
      <c r="C184" s="158" t="s">
        <v>846</v>
      </c>
      <c r="D184" s="447" t="s">
        <v>1053</v>
      </c>
      <c r="E184" s="394" t="s">
        <v>489</v>
      </c>
      <c r="F184" s="158" t="s">
        <v>1054</v>
      </c>
      <c r="G184" s="158" t="s">
        <v>1055</v>
      </c>
      <c r="H184" s="158" t="s">
        <v>1049</v>
      </c>
      <c r="I184" s="158" t="s">
        <v>1140</v>
      </c>
      <c r="J184" s="158" t="s">
        <v>1090</v>
      </c>
      <c r="K184" s="645">
        <v>5000000000</v>
      </c>
      <c r="L184" s="143" t="s">
        <v>253</v>
      </c>
      <c r="M184" s="328" t="s">
        <v>156</v>
      </c>
      <c r="N184" s="143" t="s">
        <v>587</v>
      </c>
      <c r="O184" s="158" t="s">
        <v>831</v>
      </c>
      <c r="P184" s="158"/>
      <c r="Q184" s="158"/>
      <c r="R184" s="158"/>
      <c r="S184" s="116" t="s">
        <v>166</v>
      </c>
      <c r="T184" s="423">
        <v>12</v>
      </c>
      <c r="U184" s="423">
        <v>3</v>
      </c>
      <c r="V184" s="116">
        <v>3</v>
      </c>
      <c r="W184" s="423">
        <v>3</v>
      </c>
      <c r="X184" s="423">
        <v>3</v>
      </c>
      <c r="Y184" s="465" t="s">
        <v>692</v>
      </c>
      <c r="Z184" s="423" t="s">
        <v>190</v>
      </c>
      <c r="AA184" s="423" t="s">
        <v>190</v>
      </c>
      <c r="AB184" s="423" t="s">
        <v>52</v>
      </c>
      <c r="AC184" s="423" t="s">
        <v>673</v>
      </c>
      <c r="AD184" s="71"/>
      <c r="AE184" s="645">
        <v>5000000000</v>
      </c>
      <c r="AF184" s="368" t="s">
        <v>228</v>
      </c>
      <c r="AG184" s="368" t="s">
        <v>835</v>
      </c>
      <c r="AH184" s="368" t="s">
        <v>832</v>
      </c>
    </row>
    <row r="185" spans="1:34" s="436" customFormat="1" ht="57" customHeight="1" x14ac:dyDescent="0.25">
      <c r="A185" s="158" t="s">
        <v>892</v>
      </c>
      <c r="B185" s="158" t="s">
        <v>842</v>
      </c>
      <c r="C185" s="158" t="s">
        <v>846</v>
      </c>
      <c r="D185" s="447" t="s">
        <v>1053</v>
      </c>
      <c r="E185" s="394" t="s">
        <v>489</v>
      </c>
      <c r="F185" s="158" t="s">
        <v>1054</v>
      </c>
      <c r="G185" s="158" t="s">
        <v>1055</v>
      </c>
      <c r="H185" s="158" t="s">
        <v>1049</v>
      </c>
      <c r="I185" s="158" t="s">
        <v>1140</v>
      </c>
      <c r="J185" s="158" t="s">
        <v>1090</v>
      </c>
      <c r="K185" s="645">
        <v>4408411121</v>
      </c>
      <c r="L185" s="143" t="s">
        <v>253</v>
      </c>
      <c r="M185" s="328" t="s">
        <v>156</v>
      </c>
      <c r="N185" s="143" t="s">
        <v>587</v>
      </c>
      <c r="O185" s="158" t="s">
        <v>831</v>
      </c>
      <c r="P185" s="158"/>
      <c r="Q185" s="158"/>
      <c r="R185" s="158"/>
      <c r="S185" s="116" t="s">
        <v>166</v>
      </c>
      <c r="T185" s="423">
        <v>12</v>
      </c>
      <c r="U185" s="423">
        <v>3</v>
      </c>
      <c r="V185" s="116">
        <v>3</v>
      </c>
      <c r="W185" s="423">
        <v>3</v>
      </c>
      <c r="X185" s="423">
        <v>3</v>
      </c>
      <c r="Y185" s="465" t="s">
        <v>693</v>
      </c>
      <c r="Z185" s="423" t="s">
        <v>867</v>
      </c>
      <c r="AA185" s="450" t="s">
        <v>868</v>
      </c>
      <c r="AB185" s="423" t="s">
        <v>52</v>
      </c>
      <c r="AC185" s="423" t="s">
        <v>673</v>
      </c>
      <c r="AD185" s="423"/>
      <c r="AE185" s="645">
        <v>4408411121</v>
      </c>
      <c r="AF185" s="368" t="s">
        <v>228</v>
      </c>
      <c r="AG185" s="368" t="s">
        <v>835</v>
      </c>
      <c r="AH185" s="368" t="s">
        <v>832</v>
      </c>
    </row>
    <row r="186" spans="1:34" s="436" customFormat="1" ht="60.75" customHeight="1" x14ac:dyDescent="0.25">
      <c r="A186" s="158" t="s">
        <v>892</v>
      </c>
      <c r="B186" s="158" t="s">
        <v>842</v>
      </c>
      <c r="C186" s="158" t="s">
        <v>846</v>
      </c>
      <c r="D186" s="447" t="s">
        <v>1053</v>
      </c>
      <c r="E186" s="394" t="s">
        <v>489</v>
      </c>
      <c r="F186" s="158" t="s">
        <v>1054</v>
      </c>
      <c r="G186" s="158" t="s">
        <v>1055</v>
      </c>
      <c r="H186" s="158" t="s">
        <v>1049</v>
      </c>
      <c r="I186" s="158" t="s">
        <v>1140</v>
      </c>
      <c r="J186" s="158" t="s">
        <v>1090</v>
      </c>
      <c r="K186" s="645">
        <v>639550130</v>
      </c>
      <c r="L186" s="143" t="s">
        <v>253</v>
      </c>
      <c r="M186" s="328" t="s">
        <v>156</v>
      </c>
      <c r="N186" s="143" t="s">
        <v>587</v>
      </c>
      <c r="O186" s="158" t="s">
        <v>831</v>
      </c>
      <c r="P186" s="158"/>
      <c r="Q186" s="158"/>
      <c r="R186" s="158"/>
      <c r="S186" s="116" t="s">
        <v>166</v>
      </c>
      <c r="T186" s="423">
        <v>12</v>
      </c>
      <c r="U186" s="423">
        <v>3</v>
      </c>
      <c r="V186" s="116">
        <v>3</v>
      </c>
      <c r="W186" s="423">
        <v>3</v>
      </c>
      <c r="X186" s="423">
        <v>3</v>
      </c>
      <c r="Y186" s="465" t="s">
        <v>694</v>
      </c>
      <c r="Z186" s="423" t="s">
        <v>198</v>
      </c>
      <c r="AA186" s="465" t="s">
        <v>695</v>
      </c>
      <c r="AB186" s="423" t="s">
        <v>52</v>
      </c>
      <c r="AC186" s="423" t="s">
        <v>673</v>
      </c>
      <c r="AD186" s="71"/>
      <c r="AE186" s="645">
        <v>639550130</v>
      </c>
      <c r="AF186" s="368" t="s">
        <v>228</v>
      </c>
      <c r="AG186" s="368" t="s">
        <v>835</v>
      </c>
      <c r="AH186" s="368" t="s">
        <v>832</v>
      </c>
    </row>
    <row r="187" spans="1:34" s="436" customFormat="1" ht="40.5" customHeight="1" x14ac:dyDescent="0.25">
      <c r="A187" s="158" t="s">
        <v>892</v>
      </c>
      <c r="B187" s="158" t="s">
        <v>842</v>
      </c>
      <c r="C187" s="158" t="s">
        <v>846</v>
      </c>
      <c r="D187" s="447" t="s">
        <v>1053</v>
      </c>
      <c r="E187" s="394" t="s">
        <v>489</v>
      </c>
      <c r="F187" s="158" t="s">
        <v>1054</v>
      </c>
      <c r="G187" s="158" t="s">
        <v>1055</v>
      </c>
      <c r="H187" s="158" t="s">
        <v>1049</v>
      </c>
      <c r="I187" s="158" t="s">
        <v>1140</v>
      </c>
      <c r="J187" s="158" t="s">
        <v>1090</v>
      </c>
      <c r="K187" s="645">
        <v>80655436</v>
      </c>
      <c r="L187" s="143" t="s">
        <v>253</v>
      </c>
      <c r="M187" s="328" t="s">
        <v>156</v>
      </c>
      <c r="N187" s="143" t="s">
        <v>587</v>
      </c>
      <c r="O187" s="158" t="s">
        <v>831</v>
      </c>
      <c r="P187" s="158"/>
      <c r="Q187" s="158"/>
      <c r="R187" s="158"/>
      <c r="S187" s="116" t="s">
        <v>166</v>
      </c>
      <c r="T187" s="423">
        <v>12</v>
      </c>
      <c r="U187" s="423">
        <v>3</v>
      </c>
      <c r="V187" s="116">
        <v>3</v>
      </c>
      <c r="W187" s="423">
        <v>3</v>
      </c>
      <c r="X187" s="423">
        <v>3</v>
      </c>
      <c r="Y187" s="465" t="s">
        <v>696</v>
      </c>
      <c r="Z187" s="423" t="s">
        <v>198</v>
      </c>
      <c r="AA187" s="465" t="s">
        <v>695</v>
      </c>
      <c r="AB187" s="423" t="s">
        <v>52</v>
      </c>
      <c r="AC187" s="423" t="s">
        <v>673</v>
      </c>
      <c r="AD187" s="71"/>
      <c r="AE187" s="645">
        <v>80655436</v>
      </c>
      <c r="AF187" s="368" t="s">
        <v>228</v>
      </c>
      <c r="AG187" s="368" t="s">
        <v>835</v>
      </c>
      <c r="AH187" s="368" t="s">
        <v>832</v>
      </c>
    </row>
    <row r="188" spans="1:34" s="436" customFormat="1" ht="40.5" customHeight="1" x14ac:dyDescent="0.25">
      <c r="A188" s="158" t="s">
        <v>892</v>
      </c>
      <c r="B188" s="158" t="s">
        <v>842</v>
      </c>
      <c r="C188" s="158" t="s">
        <v>846</v>
      </c>
      <c r="D188" s="447" t="s">
        <v>1053</v>
      </c>
      <c r="E188" s="394" t="s">
        <v>489</v>
      </c>
      <c r="F188" s="158" t="s">
        <v>1054</v>
      </c>
      <c r="G188" s="158" t="s">
        <v>1055</v>
      </c>
      <c r="H188" s="158" t="s">
        <v>1049</v>
      </c>
      <c r="I188" s="158" t="s">
        <v>1140</v>
      </c>
      <c r="J188" s="158" t="s">
        <v>1090</v>
      </c>
      <c r="K188" s="567">
        <v>173204969</v>
      </c>
      <c r="L188" s="143" t="s">
        <v>253</v>
      </c>
      <c r="M188" s="328" t="s">
        <v>156</v>
      </c>
      <c r="N188" s="143" t="s">
        <v>587</v>
      </c>
      <c r="O188" s="158" t="s">
        <v>831</v>
      </c>
      <c r="P188" s="158"/>
      <c r="Q188" s="158"/>
      <c r="R188" s="158"/>
      <c r="S188" s="116" t="s">
        <v>166</v>
      </c>
      <c r="T188" s="423">
        <v>12</v>
      </c>
      <c r="U188" s="423">
        <v>3</v>
      </c>
      <c r="V188" s="116">
        <v>3</v>
      </c>
      <c r="W188" s="423">
        <v>3</v>
      </c>
      <c r="X188" s="423">
        <v>3</v>
      </c>
      <c r="Y188" s="465" t="s">
        <v>697</v>
      </c>
      <c r="Z188" s="423" t="s">
        <v>190</v>
      </c>
      <c r="AA188" s="465" t="s">
        <v>698</v>
      </c>
      <c r="AB188" s="423" t="s">
        <v>52</v>
      </c>
      <c r="AC188" s="423" t="s">
        <v>673</v>
      </c>
      <c r="AD188" s="71"/>
      <c r="AE188" s="567">
        <v>173204969</v>
      </c>
      <c r="AF188" s="368" t="s">
        <v>228</v>
      </c>
      <c r="AG188" s="368" t="s">
        <v>835</v>
      </c>
      <c r="AH188" s="368" t="s">
        <v>832</v>
      </c>
    </row>
    <row r="189" spans="1:34" s="78" customFormat="1" ht="117.75" customHeight="1" x14ac:dyDescent="0.25">
      <c r="A189" s="158" t="s">
        <v>892</v>
      </c>
      <c r="B189" s="158" t="s">
        <v>842</v>
      </c>
      <c r="C189" s="158" t="s">
        <v>846</v>
      </c>
      <c r="D189" s="447" t="s">
        <v>1053</v>
      </c>
      <c r="E189" s="394" t="s">
        <v>489</v>
      </c>
      <c r="F189" s="158" t="s">
        <v>1054</v>
      </c>
      <c r="G189" s="158" t="s">
        <v>1055</v>
      </c>
      <c r="H189" s="158" t="s">
        <v>1049</v>
      </c>
      <c r="I189" s="158" t="s">
        <v>1140</v>
      </c>
      <c r="J189" s="158" t="s">
        <v>1090</v>
      </c>
      <c r="K189" s="567">
        <v>512000000</v>
      </c>
      <c r="L189" s="143" t="s">
        <v>253</v>
      </c>
      <c r="M189" s="328" t="s">
        <v>156</v>
      </c>
      <c r="N189" s="143" t="s">
        <v>587</v>
      </c>
      <c r="O189" s="159"/>
      <c r="P189" s="159"/>
      <c r="Q189" s="159"/>
      <c r="R189" s="159"/>
      <c r="S189" s="116"/>
      <c r="T189" s="423">
        <v>12</v>
      </c>
      <c r="U189" s="423">
        <v>3</v>
      </c>
      <c r="V189" s="116">
        <v>3</v>
      </c>
      <c r="W189" s="423">
        <v>3</v>
      </c>
      <c r="X189" s="423">
        <v>3</v>
      </c>
      <c r="Y189" s="465" t="s">
        <v>699</v>
      </c>
      <c r="Z189" s="423" t="s">
        <v>454</v>
      </c>
      <c r="AA189" s="423" t="s">
        <v>869</v>
      </c>
      <c r="AB189" s="423" t="s">
        <v>53</v>
      </c>
      <c r="AC189" s="423" t="s">
        <v>490</v>
      </c>
      <c r="AD189" s="165"/>
      <c r="AE189" s="567">
        <v>512000000</v>
      </c>
      <c r="AF189" s="368" t="s">
        <v>228</v>
      </c>
      <c r="AG189" s="368" t="s">
        <v>835</v>
      </c>
      <c r="AH189" s="368" t="s">
        <v>832</v>
      </c>
    </row>
    <row r="190" spans="1:34" s="78" customFormat="1" ht="66.75" customHeight="1" x14ac:dyDescent="0.25">
      <c r="A190" s="368" t="s">
        <v>892</v>
      </c>
      <c r="B190" s="428" t="s">
        <v>842</v>
      </c>
      <c r="C190" s="428" t="s">
        <v>846</v>
      </c>
      <c r="D190" s="447" t="s">
        <v>1053</v>
      </c>
      <c r="E190" s="394" t="s">
        <v>489</v>
      </c>
      <c r="F190" s="368" t="s">
        <v>1054</v>
      </c>
      <c r="G190" s="368" t="s">
        <v>1055</v>
      </c>
      <c r="H190" s="158" t="s">
        <v>1049</v>
      </c>
      <c r="I190" s="368" t="s">
        <v>1141</v>
      </c>
      <c r="J190" s="158" t="s">
        <v>1092</v>
      </c>
      <c r="K190" s="567">
        <v>20000000</v>
      </c>
      <c r="L190" s="450" t="s">
        <v>493</v>
      </c>
      <c r="M190" s="328" t="s">
        <v>156</v>
      </c>
      <c r="N190" s="143" t="s">
        <v>1152</v>
      </c>
      <c r="O190" s="158"/>
      <c r="P190" s="158"/>
      <c r="Q190" s="158"/>
      <c r="R190" s="158"/>
      <c r="S190" s="116" t="s">
        <v>166</v>
      </c>
      <c r="T190" s="143">
        <v>12</v>
      </c>
      <c r="U190" s="143">
        <v>3</v>
      </c>
      <c r="V190" s="143">
        <v>3</v>
      </c>
      <c r="W190" s="143">
        <v>3</v>
      </c>
      <c r="X190" s="143">
        <v>3</v>
      </c>
      <c r="Y190" s="476" t="s">
        <v>701</v>
      </c>
      <c r="Z190" s="423" t="s">
        <v>190</v>
      </c>
      <c r="AA190" s="423" t="s">
        <v>190</v>
      </c>
      <c r="AB190" s="423" t="s">
        <v>53</v>
      </c>
      <c r="AC190" s="423" t="s">
        <v>702</v>
      </c>
      <c r="AD190" s="165"/>
      <c r="AE190" s="567">
        <v>20000000</v>
      </c>
      <c r="AF190" s="116" t="s">
        <v>228</v>
      </c>
      <c r="AG190" s="368" t="s">
        <v>835</v>
      </c>
      <c r="AH190" s="116" t="s">
        <v>832</v>
      </c>
    </row>
    <row r="191" spans="1:34" s="82" customFormat="1" ht="89.25" customHeight="1" x14ac:dyDescent="0.25">
      <c r="A191" s="368" t="s">
        <v>892</v>
      </c>
      <c r="B191" s="428" t="s">
        <v>842</v>
      </c>
      <c r="C191" s="428" t="s">
        <v>846</v>
      </c>
      <c r="D191" s="447" t="s">
        <v>1053</v>
      </c>
      <c r="E191" s="394" t="s">
        <v>489</v>
      </c>
      <c r="F191" s="368" t="s">
        <v>1054</v>
      </c>
      <c r="G191" s="368" t="s">
        <v>1055</v>
      </c>
      <c r="H191" s="158" t="s">
        <v>1049</v>
      </c>
      <c r="I191" s="368" t="s">
        <v>1141</v>
      </c>
      <c r="J191" s="158" t="s">
        <v>1092</v>
      </c>
      <c r="K191" s="567">
        <v>1078875000</v>
      </c>
      <c r="L191" s="450" t="s">
        <v>493</v>
      </c>
      <c r="M191" s="328" t="s">
        <v>156</v>
      </c>
      <c r="N191" s="143" t="s">
        <v>1152</v>
      </c>
      <c r="O191" s="158"/>
      <c r="P191" s="158"/>
      <c r="Q191" s="158"/>
      <c r="R191" s="158"/>
      <c r="S191" s="116" t="s">
        <v>166</v>
      </c>
      <c r="T191" s="143">
        <v>12</v>
      </c>
      <c r="U191" s="143">
        <v>3</v>
      </c>
      <c r="V191" s="143">
        <v>3</v>
      </c>
      <c r="W191" s="143">
        <v>3</v>
      </c>
      <c r="X191" s="143">
        <v>3</v>
      </c>
      <c r="Y191" s="476" t="s">
        <v>700</v>
      </c>
      <c r="Z191" s="423" t="s">
        <v>867</v>
      </c>
      <c r="AA191" s="450" t="s">
        <v>868</v>
      </c>
      <c r="AB191" s="423" t="s">
        <v>52</v>
      </c>
      <c r="AC191" s="423" t="s">
        <v>490</v>
      </c>
      <c r="AD191" s="423"/>
      <c r="AE191" s="567">
        <v>1078875000</v>
      </c>
      <c r="AF191" s="116" t="s">
        <v>228</v>
      </c>
      <c r="AG191" s="368" t="s">
        <v>835</v>
      </c>
      <c r="AH191" s="116" t="s">
        <v>832</v>
      </c>
    </row>
    <row r="192" spans="1:34" ht="120" customHeight="1" x14ac:dyDescent="0.25">
      <c r="A192" s="118" t="s">
        <v>889</v>
      </c>
      <c r="B192" s="104" t="s">
        <v>263</v>
      </c>
      <c r="C192" s="104" t="s">
        <v>846</v>
      </c>
      <c r="D192" s="76" t="s">
        <v>918</v>
      </c>
      <c r="E192" s="223" t="s">
        <v>261</v>
      </c>
      <c r="F192" s="102" t="s">
        <v>920</v>
      </c>
      <c r="G192" s="102" t="s">
        <v>923</v>
      </c>
      <c r="H192" s="103" t="s">
        <v>927</v>
      </c>
      <c r="I192" s="102" t="s">
        <v>929</v>
      </c>
      <c r="J192" s="215" t="s">
        <v>1093</v>
      </c>
      <c r="K192" s="437">
        <v>0</v>
      </c>
      <c r="L192" s="420" t="s">
        <v>264</v>
      </c>
      <c r="M192" s="422" t="s">
        <v>156</v>
      </c>
      <c r="N192" s="420" t="s">
        <v>592</v>
      </c>
      <c r="O192" s="420"/>
      <c r="P192" s="420" t="s">
        <v>831</v>
      </c>
      <c r="Q192" s="420"/>
      <c r="R192" s="420"/>
      <c r="S192" s="423" t="s">
        <v>166</v>
      </c>
      <c r="T192" s="420">
        <v>4</v>
      </c>
      <c r="U192" s="420">
        <v>1</v>
      </c>
      <c r="V192" s="420">
        <v>1</v>
      </c>
      <c r="W192" s="420">
        <v>1</v>
      </c>
      <c r="X192" s="420">
        <v>1</v>
      </c>
      <c r="Y192" s="420"/>
      <c r="Z192" s="423"/>
      <c r="AA192" s="423"/>
      <c r="AB192" s="423" t="s">
        <v>863</v>
      </c>
      <c r="AC192" s="423"/>
      <c r="AD192" s="423"/>
      <c r="AE192" s="777">
        <v>0</v>
      </c>
      <c r="AF192" s="423" t="s">
        <v>228</v>
      </c>
      <c r="AG192" s="423" t="s">
        <v>835</v>
      </c>
      <c r="AH192" s="423" t="s">
        <v>268</v>
      </c>
    </row>
    <row r="193" spans="1:34" ht="114" customHeight="1" x14ac:dyDescent="0.25">
      <c r="A193" s="187" t="s">
        <v>889</v>
      </c>
      <c r="B193" s="104" t="s">
        <v>263</v>
      </c>
      <c r="C193" s="182" t="s">
        <v>846</v>
      </c>
      <c r="D193" s="192" t="s">
        <v>917</v>
      </c>
      <c r="E193" s="223" t="s">
        <v>261</v>
      </c>
      <c r="F193" s="102" t="s">
        <v>921</v>
      </c>
      <c r="G193" s="102" t="s">
        <v>922</v>
      </c>
      <c r="H193" s="103" t="s">
        <v>926</v>
      </c>
      <c r="I193" s="102" t="s">
        <v>928</v>
      </c>
      <c r="J193" s="215" t="s">
        <v>1094</v>
      </c>
      <c r="K193" s="751">
        <v>235633678</v>
      </c>
      <c r="L193" s="420" t="s">
        <v>265</v>
      </c>
      <c r="M193" s="328" t="s">
        <v>156</v>
      </c>
      <c r="N193" s="420" t="s">
        <v>572</v>
      </c>
      <c r="O193" s="420"/>
      <c r="P193" s="420" t="s">
        <v>831</v>
      </c>
      <c r="Q193" s="420"/>
      <c r="R193" s="420"/>
      <c r="S193" s="423" t="s">
        <v>166</v>
      </c>
      <c r="T193" s="420">
        <v>40</v>
      </c>
      <c r="U193" s="420">
        <v>0</v>
      </c>
      <c r="V193" s="420">
        <v>13</v>
      </c>
      <c r="W193" s="420">
        <v>13</v>
      </c>
      <c r="X193" s="420">
        <v>14</v>
      </c>
      <c r="Y193" s="439" t="s">
        <v>703</v>
      </c>
      <c r="Z193" s="423" t="s">
        <v>867</v>
      </c>
      <c r="AA193" s="450" t="s">
        <v>868</v>
      </c>
      <c r="AB193" s="423" t="s">
        <v>863</v>
      </c>
      <c r="AC193" s="423" t="s">
        <v>495</v>
      </c>
      <c r="AD193" s="423"/>
      <c r="AE193" s="751">
        <v>235633678</v>
      </c>
      <c r="AF193" s="423" t="s">
        <v>228</v>
      </c>
      <c r="AG193" s="423" t="s">
        <v>835</v>
      </c>
      <c r="AH193" s="423" t="s">
        <v>268</v>
      </c>
    </row>
    <row r="194" spans="1:34" ht="81.75" customHeight="1" x14ac:dyDescent="0.25">
      <c r="A194" s="187" t="s">
        <v>889</v>
      </c>
      <c r="B194" s="104" t="s">
        <v>263</v>
      </c>
      <c r="C194" s="182" t="s">
        <v>846</v>
      </c>
      <c r="D194" s="76" t="s">
        <v>918</v>
      </c>
      <c r="E194" s="223" t="s">
        <v>261</v>
      </c>
      <c r="F194" s="102" t="s">
        <v>920</v>
      </c>
      <c r="G194" s="102" t="s">
        <v>923</v>
      </c>
      <c r="H194" s="103" t="s">
        <v>927</v>
      </c>
      <c r="I194" s="102" t="s">
        <v>929</v>
      </c>
      <c r="J194" s="215" t="s">
        <v>1093</v>
      </c>
      <c r="K194" s="437">
        <v>0</v>
      </c>
      <c r="L194" s="420" t="s">
        <v>266</v>
      </c>
      <c r="M194" s="328" t="s">
        <v>156</v>
      </c>
      <c r="N194" s="420" t="s">
        <v>572</v>
      </c>
      <c r="O194" s="420"/>
      <c r="P194" s="420" t="s">
        <v>831</v>
      </c>
      <c r="Q194" s="420"/>
      <c r="R194" s="420"/>
      <c r="S194" s="423" t="s">
        <v>166</v>
      </c>
      <c r="T194" s="420">
        <v>69</v>
      </c>
      <c r="U194" s="420">
        <v>0</v>
      </c>
      <c r="V194" s="420">
        <v>23</v>
      </c>
      <c r="W194" s="420">
        <v>23</v>
      </c>
      <c r="X194" s="420">
        <v>23</v>
      </c>
      <c r="Y194" s="420"/>
      <c r="Z194" s="423"/>
      <c r="AA194" s="423"/>
      <c r="AB194" s="423" t="s">
        <v>863</v>
      </c>
      <c r="AC194" s="423"/>
      <c r="AD194" s="423"/>
      <c r="AE194" s="777">
        <v>0</v>
      </c>
      <c r="AF194" s="423" t="s">
        <v>228</v>
      </c>
      <c r="AG194" s="423" t="s">
        <v>228</v>
      </c>
      <c r="AH194" s="423" t="s">
        <v>268</v>
      </c>
    </row>
    <row r="195" spans="1:34" ht="123" customHeight="1" x14ac:dyDescent="0.25">
      <c r="A195" s="187" t="s">
        <v>889</v>
      </c>
      <c r="B195" s="104" t="s">
        <v>263</v>
      </c>
      <c r="C195" s="182" t="s">
        <v>846</v>
      </c>
      <c r="D195" s="76" t="s">
        <v>918</v>
      </c>
      <c r="E195" s="223" t="s">
        <v>261</v>
      </c>
      <c r="F195" s="102" t="s">
        <v>920</v>
      </c>
      <c r="G195" s="102" t="s">
        <v>924</v>
      </c>
      <c r="H195" s="103" t="s">
        <v>927</v>
      </c>
      <c r="I195" s="102" t="s">
        <v>929</v>
      </c>
      <c r="J195" s="215" t="s">
        <v>1093</v>
      </c>
      <c r="K195" s="437">
        <v>200000000</v>
      </c>
      <c r="L195" s="420" t="s">
        <v>496</v>
      </c>
      <c r="M195" s="329" t="s">
        <v>154</v>
      </c>
      <c r="N195" s="439" t="s">
        <v>773</v>
      </c>
      <c r="O195" s="420" t="s">
        <v>1188</v>
      </c>
      <c r="P195" s="420" t="s">
        <v>1181</v>
      </c>
      <c r="Q195" s="420" t="s">
        <v>1183</v>
      </c>
      <c r="R195" s="420"/>
      <c r="S195" s="423" t="s">
        <v>166</v>
      </c>
      <c r="T195" s="420">
        <v>5</v>
      </c>
      <c r="U195" s="420">
        <v>1</v>
      </c>
      <c r="V195" s="420">
        <v>1</v>
      </c>
      <c r="W195" s="420">
        <v>2</v>
      </c>
      <c r="X195" s="420">
        <v>1</v>
      </c>
      <c r="Y195" s="465" t="s">
        <v>703</v>
      </c>
      <c r="Z195" s="423" t="s">
        <v>867</v>
      </c>
      <c r="AA195" s="450" t="s">
        <v>868</v>
      </c>
      <c r="AB195" s="423" t="s">
        <v>863</v>
      </c>
      <c r="AC195" s="423" t="s">
        <v>704</v>
      </c>
      <c r="AD195" s="423"/>
      <c r="AE195" s="777">
        <v>200000000</v>
      </c>
      <c r="AF195" s="423" t="s">
        <v>228</v>
      </c>
      <c r="AG195" s="423" t="s">
        <v>228</v>
      </c>
      <c r="AH195" s="423" t="s">
        <v>268</v>
      </c>
    </row>
    <row r="196" spans="1:34" ht="120.75" customHeight="1" x14ac:dyDescent="0.25">
      <c r="A196" s="187" t="s">
        <v>889</v>
      </c>
      <c r="B196" s="104" t="s">
        <v>263</v>
      </c>
      <c r="C196" s="182" t="s">
        <v>846</v>
      </c>
      <c r="D196" s="16" t="s">
        <v>918</v>
      </c>
      <c r="E196" s="223" t="s">
        <v>261</v>
      </c>
      <c r="F196" s="102" t="s">
        <v>920</v>
      </c>
      <c r="G196" s="102" t="s">
        <v>924</v>
      </c>
      <c r="H196" s="103" t="s">
        <v>927</v>
      </c>
      <c r="I196" s="102" t="s">
        <v>929</v>
      </c>
      <c r="J196" s="215" t="s">
        <v>1093</v>
      </c>
      <c r="K196" s="437">
        <v>0</v>
      </c>
      <c r="L196" s="420" t="s">
        <v>497</v>
      </c>
      <c r="M196" s="329" t="s">
        <v>156</v>
      </c>
      <c r="N196" s="420" t="s">
        <v>643</v>
      </c>
      <c r="O196" s="420"/>
      <c r="P196" s="420" t="s">
        <v>831</v>
      </c>
      <c r="Q196" s="420"/>
      <c r="R196" s="420"/>
      <c r="S196" s="423" t="s">
        <v>166</v>
      </c>
      <c r="T196" s="420">
        <v>4</v>
      </c>
      <c r="U196" s="420">
        <v>1</v>
      </c>
      <c r="V196" s="420">
        <v>1</v>
      </c>
      <c r="W196" s="420">
        <v>1</v>
      </c>
      <c r="X196" s="420">
        <v>1</v>
      </c>
      <c r="Y196" s="420"/>
      <c r="Z196" s="423"/>
      <c r="AA196" s="423"/>
      <c r="AB196" s="423" t="s">
        <v>863</v>
      </c>
      <c r="AC196" s="423"/>
      <c r="AD196" s="423"/>
      <c r="AE196" s="777">
        <v>0</v>
      </c>
      <c r="AF196" s="423" t="s">
        <v>228</v>
      </c>
      <c r="AG196" s="423" t="s">
        <v>228</v>
      </c>
      <c r="AH196" s="423" t="s">
        <v>268</v>
      </c>
    </row>
    <row r="197" spans="1:34" ht="121.5" customHeight="1" x14ac:dyDescent="0.25">
      <c r="A197" s="187" t="s">
        <v>889</v>
      </c>
      <c r="B197" s="104" t="s">
        <v>263</v>
      </c>
      <c r="C197" s="182" t="s">
        <v>846</v>
      </c>
      <c r="D197" s="76" t="s">
        <v>918</v>
      </c>
      <c r="E197" s="223" t="s">
        <v>261</v>
      </c>
      <c r="F197" s="102" t="s">
        <v>920</v>
      </c>
      <c r="G197" s="102" t="s">
        <v>924</v>
      </c>
      <c r="H197" s="103" t="s">
        <v>927</v>
      </c>
      <c r="I197" s="102" t="s">
        <v>929</v>
      </c>
      <c r="J197" s="215" t="s">
        <v>1093</v>
      </c>
      <c r="K197" s="437">
        <v>280000000</v>
      </c>
      <c r="L197" s="420" t="s">
        <v>267</v>
      </c>
      <c r="M197" s="329" t="s">
        <v>156</v>
      </c>
      <c r="N197" s="423" t="s">
        <v>1151</v>
      </c>
      <c r="O197" s="420"/>
      <c r="P197" s="420"/>
      <c r="Q197" s="420"/>
      <c r="R197" s="420"/>
      <c r="S197" s="423" t="s">
        <v>166</v>
      </c>
      <c r="T197" s="420">
        <v>2</v>
      </c>
      <c r="U197" s="420">
        <v>2</v>
      </c>
      <c r="V197" s="420">
        <v>0</v>
      </c>
      <c r="W197" s="420">
        <v>0</v>
      </c>
      <c r="X197" s="420">
        <v>0</v>
      </c>
      <c r="Y197" s="465" t="s">
        <v>705</v>
      </c>
      <c r="Z197" s="423" t="s">
        <v>867</v>
      </c>
      <c r="AA197" s="450" t="s">
        <v>868</v>
      </c>
      <c r="AB197" s="423" t="s">
        <v>863</v>
      </c>
      <c r="AC197" s="423" t="s">
        <v>495</v>
      </c>
      <c r="AD197" s="423"/>
      <c r="AE197" s="777">
        <v>280000000</v>
      </c>
      <c r="AF197" s="423" t="s">
        <v>228</v>
      </c>
      <c r="AG197" s="423" t="s">
        <v>228</v>
      </c>
      <c r="AH197" s="423" t="s">
        <v>268</v>
      </c>
    </row>
    <row r="198" spans="1:34" s="82" customFormat="1" ht="50.25" customHeight="1" x14ac:dyDescent="0.25">
      <c r="A198" s="368" t="s">
        <v>892</v>
      </c>
      <c r="B198" s="428" t="s">
        <v>65</v>
      </c>
      <c r="C198" s="428" t="s">
        <v>850</v>
      </c>
      <c r="D198" s="451" t="s">
        <v>977</v>
      </c>
      <c r="E198" s="394" t="s">
        <v>269</v>
      </c>
      <c r="F198" s="378" t="s">
        <v>978</v>
      </c>
      <c r="G198" s="378" t="s">
        <v>989</v>
      </c>
      <c r="H198" s="158" t="s">
        <v>980</v>
      </c>
      <c r="I198" s="378" t="s">
        <v>990</v>
      </c>
      <c r="J198" s="158" t="s">
        <v>1095</v>
      </c>
      <c r="K198" s="518">
        <v>4240940907</v>
      </c>
      <c r="L198" s="143" t="s">
        <v>270</v>
      </c>
      <c r="M198" s="328" t="s">
        <v>156</v>
      </c>
      <c r="N198" s="116" t="s">
        <v>707</v>
      </c>
      <c r="O198" s="158"/>
      <c r="P198" s="158"/>
      <c r="Q198" s="158"/>
      <c r="R198" s="158"/>
      <c r="S198" s="116" t="s">
        <v>166</v>
      </c>
      <c r="T198" s="143">
        <v>125</v>
      </c>
      <c r="U198" s="116">
        <v>125</v>
      </c>
      <c r="V198" s="116">
        <v>0</v>
      </c>
      <c r="W198" s="116">
        <v>0</v>
      </c>
      <c r="X198" s="116">
        <v>0</v>
      </c>
      <c r="Y198" s="126" t="s">
        <v>706</v>
      </c>
      <c r="Z198" s="423" t="s">
        <v>190</v>
      </c>
      <c r="AA198" s="465" t="s">
        <v>708</v>
      </c>
      <c r="AB198" s="116" t="s">
        <v>65</v>
      </c>
      <c r="AC198" s="116"/>
      <c r="AD198" s="423" t="s">
        <v>498</v>
      </c>
      <c r="AE198" s="518">
        <v>4240940907</v>
      </c>
      <c r="AF198" s="116" t="s">
        <v>273</v>
      </c>
      <c r="AG198" s="368" t="s">
        <v>835</v>
      </c>
      <c r="AH198" s="116" t="s">
        <v>274</v>
      </c>
    </row>
    <row r="199" spans="1:34" s="82" customFormat="1" ht="39" customHeight="1" x14ac:dyDescent="0.25">
      <c r="A199" s="368" t="s">
        <v>892</v>
      </c>
      <c r="B199" s="428" t="s">
        <v>65</v>
      </c>
      <c r="C199" s="428" t="s">
        <v>850</v>
      </c>
      <c r="D199" s="451" t="s">
        <v>977</v>
      </c>
      <c r="E199" s="394" t="s">
        <v>269</v>
      </c>
      <c r="F199" s="378" t="s">
        <v>978</v>
      </c>
      <c r="G199" s="378" t="s">
        <v>989</v>
      </c>
      <c r="H199" s="158" t="s">
        <v>980</v>
      </c>
      <c r="I199" s="378" t="s">
        <v>990</v>
      </c>
      <c r="J199" s="158" t="s">
        <v>1095</v>
      </c>
      <c r="K199" s="518">
        <v>18417628375</v>
      </c>
      <c r="L199" s="143" t="s">
        <v>270</v>
      </c>
      <c r="M199" s="328" t="s">
        <v>156</v>
      </c>
      <c r="N199" s="116" t="s">
        <v>707</v>
      </c>
      <c r="O199" s="158"/>
      <c r="P199" s="158"/>
      <c r="Q199" s="158"/>
      <c r="R199" s="158"/>
      <c r="S199" s="116" t="s">
        <v>166</v>
      </c>
      <c r="T199" s="143">
        <v>125</v>
      </c>
      <c r="U199" s="116">
        <v>125</v>
      </c>
      <c r="V199" s="116">
        <v>0</v>
      </c>
      <c r="W199" s="116">
        <v>0</v>
      </c>
      <c r="X199" s="116">
        <v>0</v>
      </c>
      <c r="Y199" s="126" t="s">
        <v>709</v>
      </c>
      <c r="Z199" s="423" t="s">
        <v>190</v>
      </c>
      <c r="AA199" s="465" t="s">
        <v>716</v>
      </c>
      <c r="AB199" s="116" t="s">
        <v>65</v>
      </c>
      <c r="AC199" s="116"/>
      <c r="AD199" s="423" t="s">
        <v>498</v>
      </c>
      <c r="AE199" s="518">
        <v>18417628375</v>
      </c>
      <c r="AF199" s="116" t="s">
        <v>273</v>
      </c>
      <c r="AG199" s="368" t="s">
        <v>835</v>
      </c>
      <c r="AH199" s="116" t="s">
        <v>274</v>
      </c>
    </row>
    <row r="200" spans="1:34" s="82" customFormat="1" ht="57" customHeight="1" x14ac:dyDescent="0.25">
      <c r="A200" s="368" t="s">
        <v>892</v>
      </c>
      <c r="B200" s="428" t="s">
        <v>65</v>
      </c>
      <c r="C200" s="428" t="s">
        <v>850</v>
      </c>
      <c r="D200" s="451" t="s">
        <v>977</v>
      </c>
      <c r="E200" s="394" t="s">
        <v>269</v>
      </c>
      <c r="F200" s="378" t="s">
        <v>978</v>
      </c>
      <c r="G200" s="378" t="s">
        <v>989</v>
      </c>
      <c r="H200" s="158" t="s">
        <v>980</v>
      </c>
      <c r="I200" s="378" t="s">
        <v>990</v>
      </c>
      <c r="J200" s="158" t="s">
        <v>1095</v>
      </c>
      <c r="K200" s="518">
        <v>5536514540</v>
      </c>
      <c r="L200" s="143" t="s">
        <v>270</v>
      </c>
      <c r="M200" s="328" t="s">
        <v>156</v>
      </c>
      <c r="N200" s="116" t="s">
        <v>707</v>
      </c>
      <c r="O200" s="158"/>
      <c r="P200" s="158"/>
      <c r="Q200" s="158"/>
      <c r="R200" s="158"/>
      <c r="S200" s="116" t="s">
        <v>166</v>
      </c>
      <c r="T200" s="143">
        <v>125</v>
      </c>
      <c r="U200" s="116">
        <v>125</v>
      </c>
      <c r="V200" s="116">
        <v>0</v>
      </c>
      <c r="W200" s="116">
        <v>0</v>
      </c>
      <c r="X200" s="116">
        <v>0</v>
      </c>
      <c r="Y200" s="126" t="s">
        <v>711</v>
      </c>
      <c r="Z200" s="423" t="s">
        <v>190</v>
      </c>
      <c r="AA200" s="465" t="s">
        <v>710</v>
      </c>
      <c r="AB200" s="116" t="s">
        <v>65</v>
      </c>
      <c r="AC200" s="116"/>
      <c r="AD200" s="423" t="s">
        <v>498</v>
      </c>
      <c r="AE200" s="518">
        <v>5536514540</v>
      </c>
      <c r="AF200" s="116" t="s">
        <v>273</v>
      </c>
      <c r="AG200" s="368" t="s">
        <v>835</v>
      </c>
      <c r="AH200" s="116" t="s">
        <v>274</v>
      </c>
    </row>
    <row r="201" spans="1:34" s="82" customFormat="1" ht="65.25" customHeight="1" x14ac:dyDescent="0.25">
      <c r="A201" s="368" t="s">
        <v>892</v>
      </c>
      <c r="B201" s="428" t="s">
        <v>65</v>
      </c>
      <c r="C201" s="428" t="s">
        <v>850</v>
      </c>
      <c r="D201" s="451" t="s">
        <v>977</v>
      </c>
      <c r="E201" s="394" t="s">
        <v>269</v>
      </c>
      <c r="F201" s="378" t="s">
        <v>978</v>
      </c>
      <c r="G201" s="378" t="s">
        <v>989</v>
      </c>
      <c r="H201" s="158" t="s">
        <v>980</v>
      </c>
      <c r="I201" s="378" t="s">
        <v>990</v>
      </c>
      <c r="J201" s="158" t="s">
        <v>1095</v>
      </c>
      <c r="K201" s="751">
        <v>331425341810</v>
      </c>
      <c r="L201" s="143" t="s">
        <v>270</v>
      </c>
      <c r="M201" s="328" t="s">
        <v>156</v>
      </c>
      <c r="N201" s="116" t="s">
        <v>707</v>
      </c>
      <c r="O201" s="158"/>
      <c r="P201" s="158"/>
      <c r="Q201" s="158"/>
      <c r="R201" s="158"/>
      <c r="S201" s="116" t="s">
        <v>166</v>
      </c>
      <c r="T201" s="143">
        <v>125</v>
      </c>
      <c r="U201" s="116">
        <v>125</v>
      </c>
      <c r="V201" s="116">
        <v>0</v>
      </c>
      <c r="W201" s="116">
        <v>0</v>
      </c>
      <c r="X201" s="116">
        <v>0</v>
      </c>
      <c r="Y201" s="423" t="s">
        <v>717</v>
      </c>
      <c r="Z201" s="423" t="s">
        <v>190</v>
      </c>
      <c r="AA201" s="423" t="s">
        <v>190</v>
      </c>
      <c r="AB201" s="116" t="s">
        <v>65</v>
      </c>
      <c r="AC201" s="116"/>
      <c r="AD201" s="423" t="s">
        <v>498</v>
      </c>
      <c r="AE201" s="751">
        <v>331425341810</v>
      </c>
      <c r="AF201" s="116" t="s">
        <v>273</v>
      </c>
      <c r="AG201" s="368" t="s">
        <v>835</v>
      </c>
      <c r="AH201" s="116" t="s">
        <v>274</v>
      </c>
    </row>
    <row r="202" spans="1:34" s="82" customFormat="1" ht="67.5" customHeight="1" x14ac:dyDescent="0.25">
      <c r="A202" s="116" t="s">
        <v>892</v>
      </c>
      <c r="B202" s="162" t="s">
        <v>65</v>
      </c>
      <c r="C202" s="428" t="s">
        <v>850</v>
      </c>
      <c r="D202" s="451" t="s">
        <v>977</v>
      </c>
      <c r="E202" s="394" t="s">
        <v>269</v>
      </c>
      <c r="F202" s="160" t="s">
        <v>978</v>
      </c>
      <c r="G202" s="160" t="s">
        <v>989</v>
      </c>
      <c r="H202" s="158" t="s">
        <v>980</v>
      </c>
      <c r="I202" s="160" t="s">
        <v>990</v>
      </c>
      <c r="J202" s="158" t="s">
        <v>1095</v>
      </c>
      <c r="K202" s="128">
        <v>1119312000</v>
      </c>
      <c r="L202" s="143" t="s">
        <v>271</v>
      </c>
      <c r="M202" s="328" t="s">
        <v>156</v>
      </c>
      <c r="N202" s="116" t="s">
        <v>584</v>
      </c>
      <c r="O202" s="158"/>
      <c r="P202" s="158"/>
      <c r="Q202" s="158"/>
      <c r="R202" s="158"/>
      <c r="S202" s="116" t="s">
        <v>166</v>
      </c>
      <c r="T202" s="143">
        <v>13</v>
      </c>
      <c r="U202" s="116">
        <v>13</v>
      </c>
      <c r="V202" s="116">
        <v>0</v>
      </c>
      <c r="W202" s="116">
        <v>0</v>
      </c>
      <c r="X202" s="116">
        <v>0</v>
      </c>
      <c r="Y202" s="126" t="s">
        <v>712</v>
      </c>
      <c r="Z202" s="423" t="s">
        <v>190</v>
      </c>
      <c r="AA202" s="423" t="s">
        <v>190</v>
      </c>
      <c r="AB202" s="423" t="s">
        <v>65</v>
      </c>
      <c r="AC202" s="113"/>
      <c r="AD202" s="423" t="s">
        <v>499</v>
      </c>
      <c r="AE202" s="128">
        <v>1119312000</v>
      </c>
      <c r="AF202" s="423" t="s">
        <v>273</v>
      </c>
      <c r="AG202" s="423" t="s">
        <v>835</v>
      </c>
      <c r="AH202" s="423" t="s">
        <v>274</v>
      </c>
    </row>
    <row r="203" spans="1:34" s="82" customFormat="1" ht="88.5" customHeight="1" x14ac:dyDescent="0.25">
      <c r="A203" s="116" t="s">
        <v>892</v>
      </c>
      <c r="B203" s="162" t="s">
        <v>65</v>
      </c>
      <c r="C203" s="428" t="s">
        <v>850</v>
      </c>
      <c r="D203" s="451" t="s">
        <v>977</v>
      </c>
      <c r="E203" s="394" t="s">
        <v>269</v>
      </c>
      <c r="F203" s="160" t="s">
        <v>978</v>
      </c>
      <c r="G203" s="160" t="s">
        <v>989</v>
      </c>
      <c r="H203" s="158" t="s">
        <v>980</v>
      </c>
      <c r="I203" s="160" t="s">
        <v>990</v>
      </c>
      <c r="J203" s="158" t="s">
        <v>1095</v>
      </c>
      <c r="K203" s="128">
        <v>120000000</v>
      </c>
      <c r="L203" s="143" t="s">
        <v>271</v>
      </c>
      <c r="M203" s="328" t="s">
        <v>156</v>
      </c>
      <c r="N203" s="116" t="s">
        <v>584</v>
      </c>
      <c r="O203" s="158"/>
      <c r="P203" s="158"/>
      <c r="Q203" s="158"/>
      <c r="R203" s="158"/>
      <c r="S203" s="116" t="s">
        <v>166</v>
      </c>
      <c r="T203" s="143">
        <v>13</v>
      </c>
      <c r="U203" s="116">
        <v>13</v>
      </c>
      <c r="V203" s="116">
        <v>0</v>
      </c>
      <c r="W203" s="116">
        <v>0</v>
      </c>
      <c r="X203" s="116">
        <v>0</v>
      </c>
      <c r="Y203" s="126" t="s">
        <v>715</v>
      </c>
      <c r="Z203" s="423" t="s">
        <v>190</v>
      </c>
      <c r="AA203" s="423" t="s">
        <v>190</v>
      </c>
      <c r="AB203" s="423" t="s">
        <v>65</v>
      </c>
      <c r="AC203" s="113"/>
      <c r="AD203" s="423" t="s">
        <v>499</v>
      </c>
      <c r="AE203" s="128">
        <v>120000000</v>
      </c>
      <c r="AF203" s="423" t="s">
        <v>273</v>
      </c>
      <c r="AG203" s="423" t="s">
        <v>835</v>
      </c>
      <c r="AH203" s="423" t="s">
        <v>274</v>
      </c>
    </row>
    <row r="204" spans="1:34" s="82" customFormat="1" ht="101.25" customHeight="1" x14ac:dyDescent="0.25">
      <c r="A204" s="187" t="s">
        <v>892</v>
      </c>
      <c r="B204" s="182" t="s">
        <v>65</v>
      </c>
      <c r="C204" s="104" t="s">
        <v>850</v>
      </c>
      <c r="D204" s="76" t="s">
        <v>977</v>
      </c>
      <c r="E204" s="214" t="s">
        <v>269</v>
      </c>
      <c r="F204" s="102" t="s">
        <v>978</v>
      </c>
      <c r="G204" s="102" t="s">
        <v>989</v>
      </c>
      <c r="H204" s="103" t="s">
        <v>980</v>
      </c>
      <c r="I204" s="102" t="s">
        <v>990</v>
      </c>
      <c r="J204" s="255" t="s">
        <v>1095</v>
      </c>
      <c r="K204" s="437">
        <v>0</v>
      </c>
      <c r="L204" s="744" t="s">
        <v>714</v>
      </c>
      <c r="M204" s="422" t="s">
        <v>1158</v>
      </c>
      <c r="N204" s="420" t="s">
        <v>773</v>
      </c>
      <c r="O204" s="420" t="s">
        <v>1180</v>
      </c>
      <c r="P204" s="420" t="s">
        <v>1198</v>
      </c>
      <c r="Q204" s="420" t="s">
        <v>1183</v>
      </c>
      <c r="R204" s="420"/>
      <c r="S204" s="423" t="s">
        <v>166</v>
      </c>
      <c r="T204" s="420">
        <v>1</v>
      </c>
      <c r="U204" s="420"/>
      <c r="V204" s="420"/>
      <c r="W204" s="420"/>
      <c r="X204" s="420">
        <v>1</v>
      </c>
      <c r="Y204" s="126"/>
      <c r="Z204" s="423"/>
      <c r="AA204" s="439"/>
      <c r="AB204" s="423" t="s">
        <v>65</v>
      </c>
      <c r="AC204" s="113"/>
      <c r="AD204" s="423"/>
      <c r="AE204" s="777">
        <v>0</v>
      </c>
      <c r="AF204" s="423" t="s">
        <v>273</v>
      </c>
      <c r="AG204" s="423" t="s">
        <v>835</v>
      </c>
      <c r="AH204" s="423" t="s">
        <v>274</v>
      </c>
    </row>
    <row r="205" spans="1:34" ht="113.25" customHeight="1" x14ac:dyDescent="0.25">
      <c r="A205" s="187" t="s">
        <v>892</v>
      </c>
      <c r="B205" s="182" t="s">
        <v>65</v>
      </c>
      <c r="C205" s="104" t="s">
        <v>850</v>
      </c>
      <c r="D205" s="76" t="s">
        <v>977</v>
      </c>
      <c r="E205" s="214" t="s">
        <v>269</v>
      </c>
      <c r="F205" s="102" t="s">
        <v>978</v>
      </c>
      <c r="G205" s="102" t="s">
        <v>989</v>
      </c>
      <c r="H205" s="103" t="s">
        <v>980</v>
      </c>
      <c r="I205" s="102" t="s">
        <v>990</v>
      </c>
      <c r="J205" s="255" t="s">
        <v>1095</v>
      </c>
      <c r="K205" s="437">
        <v>200000000</v>
      </c>
      <c r="L205" s="744" t="s">
        <v>272</v>
      </c>
      <c r="M205" s="329" t="s">
        <v>1159</v>
      </c>
      <c r="N205" s="420" t="s">
        <v>572</v>
      </c>
      <c r="O205" s="420"/>
      <c r="P205" s="420"/>
      <c r="Q205" s="420"/>
      <c r="R205" s="420"/>
      <c r="S205" s="423" t="s">
        <v>166</v>
      </c>
      <c r="T205" s="420">
        <v>20</v>
      </c>
      <c r="U205" s="420">
        <v>4</v>
      </c>
      <c r="V205" s="420">
        <v>4</v>
      </c>
      <c r="W205" s="420">
        <v>5</v>
      </c>
      <c r="X205" s="420">
        <v>7</v>
      </c>
      <c r="Y205" s="126" t="s">
        <v>713</v>
      </c>
      <c r="Z205" s="423" t="s">
        <v>190</v>
      </c>
      <c r="AA205" s="439" t="s">
        <v>623</v>
      </c>
      <c r="AB205" s="423" t="s">
        <v>65</v>
      </c>
      <c r="AC205" s="113"/>
      <c r="AD205" s="423" t="s">
        <v>499</v>
      </c>
      <c r="AE205" s="777">
        <v>200000000</v>
      </c>
      <c r="AF205" s="423" t="s">
        <v>273</v>
      </c>
      <c r="AG205" s="423" t="s">
        <v>835</v>
      </c>
      <c r="AH205" s="423" t="s">
        <v>274</v>
      </c>
    </row>
    <row r="206" spans="1:34" s="82" customFormat="1" ht="84.75" customHeight="1" x14ac:dyDescent="0.25">
      <c r="A206" s="116" t="s">
        <v>892</v>
      </c>
      <c r="B206" s="162" t="s">
        <v>65</v>
      </c>
      <c r="C206" s="428" t="s">
        <v>850</v>
      </c>
      <c r="D206" s="451" t="s">
        <v>991</v>
      </c>
      <c r="E206" s="397" t="s">
        <v>275</v>
      </c>
      <c r="F206" s="160" t="s">
        <v>978</v>
      </c>
      <c r="G206" s="160" t="s">
        <v>989</v>
      </c>
      <c r="H206" s="158" t="s">
        <v>993</v>
      </c>
      <c r="I206" s="160" t="s">
        <v>994</v>
      </c>
      <c r="J206" s="158" t="s">
        <v>1096</v>
      </c>
      <c r="K206" s="693">
        <v>3699128138</v>
      </c>
      <c r="L206" s="143" t="s">
        <v>276</v>
      </c>
      <c r="M206" s="328" t="s">
        <v>156</v>
      </c>
      <c r="N206" s="143" t="s">
        <v>669</v>
      </c>
      <c r="O206" s="158"/>
      <c r="P206" s="158"/>
      <c r="Q206" s="158"/>
      <c r="R206" s="158"/>
      <c r="S206" s="116" t="s">
        <v>166</v>
      </c>
      <c r="T206" s="143">
        <v>16</v>
      </c>
      <c r="U206" s="143">
        <v>0</v>
      </c>
      <c r="V206" s="143">
        <v>0</v>
      </c>
      <c r="W206" s="143">
        <v>16</v>
      </c>
      <c r="X206" s="143">
        <v>0</v>
      </c>
      <c r="Y206" s="140" t="s">
        <v>718</v>
      </c>
      <c r="Z206" s="423" t="s">
        <v>867</v>
      </c>
      <c r="AA206" s="450" t="s">
        <v>870</v>
      </c>
      <c r="AB206" s="423" t="s">
        <v>65</v>
      </c>
      <c r="AC206" s="436"/>
      <c r="AD206" s="423" t="s">
        <v>720</v>
      </c>
      <c r="AE206" s="693">
        <v>3699128138</v>
      </c>
      <c r="AF206" s="116" t="s">
        <v>273</v>
      </c>
      <c r="AG206" s="368" t="s">
        <v>835</v>
      </c>
      <c r="AH206" s="116" t="s">
        <v>510</v>
      </c>
    </row>
    <row r="207" spans="1:34" s="82" customFormat="1" ht="51.75" customHeight="1" x14ac:dyDescent="0.25">
      <c r="A207" s="116" t="s">
        <v>892</v>
      </c>
      <c r="B207" s="162" t="s">
        <v>65</v>
      </c>
      <c r="C207" s="428" t="s">
        <v>850</v>
      </c>
      <c r="D207" s="451" t="s">
        <v>991</v>
      </c>
      <c r="E207" s="397" t="s">
        <v>275</v>
      </c>
      <c r="F207" s="160" t="s">
        <v>978</v>
      </c>
      <c r="G207" s="160" t="s">
        <v>989</v>
      </c>
      <c r="H207" s="158" t="s">
        <v>993</v>
      </c>
      <c r="I207" s="160" t="s">
        <v>994</v>
      </c>
      <c r="J207" s="158" t="s">
        <v>1096</v>
      </c>
      <c r="K207" s="750">
        <v>0</v>
      </c>
      <c r="L207" s="143" t="s">
        <v>276</v>
      </c>
      <c r="M207" s="328" t="s">
        <v>156</v>
      </c>
      <c r="N207" s="143" t="s">
        <v>669</v>
      </c>
      <c r="O207" s="158"/>
      <c r="P207" s="158"/>
      <c r="Q207" s="158"/>
      <c r="R207" s="158"/>
      <c r="S207" s="116" t="s">
        <v>166</v>
      </c>
      <c r="T207" s="143">
        <v>16</v>
      </c>
      <c r="U207" s="143">
        <v>0</v>
      </c>
      <c r="V207" s="143">
        <v>0</v>
      </c>
      <c r="W207" s="143">
        <v>16</v>
      </c>
      <c r="X207" s="143">
        <v>0</v>
      </c>
      <c r="Y207" s="140"/>
      <c r="Z207" s="423"/>
      <c r="AA207" s="465"/>
      <c r="AB207" s="423" t="s">
        <v>65</v>
      </c>
      <c r="AC207" s="115"/>
      <c r="AD207" s="423"/>
      <c r="AE207" s="750">
        <v>0</v>
      </c>
      <c r="AF207" s="116" t="s">
        <v>273</v>
      </c>
      <c r="AG207" s="368" t="s">
        <v>835</v>
      </c>
      <c r="AH207" s="116" t="s">
        <v>510</v>
      </c>
    </row>
    <row r="208" spans="1:34" s="82" customFormat="1" ht="78" customHeight="1" x14ac:dyDescent="0.25">
      <c r="A208" s="116" t="s">
        <v>892</v>
      </c>
      <c r="B208" s="162" t="s">
        <v>65</v>
      </c>
      <c r="C208" s="428" t="s">
        <v>850</v>
      </c>
      <c r="D208" s="451" t="s">
        <v>992</v>
      </c>
      <c r="E208" s="397" t="s">
        <v>275</v>
      </c>
      <c r="F208" s="160" t="s">
        <v>978</v>
      </c>
      <c r="G208" s="160" t="s">
        <v>989</v>
      </c>
      <c r="H208" s="158" t="s">
        <v>993</v>
      </c>
      <c r="I208" s="160" t="s">
        <v>994</v>
      </c>
      <c r="J208" s="158" t="s">
        <v>1096</v>
      </c>
      <c r="K208" s="750">
        <v>16670000000</v>
      </c>
      <c r="L208" s="143" t="s">
        <v>277</v>
      </c>
      <c r="M208" s="328" t="s">
        <v>156</v>
      </c>
      <c r="N208" s="143" t="s">
        <v>669</v>
      </c>
      <c r="O208" s="158"/>
      <c r="P208" s="158"/>
      <c r="Q208" s="158"/>
      <c r="R208" s="158"/>
      <c r="S208" s="116" t="s">
        <v>166</v>
      </c>
      <c r="T208" s="143">
        <v>5</v>
      </c>
      <c r="U208" s="143">
        <v>0</v>
      </c>
      <c r="V208" s="143">
        <v>0</v>
      </c>
      <c r="W208" s="143">
        <v>5</v>
      </c>
      <c r="X208" s="143">
        <v>0</v>
      </c>
      <c r="Y208" s="141" t="s">
        <v>721</v>
      </c>
      <c r="Z208" s="423" t="s">
        <v>190</v>
      </c>
      <c r="AA208" s="465" t="s">
        <v>710</v>
      </c>
      <c r="AB208" s="423" t="s">
        <v>65</v>
      </c>
      <c r="AC208" s="113"/>
      <c r="AD208" s="423" t="s">
        <v>509</v>
      </c>
      <c r="AE208" s="750">
        <v>16670000000</v>
      </c>
      <c r="AF208" s="116" t="s">
        <v>273</v>
      </c>
      <c r="AG208" s="368" t="s">
        <v>835</v>
      </c>
      <c r="AH208" s="116" t="s">
        <v>510</v>
      </c>
    </row>
    <row r="209" spans="1:34" s="82" customFormat="1" ht="89.25" customHeight="1" x14ac:dyDescent="0.25">
      <c r="A209" s="116" t="s">
        <v>892</v>
      </c>
      <c r="B209" s="162" t="s">
        <v>65</v>
      </c>
      <c r="C209" s="428" t="s">
        <v>850</v>
      </c>
      <c r="D209" s="451" t="s">
        <v>992</v>
      </c>
      <c r="E209" s="397" t="s">
        <v>275</v>
      </c>
      <c r="F209" s="160" t="s">
        <v>978</v>
      </c>
      <c r="G209" s="160" t="s">
        <v>989</v>
      </c>
      <c r="H209" s="158" t="s">
        <v>993</v>
      </c>
      <c r="I209" s="160" t="s">
        <v>994</v>
      </c>
      <c r="J209" s="158" t="s">
        <v>1096</v>
      </c>
      <c r="K209" s="750">
        <f>50000000+2506426028</f>
        <v>2556426028</v>
      </c>
      <c r="L209" s="143" t="s">
        <v>278</v>
      </c>
      <c r="M209" s="328" t="s">
        <v>156</v>
      </c>
      <c r="N209" s="143" t="s">
        <v>669</v>
      </c>
      <c r="O209" s="158"/>
      <c r="P209" s="158"/>
      <c r="Q209" s="158"/>
      <c r="R209" s="158"/>
      <c r="S209" s="116" t="s">
        <v>166</v>
      </c>
      <c r="T209" s="143">
        <v>19000</v>
      </c>
      <c r="U209" s="477">
        <v>4750</v>
      </c>
      <c r="V209" s="477">
        <v>4750</v>
      </c>
      <c r="W209" s="477">
        <v>4750</v>
      </c>
      <c r="X209" s="477">
        <v>4750</v>
      </c>
      <c r="Y209" s="478" t="s">
        <v>1262</v>
      </c>
      <c r="Z209" s="423" t="s">
        <v>867</v>
      </c>
      <c r="AA209" s="450" t="s">
        <v>871</v>
      </c>
      <c r="AB209" s="423" t="s">
        <v>65</v>
      </c>
      <c r="AC209" s="436"/>
      <c r="AD209" s="423" t="s">
        <v>723</v>
      </c>
      <c r="AE209" s="750">
        <f>50000000+2506426028</f>
        <v>2556426028</v>
      </c>
      <c r="AF209" s="116" t="s">
        <v>273</v>
      </c>
      <c r="AG209" s="368" t="s">
        <v>835</v>
      </c>
      <c r="AH209" s="116" t="s">
        <v>510</v>
      </c>
    </row>
    <row r="210" spans="1:34" s="82" customFormat="1" ht="52.5" customHeight="1" x14ac:dyDescent="0.25">
      <c r="A210" s="116" t="s">
        <v>892</v>
      </c>
      <c r="B210" s="162" t="s">
        <v>65</v>
      </c>
      <c r="C210" s="428" t="s">
        <v>850</v>
      </c>
      <c r="D210" s="451" t="s">
        <v>992</v>
      </c>
      <c r="E210" s="397" t="s">
        <v>275</v>
      </c>
      <c r="F210" s="160" t="s">
        <v>978</v>
      </c>
      <c r="G210" s="160" t="s">
        <v>989</v>
      </c>
      <c r="H210" s="158" t="s">
        <v>993</v>
      </c>
      <c r="I210" s="160" t="s">
        <v>994</v>
      </c>
      <c r="J210" s="158" t="s">
        <v>1096</v>
      </c>
      <c r="K210" s="750">
        <f>72151344212-2506426028</f>
        <v>69644918184</v>
      </c>
      <c r="L210" s="143" t="s">
        <v>278</v>
      </c>
      <c r="M210" s="328" t="s">
        <v>156</v>
      </c>
      <c r="N210" s="143" t="s">
        <v>669</v>
      </c>
      <c r="O210" s="158"/>
      <c r="P210" s="158"/>
      <c r="Q210" s="158"/>
      <c r="R210" s="158"/>
      <c r="S210" s="116" t="s">
        <v>166</v>
      </c>
      <c r="T210" s="143">
        <v>19000</v>
      </c>
      <c r="U210" s="477">
        <v>4750</v>
      </c>
      <c r="V210" s="477">
        <v>4750</v>
      </c>
      <c r="W210" s="477">
        <v>4750</v>
      </c>
      <c r="X210" s="477">
        <v>4750</v>
      </c>
      <c r="Y210" s="336" t="s">
        <v>724</v>
      </c>
      <c r="Z210" s="423" t="s">
        <v>190</v>
      </c>
      <c r="AA210" s="423" t="s">
        <v>190</v>
      </c>
      <c r="AB210" s="423" t="s">
        <v>65</v>
      </c>
      <c r="AC210" s="423"/>
      <c r="AD210" s="423" t="s">
        <v>725</v>
      </c>
      <c r="AE210" s="750">
        <f>72151344212-2506426028</f>
        <v>69644918184</v>
      </c>
      <c r="AF210" s="116" t="s">
        <v>273</v>
      </c>
      <c r="AG210" s="368" t="s">
        <v>835</v>
      </c>
      <c r="AH210" s="116" t="s">
        <v>510</v>
      </c>
    </row>
    <row r="211" spans="1:34" s="82" customFormat="1" ht="43.5" customHeight="1" x14ac:dyDescent="0.25">
      <c r="A211" s="116" t="s">
        <v>892</v>
      </c>
      <c r="B211" s="162" t="s">
        <v>65</v>
      </c>
      <c r="C211" s="428" t="s">
        <v>850</v>
      </c>
      <c r="D211" s="451" t="s">
        <v>992</v>
      </c>
      <c r="E211" s="397" t="s">
        <v>275</v>
      </c>
      <c r="F211" s="160" t="s">
        <v>978</v>
      </c>
      <c r="G211" s="160" t="s">
        <v>989</v>
      </c>
      <c r="H211" s="158" t="s">
        <v>993</v>
      </c>
      <c r="I211" s="160" t="s">
        <v>994</v>
      </c>
      <c r="J211" s="158" t="s">
        <v>1096</v>
      </c>
      <c r="K211" s="699">
        <v>2600648130</v>
      </c>
      <c r="L211" s="143" t="s">
        <v>278</v>
      </c>
      <c r="M211" s="328" t="s">
        <v>156</v>
      </c>
      <c r="N211" s="143" t="s">
        <v>669</v>
      </c>
      <c r="O211" s="158"/>
      <c r="P211" s="158"/>
      <c r="Q211" s="158"/>
      <c r="R211" s="158"/>
      <c r="S211" s="116" t="s">
        <v>166</v>
      </c>
      <c r="T211" s="143">
        <v>19000</v>
      </c>
      <c r="U211" s="477">
        <v>4750</v>
      </c>
      <c r="V211" s="477">
        <v>4750</v>
      </c>
      <c r="W211" s="477">
        <v>4750</v>
      </c>
      <c r="X211" s="477">
        <v>4750</v>
      </c>
      <c r="Y211" s="478" t="s">
        <v>726</v>
      </c>
      <c r="Z211" s="423" t="s">
        <v>454</v>
      </c>
      <c r="AA211" s="439" t="s">
        <v>727</v>
      </c>
      <c r="AB211" s="423" t="s">
        <v>65</v>
      </c>
      <c r="AC211" s="115"/>
      <c r="AD211" s="423" t="s">
        <v>499</v>
      </c>
      <c r="AE211" s="699">
        <v>2600648130</v>
      </c>
      <c r="AF211" s="116" t="s">
        <v>273</v>
      </c>
      <c r="AG211" s="368" t="s">
        <v>835</v>
      </c>
      <c r="AH211" s="116" t="s">
        <v>510</v>
      </c>
    </row>
    <row r="212" spans="1:34" ht="120.75" customHeight="1" x14ac:dyDescent="0.25">
      <c r="A212" s="187" t="s">
        <v>892</v>
      </c>
      <c r="B212" s="104" t="s">
        <v>65</v>
      </c>
      <c r="C212" s="182" t="s">
        <v>850</v>
      </c>
      <c r="D212" s="76" t="s">
        <v>992</v>
      </c>
      <c r="E212" s="265" t="s">
        <v>275</v>
      </c>
      <c r="F212" s="102" t="s">
        <v>978</v>
      </c>
      <c r="G212" s="102" t="s">
        <v>989</v>
      </c>
      <c r="H212" s="103" t="s">
        <v>993</v>
      </c>
      <c r="I212" s="102" t="s">
        <v>994</v>
      </c>
      <c r="J212" s="143" t="s">
        <v>1096</v>
      </c>
      <c r="K212" s="762">
        <v>4440110000</v>
      </c>
      <c r="L212" s="420" t="s">
        <v>279</v>
      </c>
      <c r="M212" s="422" t="s">
        <v>156</v>
      </c>
      <c r="N212" s="420" t="s">
        <v>241</v>
      </c>
      <c r="O212" s="420"/>
      <c r="P212" s="420"/>
      <c r="Q212" s="420"/>
      <c r="R212" s="420"/>
      <c r="S212" s="423" t="s">
        <v>166</v>
      </c>
      <c r="T212" s="420">
        <v>1</v>
      </c>
      <c r="U212" s="420">
        <v>1</v>
      </c>
      <c r="V212" s="420">
        <v>0</v>
      </c>
      <c r="W212" s="420">
        <v>0</v>
      </c>
      <c r="X212" s="420">
        <v>0</v>
      </c>
      <c r="Y212" s="420" t="s">
        <v>728</v>
      </c>
      <c r="Z212" s="423" t="s">
        <v>190</v>
      </c>
      <c r="AA212" s="439" t="s">
        <v>623</v>
      </c>
      <c r="AB212" s="423" t="s">
        <v>65</v>
      </c>
      <c r="AC212" s="113"/>
      <c r="AD212" s="423" t="s">
        <v>511</v>
      </c>
      <c r="AE212" s="762">
        <v>4440110000</v>
      </c>
      <c r="AF212" s="423" t="s">
        <v>273</v>
      </c>
      <c r="AG212" s="423" t="s">
        <v>835</v>
      </c>
      <c r="AH212" s="423" t="s">
        <v>510</v>
      </c>
    </row>
    <row r="213" spans="1:34" ht="111" customHeight="1" x14ac:dyDescent="0.25">
      <c r="A213" s="187" t="s">
        <v>892</v>
      </c>
      <c r="B213" s="104" t="s">
        <v>65</v>
      </c>
      <c r="C213" s="104" t="s">
        <v>850</v>
      </c>
      <c r="D213" s="76" t="s">
        <v>992</v>
      </c>
      <c r="E213" s="266" t="s">
        <v>275</v>
      </c>
      <c r="F213" s="102" t="s">
        <v>978</v>
      </c>
      <c r="G213" s="102" t="s">
        <v>989</v>
      </c>
      <c r="H213" s="103" t="s">
        <v>993</v>
      </c>
      <c r="I213" s="102" t="s">
        <v>994</v>
      </c>
      <c r="J213" s="143" t="s">
        <v>1096</v>
      </c>
      <c r="K213" s="699">
        <v>1100000000</v>
      </c>
      <c r="L213" s="420" t="s">
        <v>280</v>
      </c>
      <c r="M213" s="422" t="s">
        <v>156</v>
      </c>
      <c r="N213" s="420" t="s">
        <v>637</v>
      </c>
      <c r="O213" s="420"/>
      <c r="P213" s="420"/>
      <c r="Q213" s="420"/>
      <c r="R213" s="420"/>
      <c r="S213" s="423" t="s">
        <v>166</v>
      </c>
      <c r="T213" s="420">
        <v>1</v>
      </c>
      <c r="U213" s="420">
        <v>1</v>
      </c>
      <c r="V213" s="420">
        <v>0</v>
      </c>
      <c r="W213" s="420">
        <v>0</v>
      </c>
      <c r="X213" s="420">
        <v>0</v>
      </c>
      <c r="Y213" s="420" t="s">
        <v>729</v>
      </c>
      <c r="Z213" s="423" t="s">
        <v>190</v>
      </c>
      <c r="AA213" s="450" t="s">
        <v>623</v>
      </c>
      <c r="AB213" s="423" t="s">
        <v>65</v>
      </c>
      <c r="AC213" s="113"/>
      <c r="AD213" s="423" t="s">
        <v>282</v>
      </c>
      <c r="AE213" s="699">
        <v>1100000000</v>
      </c>
      <c r="AF213" s="423" t="s">
        <v>273</v>
      </c>
      <c r="AG213" s="423" t="s">
        <v>835</v>
      </c>
      <c r="AH213" s="423" t="s">
        <v>510</v>
      </c>
    </row>
    <row r="214" spans="1:34" ht="184.5" customHeight="1" x14ac:dyDescent="0.25">
      <c r="A214" s="187" t="s">
        <v>892</v>
      </c>
      <c r="B214" s="104" t="s">
        <v>65</v>
      </c>
      <c r="C214" s="104" t="s">
        <v>850</v>
      </c>
      <c r="D214" s="76" t="s">
        <v>992</v>
      </c>
      <c r="E214" s="231" t="s">
        <v>275</v>
      </c>
      <c r="F214" s="102" t="s">
        <v>978</v>
      </c>
      <c r="G214" s="102" t="s">
        <v>989</v>
      </c>
      <c r="H214" s="103" t="s">
        <v>993</v>
      </c>
      <c r="I214" s="102" t="s">
        <v>994</v>
      </c>
      <c r="J214" s="143" t="s">
        <v>1096</v>
      </c>
      <c r="K214" s="699">
        <v>3255000000</v>
      </c>
      <c r="L214" s="420" t="s">
        <v>281</v>
      </c>
      <c r="M214" s="422" t="s">
        <v>156</v>
      </c>
      <c r="N214" s="420" t="s">
        <v>637</v>
      </c>
      <c r="O214" s="420"/>
      <c r="P214" s="420"/>
      <c r="Q214" s="420"/>
      <c r="R214" s="420"/>
      <c r="S214" s="423" t="s">
        <v>166</v>
      </c>
      <c r="T214" s="420">
        <v>1</v>
      </c>
      <c r="U214" s="420">
        <v>1</v>
      </c>
      <c r="V214" s="420">
        <v>0</v>
      </c>
      <c r="W214" s="420">
        <v>0</v>
      </c>
      <c r="X214" s="420">
        <v>0</v>
      </c>
      <c r="Y214" s="420" t="s">
        <v>730</v>
      </c>
      <c r="Z214" s="423" t="s">
        <v>190</v>
      </c>
      <c r="AA214" s="450" t="s">
        <v>623</v>
      </c>
      <c r="AB214" s="423" t="s">
        <v>65</v>
      </c>
      <c r="AC214" s="113"/>
      <c r="AD214" s="423" t="s">
        <v>511</v>
      </c>
      <c r="AE214" s="699">
        <v>3255000000</v>
      </c>
      <c r="AF214" s="437" t="s">
        <v>273</v>
      </c>
      <c r="AG214" s="423" t="s">
        <v>835</v>
      </c>
      <c r="AH214" s="423" t="s">
        <v>510</v>
      </c>
    </row>
    <row r="215" spans="1:34" s="82" customFormat="1" ht="92.25" customHeight="1" x14ac:dyDescent="0.25">
      <c r="A215" s="428" t="s">
        <v>892</v>
      </c>
      <c r="B215" s="428" t="s">
        <v>65</v>
      </c>
      <c r="C215" s="428" t="s">
        <v>850</v>
      </c>
      <c r="D215" s="76" t="s">
        <v>992</v>
      </c>
      <c r="E215" s="452" t="s">
        <v>275</v>
      </c>
      <c r="F215" s="415"/>
      <c r="G215" s="415"/>
      <c r="H215" s="742"/>
      <c r="I215" s="415"/>
      <c r="J215" s="158"/>
      <c r="K215" s="763">
        <v>7008534921</v>
      </c>
      <c r="L215" s="767" t="s">
        <v>1256</v>
      </c>
      <c r="M215" s="745"/>
      <c r="N215" s="744"/>
      <c r="O215" s="744"/>
      <c r="P215" s="744"/>
      <c r="Q215" s="744"/>
      <c r="R215" s="744"/>
      <c r="S215" s="743"/>
      <c r="T215" s="744">
        <v>1</v>
      </c>
      <c r="U215" s="744">
        <v>0</v>
      </c>
      <c r="V215" s="744">
        <v>0</v>
      </c>
      <c r="W215" s="744">
        <v>0</v>
      </c>
      <c r="X215" s="744">
        <v>1</v>
      </c>
      <c r="Y215" s="766" t="s">
        <v>1257</v>
      </c>
      <c r="Z215" s="743" t="s">
        <v>454</v>
      </c>
      <c r="AA215" s="743" t="s">
        <v>869</v>
      </c>
      <c r="AB215" s="743" t="s">
        <v>65</v>
      </c>
      <c r="AC215" s="765"/>
      <c r="AD215" s="743" t="s">
        <v>511</v>
      </c>
      <c r="AE215" s="763">
        <v>7008534921</v>
      </c>
      <c r="AF215" s="453" t="s">
        <v>273</v>
      </c>
      <c r="AG215" s="454" t="s">
        <v>835</v>
      </c>
      <c r="AH215" s="116" t="s">
        <v>510</v>
      </c>
    </row>
    <row r="216" spans="1:34" s="82" customFormat="1" ht="74.25" customHeight="1" x14ac:dyDescent="0.25">
      <c r="A216" s="428" t="s">
        <v>892</v>
      </c>
      <c r="B216" s="428" t="s">
        <v>65</v>
      </c>
      <c r="C216" s="428" t="s">
        <v>850</v>
      </c>
      <c r="D216" s="76" t="s">
        <v>992</v>
      </c>
      <c r="E216" s="452" t="s">
        <v>275</v>
      </c>
      <c r="F216" s="378" t="s">
        <v>978</v>
      </c>
      <c r="G216" s="378" t="s">
        <v>989</v>
      </c>
      <c r="H216" s="158" t="s">
        <v>993</v>
      </c>
      <c r="I216" s="378" t="s">
        <v>994</v>
      </c>
      <c r="J216" s="158" t="s">
        <v>1096</v>
      </c>
      <c r="K216" s="693">
        <v>12779841730</v>
      </c>
      <c r="L216" s="143" t="s">
        <v>549</v>
      </c>
      <c r="M216" s="328" t="s">
        <v>156</v>
      </c>
      <c r="N216" s="143" t="s">
        <v>637</v>
      </c>
      <c r="O216" s="420"/>
      <c r="P216" s="420"/>
      <c r="Q216" s="420"/>
      <c r="R216" s="420"/>
      <c r="S216" s="116" t="s">
        <v>166</v>
      </c>
      <c r="T216" s="143">
        <v>1</v>
      </c>
      <c r="U216" s="143">
        <v>0</v>
      </c>
      <c r="V216" s="143">
        <v>1</v>
      </c>
      <c r="W216" s="143">
        <v>0</v>
      </c>
      <c r="X216" s="143">
        <v>0</v>
      </c>
      <c r="Y216" s="420" t="s">
        <v>731</v>
      </c>
      <c r="Z216" s="423" t="s">
        <v>867</v>
      </c>
      <c r="AA216" s="450" t="s">
        <v>871</v>
      </c>
      <c r="AB216" s="423" t="s">
        <v>65</v>
      </c>
      <c r="AD216" s="113" t="s">
        <v>732</v>
      </c>
      <c r="AE216" s="693">
        <v>12779841730</v>
      </c>
      <c r="AF216" s="453" t="s">
        <v>273</v>
      </c>
      <c r="AG216" s="454" t="s">
        <v>835</v>
      </c>
      <c r="AH216" s="116" t="s">
        <v>510</v>
      </c>
    </row>
    <row r="217" spans="1:34" s="82" customFormat="1" ht="67.5" customHeight="1" x14ac:dyDescent="0.25">
      <c r="A217" s="429"/>
      <c r="B217" s="428" t="s">
        <v>65</v>
      </c>
      <c r="C217" s="428" t="s">
        <v>850</v>
      </c>
      <c r="D217" s="76" t="s">
        <v>992</v>
      </c>
      <c r="E217" s="452" t="s">
        <v>275</v>
      </c>
      <c r="F217" s="378" t="s">
        <v>978</v>
      </c>
      <c r="G217" s="378" t="s">
        <v>989</v>
      </c>
      <c r="H217" s="158" t="s">
        <v>993</v>
      </c>
      <c r="I217" s="378" t="s">
        <v>994</v>
      </c>
      <c r="J217" s="158" t="s">
        <v>1096</v>
      </c>
      <c r="K217" s="763">
        <v>176401488689</v>
      </c>
      <c r="L217" s="143" t="s">
        <v>549</v>
      </c>
      <c r="M217" s="328" t="s">
        <v>156</v>
      </c>
      <c r="N217" s="143" t="s">
        <v>637</v>
      </c>
      <c r="O217" s="420"/>
      <c r="P217" s="420"/>
      <c r="Q217" s="420"/>
      <c r="R217" s="420"/>
      <c r="S217" s="116" t="s">
        <v>166</v>
      </c>
      <c r="T217" s="143">
        <v>1</v>
      </c>
      <c r="U217" s="143">
        <v>0</v>
      </c>
      <c r="V217" s="143">
        <v>1</v>
      </c>
      <c r="W217" s="143">
        <v>0</v>
      </c>
      <c r="X217" s="143">
        <v>0</v>
      </c>
      <c r="Y217" s="420" t="s">
        <v>733</v>
      </c>
      <c r="Z217" s="783" t="s">
        <v>454</v>
      </c>
      <c r="AA217" s="775" t="s">
        <v>869</v>
      </c>
      <c r="AB217" s="423" t="s">
        <v>65</v>
      </c>
      <c r="AC217" s="113"/>
      <c r="AD217" s="113" t="s">
        <v>732</v>
      </c>
      <c r="AE217" s="763">
        <v>176401488689</v>
      </c>
      <c r="AF217" s="453" t="s">
        <v>273</v>
      </c>
      <c r="AG217" s="454" t="s">
        <v>835</v>
      </c>
      <c r="AH217" s="116" t="s">
        <v>510</v>
      </c>
    </row>
    <row r="218" spans="1:34" s="82" customFormat="1" ht="82.5" customHeight="1" x14ac:dyDescent="0.25">
      <c r="A218" s="430"/>
      <c r="B218" s="428" t="s">
        <v>65</v>
      </c>
      <c r="C218" s="428" t="s">
        <v>850</v>
      </c>
      <c r="D218" s="76" t="s">
        <v>992</v>
      </c>
      <c r="E218" s="452" t="s">
        <v>275</v>
      </c>
      <c r="F218" s="378" t="s">
        <v>978</v>
      </c>
      <c r="G218" s="378" t="s">
        <v>989</v>
      </c>
      <c r="H218" s="158" t="s">
        <v>993</v>
      </c>
      <c r="I218" s="378" t="s">
        <v>994</v>
      </c>
      <c r="J218" s="158" t="s">
        <v>1096</v>
      </c>
      <c r="K218" s="693">
        <v>25490078744</v>
      </c>
      <c r="L218" s="143" t="s">
        <v>549</v>
      </c>
      <c r="M218" s="328" t="s">
        <v>156</v>
      </c>
      <c r="N218" s="143" t="s">
        <v>637</v>
      </c>
      <c r="O218" s="420"/>
      <c r="P218" s="420"/>
      <c r="Q218" s="420"/>
      <c r="R218" s="420"/>
      <c r="S218" s="116" t="s">
        <v>166</v>
      </c>
      <c r="T218" s="143">
        <v>1</v>
      </c>
      <c r="U218" s="143">
        <v>0</v>
      </c>
      <c r="V218" s="143">
        <v>1</v>
      </c>
      <c r="W218" s="143">
        <v>0</v>
      </c>
      <c r="X218" s="143">
        <v>0</v>
      </c>
      <c r="Y218" s="420" t="s">
        <v>734</v>
      </c>
      <c r="Z218" s="423" t="s">
        <v>190</v>
      </c>
      <c r="AA218" s="423" t="s">
        <v>190</v>
      </c>
      <c r="AB218" s="423" t="s">
        <v>65</v>
      </c>
      <c r="AC218" s="423"/>
      <c r="AD218" s="113" t="s">
        <v>732</v>
      </c>
      <c r="AE218" s="693">
        <v>25490078744</v>
      </c>
      <c r="AF218" s="453" t="s">
        <v>273</v>
      </c>
      <c r="AG218" s="454" t="s">
        <v>835</v>
      </c>
      <c r="AH218" s="116" t="s">
        <v>510</v>
      </c>
    </row>
    <row r="219" spans="1:34" ht="60.75" customHeight="1" x14ac:dyDescent="0.25">
      <c r="A219" s="187" t="s">
        <v>892</v>
      </c>
      <c r="B219" s="104" t="s">
        <v>283</v>
      </c>
      <c r="C219" s="182" t="s">
        <v>847</v>
      </c>
      <c r="D219" s="16" t="s">
        <v>1229</v>
      </c>
      <c r="E219" s="267" t="s">
        <v>284</v>
      </c>
      <c r="F219" s="194" t="s">
        <v>908</v>
      </c>
      <c r="G219" s="194" t="s">
        <v>903</v>
      </c>
      <c r="H219" s="103" t="s">
        <v>915</v>
      </c>
      <c r="I219" s="102" t="s">
        <v>1230</v>
      </c>
      <c r="J219" s="256" t="s">
        <v>1097</v>
      </c>
      <c r="K219" s="479">
        <v>2000000000</v>
      </c>
      <c r="L219" s="421" t="s">
        <v>515</v>
      </c>
      <c r="M219" s="432" t="s">
        <v>156</v>
      </c>
      <c r="N219" s="326" t="s">
        <v>735</v>
      </c>
      <c r="O219" s="421"/>
      <c r="P219" s="421"/>
      <c r="Q219" s="421"/>
      <c r="R219" s="421"/>
      <c r="S219" s="423" t="s">
        <v>166</v>
      </c>
      <c r="T219" s="142">
        <v>40000</v>
      </c>
      <c r="U219" s="142">
        <v>10000</v>
      </c>
      <c r="V219" s="142">
        <v>10000</v>
      </c>
      <c r="W219" s="142">
        <v>10000</v>
      </c>
      <c r="X219" s="142">
        <v>10000</v>
      </c>
      <c r="Y219" s="142" t="s">
        <v>736</v>
      </c>
      <c r="Z219" s="423" t="s">
        <v>190</v>
      </c>
      <c r="AA219" s="439" t="s">
        <v>623</v>
      </c>
      <c r="AB219" s="423" t="s">
        <v>864</v>
      </c>
      <c r="AC219" s="113"/>
      <c r="AD219" s="423" t="s">
        <v>285</v>
      </c>
      <c r="AE219" s="479">
        <v>2000000000</v>
      </c>
      <c r="AF219" s="423" t="s">
        <v>273</v>
      </c>
      <c r="AG219" s="423" t="s">
        <v>835</v>
      </c>
      <c r="AH219" s="423" t="s">
        <v>738</v>
      </c>
    </row>
    <row r="220" spans="1:34" ht="159.75" customHeight="1" x14ac:dyDescent="0.25">
      <c r="A220" s="187" t="s">
        <v>892</v>
      </c>
      <c r="B220" s="104" t="s">
        <v>283</v>
      </c>
      <c r="C220" s="182" t="s">
        <v>847</v>
      </c>
      <c r="D220" s="16" t="s">
        <v>1229</v>
      </c>
      <c r="E220" s="267" t="s">
        <v>284</v>
      </c>
      <c r="F220" s="196" t="s">
        <v>908</v>
      </c>
      <c r="G220" s="194" t="s">
        <v>903</v>
      </c>
      <c r="H220" s="103" t="s">
        <v>915</v>
      </c>
      <c r="I220" s="448" t="s">
        <v>1230</v>
      </c>
      <c r="J220" s="249" t="s">
        <v>1097</v>
      </c>
      <c r="K220" s="479">
        <v>115607900</v>
      </c>
      <c r="L220" s="421" t="s">
        <v>512</v>
      </c>
      <c r="M220" s="422" t="s">
        <v>156</v>
      </c>
      <c r="N220" s="421" t="s">
        <v>572</v>
      </c>
      <c r="O220" s="421"/>
      <c r="P220" s="421"/>
      <c r="Q220" s="421"/>
      <c r="R220" s="421"/>
      <c r="S220" s="423" t="s">
        <v>166</v>
      </c>
      <c r="T220" s="420">
        <v>30</v>
      </c>
      <c r="U220" s="420">
        <v>0</v>
      </c>
      <c r="V220" s="420">
        <v>0</v>
      </c>
      <c r="W220" s="420">
        <v>15</v>
      </c>
      <c r="X220" s="420">
        <v>15</v>
      </c>
      <c r="Y220" s="420" t="s">
        <v>737</v>
      </c>
      <c r="Z220" s="423" t="s">
        <v>190</v>
      </c>
      <c r="AA220" s="450" t="s">
        <v>623</v>
      </c>
      <c r="AB220" s="423" t="s">
        <v>864</v>
      </c>
      <c r="AC220" s="113"/>
      <c r="AD220" s="423" t="s">
        <v>513</v>
      </c>
      <c r="AE220" s="479">
        <v>115607900</v>
      </c>
      <c r="AF220" s="423" t="s">
        <v>273</v>
      </c>
      <c r="AG220" s="423" t="s">
        <v>835</v>
      </c>
      <c r="AH220" s="423" t="s">
        <v>738</v>
      </c>
    </row>
    <row r="221" spans="1:34" ht="241.5" customHeight="1" x14ac:dyDescent="0.25">
      <c r="A221" s="187" t="s">
        <v>892</v>
      </c>
      <c r="B221" s="104" t="s">
        <v>283</v>
      </c>
      <c r="C221" s="182" t="s">
        <v>847</v>
      </c>
      <c r="D221" s="16" t="s">
        <v>1229</v>
      </c>
      <c r="E221" s="214" t="s">
        <v>284</v>
      </c>
      <c r="F221" s="196" t="s">
        <v>908</v>
      </c>
      <c r="G221" s="194" t="s">
        <v>903</v>
      </c>
      <c r="H221" s="193" t="s">
        <v>915</v>
      </c>
      <c r="I221" s="448" t="s">
        <v>1230</v>
      </c>
      <c r="J221" s="256" t="s">
        <v>1097</v>
      </c>
      <c r="K221" s="437">
        <v>30588200</v>
      </c>
      <c r="L221" s="421" t="s">
        <v>514</v>
      </c>
      <c r="M221" s="432" t="s">
        <v>156</v>
      </c>
      <c r="N221" s="326" t="s">
        <v>584</v>
      </c>
      <c r="O221" s="421"/>
      <c r="P221" s="421"/>
      <c r="Q221" s="421"/>
      <c r="R221" s="421"/>
      <c r="S221" s="423" t="s">
        <v>166</v>
      </c>
      <c r="T221" s="420">
        <v>27</v>
      </c>
      <c r="U221" s="420">
        <v>27</v>
      </c>
      <c r="V221" s="420">
        <v>0</v>
      </c>
      <c r="W221" s="142">
        <v>0</v>
      </c>
      <c r="X221" s="142">
        <v>0</v>
      </c>
      <c r="Y221" s="142" t="s">
        <v>739</v>
      </c>
      <c r="Z221" s="423" t="s">
        <v>190</v>
      </c>
      <c r="AA221" s="450" t="s">
        <v>623</v>
      </c>
      <c r="AB221" s="423" t="s">
        <v>864</v>
      </c>
      <c r="AC221" s="113"/>
      <c r="AD221" s="423" t="s">
        <v>285</v>
      </c>
      <c r="AE221" s="777">
        <v>30588200</v>
      </c>
      <c r="AF221" s="423" t="s">
        <v>273</v>
      </c>
      <c r="AG221" s="423" t="s">
        <v>835</v>
      </c>
      <c r="AH221" s="423" t="s">
        <v>738</v>
      </c>
    </row>
    <row r="222" spans="1:34" ht="141" customHeight="1" x14ac:dyDescent="0.25">
      <c r="A222" s="187" t="s">
        <v>892</v>
      </c>
      <c r="B222" s="104" t="s">
        <v>283</v>
      </c>
      <c r="C222" s="182" t="s">
        <v>847</v>
      </c>
      <c r="D222" s="16" t="s">
        <v>1229</v>
      </c>
      <c r="E222" s="214" t="s">
        <v>284</v>
      </c>
      <c r="F222" s="196" t="s">
        <v>908</v>
      </c>
      <c r="G222" s="194" t="s">
        <v>903</v>
      </c>
      <c r="H222" s="193" t="s">
        <v>915</v>
      </c>
      <c r="I222" s="194" t="s">
        <v>1232</v>
      </c>
      <c r="J222" s="249" t="s">
        <v>1098</v>
      </c>
      <c r="K222" s="437">
        <v>343928370</v>
      </c>
      <c r="L222" s="421" t="s">
        <v>516</v>
      </c>
      <c r="M222" s="432" t="s">
        <v>156</v>
      </c>
      <c r="N222" s="326" t="s">
        <v>643</v>
      </c>
      <c r="O222" s="421"/>
      <c r="P222" s="421"/>
      <c r="Q222" s="421"/>
      <c r="R222" s="421"/>
      <c r="S222" s="423" t="s">
        <v>166</v>
      </c>
      <c r="T222" s="420">
        <v>4000</v>
      </c>
      <c r="U222" s="142">
        <v>1000</v>
      </c>
      <c r="V222" s="142">
        <v>1000</v>
      </c>
      <c r="W222" s="142">
        <v>1000</v>
      </c>
      <c r="X222" s="142">
        <v>1000</v>
      </c>
      <c r="Y222" s="142" t="s">
        <v>740</v>
      </c>
      <c r="Z222" s="423" t="s">
        <v>190</v>
      </c>
      <c r="AA222" s="450" t="s">
        <v>623</v>
      </c>
      <c r="AB222" s="423" t="s">
        <v>864</v>
      </c>
      <c r="AC222" s="113"/>
      <c r="AD222" s="423" t="s">
        <v>285</v>
      </c>
      <c r="AE222" s="777">
        <v>343928370</v>
      </c>
      <c r="AF222" s="423" t="s">
        <v>273</v>
      </c>
      <c r="AG222" s="423" t="s">
        <v>835</v>
      </c>
      <c r="AH222" s="423" t="s">
        <v>738</v>
      </c>
    </row>
    <row r="223" spans="1:34" ht="129" customHeight="1" x14ac:dyDescent="0.25">
      <c r="A223" s="187" t="s">
        <v>892</v>
      </c>
      <c r="B223" s="104" t="s">
        <v>283</v>
      </c>
      <c r="C223" s="182" t="s">
        <v>847</v>
      </c>
      <c r="D223" s="16" t="s">
        <v>1229</v>
      </c>
      <c r="E223" s="267" t="s">
        <v>284</v>
      </c>
      <c r="F223" s="196" t="s">
        <v>908</v>
      </c>
      <c r="G223" s="194" t="s">
        <v>903</v>
      </c>
      <c r="H223" s="193" t="s">
        <v>915</v>
      </c>
      <c r="I223" s="448" t="s">
        <v>1232</v>
      </c>
      <c r="J223" s="249" t="s">
        <v>1098</v>
      </c>
      <c r="K223" s="479">
        <v>802499530</v>
      </c>
      <c r="L223" s="421" t="s">
        <v>517</v>
      </c>
      <c r="M223" s="422" t="s">
        <v>156</v>
      </c>
      <c r="N223" s="421" t="s">
        <v>1160</v>
      </c>
      <c r="O223" s="421"/>
      <c r="P223" s="421"/>
      <c r="Q223" s="421"/>
      <c r="R223" s="421"/>
      <c r="S223" s="423" t="s">
        <v>166</v>
      </c>
      <c r="T223" s="142">
        <v>125000</v>
      </c>
      <c r="U223" s="142">
        <v>30000</v>
      </c>
      <c r="V223" s="142">
        <v>30000</v>
      </c>
      <c r="W223" s="142">
        <v>35000</v>
      </c>
      <c r="X223" s="142">
        <v>30000</v>
      </c>
      <c r="Y223" s="480" t="s">
        <v>741</v>
      </c>
      <c r="Z223" s="423" t="s">
        <v>190</v>
      </c>
      <c r="AA223" s="423" t="s">
        <v>190</v>
      </c>
      <c r="AB223" s="423" t="s">
        <v>865</v>
      </c>
      <c r="AC223" s="113"/>
      <c r="AD223" s="423" t="s">
        <v>285</v>
      </c>
      <c r="AE223" s="479">
        <v>802499530</v>
      </c>
      <c r="AF223" s="423" t="s">
        <v>273</v>
      </c>
      <c r="AG223" s="423" t="s">
        <v>835</v>
      </c>
      <c r="AH223" s="423" t="s">
        <v>738</v>
      </c>
    </row>
    <row r="224" spans="1:34" ht="179.25" customHeight="1" x14ac:dyDescent="0.25">
      <c r="A224" s="187" t="s">
        <v>892</v>
      </c>
      <c r="B224" s="104" t="s">
        <v>283</v>
      </c>
      <c r="C224" s="182" t="s">
        <v>847</v>
      </c>
      <c r="D224" s="16" t="s">
        <v>1229</v>
      </c>
      <c r="E224" s="214" t="s">
        <v>284</v>
      </c>
      <c r="F224" s="196" t="s">
        <v>908</v>
      </c>
      <c r="G224" s="194" t="s">
        <v>903</v>
      </c>
      <c r="H224" s="193" t="s">
        <v>915</v>
      </c>
      <c r="I224" s="448" t="s">
        <v>1230</v>
      </c>
      <c r="J224" s="249" t="s">
        <v>1097</v>
      </c>
      <c r="K224" s="437">
        <v>141422400</v>
      </c>
      <c r="L224" s="421" t="s">
        <v>518</v>
      </c>
      <c r="M224" s="432" t="s">
        <v>156</v>
      </c>
      <c r="N224" s="326" t="s">
        <v>571</v>
      </c>
      <c r="O224" s="421"/>
      <c r="P224" s="421"/>
      <c r="Q224" s="421"/>
      <c r="R224" s="421"/>
      <c r="S224" s="423" t="s">
        <v>166</v>
      </c>
      <c r="T224" s="420">
        <v>20</v>
      </c>
      <c r="U224" s="420">
        <v>0</v>
      </c>
      <c r="V224" s="420">
        <v>10</v>
      </c>
      <c r="W224" s="420">
        <v>10</v>
      </c>
      <c r="X224" s="420">
        <v>0</v>
      </c>
      <c r="Y224" s="420" t="s">
        <v>743</v>
      </c>
      <c r="Z224" s="423" t="s">
        <v>190</v>
      </c>
      <c r="AA224" s="450" t="s">
        <v>623</v>
      </c>
      <c r="AB224" s="423" t="s">
        <v>864</v>
      </c>
      <c r="AC224" s="113"/>
      <c r="AD224" s="423" t="s">
        <v>285</v>
      </c>
      <c r="AE224" s="777">
        <v>141422400</v>
      </c>
      <c r="AF224" s="423" t="s">
        <v>273</v>
      </c>
      <c r="AG224" s="423" t="s">
        <v>835</v>
      </c>
      <c r="AH224" s="423" t="s">
        <v>738</v>
      </c>
    </row>
    <row r="225" spans="1:34" ht="120" customHeight="1" x14ac:dyDescent="0.25">
      <c r="A225" s="187" t="s">
        <v>892</v>
      </c>
      <c r="B225" s="104" t="s">
        <v>283</v>
      </c>
      <c r="C225" s="182" t="s">
        <v>847</v>
      </c>
      <c r="D225" s="16" t="s">
        <v>1229</v>
      </c>
      <c r="E225" s="214" t="s">
        <v>284</v>
      </c>
      <c r="F225" s="196" t="s">
        <v>908</v>
      </c>
      <c r="G225" s="194" t="s">
        <v>903</v>
      </c>
      <c r="H225" s="193" t="s">
        <v>915</v>
      </c>
      <c r="I225" s="448" t="s">
        <v>1232</v>
      </c>
      <c r="J225" s="249" t="s">
        <v>1098</v>
      </c>
      <c r="K225" s="437">
        <v>1470655196</v>
      </c>
      <c r="L225" s="420" t="s">
        <v>519</v>
      </c>
      <c r="M225" s="432" t="s">
        <v>156</v>
      </c>
      <c r="N225" s="433" t="s">
        <v>587</v>
      </c>
      <c r="O225" s="420"/>
      <c r="P225" s="420"/>
      <c r="Q225" s="420"/>
      <c r="R225" s="420"/>
      <c r="S225" s="423" t="s">
        <v>166</v>
      </c>
      <c r="T225" s="142">
        <v>8</v>
      </c>
      <c r="U225" s="420">
        <v>4</v>
      </c>
      <c r="V225" s="420">
        <v>1</v>
      </c>
      <c r="W225" s="420">
        <v>3</v>
      </c>
      <c r="X225" s="420">
        <v>0</v>
      </c>
      <c r="Y225" s="420" t="s">
        <v>744</v>
      </c>
      <c r="Z225" s="423" t="s">
        <v>190</v>
      </c>
      <c r="AA225" s="450" t="s">
        <v>623</v>
      </c>
      <c r="AB225" s="423" t="s">
        <v>864</v>
      </c>
      <c r="AC225" s="113"/>
      <c r="AD225" s="423" t="s">
        <v>285</v>
      </c>
      <c r="AE225" s="777">
        <v>1470655196</v>
      </c>
      <c r="AF225" s="423" t="s">
        <v>273</v>
      </c>
      <c r="AG225" s="423" t="s">
        <v>835</v>
      </c>
      <c r="AH225" s="423" t="s">
        <v>738</v>
      </c>
    </row>
    <row r="226" spans="1:34" s="82" customFormat="1" ht="111.75" customHeight="1" x14ac:dyDescent="0.25">
      <c r="A226" s="187" t="s">
        <v>892</v>
      </c>
      <c r="B226" s="104" t="s">
        <v>283</v>
      </c>
      <c r="C226" s="182" t="s">
        <v>847</v>
      </c>
      <c r="D226" s="16" t="s">
        <v>1229</v>
      </c>
      <c r="E226" s="214" t="s">
        <v>284</v>
      </c>
      <c r="F226" s="196" t="s">
        <v>908</v>
      </c>
      <c r="G226" s="194" t="s">
        <v>903</v>
      </c>
      <c r="H226" s="193" t="s">
        <v>915</v>
      </c>
      <c r="I226" s="448" t="s">
        <v>1232</v>
      </c>
      <c r="J226" s="249" t="s">
        <v>1098</v>
      </c>
      <c r="K226" s="437">
        <v>1286897150</v>
      </c>
      <c r="L226" s="420" t="s">
        <v>745</v>
      </c>
      <c r="M226" s="422" t="s">
        <v>156</v>
      </c>
      <c r="N226" s="420" t="s">
        <v>637</v>
      </c>
      <c r="O226" s="420"/>
      <c r="P226" s="420"/>
      <c r="Q226" s="420"/>
      <c r="R226" s="420"/>
      <c r="S226" s="423" t="s">
        <v>166</v>
      </c>
      <c r="T226" s="142">
        <v>2</v>
      </c>
      <c r="U226" s="420">
        <v>0</v>
      </c>
      <c r="V226" s="420">
        <v>1</v>
      </c>
      <c r="W226" s="420">
        <v>1</v>
      </c>
      <c r="X226" s="420">
        <v>0</v>
      </c>
      <c r="Y226" s="420" t="s">
        <v>746</v>
      </c>
      <c r="Z226" s="423" t="s">
        <v>454</v>
      </c>
      <c r="AA226" s="423" t="s">
        <v>869</v>
      </c>
      <c r="AB226" s="423" t="s">
        <v>864</v>
      </c>
      <c r="AC226" s="113"/>
      <c r="AD226" s="423" t="s">
        <v>747</v>
      </c>
      <c r="AE226" s="777">
        <v>1286897150</v>
      </c>
      <c r="AF226" s="423" t="s">
        <v>273</v>
      </c>
      <c r="AG226" s="423" t="s">
        <v>835</v>
      </c>
      <c r="AH226" s="423" t="s">
        <v>738</v>
      </c>
    </row>
    <row r="227" spans="1:34" s="75" customFormat="1" ht="105.75" customHeight="1" x14ac:dyDescent="0.25">
      <c r="A227" s="187" t="s">
        <v>892</v>
      </c>
      <c r="B227" s="104" t="s">
        <v>283</v>
      </c>
      <c r="C227" s="182" t="s">
        <v>847</v>
      </c>
      <c r="D227" s="16" t="s">
        <v>1229</v>
      </c>
      <c r="E227" s="214" t="s">
        <v>284</v>
      </c>
      <c r="F227" s="196" t="s">
        <v>908</v>
      </c>
      <c r="G227" s="194" t="s">
        <v>903</v>
      </c>
      <c r="H227" s="193" t="s">
        <v>915</v>
      </c>
      <c r="I227" s="194" t="s">
        <v>1231</v>
      </c>
      <c r="J227" s="249" t="s">
        <v>1099</v>
      </c>
      <c r="K227" s="437">
        <v>83764600</v>
      </c>
      <c r="L227" s="420" t="s">
        <v>520</v>
      </c>
      <c r="M227" s="432" t="s">
        <v>156</v>
      </c>
      <c r="N227" s="433" t="s">
        <v>572</v>
      </c>
      <c r="O227" s="420"/>
      <c r="P227" s="420"/>
      <c r="Q227" s="420"/>
      <c r="R227" s="420"/>
      <c r="S227" s="423" t="s">
        <v>166</v>
      </c>
      <c r="T227" s="142">
        <v>118</v>
      </c>
      <c r="U227" s="142">
        <v>29</v>
      </c>
      <c r="V227" s="142">
        <v>30</v>
      </c>
      <c r="W227" s="142">
        <v>30</v>
      </c>
      <c r="X227" s="142">
        <v>29</v>
      </c>
      <c r="Y227" s="142" t="s">
        <v>742</v>
      </c>
      <c r="Z227" s="423" t="s">
        <v>190</v>
      </c>
      <c r="AA227" s="450" t="s">
        <v>623</v>
      </c>
      <c r="AB227" s="423" t="s">
        <v>865</v>
      </c>
      <c r="AC227" s="115"/>
      <c r="AD227" s="423" t="s">
        <v>285</v>
      </c>
      <c r="AE227" s="777">
        <v>83764600</v>
      </c>
      <c r="AF227" s="423" t="s">
        <v>273</v>
      </c>
      <c r="AG227" s="423" t="s">
        <v>835</v>
      </c>
      <c r="AH227" s="423" t="s">
        <v>738</v>
      </c>
    </row>
    <row r="228" spans="1:34" s="82" customFormat="1" ht="82.5" customHeight="1" x14ac:dyDescent="0.25">
      <c r="A228" s="116" t="s">
        <v>892</v>
      </c>
      <c r="B228" s="162" t="s">
        <v>65</v>
      </c>
      <c r="C228" s="428" t="s">
        <v>847</v>
      </c>
      <c r="D228" s="455" t="s">
        <v>995</v>
      </c>
      <c r="E228" s="397" t="s">
        <v>286</v>
      </c>
      <c r="F228" s="160" t="s">
        <v>996</v>
      </c>
      <c r="G228" s="160" t="s">
        <v>988</v>
      </c>
      <c r="H228" s="158" t="s">
        <v>997</v>
      </c>
      <c r="I228" s="160" t="s">
        <v>994</v>
      </c>
      <c r="J228" s="158" t="s">
        <v>999</v>
      </c>
      <c r="K228" s="750">
        <v>2366426134</v>
      </c>
      <c r="L228" s="143" t="s">
        <v>163</v>
      </c>
      <c r="M228" s="328" t="s">
        <v>156</v>
      </c>
      <c r="N228" s="143" t="s">
        <v>1199</v>
      </c>
      <c r="O228" s="158"/>
      <c r="P228" s="158"/>
      <c r="Q228" s="158"/>
      <c r="R228" s="158"/>
      <c r="S228" s="116" t="s">
        <v>166</v>
      </c>
      <c r="T228" s="143">
        <v>1</v>
      </c>
      <c r="U228" s="116">
        <v>1</v>
      </c>
      <c r="V228" s="116">
        <v>0</v>
      </c>
      <c r="W228" s="116">
        <v>0</v>
      </c>
      <c r="X228" s="116">
        <v>0</v>
      </c>
      <c r="Y228" s="423" t="s">
        <v>748</v>
      </c>
      <c r="Z228" s="423" t="s">
        <v>190</v>
      </c>
      <c r="AA228" s="450" t="s">
        <v>623</v>
      </c>
      <c r="AB228" s="423" t="s">
        <v>65</v>
      </c>
      <c r="AC228" s="113"/>
      <c r="AD228" s="423" t="s">
        <v>521</v>
      </c>
      <c r="AE228" s="750">
        <v>2366426134</v>
      </c>
      <c r="AF228" s="116" t="s">
        <v>523</v>
      </c>
      <c r="AG228" s="368" t="s">
        <v>835</v>
      </c>
      <c r="AH228" s="116" t="s">
        <v>522</v>
      </c>
    </row>
    <row r="229" spans="1:34" s="82" customFormat="1" ht="104.25" customHeight="1" x14ac:dyDescent="0.25">
      <c r="A229" s="116" t="s">
        <v>892</v>
      </c>
      <c r="B229" s="162" t="s">
        <v>65</v>
      </c>
      <c r="C229" s="428" t="s">
        <v>847</v>
      </c>
      <c r="D229" s="455" t="s">
        <v>995</v>
      </c>
      <c r="E229" s="397" t="s">
        <v>286</v>
      </c>
      <c r="F229" s="160" t="s">
        <v>996</v>
      </c>
      <c r="G229" s="160" t="s">
        <v>988</v>
      </c>
      <c r="H229" s="158" t="s">
        <v>997</v>
      </c>
      <c r="I229" s="160" t="s">
        <v>994</v>
      </c>
      <c r="J229" s="158" t="s">
        <v>999</v>
      </c>
      <c r="K229" s="750">
        <v>586435562</v>
      </c>
      <c r="L229" s="143" t="s">
        <v>163</v>
      </c>
      <c r="M229" s="328" t="s">
        <v>156</v>
      </c>
      <c r="N229" s="143" t="s">
        <v>1199</v>
      </c>
      <c r="O229" s="158"/>
      <c r="P229" s="158"/>
      <c r="Q229" s="158"/>
      <c r="R229" s="158"/>
      <c r="S229" s="116" t="s">
        <v>166</v>
      </c>
      <c r="T229" s="143">
        <v>1</v>
      </c>
      <c r="U229" s="116">
        <v>1</v>
      </c>
      <c r="V229" s="116">
        <v>0</v>
      </c>
      <c r="W229" s="116">
        <v>0</v>
      </c>
      <c r="X229" s="116">
        <v>0</v>
      </c>
      <c r="Y229" s="423" t="s">
        <v>749</v>
      </c>
      <c r="Z229" s="423" t="s">
        <v>198</v>
      </c>
      <c r="AA229" s="450" t="s">
        <v>750</v>
      </c>
      <c r="AB229" s="423" t="s">
        <v>65</v>
      </c>
      <c r="AC229" s="113"/>
      <c r="AD229" s="423" t="s">
        <v>521</v>
      </c>
      <c r="AE229" s="750">
        <v>586435562</v>
      </c>
      <c r="AF229" s="116" t="s">
        <v>523</v>
      </c>
      <c r="AG229" s="368" t="s">
        <v>835</v>
      </c>
      <c r="AH229" s="116" t="s">
        <v>522</v>
      </c>
    </row>
    <row r="230" spans="1:34" ht="114" customHeight="1" x14ac:dyDescent="0.25">
      <c r="A230" s="187" t="s">
        <v>892</v>
      </c>
      <c r="B230" s="104" t="s">
        <v>65</v>
      </c>
      <c r="C230" s="104" t="s">
        <v>847</v>
      </c>
      <c r="D230" s="76" t="s">
        <v>995</v>
      </c>
      <c r="E230" s="223" t="s">
        <v>286</v>
      </c>
      <c r="F230" s="102" t="s">
        <v>996</v>
      </c>
      <c r="G230" s="102" t="s">
        <v>988</v>
      </c>
      <c r="H230" s="199" t="s">
        <v>997</v>
      </c>
      <c r="I230" s="200" t="s">
        <v>994</v>
      </c>
      <c r="J230" s="158" t="s">
        <v>999</v>
      </c>
      <c r="K230" s="437">
        <v>106171000</v>
      </c>
      <c r="L230" s="420" t="s">
        <v>287</v>
      </c>
      <c r="M230" s="422" t="s">
        <v>156</v>
      </c>
      <c r="N230" s="420" t="s">
        <v>571</v>
      </c>
      <c r="O230" s="420"/>
      <c r="P230" s="420"/>
      <c r="Q230" s="420"/>
      <c r="R230" s="420"/>
      <c r="S230" s="423" t="s">
        <v>166</v>
      </c>
      <c r="T230" s="420">
        <v>1</v>
      </c>
      <c r="U230" s="423">
        <v>1</v>
      </c>
      <c r="V230" s="423">
        <v>0</v>
      </c>
      <c r="W230" s="423">
        <v>0</v>
      </c>
      <c r="X230" s="423">
        <v>0</v>
      </c>
      <c r="Y230" s="140" t="s">
        <v>751</v>
      </c>
      <c r="Z230" s="423" t="s">
        <v>867</v>
      </c>
      <c r="AA230" s="450" t="s">
        <v>868</v>
      </c>
      <c r="AB230" s="423" t="s">
        <v>65</v>
      </c>
      <c r="AC230" s="436"/>
      <c r="AD230" s="423" t="s">
        <v>292</v>
      </c>
      <c r="AE230" s="777">
        <v>106171000</v>
      </c>
      <c r="AF230" s="423" t="s">
        <v>523</v>
      </c>
      <c r="AG230" s="423" t="s">
        <v>835</v>
      </c>
      <c r="AH230" s="423" t="s">
        <v>522</v>
      </c>
    </row>
    <row r="231" spans="1:34" ht="116.25" customHeight="1" x14ac:dyDescent="0.25">
      <c r="A231" s="187" t="s">
        <v>892</v>
      </c>
      <c r="B231" s="182" t="s">
        <v>65</v>
      </c>
      <c r="C231" s="104" t="s">
        <v>847</v>
      </c>
      <c r="D231" s="76" t="s">
        <v>995</v>
      </c>
      <c r="E231" s="223" t="s">
        <v>286</v>
      </c>
      <c r="F231" s="200" t="s">
        <v>996</v>
      </c>
      <c r="G231" s="102" t="s">
        <v>988</v>
      </c>
      <c r="H231" s="199" t="s">
        <v>997</v>
      </c>
      <c r="I231" s="200" t="s">
        <v>994</v>
      </c>
      <c r="J231" s="143" t="s">
        <v>999</v>
      </c>
      <c r="K231" s="437">
        <v>0</v>
      </c>
      <c r="L231" s="420" t="s">
        <v>288</v>
      </c>
      <c r="M231" s="422" t="s">
        <v>156</v>
      </c>
      <c r="N231" s="420" t="s">
        <v>643</v>
      </c>
      <c r="O231" s="420"/>
      <c r="P231" s="420"/>
      <c r="Q231" s="420"/>
      <c r="R231" s="420"/>
      <c r="S231" s="423" t="s">
        <v>166</v>
      </c>
      <c r="T231" s="420">
        <v>1</v>
      </c>
      <c r="U231" s="423">
        <v>1</v>
      </c>
      <c r="V231" s="423">
        <v>0</v>
      </c>
      <c r="W231" s="423">
        <v>0</v>
      </c>
      <c r="X231" s="423">
        <v>0</v>
      </c>
      <c r="Y231" s="423"/>
      <c r="Z231" s="423"/>
      <c r="AA231" s="423"/>
      <c r="AB231" s="423" t="s">
        <v>65</v>
      </c>
      <c r="AC231" s="423"/>
      <c r="AD231" s="423"/>
      <c r="AE231" s="777">
        <v>0</v>
      </c>
      <c r="AF231" s="423" t="s">
        <v>523</v>
      </c>
      <c r="AG231" s="423" t="s">
        <v>835</v>
      </c>
      <c r="AH231" s="423" t="s">
        <v>522</v>
      </c>
    </row>
    <row r="232" spans="1:34" ht="100.5" customHeight="1" x14ac:dyDescent="0.25">
      <c r="A232" s="187" t="s">
        <v>892</v>
      </c>
      <c r="B232" s="182" t="s">
        <v>65</v>
      </c>
      <c r="C232" s="182" t="s">
        <v>847</v>
      </c>
      <c r="D232" s="76" t="s">
        <v>995</v>
      </c>
      <c r="E232" s="265" t="s">
        <v>286</v>
      </c>
      <c r="F232" s="102" t="s">
        <v>996</v>
      </c>
      <c r="G232" s="102" t="s">
        <v>988</v>
      </c>
      <c r="H232" s="199" t="s">
        <v>997</v>
      </c>
      <c r="I232" s="200" t="s">
        <v>994</v>
      </c>
      <c r="J232" s="158" t="s">
        <v>999</v>
      </c>
      <c r="K232" s="752">
        <v>8907911232</v>
      </c>
      <c r="L232" s="420" t="s">
        <v>289</v>
      </c>
      <c r="M232" s="422" t="s">
        <v>156</v>
      </c>
      <c r="N232" s="420" t="s">
        <v>637</v>
      </c>
      <c r="O232" s="420"/>
      <c r="P232" s="420"/>
      <c r="Q232" s="420"/>
      <c r="R232" s="420"/>
      <c r="S232" s="423" t="s">
        <v>166</v>
      </c>
      <c r="T232" s="420">
        <v>4</v>
      </c>
      <c r="U232" s="423">
        <v>1</v>
      </c>
      <c r="V232" s="423">
        <v>1</v>
      </c>
      <c r="W232" s="423">
        <v>1</v>
      </c>
      <c r="X232" s="423">
        <v>1</v>
      </c>
      <c r="Y232" s="140" t="s">
        <v>752</v>
      </c>
      <c r="Z232" s="423" t="s">
        <v>454</v>
      </c>
      <c r="AA232" s="423" t="s">
        <v>869</v>
      </c>
      <c r="AB232" s="423" t="s">
        <v>65</v>
      </c>
      <c r="AC232" s="113"/>
      <c r="AD232" s="423" t="s">
        <v>292</v>
      </c>
      <c r="AE232" s="752">
        <v>8907911232</v>
      </c>
      <c r="AF232" s="423" t="s">
        <v>523</v>
      </c>
      <c r="AG232" s="423" t="s">
        <v>835</v>
      </c>
      <c r="AH232" s="423" t="s">
        <v>522</v>
      </c>
    </row>
    <row r="233" spans="1:34" s="82" customFormat="1" ht="100.5" customHeight="1" x14ac:dyDescent="0.25">
      <c r="A233" s="519" t="s">
        <v>892</v>
      </c>
      <c r="B233" s="527" t="s">
        <v>65</v>
      </c>
      <c r="C233" s="527" t="s">
        <v>847</v>
      </c>
      <c r="D233" s="76" t="s">
        <v>995</v>
      </c>
      <c r="E233" s="265" t="s">
        <v>286</v>
      </c>
      <c r="F233" s="774"/>
      <c r="G233" s="774"/>
      <c r="H233" s="742"/>
      <c r="I233" s="774"/>
      <c r="J233" s="158"/>
      <c r="K233" s="752">
        <v>2217205000</v>
      </c>
      <c r="L233" s="767" t="s">
        <v>289</v>
      </c>
      <c r="M233" s="745"/>
      <c r="N233" s="776"/>
      <c r="O233" s="776"/>
      <c r="P233" s="776"/>
      <c r="Q233" s="776"/>
      <c r="R233" s="776"/>
      <c r="S233" s="775"/>
      <c r="T233" s="776">
        <v>4</v>
      </c>
      <c r="U233" s="775">
        <v>1</v>
      </c>
      <c r="V233" s="775">
        <v>1</v>
      </c>
      <c r="W233" s="775">
        <v>1</v>
      </c>
      <c r="X233" s="775">
        <v>1</v>
      </c>
      <c r="Y233" s="684" t="s">
        <v>1260</v>
      </c>
      <c r="Z233" s="775" t="s">
        <v>190</v>
      </c>
      <c r="AA233" s="439" t="s">
        <v>623</v>
      </c>
      <c r="AB233" s="775" t="s">
        <v>65</v>
      </c>
      <c r="AC233" s="113"/>
      <c r="AD233" s="775"/>
      <c r="AE233" s="752">
        <v>2217205000</v>
      </c>
      <c r="AF233" s="775" t="s">
        <v>523</v>
      </c>
      <c r="AG233" s="775" t="s">
        <v>835</v>
      </c>
      <c r="AH233" s="775" t="s">
        <v>522</v>
      </c>
    </row>
    <row r="234" spans="1:34" ht="120" customHeight="1" x14ac:dyDescent="0.25">
      <c r="A234" s="187" t="s">
        <v>892</v>
      </c>
      <c r="B234" s="182" t="s">
        <v>65</v>
      </c>
      <c r="C234" s="104" t="s">
        <v>847</v>
      </c>
      <c r="D234" s="76" t="s">
        <v>995</v>
      </c>
      <c r="E234" s="265" t="s">
        <v>286</v>
      </c>
      <c r="F234" s="102" t="s">
        <v>996</v>
      </c>
      <c r="G234" s="102" t="s">
        <v>988</v>
      </c>
      <c r="H234" s="199" t="s">
        <v>997</v>
      </c>
      <c r="I234" s="200" t="s">
        <v>994</v>
      </c>
      <c r="J234" s="143" t="s">
        <v>999</v>
      </c>
      <c r="K234" s="749">
        <v>31582694811</v>
      </c>
      <c r="L234" s="420" t="s">
        <v>290</v>
      </c>
      <c r="M234" s="422" t="s">
        <v>156</v>
      </c>
      <c r="N234" s="420" t="s">
        <v>637</v>
      </c>
      <c r="O234" s="420"/>
      <c r="P234" s="420"/>
      <c r="Q234" s="420"/>
      <c r="R234" s="420"/>
      <c r="S234" s="423" t="s">
        <v>166</v>
      </c>
      <c r="T234" s="420">
        <v>4</v>
      </c>
      <c r="U234" s="423">
        <v>1</v>
      </c>
      <c r="V234" s="423">
        <v>1</v>
      </c>
      <c r="W234" s="423">
        <v>1</v>
      </c>
      <c r="X234" s="423">
        <v>1</v>
      </c>
      <c r="Y234" s="140" t="s">
        <v>753</v>
      </c>
      <c r="Z234" s="423" t="s">
        <v>198</v>
      </c>
      <c r="AA234" s="439" t="s">
        <v>754</v>
      </c>
      <c r="AB234" s="423" t="s">
        <v>65</v>
      </c>
      <c r="AC234" s="113"/>
      <c r="AD234" s="423" t="s">
        <v>499</v>
      </c>
      <c r="AE234" s="749">
        <v>31582694811</v>
      </c>
      <c r="AF234" s="423" t="s">
        <v>523</v>
      </c>
      <c r="AG234" s="423" t="s">
        <v>835</v>
      </c>
      <c r="AH234" s="423" t="s">
        <v>522</v>
      </c>
    </row>
    <row r="235" spans="1:34" ht="106.5" customHeight="1" x14ac:dyDescent="0.25">
      <c r="A235" s="187" t="s">
        <v>892</v>
      </c>
      <c r="B235" s="182" t="s">
        <v>65</v>
      </c>
      <c r="C235" s="104" t="s">
        <v>847</v>
      </c>
      <c r="D235" s="76" t="s">
        <v>995</v>
      </c>
      <c r="E235" s="265" t="s">
        <v>286</v>
      </c>
      <c r="F235" s="102" t="s">
        <v>996</v>
      </c>
      <c r="G235" s="102" t="s">
        <v>988</v>
      </c>
      <c r="H235" s="199" t="s">
        <v>997</v>
      </c>
      <c r="I235" s="200" t="s">
        <v>994</v>
      </c>
      <c r="J235" s="143" t="s">
        <v>999</v>
      </c>
      <c r="K235" s="749">
        <v>4165455879</v>
      </c>
      <c r="L235" s="420" t="s">
        <v>291</v>
      </c>
      <c r="M235" s="422" t="s">
        <v>156</v>
      </c>
      <c r="N235" s="420" t="s">
        <v>1160</v>
      </c>
      <c r="O235" s="420"/>
      <c r="P235" s="420"/>
      <c r="Q235" s="420"/>
      <c r="R235" s="420"/>
      <c r="S235" s="423" t="s">
        <v>166</v>
      </c>
      <c r="T235" s="420">
        <v>40</v>
      </c>
      <c r="U235" s="423">
        <v>0</v>
      </c>
      <c r="V235" s="423">
        <v>0</v>
      </c>
      <c r="W235" s="423">
        <v>20</v>
      </c>
      <c r="X235" s="423">
        <v>20</v>
      </c>
      <c r="Y235" s="140" t="s">
        <v>755</v>
      </c>
      <c r="Z235" s="423" t="s">
        <v>190</v>
      </c>
      <c r="AA235" s="439" t="s">
        <v>623</v>
      </c>
      <c r="AB235" s="423" t="s">
        <v>65</v>
      </c>
      <c r="AC235" s="113"/>
      <c r="AD235" s="423" t="s">
        <v>292</v>
      </c>
      <c r="AE235" s="749">
        <v>4165455879</v>
      </c>
      <c r="AF235" s="423" t="s">
        <v>523</v>
      </c>
      <c r="AG235" s="423" t="s">
        <v>523</v>
      </c>
      <c r="AH235" s="423" t="s">
        <v>522</v>
      </c>
    </row>
    <row r="236" spans="1:34" ht="122.25" customHeight="1" x14ac:dyDescent="0.25">
      <c r="A236" s="187" t="s">
        <v>892</v>
      </c>
      <c r="B236" s="182" t="s">
        <v>65</v>
      </c>
      <c r="C236" s="104" t="s">
        <v>847</v>
      </c>
      <c r="D236" s="76" t="s">
        <v>995</v>
      </c>
      <c r="E236" s="223" t="s">
        <v>286</v>
      </c>
      <c r="F236" s="102" t="s">
        <v>996</v>
      </c>
      <c r="G236" s="102" t="s">
        <v>988</v>
      </c>
      <c r="H236" s="199" t="s">
        <v>997</v>
      </c>
      <c r="I236" s="200" t="s">
        <v>994</v>
      </c>
      <c r="J236" s="143" t="s">
        <v>999</v>
      </c>
      <c r="K236" s="750">
        <v>0</v>
      </c>
      <c r="L236" s="420" t="s">
        <v>524</v>
      </c>
      <c r="M236" s="422" t="s">
        <v>156</v>
      </c>
      <c r="N236" s="420" t="s">
        <v>669</v>
      </c>
      <c r="O236" s="420"/>
      <c r="P236" s="420"/>
      <c r="Q236" s="420"/>
      <c r="R236" s="420"/>
      <c r="S236" s="423" t="s">
        <v>166</v>
      </c>
      <c r="T236" s="420">
        <v>60</v>
      </c>
      <c r="U236" s="420">
        <v>10</v>
      </c>
      <c r="V236" s="420">
        <v>20</v>
      </c>
      <c r="W236" s="420">
        <v>15</v>
      </c>
      <c r="X236" s="420">
        <v>15</v>
      </c>
      <c r="Y236" s="537"/>
      <c r="Z236" s="423"/>
      <c r="AA236" s="423"/>
      <c r="AB236" s="423" t="s">
        <v>65</v>
      </c>
      <c r="AC236" s="423"/>
      <c r="AD236" s="743"/>
      <c r="AE236" s="750">
        <v>0</v>
      </c>
      <c r="AF236" s="423" t="s">
        <v>523</v>
      </c>
      <c r="AG236" s="423" t="s">
        <v>523</v>
      </c>
      <c r="AH236" s="423" t="s">
        <v>522</v>
      </c>
    </row>
    <row r="237" spans="1:34" s="82" customFormat="1" ht="122.25" customHeight="1" x14ac:dyDescent="0.25">
      <c r="A237" s="519" t="s">
        <v>892</v>
      </c>
      <c r="B237" s="527" t="s">
        <v>65</v>
      </c>
      <c r="C237" s="527" t="s">
        <v>847</v>
      </c>
      <c r="D237" s="76" t="s">
        <v>995</v>
      </c>
      <c r="E237" s="419" t="s">
        <v>286</v>
      </c>
      <c r="F237" s="415"/>
      <c r="G237" s="415"/>
      <c r="H237" s="742"/>
      <c r="I237" s="415"/>
      <c r="J237" s="158"/>
      <c r="K237" s="752">
        <v>12000000000</v>
      </c>
      <c r="L237" s="790" t="s">
        <v>525</v>
      </c>
      <c r="M237" s="116" t="s">
        <v>166</v>
      </c>
      <c r="N237" s="143">
        <v>40</v>
      </c>
      <c r="O237" s="143">
        <v>0</v>
      </c>
      <c r="P237" s="143">
        <v>0</v>
      </c>
      <c r="Q237" s="143">
        <v>20</v>
      </c>
      <c r="R237" s="143">
        <v>20</v>
      </c>
      <c r="S237" s="116" t="s">
        <v>166</v>
      </c>
      <c r="T237" s="143">
        <v>40</v>
      </c>
      <c r="U237" s="143">
        <v>0</v>
      </c>
      <c r="V237" s="143">
        <v>0</v>
      </c>
      <c r="W237" s="143">
        <v>20</v>
      </c>
      <c r="X237" s="143">
        <v>20</v>
      </c>
      <c r="Y237" s="537" t="s">
        <v>1254</v>
      </c>
      <c r="Z237" s="775" t="s">
        <v>454</v>
      </c>
      <c r="AA237" s="775"/>
      <c r="AB237" s="775" t="s">
        <v>65</v>
      </c>
      <c r="AC237" s="775"/>
      <c r="AD237" s="775" t="s">
        <v>758</v>
      </c>
      <c r="AE237" s="752">
        <v>12000000000</v>
      </c>
      <c r="AF237" s="775" t="s">
        <v>523</v>
      </c>
      <c r="AG237" s="775" t="s">
        <v>523</v>
      </c>
      <c r="AH237" s="775" t="s">
        <v>522</v>
      </c>
    </row>
    <row r="238" spans="1:34" s="82" customFormat="1" ht="58.5" customHeight="1" x14ac:dyDescent="0.25">
      <c r="A238" s="368" t="s">
        <v>892</v>
      </c>
      <c r="B238" s="428" t="s">
        <v>65</v>
      </c>
      <c r="C238" s="428" t="s">
        <v>847</v>
      </c>
      <c r="D238" s="451" t="s">
        <v>995</v>
      </c>
      <c r="E238" s="397" t="s">
        <v>286</v>
      </c>
      <c r="F238" s="378" t="s">
        <v>996</v>
      </c>
      <c r="G238" s="378" t="s">
        <v>988</v>
      </c>
      <c r="H238" s="158" t="s">
        <v>997</v>
      </c>
      <c r="I238" s="378" t="s">
        <v>999</v>
      </c>
      <c r="J238" s="158" t="s">
        <v>999</v>
      </c>
      <c r="K238" s="752">
        <v>3730391000</v>
      </c>
      <c r="L238" s="143" t="s">
        <v>525</v>
      </c>
      <c r="M238" s="328" t="s">
        <v>156</v>
      </c>
      <c r="N238" s="143" t="s">
        <v>587</v>
      </c>
      <c r="O238" s="158"/>
      <c r="P238" s="158"/>
      <c r="Q238" s="158"/>
      <c r="R238" s="158"/>
      <c r="S238" s="116" t="s">
        <v>166</v>
      </c>
      <c r="T238" s="143">
        <v>40</v>
      </c>
      <c r="U238" s="143">
        <v>0</v>
      </c>
      <c r="V238" s="143">
        <v>0</v>
      </c>
      <c r="W238" s="143">
        <v>20</v>
      </c>
      <c r="X238" s="143">
        <v>20</v>
      </c>
      <c r="Y238" s="140" t="s">
        <v>759</v>
      </c>
      <c r="Z238" s="423" t="s">
        <v>198</v>
      </c>
      <c r="AA238" s="465" t="s">
        <v>695</v>
      </c>
      <c r="AB238" s="423" t="s">
        <v>65</v>
      </c>
      <c r="AC238" s="423"/>
      <c r="AD238" s="423" t="s">
        <v>758</v>
      </c>
      <c r="AE238" s="752">
        <v>3730391000</v>
      </c>
      <c r="AF238" s="116" t="s">
        <v>523</v>
      </c>
      <c r="AG238" s="368" t="s">
        <v>835</v>
      </c>
      <c r="AH238" s="116" t="s">
        <v>522</v>
      </c>
    </row>
    <row r="239" spans="1:34" s="82" customFormat="1" ht="75" customHeight="1" x14ac:dyDescent="0.25">
      <c r="A239" s="368" t="s">
        <v>892</v>
      </c>
      <c r="B239" s="428" t="s">
        <v>65</v>
      </c>
      <c r="C239" s="428" t="s">
        <v>847</v>
      </c>
      <c r="D239" s="451" t="s">
        <v>995</v>
      </c>
      <c r="E239" s="397" t="s">
        <v>286</v>
      </c>
      <c r="F239" s="378" t="s">
        <v>996</v>
      </c>
      <c r="G239" s="378" t="s">
        <v>988</v>
      </c>
      <c r="H239" s="158" t="s">
        <v>997</v>
      </c>
      <c r="I239" s="378" t="s">
        <v>999</v>
      </c>
      <c r="J239" s="158" t="s">
        <v>999</v>
      </c>
      <c r="K239" s="752">
        <v>2419943534</v>
      </c>
      <c r="L239" s="143" t="s">
        <v>525</v>
      </c>
      <c r="M239" s="328" t="s">
        <v>156</v>
      </c>
      <c r="N239" s="143" t="s">
        <v>587</v>
      </c>
      <c r="O239" s="158"/>
      <c r="P239" s="158"/>
      <c r="Q239" s="158"/>
      <c r="R239" s="158"/>
      <c r="S239" s="116" t="s">
        <v>166</v>
      </c>
      <c r="T239" s="143">
        <v>40</v>
      </c>
      <c r="U239" s="143">
        <v>0</v>
      </c>
      <c r="V239" s="143">
        <v>0</v>
      </c>
      <c r="W239" s="143">
        <v>20</v>
      </c>
      <c r="X239" s="143">
        <v>20</v>
      </c>
      <c r="Y239" s="420" t="s">
        <v>756</v>
      </c>
      <c r="Z239" s="423" t="s">
        <v>190</v>
      </c>
      <c r="AA239" s="465" t="s">
        <v>757</v>
      </c>
      <c r="AB239" s="423" t="s">
        <v>65</v>
      </c>
      <c r="AC239" s="423"/>
      <c r="AD239" s="423" t="s">
        <v>758</v>
      </c>
      <c r="AE239" s="752">
        <v>2419943534</v>
      </c>
      <c r="AF239" s="116" t="s">
        <v>523</v>
      </c>
      <c r="AG239" s="368" t="s">
        <v>835</v>
      </c>
      <c r="AH239" s="116" t="s">
        <v>522</v>
      </c>
    </row>
    <row r="240" spans="1:34" ht="114" customHeight="1" x14ac:dyDescent="0.25">
      <c r="A240" s="187" t="s">
        <v>892</v>
      </c>
      <c r="B240" s="182" t="s">
        <v>65</v>
      </c>
      <c r="C240" s="104" t="s">
        <v>847</v>
      </c>
      <c r="D240" s="76" t="s">
        <v>995</v>
      </c>
      <c r="E240" s="223" t="s">
        <v>286</v>
      </c>
      <c r="F240" s="102" t="s">
        <v>996</v>
      </c>
      <c r="G240" s="102" t="s">
        <v>988</v>
      </c>
      <c r="H240" s="201" t="s">
        <v>997</v>
      </c>
      <c r="I240" s="200" t="s">
        <v>994</v>
      </c>
      <c r="J240" s="158" t="s">
        <v>999</v>
      </c>
      <c r="K240" s="437">
        <v>0</v>
      </c>
      <c r="L240" s="420" t="s">
        <v>526</v>
      </c>
      <c r="M240" s="422" t="s">
        <v>156</v>
      </c>
      <c r="N240" s="420" t="s">
        <v>637</v>
      </c>
      <c r="O240" s="420"/>
      <c r="P240" s="420"/>
      <c r="Q240" s="420"/>
      <c r="R240" s="420"/>
      <c r="S240" s="423" t="s">
        <v>166</v>
      </c>
      <c r="T240" s="420">
        <v>40</v>
      </c>
      <c r="U240" s="423">
        <v>5</v>
      </c>
      <c r="V240" s="423">
        <v>15</v>
      </c>
      <c r="W240" s="423">
        <v>10</v>
      </c>
      <c r="X240" s="423">
        <v>10</v>
      </c>
      <c r="Y240" s="423"/>
      <c r="Z240" s="423"/>
      <c r="AA240" s="423"/>
      <c r="AB240" s="423" t="s">
        <v>65</v>
      </c>
      <c r="AC240" s="423"/>
      <c r="AD240" s="423"/>
      <c r="AE240" s="777">
        <v>0</v>
      </c>
      <c r="AF240" s="423" t="s">
        <v>523</v>
      </c>
      <c r="AG240" s="423" t="s">
        <v>835</v>
      </c>
      <c r="AH240" s="423" t="s">
        <v>522</v>
      </c>
    </row>
    <row r="241" spans="1:34" s="75" customFormat="1" ht="102.75" customHeight="1" x14ac:dyDescent="0.25">
      <c r="A241" s="187" t="s">
        <v>892</v>
      </c>
      <c r="B241" s="182" t="s">
        <v>65</v>
      </c>
      <c r="C241" s="104" t="s">
        <v>847</v>
      </c>
      <c r="D241" s="76" t="s">
        <v>995</v>
      </c>
      <c r="E241" s="223" t="s">
        <v>286</v>
      </c>
      <c r="F241" s="102" t="s">
        <v>996</v>
      </c>
      <c r="G241" s="102" t="s">
        <v>988</v>
      </c>
      <c r="H241" s="201" t="s">
        <v>997</v>
      </c>
      <c r="I241" s="200" t="s">
        <v>994</v>
      </c>
      <c r="J241" s="143" t="s">
        <v>999</v>
      </c>
      <c r="K241" s="751">
        <v>2000000000</v>
      </c>
      <c r="L241" s="420" t="s">
        <v>527</v>
      </c>
      <c r="M241" s="422" t="s">
        <v>156</v>
      </c>
      <c r="N241" s="420" t="s">
        <v>637</v>
      </c>
      <c r="O241" s="420"/>
      <c r="P241" s="420"/>
      <c r="Q241" s="420"/>
      <c r="R241" s="420"/>
      <c r="S241" s="423" t="s">
        <v>166</v>
      </c>
      <c r="T241" s="420">
        <v>30</v>
      </c>
      <c r="U241" s="423">
        <v>0</v>
      </c>
      <c r="V241" s="423">
        <v>0</v>
      </c>
      <c r="W241" s="423">
        <v>15</v>
      </c>
      <c r="X241" s="423">
        <v>15</v>
      </c>
      <c r="Y241" s="140" t="s">
        <v>755</v>
      </c>
      <c r="Z241" s="423" t="s">
        <v>190</v>
      </c>
      <c r="AA241" s="439" t="s">
        <v>623</v>
      </c>
      <c r="AB241" s="423" t="s">
        <v>65</v>
      </c>
      <c r="AC241" s="115"/>
      <c r="AD241" s="423" t="s">
        <v>528</v>
      </c>
      <c r="AE241" s="751">
        <v>2000000000</v>
      </c>
      <c r="AF241" s="423" t="s">
        <v>523</v>
      </c>
      <c r="AG241" s="423" t="s">
        <v>835</v>
      </c>
      <c r="AH241" s="423" t="s">
        <v>522</v>
      </c>
    </row>
    <row r="242" spans="1:34" ht="96" customHeight="1" x14ac:dyDescent="0.25">
      <c r="A242" s="187" t="s">
        <v>892</v>
      </c>
      <c r="B242" s="182" t="s">
        <v>65</v>
      </c>
      <c r="C242" s="104" t="s">
        <v>847</v>
      </c>
      <c r="D242" s="76" t="s">
        <v>995</v>
      </c>
      <c r="E242" s="223" t="s">
        <v>286</v>
      </c>
      <c r="F242" s="102" t="s">
        <v>996</v>
      </c>
      <c r="G242" s="102" t="s">
        <v>988</v>
      </c>
      <c r="H242" s="201" t="s">
        <v>997</v>
      </c>
      <c r="I242" s="200" t="s">
        <v>994</v>
      </c>
      <c r="J242" s="215" t="s">
        <v>999</v>
      </c>
      <c r="K242" s="437">
        <v>0</v>
      </c>
      <c r="L242" s="420" t="s">
        <v>760</v>
      </c>
      <c r="M242" s="422" t="s">
        <v>156</v>
      </c>
      <c r="N242" s="420" t="s">
        <v>572</v>
      </c>
      <c r="O242" s="420"/>
      <c r="P242" s="420"/>
      <c r="Q242" s="420"/>
      <c r="R242" s="420"/>
      <c r="S242" s="423" t="s">
        <v>166</v>
      </c>
      <c r="T242" s="420">
        <v>280</v>
      </c>
      <c r="U242" s="420">
        <v>50</v>
      </c>
      <c r="V242" s="420">
        <v>100</v>
      </c>
      <c r="W242" s="420">
        <v>80</v>
      </c>
      <c r="X242" s="420">
        <v>50</v>
      </c>
      <c r="Y242" s="420"/>
      <c r="Z242" s="423"/>
      <c r="AA242" s="423"/>
      <c r="AB242" s="423" t="s">
        <v>65</v>
      </c>
      <c r="AC242" s="423"/>
      <c r="AD242" s="423"/>
      <c r="AE242" s="777">
        <v>0</v>
      </c>
      <c r="AF242" s="423" t="s">
        <v>523</v>
      </c>
      <c r="AG242" s="423" t="s">
        <v>835</v>
      </c>
      <c r="AH242" s="423" t="s">
        <v>522</v>
      </c>
    </row>
    <row r="243" spans="1:34" ht="111" customHeight="1" x14ac:dyDescent="0.25">
      <c r="A243" s="187" t="s">
        <v>892</v>
      </c>
      <c r="B243" s="182" t="s">
        <v>65</v>
      </c>
      <c r="C243" s="104" t="s">
        <v>847</v>
      </c>
      <c r="D243" s="238" t="s">
        <v>1002</v>
      </c>
      <c r="E243" s="214" t="s">
        <v>294</v>
      </c>
      <c r="F243" s="102" t="s">
        <v>996</v>
      </c>
      <c r="G243" s="102" t="s">
        <v>988</v>
      </c>
      <c r="H243" s="201" t="s">
        <v>997</v>
      </c>
      <c r="I243" s="200" t="s">
        <v>994</v>
      </c>
      <c r="J243" s="215" t="s">
        <v>1100</v>
      </c>
      <c r="K243" s="437">
        <v>0</v>
      </c>
      <c r="L243" s="420" t="s">
        <v>295</v>
      </c>
      <c r="M243" s="422" t="s">
        <v>156</v>
      </c>
      <c r="N243" s="420" t="s">
        <v>572</v>
      </c>
      <c r="O243" s="420"/>
      <c r="P243" s="420"/>
      <c r="Q243" s="420"/>
      <c r="R243" s="420"/>
      <c r="S243" s="423" t="s">
        <v>166</v>
      </c>
      <c r="T243" s="420">
        <v>110</v>
      </c>
      <c r="U243" s="420">
        <v>10</v>
      </c>
      <c r="V243" s="420">
        <v>30</v>
      </c>
      <c r="W243" s="420">
        <v>45</v>
      </c>
      <c r="X243" s="420">
        <v>25</v>
      </c>
      <c r="Y243" s="420"/>
      <c r="Z243" s="423"/>
      <c r="AA243" s="423"/>
      <c r="AB243" s="423" t="s">
        <v>65</v>
      </c>
      <c r="AC243" s="423"/>
      <c r="AD243" s="423"/>
      <c r="AE243" s="777">
        <v>0</v>
      </c>
      <c r="AF243" s="423" t="s">
        <v>523</v>
      </c>
      <c r="AG243" s="423" t="s">
        <v>835</v>
      </c>
      <c r="AH243" s="423" t="s">
        <v>293</v>
      </c>
    </row>
    <row r="244" spans="1:34" ht="102.75" customHeight="1" x14ac:dyDescent="0.25">
      <c r="A244" s="187" t="s">
        <v>892</v>
      </c>
      <c r="B244" s="182" t="s">
        <v>65</v>
      </c>
      <c r="C244" s="182" t="s">
        <v>847</v>
      </c>
      <c r="D244" s="238" t="s">
        <v>1002</v>
      </c>
      <c r="E244" s="214" t="s">
        <v>294</v>
      </c>
      <c r="F244" s="102" t="s">
        <v>996</v>
      </c>
      <c r="G244" s="102" t="s">
        <v>988</v>
      </c>
      <c r="H244" s="201" t="s">
        <v>997</v>
      </c>
      <c r="I244" s="200" t="s">
        <v>994</v>
      </c>
      <c r="J244" s="215" t="s">
        <v>1100</v>
      </c>
      <c r="K244" s="437">
        <v>1415438000</v>
      </c>
      <c r="L244" s="420" t="s">
        <v>296</v>
      </c>
      <c r="M244" s="422" t="s">
        <v>156</v>
      </c>
      <c r="N244" s="420" t="s">
        <v>571</v>
      </c>
      <c r="O244" s="420"/>
      <c r="P244" s="420"/>
      <c r="Q244" s="420"/>
      <c r="R244" s="420"/>
      <c r="S244" s="423" t="s">
        <v>166</v>
      </c>
      <c r="T244" s="420">
        <v>12</v>
      </c>
      <c r="U244" s="420">
        <v>3</v>
      </c>
      <c r="V244" s="420">
        <v>3</v>
      </c>
      <c r="W244" s="420">
        <v>3</v>
      </c>
      <c r="X244" s="420">
        <v>3</v>
      </c>
      <c r="Y244" s="420" t="s">
        <v>761</v>
      </c>
      <c r="Z244" s="423" t="s">
        <v>190</v>
      </c>
      <c r="AA244" s="439" t="s">
        <v>623</v>
      </c>
      <c r="AB244" s="423" t="s">
        <v>65</v>
      </c>
      <c r="AC244" s="113"/>
      <c r="AD244" s="423" t="s">
        <v>301</v>
      </c>
      <c r="AE244" s="777">
        <v>1415438000</v>
      </c>
      <c r="AF244" s="423" t="s">
        <v>523</v>
      </c>
      <c r="AG244" s="423" t="s">
        <v>523</v>
      </c>
      <c r="AH244" s="423" t="s">
        <v>293</v>
      </c>
    </row>
    <row r="245" spans="1:34" ht="113.25" customHeight="1" x14ac:dyDescent="0.25">
      <c r="A245" s="187" t="s">
        <v>892</v>
      </c>
      <c r="B245" s="182" t="s">
        <v>65</v>
      </c>
      <c r="C245" s="104" t="s">
        <v>847</v>
      </c>
      <c r="D245" s="238" t="s">
        <v>1002</v>
      </c>
      <c r="E245" s="268" t="s">
        <v>294</v>
      </c>
      <c r="F245" s="102" t="s">
        <v>996</v>
      </c>
      <c r="G245" s="200" t="s">
        <v>988</v>
      </c>
      <c r="H245" s="201" t="s">
        <v>997</v>
      </c>
      <c r="I245" s="200" t="s">
        <v>994</v>
      </c>
      <c r="J245" s="215" t="s">
        <v>1100</v>
      </c>
      <c r="K245" s="481">
        <v>936742000</v>
      </c>
      <c r="L245" s="420" t="s">
        <v>297</v>
      </c>
      <c r="M245" s="422" t="s">
        <v>156</v>
      </c>
      <c r="N245" s="420" t="s">
        <v>571</v>
      </c>
      <c r="O245" s="420"/>
      <c r="P245" s="420"/>
      <c r="Q245" s="420"/>
      <c r="R245" s="420"/>
      <c r="S245" s="423" t="s">
        <v>166</v>
      </c>
      <c r="T245" s="420">
        <v>250</v>
      </c>
      <c r="U245" s="420">
        <v>40</v>
      </c>
      <c r="V245" s="420">
        <v>80</v>
      </c>
      <c r="W245" s="420">
        <v>80</v>
      </c>
      <c r="X245" s="420">
        <v>50</v>
      </c>
      <c r="Y245" s="140" t="s">
        <v>762</v>
      </c>
      <c r="Z245" s="423" t="s">
        <v>190</v>
      </c>
      <c r="AA245" s="439" t="s">
        <v>623</v>
      </c>
      <c r="AB245" s="423" t="s">
        <v>65</v>
      </c>
      <c r="AC245" s="113"/>
      <c r="AD245" s="423" t="s">
        <v>301</v>
      </c>
      <c r="AE245" s="481">
        <v>936742000</v>
      </c>
      <c r="AF245" s="423" t="s">
        <v>523</v>
      </c>
      <c r="AG245" s="423" t="s">
        <v>523</v>
      </c>
      <c r="AH245" s="423" t="s">
        <v>293</v>
      </c>
    </row>
    <row r="246" spans="1:34" ht="89.25" customHeight="1" x14ac:dyDescent="0.25">
      <c r="A246" s="116" t="s">
        <v>892</v>
      </c>
      <c r="B246" s="162" t="s">
        <v>65</v>
      </c>
      <c r="C246" s="428" t="s">
        <v>847</v>
      </c>
      <c r="D246" s="447" t="s">
        <v>1002</v>
      </c>
      <c r="E246" s="394" t="s">
        <v>294</v>
      </c>
      <c r="F246" s="160" t="s">
        <v>996</v>
      </c>
      <c r="G246" s="160" t="s">
        <v>988</v>
      </c>
      <c r="H246" s="158" t="s">
        <v>997</v>
      </c>
      <c r="I246" s="160" t="s">
        <v>994</v>
      </c>
      <c r="J246" s="158" t="s">
        <v>1100</v>
      </c>
      <c r="K246" s="154">
        <v>3573610000</v>
      </c>
      <c r="L246" s="143" t="s">
        <v>180</v>
      </c>
      <c r="M246" s="328" t="s">
        <v>156</v>
      </c>
      <c r="N246" s="143" t="s">
        <v>571</v>
      </c>
      <c r="O246" s="158"/>
      <c r="P246" s="158"/>
      <c r="Q246" s="158"/>
      <c r="R246" s="158"/>
      <c r="S246" s="116" t="s">
        <v>166</v>
      </c>
      <c r="T246" s="143">
        <v>1</v>
      </c>
      <c r="U246" s="143">
        <v>1</v>
      </c>
      <c r="V246" s="143">
        <v>0</v>
      </c>
      <c r="W246" s="143">
        <v>0</v>
      </c>
      <c r="X246" s="143">
        <v>0</v>
      </c>
      <c r="Y246" s="420" t="s">
        <v>763</v>
      </c>
      <c r="Z246" s="423" t="s">
        <v>190</v>
      </c>
      <c r="AA246" s="439" t="s">
        <v>623</v>
      </c>
      <c r="AB246" s="423" t="s">
        <v>65</v>
      </c>
      <c r="AC246" s="113"/>
      <c r="AD246" s="423" t="s">
        <v>301</v>
      </c>
      <c r="AE246" s="154">
        <v>3573610000</v>
      </c>
      <c r="AF246" s="116" t="s">
        <v>523</v>
      </c>
      <c r="AG246" s="368" t="s">
        <v>835</v>
      </c>
      <c r="AH246" s="116" t="s">
        <v>293</v>
      </c>
    </row>
    <row r="247" spans="1:34" ht="65.25" customHeight="1" x14ac:dyDescent="0.25">
      <c r="A247" s="116" t="s">
        <v>892</v>
      </c>
      <c r="B247" s="162" t="s">
        <v>65</v>
      </c>
      <c r="C247" s="428" t="s">
        <v>847</v>
      </c>
      <c r="D247" s="447" t="s">
        <v>1002</v>
      </c>
      <c r="E247" s="394" t="s">
        <v>294</v>
      </c>
      <c r="F247" s="160"/>
      <c r="G247" s="160"/>
      <c r="H247" s="159"/>
      <c r="I247" s="160"/>
      <c r="J247" s="159"/>
      <c r="K247" s="777">
        <v>620000000</v>
      </c>
      <c r="L247" s="143" t="s">
        <v>180</v>
      </c>
      <c r="M247" s="328"/>
      <c r="N247" s="143"/>
      <c r="O247" s="159"/>
      <c r="P247" s="159"/>
      <c r="Q247" s="159"/>
      <c r="R247" s="159"/>
      <c r="S247" s="116"/>
      <c r="T247" s="143">
        <v>1</v>
      </c>
      <c r="U247" s="143">
        <v>1</v>
      </c>
      <c r="V247" s="143">
        <v>0</v>
      </c>
      <c r="W247" s="143">
        <v>0</v>
      </c>
      <c r="X247" s="143">
        <v>0</v>
      </c>
      <c r="Y247" s="420" t="s">
        <v>764</v>
      </c>
      <c r="Z247" s="423" t="s">
        <v>190</v>
      </c>
      <c r="AA247" s="423" t="s">
        <v>190</v>
      </c>
      <c r="AB247" s="423" t="s">
        <v>65</v>
      </c>
      <c r="AC247" s="113"/>
      <c r="AD247" s="423" t="s">
        <v>301</v>
      </c>
      <c r="AE247" s="777">
        <v>620000000</v>
      </c>
      <c r="AF247" s="116" t="s">
        <v>523</v>
      </c>
      <c r="AG247" s="368" t="s">
        <v>835</v>
      </c>
      <c r="AH247" s="116" t="s">
        <v>293</v>
      </c>
    </row>
    <row r="248" spans="1:34" ht="96.75" customHeight="1" x14ac:dyDescent="0.25">
      <c r="A248" s="187" t="s">
        <v>892</v>
      </c>
      <c r="B248" s="182" t="s">
        <v>65</v>
      </c>
      <c r="C248" s="104" t="s">
        <v>847</v>
      </c>
      <c r="D248" s="238" t="s">
        <v>1002</v>
      </c>
      <c r="E248" s="214" t="s">
        <v>294</v>
      </c>
      <c r="F248" s="102" t="s">
        <v>996</v>
      </c>
      <c r="G248" s="102" t="s">
        <v>988</v>
      </c>
      <c r="H248" s="199" t="s">
        <v>997</v>
      </c>
      <c r="I248" s="200" t="s">
        <v>994</v>
      </c>
      <c r="J248" s="215" t="s">
        <v>1100</v>
      </c>
      <c r="K248" s="437">
        <v>0</v>
      </c>
      <c r="L248" s="420" t="s">
        <v>298</v>
      </c>
      <c r="M248" s="422" t="s">
        <v>156</v>
      </c>
      <c r="N248" s="420" t="s">
        <v>637</v>
      </c>
      <c r="O248" s="420"/>
      <c r="P248" s="420"/>
      <c r="Q248" s="420"/>
      <c r="R248" s="420"/>
      <c r="S248" s="423" t="s">
        <v>166</v>
      </c>
      <c r="T248" s="420">
        <v>240</v>
      </c>
      <c r="U248" s="420">
        <v>40</v>
      </c>
      <c r="V248" s="420">
        <v>80</v>
      </c>
      <c r="W248" s="420">
        <v>80</v>
      </c>
      <c r="X248" s="420">
        <v>40</v>
      </c>
      <c r="Y248" s="420"/>
      <c r="Z248" s="423"/>
      <c r="AA248" s="423"/>
      <c r="AB248" s="423" t="s">
        <v>65</v>
      </c>
      <c r="AC248" s="423"/>
      <c r="AD248" s="423"/>
      <c r="AE248" s="777">
        <v>0</v>
      </c>
      <c r="AF248" s="423" t="s">
        <v>523</v>
      </c>
      <c r="AG248" s="423" t="s">
        <v>835</v>
      </c>
      <c r="AH248" s="423" t="s">
        <v>293</v>
      </c>
    </row>
    <row r="249" spans="1:34" ht="125.25" customHeight="1" x14ac:dyDescent="0.25">
      <c r="A249" s="187" t="s">
        <v>892</v>
      </c>
      <c r="B249" s="182" t="s">
        <v>65</v>
      </c>
      <c r="C249" s="104" t="s">
        <v>847</v>
      </c>
      <c r="D249" s="238" t="s">
        <v>1002</v>
      </c>
      <c r="E249" s="214" t="s">
        <v>294</v>
      </c>
      <c r="F249" s="102" t="s">
        <v>996</v>
      </c>
      <c r="G249" s="102" t="s">
        <v>988</v>
      </c>
      <c r="H249" s="199" t="s">
        <v>997</v>
      </c>
      <c r="I249" s="200" t="s">
        <v>994</v>
      </c>
      <c r="J249" s="215" t="s">
        <v>1101</v>
      </c>
      <c r="K249" s="437">
        <v>0</v>
      </c>
      <c r="L249" s="420" t="s">
        <v>299</v>
      </c>
      <c r="M249" s="422" t="s">
        <v>156</v>
      </c>
      <c r="N249" s="420" t="s">
        <v>1161</v>
      </c>
      <c r="O249" s="420"/>
      <c r="P249" s="420"/>
      <c r="Q249" s="420"/>
      <c r="R249" s="420"/>
      <c r="S249" s="423" t="s">
        <v>166</v>
      </c>
      <c r="T249" s="420">
        <v>25</v>
      </c>
      <c r="U249" s="420">
        <v>5</v>
      </c>
      <c r="V249" s="420">
        <v>11</v>
      </c>
      <c r="W249" s="420">
        <v>6</v>
      </c>
      <c r="X249" s="420">
        <v>3</v>
      </c>
      <c r="Y249" s="420"/>
      <c r="Z249" s="423"/>
      <c r="AA249" s="423"/>
      <c r="AB249" s="423" t="s">
        <v>65</v>
      </c>
      <c r="AC249" s="423"/>
      <c r="AD249" s="423"/>
      <c r="AE249" s="777">
        <v>0</v>
      </c>
      <c r="AF249" s="423" t="s">
        <v>523</v>
      </c>
      <c r="AG249" s="423" t="s">
        <v>835</v>
      </c>
      <c r="AH249" s="423" t="s">
        <v>293</v>
      </c>
    </row>
    <row r="250" spans="1:34" ht="111.75" customHeight="1" x14ac:dyDescent="0.25">
      <c r="A250" s="187" t="s">
        <v>892</v>
      </c>
      <c r="B250" s="182" t="s">
        <v>65</v>
      </c>
      <c r="C250" s="104" t="s">
        <v>847</v>
      </c>
      <c r="D250" s="238" t="s">
        <v>1002</v>
      </c>
      <c r="E250" s="214" t="s">
        <v>294</v>
      </c>
      <c r="F250" s="102" t="s">
        <v>996</v>
      </c>
      <c r="G250" s="102" t="s">
        <v>988</v>
      </c>
      <c r="H250" s="199" t="s">
        <v>997</v>
      </c>
      <c r="I250" s="200" t="s">
        <v>994</v>
      </c>
      <c r="J250" s="215" t="s">
        <v>1100</v>
      </c>
      <c r="K250" s="437">
        <v>0</v>
      </c>
      <c r="L250" s="420" t="s">
        <v>300</v>
      </c>
      <c r="M250" s="422" t="s">
        <v>156</v>
      </c>
      <c r="N250" s="420" t="s">
        <v>637</v>
      </c>
      <c r="O250" s="420"/>
      <c r="P250" s="420"/>
      <c r="Q250" s="420"/>
      <c r="R250" s="420"/>
      <c r="S250" s="423" t="s">
        <v>166</v>
      </c>
      <c r="T250" s="420">
        <v>5000</v>
      </c>
      <c r="U250" s="420">
        <v>1250</v>
      </c>
      <c r="V250" s="420">
        <v>1250</v>
      </c>
      <c r="W250" s="420">
        <v>1250</v>
      </c>
      <c r="X250" s="420">
        <v>1250</v>
      </c>
      <c r="Y250" s="420"/>
      <c r="Z250" s="423"/>
      <c r="AA250" s="423"/>
      <c r="AB250" s="423" t="s">
        <v>65</v>
      </c>
      <c r="AC250" s="423"/>
      <c r="AD250" s="423"/>
      <c r="AE250" s="777">
        <v>0</v>
      </c>
      <c r="AF250" s="423" t="s">
        <v>523</v>
      </c>
      <c r="AG250" s="423" t="s">
        <v>835</v>
      </c>
      <c r="AH250" s="423" t="s">
        <v>293</v>
      </c>
    </row>
    <row r="251" spans="1:34" s="82" customFormat="1" ht="68.25" customHeight="1" x14ac:dyDescent="0.25">
      <c r="A251" s="116" t="s">
        <v>892</v>
      </c>
      <c r="B251" s="162" t="s">
        <v>65</v>
      </c>
      <c r="C251" s="428" t="s">
        <v>874</v>
      </c>
      <c r="D251" s="447" t="s">
        <v>1002</v>
      </c>
      <c r="E251" s="397" t="s">
        <v>302</v>
      </c>
      <c r="F251" s="160" t="s">
        <v>978</v>
      </c>
      <c r="G251" s="160" t="s">
        <v>988</v>
      </c>
      <c r="H251" s="158" t="s">
        <v>997</v>
      </c>
      <c r="I251" s="160" t="s">
        <v>994</v>
      </c>
      <c r="J251" s="158" t="s">
        <v>1102</v>
      </c>
      <c r="K251" s="437">
        <v>101677000</v>
      </c>
      <c r="L251" s="143" t="s">
        <v>180</v>
      </c>
      <c r="M251" s="328" t="s">
        <v>156</v>
      </c>
      <c r="N251" s="143" t="s">
        <v>669</v>
      </c>
      <c r="O251" s="158"/>
      <c r="P251" s="158"/>
      <c r="Q251" s="158"/>
      <c r="R251" s="158"/>
      <c r="S251" s="116" t="s">
        <v>166</v>
      </c>
      <c r="T251" s="143">
        <v>1</v>
      </c>
      <c r="U251" s="143">
        <v>1</v>
      </c>
      <c r="V251" s="143">
        <v>0</v>
      </c>
      <c r="W251" s="143">
        <v>0</v>
      </c>
      <c r="X251" s="143">
        <v>0</v>
      </c>
      <c r="Y251" s="140" t="s">
        <v>765</v>
      </c>
      <c r="Z251" s="423" t="s">
        <v>190</v>
      </c>
      <c r="AA251" s="423" t="s">
        <v>190</v>
      </c>
      <c r="AB251" s="423" t="s">
        <v>65</v>
      </c>
      <c r="AC251" s="113"/>
      <c r="AD251" s="423" t="s">
        <v>521</v>
      </c>
      <c r="AE251" s="777">
        <v>101677000</v>
      </c>
      <c r="AF251" s="116" t="s">
        <v>523</v>
      </c>
      <c r="AG251" s="368" t="s">
        <v>835</v>
      </c>
      <c r="AH251" s="116" t="s">
        <v>529</v>
      </c>
    </row>
    <row r="252" spans="1:34" s="82" customFormat="1" ht="51" customHeight="1" x14ac:dyDescent="0.25">
      <c r="A252" s="116" t="s">
        <v>892</v>
      </c>
      <c r="B252" s="162" t="s">
        <v>65</v>
      </c>
      <c r="C252" s="428" t="s">
        <v>874</v>
      </c>
      <c r="D252" s="447" t="s">
        <v>1002</v>
      </c>
      <c r="E252" s="397" t="s">
        <v>302</v>
      </c>
      <c r="F252" s="160" t="s">
        <v>978</v>
      </c>
      <c r="G252" s="160" t="s">
        <v>988</v>
      </c>
      <c r="H252" s="158" t="s">
        <v>997</v>
      </c>
      <c r="I252" s="160" t="s">
        <v>994</v>
      </c>
      <c r="J252" s="158" t="s">
        <v>1102</v>
      </c>
      <c r="K252" s="437">
        <v>5000000</v>
      </c>
      <c r="L252" s="143" t="s">
        <v>180</v>
      </c>
      <c r="M252" s="328" t="s">
        <v>156</v>
      </c>
      <c r="N252" s="143" t="s">
        <v>669</v>
      </c>
      <c r="O252" s="158"/>
      <c r="P252" s="158"/>
      <c r="Q252" s="158"/>
      <c r="R252" s="158"/>
      <c r="S252" s="116" t="s">
        <v>166</v>
      </c>
      <c r="T252" s="143">
        <v>1</v>
      </c>
      <c r="U252" s="143">
        <v>1</v>
      </c>
      <c r="V252" s="143">
        <v>0</v>
      </c>
      <c r="W252" s="143">
        <v>0</v>
      </c>
      <c r="X252" s="143">
        <v>0</v>
      </c>
      <c r="Y252" s="140" t="s">
        <v>766</v>
      </c>
      <c r="Z252" s="423" t="s">
        <v>190</v>
      </c>
      <c r="AA252" s="465" t="s">
        <v>623</v>
      </c>
      <c r="AB252" s="423" t="s">
        <v>65</v>
      </c>
      <c r="AC252" s="113"/>
      <c r="AD252" s="423" t="s">
        <v>521</v>
      </c>
      <c r="AE252" s="777">
        <v>5000000</v>
      </c>
      <c r="AF252" s="116" t="s">
        <v>523</v>
      </c>
      <c r="AG252" s="368" t="s">
        <v>835</v>
      </c>
      <c r="AH252" s="116" t="s">
        <v>529</v>
      </c>
    </row>
    <row r="253" spans="1:34" ht="81.75" customHeight="1" x14ac:dyDescent="0.25">
      <c r="A253" s="187" t="s">
        <v>892</v>
      </c>
      <c r="B253" s="182" t="s">
        <v>65</v>
      </c>
      <c r="C253" s="104" t="s">
        <v>874</v>
      </c>
      <c r="D253" s="238" t="s">
        <v>1002</v>
      </c>
      <c r="E253" s="223" t="s">
        <v>302</v>
      </c>
      <c r="F253" s="102" t="s">
        <v>978</v>
      </c>
      <c r="G253" s="102" t="s">
        <v>988</v>
      </c>
      <c r="H253" s="201" t="s">
        <v>997</v>
      </c>
      <c r="I253" s="200" t="s">
        <v>994</v>
      </c>
      <c r="J253" s="215" t="s">
        <v>1103</v>
      </c>
      <c r="K253" s="437">
        <v>600000000</v>
      </c>
      <c r="L253" s="420" t="s">
        <v>303</v>
      </c>
      <c r="M253" s="422" t="s">
        <v>156</v>
      </c>
      <c r="N253" s="420" t="s">
        <v>1200</v>
      </c>
      <c r="O253" s="420"/>
      <c r="P253" s="420"/>
      <c r="Q253" s="420"/>
      <c r="R253" s="420"/>
      <c r="S253" s="423" t="s">
        <v>166</v>
      </c>
      <c r="T253" s="420">
        <v>12</v>
      </c>
      <c r="U253" s="420">
        <v>0</v>
      </c>
      <c r="V253" s="420">
        <v>0</v>
      </c>
      <c r="W253" s="420">
        <v>6</v>
      </c>
      <c r="X253" s="420">
        <v>6</v>
      </c>
      <c r="Y253" s="474" t="s">
        <v>767</v>
      </c>
      <c r="Z253" s="423" t="s">
        <v>190</v>
      </c>
      <c r="AA253" s="465" t="s">
        <v>623</v>
      </c>
      <c r="AB253" s="423" t="s">
        <v>65</v>
      </c>
      <c r="AC253" s="113"/>
      <c r="AD253" s="423" t="s">
        <v>301</v>
      </c>
      <c r="AE253" s="777">
        <v>600000000</v>
      </c>
      <c r="AF253" s="423" t="s">
        <v>523</v>
      </c>
      <c r="AG253" s="423" t="s">
        <v>835</v>
      </c>
      <c r="AH253" s="423" t="s">
        <v>529</v>
      </c>
    </row>
    <row r="254" spans="1:34" s="82" customFormat="1" ht="81.75" customHeight="1" x14ac:dyDescent="0.25">
      <c r="A254" s="428" t="s">
        <v>892</v>
      </c>
      <c r="B254" s="428" t="s">
        <v>65</v>
      </c>
      <c r="C254" s="428" t="s">
        <v>848</v>
      </c>
      <c r="D254" s="451" t="s">
        <v>1000</v>
      </c>
      <c r="E254" s="394" t="s">
        <v>304</v>
      </c>
      <c r="F254" s="378" t="s">
        <v>978</v>
      </c>
      <c r="G254" s="378" t="s">
        <v>988</v>
      </c>
      <c r="H254" s="158" t="s">
        <v>998</v>
      </c>
      <c r="I254" s="378" t="s">
        <v>1001</v>
      </c>
      <c r="J254" s="368" t="s">
        <v>1104</v>
      </c>
      <c r="K254" s="155">
        <v>509963000</v>
      </c>
      <c r="L254" s="143" t="s">
        <v>305</v>
      </c>
      <c r="M254" s="388" t="s">
        <v>1159</v>
      </c>
      <c r="N254" s="143" t="s">
        <v>637</v>
      </c>
      <c r="O254" s="158"/>
      <c r="P254" s="158"/>
      <c r="Q254" s="158"/>
      <c r="R254" s="158"/>
      <c r="S254" s="116" t="s">
        <v>166</v>
      </c>
      <c r="T254" s="143">
        <v>1</v>
      </c>
      <c r="U254" s="143">
        <v>1</v>
      </c>
      <c r="V254" s="143">
        <v>0</v>
      </c>
      <c r="W254" s="143">
        <v>0</v>
      </c>
      <c r="X254" s="143">
        <v>0</v>
      </c>
      <c r="Y254" s="140" t="s">
        <v>768</v>
      </c>
      <c r="Z254" s="423" t="s">
        <v>190</v>
      </c>
      <c r="AA254" s="465" t="s">
        <v>623</v>
      </c>
      <c r="AB254" s="423" t="s">
        <v>65</v>
      </c>
      <c r="AC254" s="423" t="s">
        <v>530</v>
      </c>
      <c r="AD254" s="14"/>
      <c r="AE254" s="155">
        <v>509963000</v>
      </c>
      <c r="AF254" s="116" t="s">
        <v>532</v>
      </c>
      <c r="AG254" s="368" t="s">
        <v>835</v>
      </c>
      <c r="AH254" s="116" t="s">
        <v>547</v>
      </c>
    </row>
    <row r="255" spans="1:34" s="82" customFormat="1" ht="84.75" customHeight="1" x14ac:dyDescent="0.25">
      <c r="A255" s="428" t="s">
        <v>892</v>
      </c>
      <c r="B255" s="428" t="s">
        <v>65</v>
      </c>
      <c r="C255" s="428" t="s">
        <v>848</v>
      </c>
      <c r="D255" s="451" t="s">
        <v>1000</v>
      </c>
      <c r="E255" s="394" t="s">
        <v>304</v>
      </c>
      <c r="F255" s="378" t="s">
        <v>978</v>
      </c>
      <c r="G255" s="378" t="s">
        <v>988</v>
      </c>
      <c r="H255" s="158" t="s">
        <v>998</v>
      </c>
      <c r="I255" s="378" t="s">
        <v>1001</v>
      </c>
      <c r="J255" s="368" t="s">
        <v>1104</v>
      </c>
      <c r="K255" s="155">
        <v>200000000</v>
      </c>
      <c r="L255" s="143" t="s">
        <v>305</v>
      </c>
      <c r="M255" s="388" t="s">
        <v>1159</v>
      </c>
      <c r="N255" s="143" t="s">
        <v>637</v>
      </c>
      <c r="O255" s="158"/>
      <c r="P255" s="158"/>
      <c r="Q255" s="158"/>
      <c r="R255" s="158"/>
      <c r="S255" s="116" t="s">
        <v>166</v>
      </c>
      <c r="T255" s="143">
        <v>1</v>
      </c>
      <c r="U255" s="143">
        <v>1</v>
      </c>
      <c r="V255" s="143">
        <v>0</v>
      </c>
      <c r="W255" s="143">
        <v>0</v>
      </c>
      <c r="X255" s="143">
        <v>0</v>
      </c>
      <c r="Y255" s="140" t="s">
        <v>769</v>
      </c>
      <c r="Z255" s="423" t="s">
        <v>190</v>
      </c>
      <c r="AA255" s="465" t="s">
        <v>623</v>
      </c>
      <c r="AB255" s="423" t="s">
        <v>65</v>
      </c>
      <c r="AC255" s="423" t="s">
        <v>530</v>
      </c>
      <c r="AD255" s="71"/>
      <c r="AE255" s="155">
        <v>200000000</v>
      </c>
      <c r="AF255" s="116" t="s">
        <v>532</v>
      </c>
      <c r="AG255" s="368" t="s">
        <v>835</v>
      </c>
      <c r="AH255" s="116" t="s">
        <v>547</v>
      </c>
    </row>
    <row r="256" spans="1:34" s="82" customFormat="1" ht="60.75" customHeight="1" x14ac:dyDescent="0.25">
      <c r="A256" s="116" t="s">
        <v>892</v>
      </c>
      <c r="B256" s="162" t="s">
        <v>65</v>
      </c>
      <c r="C256" s="428" t="s">
        <v>848</v>
      </c>
      <c r="D256" s="451" t="s">
        <v>1000</v>
      </c>
      <c r="E256" s="394" t="s">
        <v>304</v>
      </c>
      <c r="F256" s="116" t="s">
        <v>978</v>
      </c>
      <c r="G256" s="116" t="s">
        <v>988</v>
      </c>
      <c r="H256" s="368" t="s">
        <v>998</v>
      </c>
      <c r="I256" s="116" t="s">
        <v>1001</v>
      </c>
      <c r="J256" s="368" t="s">
        <v>1105</v>
      </c>
      <c r="K256" s="437">
        <v>200000000</v>
      </c>
      <c r="L256" s="143" t="s">
        <v>306</v>
      </c>
      <c r="M256" s="328" t="s">
        <v>154</v>
      </c>
      <c r="N256" s="143" t="s">
        <v>1162</v>
      </c>
      <c r="O256" s="158" t="s">
        <v>1201</v>
      </c>
      <c r="P256" s="158" t="s">
        <v>1183</v>
      </c>
      <c r="Q256" s="158" t="s">
        <v>1183</v>
      </c>
      <c r="R256" s="158"/>
      <c r="S256" s="116" t="s">
        <v>166</v>
      </c>
      <c r="T256" s="143">
        <v>4</v>
      </c>
      <c r="U256" s="143">
        <v>1</v>
      </c>
      <c r="V256" s="143">
        <v>1</v>
      </c>
      <c r="W256" s="143">
        <v>1</v>
      </c>
      <c r="X256" s="143">
        <v>1</v>
      </c>
      <c r="Y256" s="140" t="s">
        <v>771</v>
      </c>
      <c r="Z256" s="423" t="s">
        <v>190</v>
      </c>
      <c r="AA256" s="465" t="s">
        <v>623</v>
      </c>
      <c r="AB256" s="423" t="s">
        <v>65</v>
      </c>
      <c r="AC256" s="423" t="s">
        <v>530</v>
      </c>
      <c r="AD256" s="14"/>
      <c r="AE256" s="777">
        <v>200000000</v>
      </c>
      <c r="AF256" s="116" t="s">
        <v>532</v>
      </c>
      <c r="AG256" s="368" t="s">
        <v>835</v>
      </c>
      <c r="AH256" s="116" t="s">
        <v>547</v>
      </c>
    </row>
    <row r="257" spans="1:34" s="82" customFormat="1" ht="68.25" customHeight="1" x14ac:dyDescent="0.25">
      <c r="A257" s="116" t="s">
        <v>892</v>
      </c>
      <c r="B257" s="162" t="s">
        <v>65</v>
      </c>
      <c r="C257" s="428" t="s">
        <v>848</v>
      </c>
      <c r="D257" s="451" t="s">
        <v>1000</v>
      </c>
      <c r="E257" s="394" t="s">
        <v>304</v>
      </c>
      <c r="F257" s="116" t="s">
        <v>978</v>
      </c>
      <c r="G257" s="116" t="s">
        <v>988</v>
      </c>
      <c r="H257" s="368" t="s">
        <v>998</v>
      </c>
      <c r="I257" s="116" t="s">
        <v>1001</v>
      </c>
      <c r="J257" s="368" t="s">
        <v>1105</v>
      </c>
      <c r="K257" s="150">
        <v>500000000</v>
      </c>
      <c r="L257" s="143" t="s">
        <v>306</v>
      </c>
      <c r="M257" s="328" t="s">
        <v>154</v>
      </c>
      <c r="N257" s="143" t="s">
        <v>1162</v>
      </c>
      <c r="O257" s="158" t="s">
        <v>1201</v>
      </c>
      <c r="P257" s="158" t="s">
        <v>1183</v>
      </c>
      <c r="Q257" s="158" t="s">
        <v>1183</v>
      </c>
      <c r="R257" s="158"/>
      <c r="S257" s="116" t="s">
        <v>166</v>
      </c>
      <c r="T257" s="143">
        <v>4</v>
      </c>
      <c r="U257" s="143">
        <v>1</v>
      </c>
      <c r="V257" s="143">
        <v>1</v>
      </c>
      <c r="W257" s="143">
        <v>1</v>
      </c>
      <c r="X257" s="143">
        <v>1</v>
      </c>
      <c r="Y257" s="140" t="s">
        <v>770</v>
      </c>
      <c r="Z257" s="423" t="s">
        <v>867</v>
      </c>
      <c r="AA257" s="450" t="s">
        <v>868</v>
      </c>
      <c r="AB257" s="423" t="s">
        <v>65</v>
      </c>
      <c r="AC257" s="423" t="s">
        <v>308</v>
      </c>
      <c r="AD257" s="423"/>
      <c r="AE257" s="150">
        <v>500000000</v>
      </c>
      <c r="AF257" s="116" t="s">
        <v>532</v>
      </c>
      <c r="AG257" s="368" t="s">
        <v>835</v>
      </c>
      <c r="AH257" s="116" t="s">
        <v>547</v>
      </c>
    </row>
    <row r="258" spans="1:34" ht="113.25" customHeight="1" x14ac:dyDescent="0.25">
      <c r="A258" s="187" t="s">
        <v>892</v>
      </c>
      <c r="B258" s="182" t="s">
        <v>65</v>
      </c>
      <c r="C258" s="104" t="s">
        <v>848</v>
      </c>
      <c r="D258" s="76" t="s">
        <v>1000</v>
      </c>
      <c r="E258" s="214" t="s">
        <v>304</v>
      </c>
      <c r="F258" s="120" t="s">
        <v>978</v>
      </c>
      <c r="G258" s="120" t="s">
        <v>988</v>
      </c>
      <c r="H258" s="111" t="s">
        <v>998</v>
      </c>
      <c r="I258" s="120" t="s">
        <v>1001</v>
      </c>
      <c r="J258" s="211" t="s">
        <v>1105</v>
      </c>
      <c r="K258" s="437">
        <v>100000000</v>
      </c>
      <c r="L258" s="420" t="s">
        <v>307</v>
      </c>
      <c r="M258" s="432" t="s">
        <v>154</v>
      </c>
      <c r="N258" s="327" t="s">
        <v>1163</v>
      </c>
      <c r="O258" s="420"/>
      <c r="P258" s="420"/>
      <c r="Q258" s="420"/>
      <c r="R258" s="420"/>
      <c r="S258" s="423" t="s">
        <v>166</v>
      </c>
      <c r="T258" s="420">
        <v>2</v>
      </c>
      <c r="U258" s="423">
        <v>0</v>
      </c>
      <c r="V258" s="423">
        <v>0</v>
      </c>
      <c r="W258" s="423">
        <v>1</v>
      </c>
      <c r="X258" s="423">
        <v>1</v>
      </c>
      <c r="Y258" s="140" t="s">
        <v>770</v>
      </c>
      <c r="Z258" s="423" t="s">
        <v>867</v>
      </c>
      <c r="AA258" s="450" t="s">
        <v>868</v>
      </c>
      <c r="AB258" s="423" t="s">
        <v>65</v>
      </c>
      <c r="AC258" s="423" t="s">
        <v>308</v>
      </c>
      <c r="AD258" s="423"/>
      <c r="AE258" s="777">
        <v>100000000</v>
      </c>
      <c r="AF258" s="423" t="s">
        <v>532</v>
      </c>
      <c r="AG258" s="423" t="s">
        <v>835</v>
      </c>
      <c r="AH258" s="423" t="s">
        <v>547</v>
      </c>
    </row>
    <row r="259" spans="1:34" ht="115.5" customHeight="1" x14ac:dyDescent="0.25">
      <c r="A259" s="187" t="s">
        <v>892</v>
      </c>
      <c r="B259" s="182" t="s">
        <v>65</v>
      </c>
      <c r="C259" s="104" t="s">
        <v>848</v>
      </c>
      <c r="D259" s="76" t="s">
        <v>1000</v>
      </c>
      <c r="E259" s="227" t="s">
        <v>309</v>
      </c>
      <c r="F259" s="102" t="s">
        <v>978</v>
      </c>
      <c r="G259" s="102" t="s">
        <v>988</v>
      </c>
      <c r="H259" s="103" t="s">
        <v>998</v>
      </c>
      <c r="I259" s="102" t="s">
        <v>1001</v>
      </c>
      <c r="J259" s="215" t="s">
        <v>1106</v>
      </c>
      <c r="K259" s="124">
        <v>30000000</v>
      </c>
      <c r="L259" s="420" t="s">
        <v>310</v>
      </c>
      <c r="M259" s="422" t="s">
        <v>156</v>
      </c>
      <c r="N259" s="143" t="s">
        <v>572</v>
      </c>
      <c r="O259" s="420"/>
      <c r="P259" s="420"/>
      <c r="Q259" s="420"/>
      <c r="R259" s="420"/>
      <c r="S259" s="423" t="s">
        <v>166</v>
      </c>
      <c r="T259" s="420">
        <v>6</v>
      </c>
      <c r="U259" s="420">
        <v>0</v>
      </c>
      <c r="V259" s="420">
        <v>0</v>
      </c>
      <c r="W259" s="420">
        <v>6</v>
      </c>
      <c r="X259" s="420">
        <v>0</v>
      </c>
      <c r="Y259" s="439" t="s">
        <v>774</v>
      </c>
      <c r="Z259" s="423" t="s">
        <v>190</v>
      </c>
      <c r="AA259" s="423" t="s">
        <v>190</v>
      </c>
      <c r="AB259" s="423" t="s">
        <v>65</v>
      </c>
      <c r="AC259" s="423" t="s">
        <v>531</v>
      </c>
      <c r="AD259" s="436"/>
      <c r="AE259" s="124">
        <v>30000000</v>
      </c>
      <c r="AF259" s="423" t="s">
        <v>532</v>
      </c>
      <c r="AG259" s="423" t="s">
        <v>835</v>
      </c>
      <c r="AH259" s="423" t="s">
        <v>533</v>
      </c>
    </row>
    <row r="260" spans="1:34" s="82" customFormat="1" ht="78.75" customHeight="1" x14ac:dyDescent="0.25">
      <c r="A260" s="368" t="s">
        <v>892</v>
      </c>
      <c r="B260" s="428" t="s">
        <v>65</v>
      </c>
      <c r="C260" s="428" t="s">
        <v>848</v>
      </c>
      <c r="D260" s="447" t="s">
        <v>1002</v>
      </c>
      <c r="E260" s="394" t="s">
        <v>311</v>
      </c>
      <c r="F260" s="378" t="s">
        <v>978</v>
      </c>
      <c r="G260" s="378" t="s">
        <v>1003</v>
      </c>
      <c r="H260" s="158" t="s">
        <v>1004</v>
      </c>
      <c r="I260" s="378" t="s">
        <v>1005</v>
      </c>
      <c r="J260" s="158" t="s">
        <v>1107</v>
      </c>
      <c r="K260" s="153">
        <v>1251234352</v>
      </c>
      <c r="L260" s="143" t="s">
        <v>775</v>
      </c>
      <c r="M260" s="328" t="s">
        <v>156</v>
      </c>
      <c r="N260" s="143" t="s">
        <v>584</v>
      </c>
      <c r="O260" s="158"/>
      <c r="P260" s="158"/>
      <c r="Q260" s="158"/>
      <c r="R260" s="158"/>
      <c r="S260" s="116" t="s">
        <v>436</v>
      </c>
      <c r="T260" s="315">
        <v>59</v>
      </c>
      <c r="U260" s="315">
        <v>1</v>
      </c>
      <c r="V260" s="315">
        <v>14</v>
      </c>
      <c r="W260" s="315">
        <v>22</v>
      </c>
      <c r="X260" s="315">
        <v>22</v>
      </c>
      <c r="Y260" s="482" t="s">
        <v>777</v>
      </c>
      <c r="Z260" s="423" t="s">
        <v>198</v>
      </c>
      <c r="AA260" s="439" t="s">
        <v>776</v>
      </c>
      <c r="AB260" s="423" t="s">
        <v>65</v>
      </c>
      <c r="AC260" s="423"/>
      <c r="AD260" s="423" t="s">
        <v>313</v>
      </c>
      <c r="AE260" s="153">
        <v>1251234352</v>
      </c>
      <c r="AF260" s="116" t="s">
        <v>534</v>
      </c>
      <c r="AG260" s="368" t="s">
        <v>835</v>
      </c>
      <c r="AH260" s="116" t="s">
        <v>535</v>
      </c>
    </row>
    <row r="261" spans="1:34" s="82" customFormat="1" ht="90.75" customHeight="1" x14ac:dyDescent="0.25">
      <c r="A261" s="368" t="s">
        <v>892</v>
      </c>
      <c r="B261" s="428" t="s">
        <v>65</v>
      </c>
      <c r="C261" s="428" t="s">
        <v>848</v>
      </c>
      <c r="D261" s="447" t="s">
        <v>1002</v>
      </c>
      <c r="E261" s="394" t="s">
        <v>311</v>
      </c>
      <c r="F261" s="378" t="s">
        <v>978</v>
      </c>
      <c r="G261" s="378" t="s">
        <v>1003</v>
      </c>
      <c r="H261" s="158" t="s">
        <v>1004</v>
      </c>
      <c r="I261" s="378" t="s">
        <v>1005</v>
      </c>
      <c r="J261" s="158" t="s">
        <v>1107</v>
      </c>
      <c r="K261" s="153">
        <v>80000000</v>
      </c>
      <c r="L261" s="143" t="s">
        <v>775</v>
      </c>
      <c r="M261" s="328" t="s">
        <v>156</v>
      </c>
      <c r="N261" s="143" t="s">
        <v>584</v>
      </c>
      <c r="O261" s="158"/>
      <c r="P261" s="158"/>
      <c r="Q261" s="158"/>
      <c r="R261" s="158"/>
      <c r="S261" s="116" t="s">
        <v>436</v>
      </c>
      <c r="T261" s="315">
        <v>59</v>
      </c>
      <c r="U261" s="315">
        <v>1</v>
      </c>
      <c r="V261" s="315">
        <v>14</v>
      </c>
      <c r="W261" s="315">
        <v>22</v>
      </c>
      <c r="X261" s="315">
        <v>22</v>
      </c>
      <c r="Y261" s="140" t="s">
        <v>778</v>
      </c>
      <c r="Z261" s="423" t="s">
        <v>190</v>
      </c>
      <c r="AA261" s="423" t="s">
        <v>190</v>
      </c>
      <c r="AB261" s="423" t="s">
        <v>65</v>
      </c>
      <c r="AC261" s="113"/>
      <c r="AD261" s="423" t="s">
        <v>313</v>
      </c>
      <c r="AE261" s="153">
        <v>80000000</v>
      </c>
      <c r="AF261" s="116" t="s">
        <v>534</v>
      </c>
      <c r="AG261" s="368" t="s">
        <v>835</v>
      </c>
      <c r="AH261" s="116" t="s">
        <v>535</v>
      </c>
    </row>
    <row r="262" spans="1:34" ht="117.75" customHeight="1" x14ac:dyDescent="0.25">
      <c r="A262" s="187" t="s">
        <v>892</v>
      </c>
      <c r="B262" s="182" t="s">
        <v>65</v>
      </c>
      <c r="C262" s="104" t="s">
        <v>848</v>
      </c>
      <c r="D262" s="238" t="s">
        <v>1002</v>
      </c>
      <c r="E262" s="214" t="s">
        <v>311</v>
      </c>
      <c r="F262" s="200" t="s">
        <v>978</v>
      </c>
      <c r="G262" s="198" t="s">
        <v>1003</v>
      </c>
      <c r="H262" s="103" t="s">
        <v>1004</v>
      </c>
      <c r="I262" s="102" t="s">
        <v>1005</v>
      </c>
      <c r="J262" s="215" t="s">
        <v>1107</v>
      </c>
      <c r="K262" s="437">
        <v>120000000</v>
      </c>
      <c r="L262" s="420" t="s">
        <v>312</v>
      </c>
      <c r="M262" s="422" t="s">
        <v>156</v>
      </c>
      <c r="N262" s="420" t="s">
        <v>584</v>
      </c>
      <c r="O262" s="420"/>
      <c r="P262" s="420"/>
      <c r="Q262" s="420"/>
      <c r="R262" s="420"/>
      <c r="S262" s="423" t="s">
        <v>436</v>
      </c>
      <c r="T262" s="423">
        <v>16</v>
      </c>
      <c r="U262" s="420">
        <v>2</v>
      </c>
      <c r="V262" s="420">
        <v>4</v>
      </c>
      <c r="W262" s="420">
        <v>4</v>
      </c>
      <c r="X262" s="420">
        <v>6</v>
      </c>
      <c r="Y262" s="140" t="s">
        <v>779</v>
      </c>
      <c r="Z262" s="423" t="s">
        <v>190</v>
      </c>
      <c r="AA262" s="439" t="s">
        <v>623</v>
      </c>
      <c r="AB262" s="423" t="s">
        <v>65</v>
      </c>
      <c r="AC262" s="113"/>
      <c r="AD262" s="423" t="s">
        <v>313</v>
      </c>
      <c r="AE262" s="777">
        <v>120000000</v>
      </c>
      <c r="AF262" s="423" t="s">
        <v>534</v>
      </c>
      <c r="AG262" s="423" t="s">
        <v>835</v>
      </c>
      <c r="AH262" s="423" t="s">
        <v>535</v>
      </c>
    </row>
    <row r="263" spans="1:34" s="82" customFormat="1" ht="56.25" customHeight="1" x14ac:dyDescent="0.25">
      <c r="A263" s="368" t="s">
        <v>892</v>
      </c>
      <c r="B263" s="428" t="s">
        <v>65</v>
      </c>
      <c r="C263" s="428" t="s">
        <v>848</v>
      </c>
      <c r="D263" s="447" t="s">
        <v>1002</v>
      </c>
      <c r="E263" s="394" t="s">
        <v>311</v>
      </c>
      <c r="F263" s="378" t="s">
        <v>978</v>
      </c>
      <c r="G263" s="378" t="s">
        <v>1003</v>
      </c>
      <c r="H263" s="158" t="s">
        <v>1004</v>
      </c>
      <c r="I263" s="378" t="s">
        <v>1005</v>
      </c>
      <c r="J263" s="158" t="s">
        <v>1108</v>
      </c>
      <c r="K263" s="154">
        <v>1900000000</v>
      </c>
      <c r="L263" s="143" t="s">
        <v>536</v>
      </c>
      <c r="M263" s="328" t="s">
        <v>156</v>
      </c>
      <c r="N263" s="143" t="s">
        <v>637</v>
      </c>
      <c r="O263" s="158"/>
      <c r="P263" s="158"/>
      <c r="Q263" s="158"/>
      <c r="R263" s="158"/>
      <c r="S263" s="116" t="s">
        <v>166</v>
      </c>
      <c r="T263" s="456">
        <v>1</v>
      </c>
      <c r="U263" s="116">
        <v>1</v>
      </c>
      <c r="V263" s="116">
        <v>0</v>
      </c>
      <c r="W263" s="116">
        <v>0</v>
      </c>
      <c r="X263" s="116">
        <v>0</v>
      </c>
      <c r="Y263" s="140" t="s">
        <v>780</v>
      </c>
      <c r="Z263" s="423" t="s">
        <v>190</v>
      </c>
      <c r="AA263" s="465" t="s">
        <v>623</v>
      </c>
      <c r="AB263" s="423" t="s">
        <v>65</v>
      </c>
      <c r="AC263" s="113"/>
      <c r="AD263" s="423" t="s">
        <v>313</v>
      </c>
      <c r="AE263" s="154">
        <v>1900000000</v>
      </c>
      <c r="AF263" s="116" t="s">
        <v>534</v>
      </c>
      <c r="AG263" s="368" t="s">
        <v>835</v>
      </c>
      <c r="AH263" s="116" t="s">
        <v>535</v>
      </c>
    </row>
    <row r="264" spans="1:34" s="82" customFormat="1" ht="111" customHeight="1" x14ac:dyDescent="0.25">
      <c r="A264" s="368" t="s">
        <v>892</v>
      </c>
      <c r="B264" s="428" t="s">
        <v>65</v>
      </c>
      <c r="C264" s="428" t="s">
        <v>848</v>
      </c>
      <c r="D264" s="447" t="s">
        <v>1002</v>
      </c>
      <c r="E264" s="394" t="s">
        <v>311</v>
      </c>
      <c r="F264" s="378" t="s">
        <v>978</v>
      </c>
      <c r="G264" s="378" t="s">
        <v>1003</v>
      </c>
      <c r="H264" s="158" t="s">
        <v>1004</v>
      </c>
      <c r="I264" s="378" t="s">
        <v>1005</v>
      </c>
      <c r="J264" s="158" t="s">
        <v>1108</v>
      </c>
      <c r="K264" s="437">
        <v>416149000</v>
      </c>
      <c r="L264" s="143" t="s">
        <v>536</v>
      </c>
      <c r="M264" s="328" t="s">
        <v>156</v>
      </c>
      <c r="N264" s="143" t="s">
        <v>637</v>
      </c>
      <c r="O264" s="158"/>
      <c r="P264" s="158"/>
      <c r="Q264" s="158"/>
      <c r="R264" s="158"/>
      <c r="S264" s="116" t="s">
        <v>166</v>
      </c>
      <c r="T264" s="456">
        <v>1</v>
      </c>
      <c r="U264" s="116">
        <v>1</v>
      </c>
      <c r="V264" s="116">
        <v>0</v>
      </c>
      <c r="W264" s="116">
        <v>0</v>
      </c>
      <c r="X264" s="116">
        <v>0</v>
      </c>
      <c r="Y264" s="140" t="s">
        <v>781</v>
      </c>
      <c r="Z264" s="423" t="s">
        <v>190</v>
      </c>
      <c r="AA264" s="423" t="s">
        <v>190</v>
      </c>
      <c r="AB264" s="423" t="s">
        <v>65</v>
      </c>
      <c r="AC264" s="115"/>
      <c r="AD264" s="423" t="s">
        <v>313</v>
      </c>
      <c r="AE264" s="777">
        <v>416149000</v>
      </c>
      <c r="AF264" s="116" t="s">
        <v>534</v>
      </c>
      <c r="AG264" s="368" t="s">
        <v>835</v>
      </c>
      <c r="AH264" s="116" t="s">
        <v>535</v>
      </c>
    </row>
    <row r="265" spans="1:34" ht="84.75" customHeight="1" x14ac:dyDescent="0.25">
      <c r="A265" s="187" t="s">
        <v>892</v>
      </c>
      <c r="B265" s="182" t="s">
        <v>65</v>
      </c>
      <c r="C265" s="104" t="s">
        <v>848</v>
      </c>
      <c r="D265" s="238" t="s">
        <v>1002</v>
      </c>
      <c r="E265" s="223" t="s">
        <v>314</v>
      </c>
      <c r="F265" s="102" t="s">
        <v>978</v>
      </c>
      <c r="G265" s="102" t="s">
        <v>1003</v>
      </c>
      <c r="H265" s="103" t="s">
        <v>1004</v>
      </c>
      <c r="I265" s="102" t="s">
        <v>1005</v>
      </c>
      <c r="J265" s="158" t="s">
        <v>1108</v>
      </c>
      <c r="K265" s="437">
        <v>80000000</v>
      </c>
      <c r="L265" s="420" t="s">
        <v>318</v>
      </c>
      <c r="M265" s="422" t="s">
        <v>156</v>
      </c>
      <c r="N265" s="420" t="s">
        <v>637</v>
      </c>
      <c r="O265" s="420"/>
      <c r="P265" s="420"/>
      <c r="Q265" s="420"/>
      <c r="R265" s="420"/>
      <c r="S265" s="423" t="s">
        <v>436</v>
      </c>
      <c r="T265" s="434">
        <v>1</v>
      </c>
      <c r="U265" s="423">
        <v>0</v>
      </c>
      <c r="V265" s="423">
        <v>0</v>
      </c>
      <c r="W265" s="423">
        <v>1</v>
      </c>
      <c r="X265" s="423">
        <v>0</v>
      </c>
      <c r="Y265" s="482" t="s">
        <v>782</v>
      </c>
      <c r="Z265" s="423" t="s">
        <v>190</v>
      </c>
      <c r="AA265" s="423" t="s">
        <v>190</v>
      </c>
      <c r="AB265" s="423" t="s">
        <v>65</v>
      </c>
      <c r="AC265" s="115"/>
      <c r="AD265" s="423" t="s">
        <v>323</v>
      </c>
      <c r="AE265" s="777">
        <v>80000000</v>
      </c>
      <c r="AF265" s="423" t="s">
        <v>534</v>
      </c>
      <c r="AG265" s="423" t="s">
        <v>835</v>
      </c>
      <c r="AH265" s="423" t="s">
        <v>537</v>
      </c>
    </row>
    <row r="266" spans="1:34" ht="120.75" customHeight="1" x14ac:dyDescent="0.25">
      <c r="A266" s="187" t="s">
        <v>892</v>
      </c>
      <c r="B266" s="182" t="s">
        <v>65</v>
      </c>
      <c r="C266" s="104" t="s">
        <v>848</v>
      </c>
      <c r="D266" s="238" t="s">
        <v>1002</v>
      </c>
      <c r="E266" s="265" t="s">
        <v>314</v>
      </c>
      <c r="F266" s="102" t="s">
        <v>978</v>
      </c>
      <c r="G266" s="102" t="s">
        <v>1003</v>
      </c>
      <c r="H266" s="103" t="s">
        <v>1004</v>
      </c>
      <c r="I266" s="102" t="s">
        <v>1005</v>
      </c>
      <c r="J266" s="158" t="s">
        <v>1108</v>
      </c>
      <c r="K266" s="479">
        <v>200000000</v>
      </c>
      <c r="L266" s="420" t="s">
        <v>783</v>
      </c>
      <c r="M266" s="422" t="s">
        <v>156</v>
      </c>
      <c r="N266" s="420" t="s">
        <v>637</v>
      </c>
      <c r="O266" s="420"/>
      <c r="P266" s="420"/>
      <c r="Q266" s="420"/>
      <c r="R266" s="420"/>
      <c r="S266" s="423" t="s">
        <v>436</v>
      </c>
      <c r="T266" s="434">
        <v>1</v>
      </c>
      <c r="U266" s="423">
        <v>0</v>
      </c>
      <c r="V266" s="423">
        <v>0</v>
      </c>
      <c r="W266" s="423">
        <v>1</v>
      </c>
      <c r="X266" s="423">
        <v>0</v>
      </c>
      <c r="Y266" s="140" t="s">
        <v>784</v>
      </c>
      <c r="Z266" s="423" t="s">
        <v>190</v>
      </c>
      <c r="AA266" s="423" t="s">
        <v>190</v>
      </c>
      <c r="AB266" s="423" t="s">
        <v>65</v>
      </c>
      <c r="AC266" s="115"/>
      <c r="AD266" s="423" t="s">
        <v>323</v>
      </c>
      <c r="AE266" s="479">
        <v>200000000</v>
      </c>
      <c r="AF266" s="423" t="s">
        <v>534</v>
      </c>
      <c r="AG266" s="423" t="s">
        <v>835</v>
      </c>
      <c r="AH266" s="423" t="s">
        <v>537</v>
      </c>
    </row>
    <row r="267" spans="1:34" s="82" customFormat="1" ht="72" customHeight="1" x14ac:dyDescent="0.25">
      <c r="A267" s="368" t="s">
        <v>892</v>
      </c>
      <c r="B267" s="428" t="s">
        <v>65</v>
      </c>
      <c r="C267" s="428" t="s">
        <v>848</v>
      </c>
      <c r="D267" s="447" t="s">
        <v>1002</v>
      </c>
      <c r="E267" s="397" t="s">
        <v>314</v>
      </c>
      <c r="F267" s="378" t="s">
        <v>978</v>
      </c>
      <c r="G267" s="378" t="s">
        <v>1003</v>
      </c>
      <c r="H267" s="158" t="s">
        <v>1004</v>
      </c>
      <c r="I267" s="378" t="s">
        <v>1005</v>
      </c>
      <c r="J267" s="158" t="s">
        <v>1108</v>
      </c>
      <c r="K267" s="749">
        <v>13271722575</v>
      </c>
      <c r="L267" s="143" t="s">
        <v>319</v>
      </c>
      <c r="M267" s="328" t="s">
        <v>156</v>
      </c>
      <c r="N267" s="143" t="s">
        <v>637</v>
      </c>
      <c r="O267" s="158"/>
      <c r="P267" s="158"/>
      <c r="Q267" s="158"/>
      <c r="R267" s="158"/>
      <c r="S267" s="116" t="s">
        <v>436</v>
      </c>
      <c r="T267" s="434">
        <v>1</v>
      </c>
      <c r="U267" s="116">
        <v>0</v>
      </c>
      <c r="V267" s="116">
        <v>0</v>
      </c>
      <c r="W267" s="116">
        <v>0</v>
      </c>
      <c r="X267" s="116">
        <v>1</v>
      </c>
      <c r="Y267" s="140" t="s">
        <v>785</v>
      </c>
      <c r="Z267" s="423" t="s">
        <v>198</v>
      </c>
      <c r="AA267" s="465" t="s">
        <v>319</v>
      </c>
      <c r="AB267" s="423" t="s">
        <v>65</v>
      </c>
      <c r="AC267" s="115"/>
      <c r="AD267" s="423" t="s">
        <v>499</v>
      </c>
      <c r="AE267" s="749">
        <v>13271722575</v>
      </c>
      <c r="AF267" s="116" t="s">
        <v>534</v>
      </c>
      <c r="AG267" s="368" t="s">
        <v>835</v>
      </c>
      <c r="AH267" s="116" t="s">
        <v>537</v>
      </c>
    </row>
    <row r="268" spans="1:34" s="82" customFormat="1" ht="108.75" customHeight="1" x14ac:dyDescent="0.25">
      <c r="A268" s="368" t="s">
        <v>892</v>
      </c>
      <c r="B268" s="428" t="s">
        <v>65</v>
      </c>
      <c r="C268" s="428" t="s">
        <v>848</v>
      </c>
      <c r="D268" s="447" t="s">
        <v>1002</v>
      </c>
      <c r="E268" s="397" t="s">
        <v>314</v>
      </c>
      <c r="F268" s="378" t="s">
        <v>978</v>
      </c>
      <c r="G268" s="378" t="s">
        <v>1003</v>
      </c>
      <c r="H268" s="158" t="s">
        <v>1004</v>
      </c>
      <c r="I268" s="378" t="s">
        <v>1005</v>
      </c>
      <c r="J268" s="158" t="s">
        <v>1108</v>
      </c>
      <c r="K268" s="154">
        <v>4461120000</v>
      </c>
      <c r="L268" s="143" t="s">
        <v>319</v>
      </c>
      <c r="M268" s="328" t="s">
        <v>156</v>
      </c>
      <c r="N268" s="143" t="s">
        <v>637</v>
      </c>
      <c r="O268" s="158"/>
      <c r="P268" s="158"/>
      <c r="Q268" s="158"/>
      <c r="R268" s="158"/>
      <c r="S268" s="116" t="s">
        <v>436</v>
      </c>
      <c r="T268" s="434">
        <v>1</v>
      </c>
      <c r="U268" s="116">
        <v>0</v>
      </c>
      <c r="V268" s="116">
        <v>0</v>
      </c>
      <c r="W268" s="116">
        <v>0</v>
      </c>
      <c r="X268" s="116">
        <v>1</v>
      </c>
      <c r="Y268" s="140" t="s">
        <v>786</v>
      </c>
      <c r="Z268" s="423" t="s">
        <v>198</v>
      </c>
      <c r="AA268" s="465" t="s">
        <v>319</v>
      </c>
      <c r="AB268" s="423" t="s">
        <v>65</v>
      </c>
      <c r="AC268" s="113"/>
      <c r="AD268" s="423" t="s">
        <v>323</v>
      </c>
      <c r="AE268" s="154">
        <v>4461120000</v>
      </c>
      <c r="AF268" s="116" t="s">
        <v>534</v>
      </c>
      <c r="AG268" s="368" t="s">
        <v>835</v>
      </c>
      <c r="AH268" s="116" t="s">
        <v>537</v>
      </c>
    </row>
    <row r="269" spans="1:34" s="82" customFormat="1" ht="84" customHeight="1" x14ac:dyDescent="0.25">
      <c r="A269" s="368" t="s">
        <v>892</v>
      </c>
      <c r="B269" s="428" t="s">
        <v>65</v>
      </c>
      <c r="C269" s="428" t="s">
        <v>848</v>
      </c>
      <c r="D269" s="447" t="s">
        <v>1002</v>
      </c>
      <c r="E269" s="397" t="s">
        <v>314</v>
      </c>
      <c r="F269" s="378" t="s">
        <v>978</v>
      </c>
      <c r="G269" s="378" t="s">
        <v>1003</v>
      </c>
      <c r="H269" s="158" t="s">
        <v>1004</v>
      </c>
      <c r="I269" s="378" t="s">
        <v>1005</v>
      </c>
      <c r="J269" s="158" t="s">
        <v>1108</v>
      </c>
      <c r="K269" s="750">
        <f>5000000000</f>
        <v>5000000000</v>
      </c>
      <c r="L269" s="143" t="s">
        <v>320</v>
      </c>
      <c r="M269" s="328" t="s">
        <v>156</v>
      </c>
      <c r="N269" s="143" t="s">
        <v>637</v>
      </c>
      <c r="O269" s="158"/>
      <c r="P269" s="158"/>
      <c r="Q269" s="158"/>
      <c r="R269" s="158"/>
      <c r="S269" s="116" t="s">
        <v>436</v>
      </c>
      <c r="T269" s="434">
        <v>1</v>
      </c>
      <c r="U269" s="116">
        <v>0</v>
      </c>
      <c r="V269" s="116">
        <v>0</v>
      </c>
      <c r="W269" s="116">
        <v>1</v>
      </c>
      <c r="X269" s="116">
        <v>0</v>
      </c>
      <c r="Y269" s="140" t="s">
        <v>787</v>
      </c>
      <c r="Z269" s="423" t="s">
        <v>190</v>
      </c>
      <c r="AA269" s="439" t="s">
        <v>623</v>
      </c>
      <c r="AB269" s="423" t="s">
        <v>65</v>
      </c>
      <c r="AC269" s="423" t="s">
        <v>530</v>
      </c>
      <c r="AD269" s="14"/>
      <c r="AE269" s="750">
        <f>5000000000</f>
        <v>5000000000</v>
      </c>
      <c r="AF269" s="116" t="s">
        <v>534</v>
      </c>
      <c r="AG269" s="368" t="s">
        <v>835</v>
      </c>
      <c r="AH269" s="116" t="s">
        <v>537</v>
      </c>
    </row>
    <row r="270" spans="1:34" s="82" customFormat="1" ht="63" customHeight="1" x14ac:dyDescent="0.25">
      <c r="A270" s="368" t="s">
        <v>892</v>
      </c>
      <c r="B270" s="428" t="s">
        <v>65</v>
      </c>
      <c r="C270" s="428" t="s">
        <v>848</v>
      </c>
      <c r="D270" s="447" t="s">
        <v>1002</v>
      </c>
      <c r="E270" s="397" t="s">
        <v>314</v>
      </c>
      <c r="F270" s="378" t="s">
        <v>978</v>
      </c>
      <c r="G270" s="378" t="s">
        <v>1003</v>
      </c>
      <c r="H270" s="158" t="s">
        <v>1004</v>
      </c>
      <c r="I270" s="378" t="s">
        <v>1005</v>
      </c>
      <c r="J270" s="158" t="s">
        <v>1108</v>
      </c>
      <c r="K270" s="750">
        <f>50000000+386425716</f>
        <v>436425716</v>
      </c>
      <c r="L270" s="143" t="s">
        <v>320</v>
      </c>
      <c r="M270" s="328" t="s">
        <v>156</v>
      </c>
      <c r="N270" s="143" t="s">
        <v>637</v>
      </c>
      <c r="O270" s="158"/>
      <c r="P270" s="158"/>
      <c r="Q270" s="158"/>
      <c r="R270" s="158"/>
      <c r="S270" s="116" t="s">
        <v>436</v>
      </c>
      <c r="T270" s="434">
        <v>1</v>
      </c>
      <c r="U270" s="116">
        <v>0</v>
      </c>
      <c r="V270" s="116">
        <v>0</v>
      </c>
      <c r="W270" s="116">
        <v>1</v>
      </c>
      <c r="X270" s="116">
        <v>0</v>
      </c>
      <c r="Y270" s="140" t="s">
        <v>788</v>
      </c>
      <c r="Z270" s="423" t="s">
        <v>198</v>
      </c>
      <c r="AA270" s="450" t="s">
        <v>750</v>
      </c>
      <c r="AB270" s="423" t="s">
        <v>65</v>
      </c>
      <c r="AC270" s="423" t="s">
        <v>530</v>
      </c>
      <c r="AD270" s="71"/>
      <c r="AE270" s="750">
        <f>50000000+386425716</f>
        <v>436425716</v>
      </c>
      <c r="AF270" s="116" t="s">
        <v>534</v>
      </c>
      <c r="AG270" s="368" t="s">
        <v>835</v>
      </c>
      <c r="AH270" s="116" t="s">
        <v>537</v>
      </c>
    </row>
    <row r="271" spans="1:34" s="82" customFormat="1" ht="63" customHeight="1" x14ac:dyDescent="0.25">
      <c r="A271" s="368" t="s">
        <v>892</v>
      </c>
      <c r="B271" s="428" t="s">
        <v>65</v>
      </c>
      <c r="C271" s="428" t="s">
        <v>848</v>
      </c>
      <c r="D271" s="447" t="s">
        <v>1002</v>
      </c>
      <c r="E271" s="397" t="s">
        <v>314</v>
      </c>
      <c r="F271" s="378" t="s">
        <v>978</v>
      </c>
      <c r="G271" s="378" t="s">
        <v>1003</v>
      </c>
      <c r="H271" s="158" t="s">
        <v>1004</v>
      </c>
      <c r="I271" s="378" t="s">
        <v>1005</v>
      </c>
      <c r="J271" s="158" t="s">
        <v>1108</v>
      </c>
      <c r="K271" s="154">
        <v>5669577000</v>
      </c>
      <c r="L271" s="143" t="s">
        <v>321</v>
      </c>
      <c r="M271" s="328" t="s">
        <v>156</v>
      </c>
      <c r="N271" s="143" t="s">
        <v>637</v>
      </c>
      <c r="O271" s="158"/>
      <c r="P271" s="158"/>
      <c r="Q271" s="158"/>
      <c r="R271" s="158"/>
      <c r="S271" s="116" t="s">
        <v>436</v>
      </c>
      <c r="T271" s="434">
        <v>1</v>
      </c>
      <c r="U271" s="116">
        <v>1</v>
      </c>
      <c r="V271" s="116">
        <v>0</v>
      </c>
      <c r="W271" s="116">
        <v>0</v>
      </c>
      <c r="X271" s="116">
        <v>0</v>
      </c>
      <c r="Y271" s="140" t="s">
        <v>789</v>
      </c>
      <c r="Z271" s="423" t="s">
        <v>190</v>
      </c>
      <c r="AA271" s="465" t="s">
        <v>791</v>
      </c>
      <c r="AB271" s="423" t="s">
        <v>65</v>
      </c>
      <c r="AC271" s="423" t="s">
        <v>531</v>
      </c>
      <c r="AD271" s="14"/>
      <c r="AE271" s="154">
        <v>5669577000</v>
      </c>
      <c r="AF271" s="116" t="s">
        <v>534</v>
      </c>
      <c r="AG271" s="368" t="s">
        <v>835</v>
      </c>
      <c r="AH271" s="116" t="s">
        <v>537</v>
      </c>
    </row>
    <row r="272" spans="1:34" s="82" customFormat="1" ht="63" customHeight="1" x14ac:dyDescent="0.25">
      <c r="A272" s="368" t="s">
        <v>892</v>
      </c>
      <c r="B272" s="428" t="s">
        <v>65</v>
      </c>
      <c r="C272" s="428" t="s">
        <v>848</v>
      </c>
      <c r="D272" s="447" t="s">
        <v>1002</v>
      </c>
      <c r="E272" s="397" t="s">
        <v>314</v>
      </c>
      <c r="F272" s="378" t="s">
        <v>978</v>
      </c>
      <c r="G272" s="378" t="s">
        <v>1003</v>
      </c>
      <c r="H272" s="158" t="s">
        <v>1004</v>
      </c>
      <c r="I272" s="378" t="s">
        <v>1005</v>
      </c>
      <c r="J272" s="158" t="s">
        <v>1108</v>
      </c>
      <c r="K272" s="154">
        <v>113163161</v>
      </c>
      <c r="L272" s="143" t="s">
        <v>321</v>
      </c>
      <c r="M272" s="328" t="s">
        <v>156</v>
      </c>
      <c r="N272" s="143" t="s">
        <v>637</v>
      </c>
      <c r="O272" s="158"/>
      <c r="P272" s="158"/>
      <c r="Q272" s="158"/>
      <c r="R272" s="158"/>
      <c r="S272" s="116" t="s">
        <v>436</v>
      </c>
      <c r="T272" s="434">
        <v>1</v>
      </c>
      <c r="U272" s="116">
        <v>1</v>
      </c>
      <c r="V272" s="116">
        <v>0</v>
      </c>
      <c r="W272" s="116">
        <v>0</v>
      </c>
      <c r="X272" s="116">
        <v>0</v>
      </c>
      <c r="Y272" s="140" t="s">
        <v>792</v>
      </c>
      <c r="Z272" s="423" t="s">
        <v>190</v>
      </c>
      <c r="AA272" s="465" t="s">
        <v>791</v>
      </c>
      <c r="AB272" s="423" t="s">
        <v>65</v>
      </c>
      <c r="AC272" s="423" t="s">
        <v>531</v>
      </c>
      <c r="AD272" s="14"/>
      <c r="AE272" s="154">
        <v>113163161</v>
      </c>
      <c r="AF272" s="116" t="s">
        <v>534</v>
      </c>
      <c r="AG272" s="368" t="s">
        <v>835</v>
      </c>
      <c r="AH272" s="116" t="s">
        <v>537</v>
      </c>
    </row>
    <row r="273" spans="1:34" s="82" customFormat="1" ht="42.75" customHeight="1" x14ac:dyDescent="0.25">
      <c r="A273" s="368" t="s">
        <v>892</v>
      </c>
      <c r="B273" s="428" t="s">
        <v>65</v>
      </c>
      <c r="C273" s="428" t="s">
        <v>848</v>
      </c>
      <c r="D273" s="447" t="s">
        <v>1002</v>
      </c>
      <c r="E273" s="397" t="s">
        <v>314</v>
      </c>
      <c r="F273" s="378" t="s">
        <v>978</v>
      </c>
      <c r="G273" s="378" t="s">
        <v>1003</v>
      </c>
      <c r="H273" s="158" t="s">
        <v>1004</v>
      </c>
      <c r="I273" s="378" t="s">
        <v>1005</v>
      </c>
      <c r="J273" s="158" t="s">
        <v>1108</v>
      </c>
      <c r="K273" s="154">
        <v>2929402522</v>
      </c>
      <c r="L273" s="143" t="s">
        <v>321</v>
      </c>
      <c r="M273" s="328" t="s">
        <v>156</v>
      </c>
      <c r="N273" s="143" t="s">
        <v>637</v>
      </c>
      <c r="O273" s="158"/>
      <c r="P273" s="158"/>
      <c r="Q273" s="158"/>
      <c r="R273" s="158"/>
      <c r="S273" s="116" t="s">
        <v>436</v>
      </c>
      <c r="T273" s="434">
        <v>1</v>
      </c>
      <c r="U273" s="116">
        <v>1</v>
      </c>
      <c r="V273" s="116">
        <v>0</v>
      </c>
      <c r="W273" s="116">
        <v>0</v>
      </c>
      <c r="X273" s="116">
        <v>0</v>
      </c>
      <c r="Y273" s="423" t="s">
        <v>790</v>
      </c>
      <c r="Z273" s="423" t="s">
        <v>190</v>
      </c>
      <c r="AA273" s="465" t="s">
        <v>710</v>
      </c>
      <c r="AB273" s="423" t="s">
        <v>65</v>
      </c>
      <c r="AC273" s="423" t="s">
        <v>531</v>
      </c>
      <c r="AD273" s="71"/>
      <c r="AE273" s="154">
        <v>2929402522</v>
      </c>
      <c r="AF273" s="116" t="s">
        <v>534</v>
      </c>
      <c r="AG273" s="368" t="s">
        <v>835</v>
      </c>
      <c r="AH273" s="116" t="s">
        <v>537</v>
      </c>
    </row>
    <row r="274" spans="1:34" s="82" customFormat="1" ht="67.5" customHeight="1" x14ac:dyDescent="0.25">
      <c r="A274" s="187" t="s">
        <v>892</v>
      </c>
      <c r="B274" s="182" t="s">
        <v>65</v>
      </c>
      <c r="C274" s="104" t="s">
        <v>848</v>
      </c>
      <c r="D274" s="238" t="s">
        <v>1002</v>
      </c>
      <c r="E274" s="131" t="s">
        <v>314</v>
      </c>
      <c r="F274" s="102" t="s">
        <v>978</v>
      </c>
      <c r="G274" s="102" t="s">
        <v>1003</v>
      </c>
      <c r="H274" s="103" t="s">
        <v>1004</v>
      </c>
      <c r="I274" s="102" t="s">
        <v>1005</v>
      </c>
      <c r="J274" s="215" t="s">
        <v>1108</v>
      </c>
      <c r="K274" s="149">
        <v>194358280</v>
      </c>
      <c r="L274" s="420" t="s">
        <v>322</v>
      </c>
      <c r="M274" s="422" t="s">
        <v>156</v>
      </c>
      <c r="N274" s="420" t="s">
        <v>637</v>
      </c>
      <c r="O274" s="420"/>
      <c r="P274" s="420"/>
      <c r="Q274" s="420"/>
      <c r="R274" s="420"/>
      <c r="S274" s="423" t="s">
        <v>166</v>
      </c>
      <c r="T274" s="423">
        <v>1</v>
      </c>
      <c r="U274" s="423">
        <v>1</v>
      </c>
      <c r="V274" s="423">
        <v>0</v>
      </c>
      <c r="W274" s="423">
        <v>0</v>
      </c>
      <c r="X274" s="423">
        <v>0</v>
      </c>
      <c r="Y274" s="140" t="s">
        <v>793</v>
      </c>
      <c r="Z274" s="423" t="s">
        <v>190</v>
      </c>
      <c r="AA274" s="423" t="s">
        <v>190</v>
      </c>
      <c r="AB274" s="423" t="s">
        <v>65</v>
      </c>
      <c r="AC274" s="423" t="s">
        <v>531</v>
      </c>
      <c r="AE274" s="149">
        <v>194358280</v>
      </c>
      <c r="AF274" s="423" t="s">
        <v>534</v>
      </c>
      <c r="AG274" s="423" t="s">
        <v>835</v>
      </c>
      <c r="AH274" s="423" t="s">
        <v>537</v>
      </c>
    </row>
    <row r="275" spans="1:34" s="82" customFormat="1" ht="78" customHeight="1" x14ac:dyDescent="0.25">
      <c r="A275" s="116" t="s">
        <v>894</v>
      </c>
      <c r="B275" s="428" t="s">
        <v>237</v>
      </c>
      <c r="C275" s="428" t="s">
        <v>852</v>
      </c>
      <c r="D275" s="451" t="s">
        <v>959</v>
      </c>
      <c r="E275" s="394" t="s">
        <v>324</v>
      </c>
      <c r="F275" s="160" t="s">
        <v>960</v>
      </c>
      <c r="G275" s="160" t="s">
        <v>961</v>
      </c>
      <c r="H275" s="158" t="s">
        <v>963</v>
      </c>
      <c r="I275" s="160" t="s">
        <v>964</v>
      </c>
      <c r="J275" s="158" t="s">
        <v>1109</v>
      </c>
      <c r="K275" s="437">
        <v>329268000</v>
      </c>
      <c r="L275" s="143" t="s">
        <v>226</v>
      </c>
      <c r="M275" s="328" t="s">
        <v>156</v>
      </c>
      <c r="N275" s="143" t="s">
        <v>1152</v>
      </c>
      <c r="O275" s="158"/>
      <c r="P275" s="158"/>
      <c r="Q275" s="158"/>
      <c r="R275" s="158"/>
      <c r="S275" s="116" t="s">
        <v>166</v>
      </c>
      <c r="T275" s="143">
        <v>3</v>
      </c>
      <c r="U275" s="143">
        <v>3</v>
      </c>
      <c r="V275" s="143">
        <v>0</v>
      </c>
      <c r="W275" s="143">
        <v>0</v>
      </c>
      <c r="X275" s="143">
        <v>0</v>
      </c>
      <c r="Y275" s="483" t="s">
        <v>794</v>
      </c>
      <c r="Z275" s="423" t="s">
        <v>867</v>
      </c>
      <c r="AA275" s="450" t="s">
        <v>868</v>
      </c>
      <c r="AB275" s="423" t="s">
        <v>63</v>
      </c>
      <c r="AC275" s="423" t="s">
        <v>326</v>
      </c>
      <c r="AD275" s="423"/>
      <c r="AE275" s="777">
        <v>329268000</v>
      </c>
      <c r="AF275" s="116" t="s">
        <v>834</v>
      </c>
      <c r="AG275" s="368" t="s">
        <v>835</v>
      </c>
      <c r="AH275" s="116" t="s">
        <v>327</v>
      </c>
    </row>
    <row r="276" spans="1:34" s="82" customFormat="1" ht="63.75" customHeight="1" x14ac:dyDescent="0.25">
      <c r="A276" s="116" t="s">
        <v>894</v>
      </c>
      <c r="B276" s="428" t="s">
        <v>237</v>
      </c>
      <c r="C276" s="428" t="s">
        <v>852</v>
      </c>
      <c r="D276" s="451" t="s">
        <v>959</v>
      </c>
      <c r="E276" s="394" t="s">
        <v>324</v>
      </c>
      <c r="F276" s="160" t="s">
        <v>960</v>
      </c>
      <c r="G276" s="160" t="s">
        <v>961</v>
      </c>
      <c r="H276" s="158" t="s">
        <v>963</v>
      </c>
      <c r="I276" s="160" t="s">
        <v>964</v>
      </c>
      <c r="J276" s="158" t="s">
        <v>1109</v>
      </c>
      <c r="K276" s="437">
        <v>8000000</v>
      </c>
      <c r="L276" s="143" t="s">
        <v>226</v>
      </c>
      <c r="M276" s="328" t="s">
        <v>156</v>
      </c>
      <c r="N276" s="143" t="s">
        <v>1152</v>
      </c>
      <c r="O276" s="158"/>
      <c r="P276" s="158"/>
      <c r="Q276" s="158"/>
      <c r="R276" s="158"/>
      <c r="S276" s="116" t="s">
        <v>166</v>
      </c>
      <c r="T276" s="143">
        <v>3</v>
      </c>
      <c r="U276" s="143">
        <v>3</v>
      </c>
      <c r="V276" s="143">
        <v>0</v>
      </c>
      <c r="W276" s="143">
        <v>0</v>
      </c>
      <c r="X276" s="143">
        <v>0</v>
      </c>
      <c r="Y276" s="475" t="s">
        <v>795</v>
      </c>
      <c r="Z276" s="775" t="s">
        <v>190</v>
      </c>
      <c r="AA276" s="423" t="s">
        <v>190</v>
      </c>
      <c r="AB276" s="423" t="s">
        <v>63</v>
      </c>
      <c r="AC276" s="423" t="s">
        <v>326</v>
      </c>
      <c r="AD276" s="436"/>
      <c r="AE276" s="777">
        <v>8000000</v>
      </c>
      <c r="AF276" s="116" t="s">
        <v>834</v>
      </c>
      <c r="AG276" s="368" t="s">
        <v>835</v>
      </c>
      <c r="AH276" s="116" t="s">
        <v>327</v>
      </c>
    </row>
    <row r="277" spans="1:34" ht="116.25" customHeight="1" x14ac:dyDescent="0.25">
      <c r="A277" s="187" t="s">
        <v>894</v>
      </c>
      <c r="B277" s="104" t="s">
        <v>237</v>
      </c>
      <c r="C277" s="182" t="s">
        <v>852</v>
      </c>
      <c r="D277" s="76" t="s">
        <v>959</v>
      </c>
      <c r="E277" s="269" t="s">
        <v>324</v>
      </c>
      <c r="F277" s="200" t="s">
        <v>960</v>
      </c>
      <c r="G277" s="102" t="s">
        <v>962</v>
      </c>
      <c r="H277" s="103" t="s">
        <v>963</v>
      </c>
      <c r="I277" s="200" t="s">
        <v>964</v>
      </c>
      <c r="J277" s="250" t="s">
        <v>1110</v>
      </c>
      <c r="K277" s="484">
        <v>389015727</v>
      </c>
      <c r="L277" s="420" t="s">
        <v>325</v>
      </c>
      <c r="M277" s="432" t="s">
        <v>156</v>
      </c>
      <c r="N277" s="420"/>
      <c r="O277" s="420"/>
      <c r="P277" s="420"/>
      <c r="Q277" s="420"/>
      <c r="R277" s="420"/>
      <c r="S277" s="423" t="s">
        <v>166</v>
      </c>
      <c r="T277" s="420">
        <v>1</v>
      </c>
      <c r="U277" s="420">
        <v>0</v>
      </c>
      <c r="V277" s="420">
        <v>0</v>
      </c>
      <c r="W277" s="420">
        <v>0</v>
      </c>
      <c r="X277" s="420">
        <v>1</v>
      </c>
      <c r="Y277" s="420" t="s">
        <v>796</v>
      </c>
      <c r="Z277" s="423" t="s">
        <v>198</v>
      </c>
      <c r="AA277" s="450" t="s">
        <v>750</v>
      </c>
      <c r="AB277" s="423" t="s">
        <v>63</v>
      </c>
      <c r="AC277" s="423" t="s">
        <v>326</v>
      </c>
      <c r="AD277" s="71"/>
      <c r="AE277" s="484">
        <v>389015727</v>
      </c>
      <c r="AF277" s="423" t="s">
        <v>834</v>
      </c>
      <c r="AG277" s="423" t="s">
        <v>835</v>
      </c>
      <c r="AH277" s="423" t="s">
        <v>327</v>
      </c>
    </row>
    <row r="278" spans="1:34" s="82" customFormat="1" ht="60.75" customHeight="1" x14ac:dyDescent="0.25">
      <c r="A278" s="162" t="s">
        <v>894</v>
      </c>
      <c r="B278" s="162" t="s">
        <v>237</v>
      </c>
      <c r="C278" s="428" t="s">
        <v>852</v>
      </c>
      <c r="D278" s="447" t="s">
        <v>959</v>
      </c>
      <c r="E278" s="394" t="s">
        <v>324</v>
      </c>
      <c r="F278" s="160" t="s">
        <v>960</v>
      </c>
      <c r="G278" s="160" t="s">
        <v>961</v>
      </c>
      <c r="H278" s="158" t="s">
        <v>963</v>
      </c>
      <c r="I278" s="160" t="s">
        <v>964</v>
      </c>
      <c r="J278" s="158" t="s">
        <v>1111</v>
      </c>
      <c r="K278" s="750">
        <v>323312000</v>
      </c>
      <c r="L278" s="143" t="s">
        <v>797</v>
      </c>
      <c r="M278" s="328" t="s">
        <v>156</v>
      </c>
      <c r="N278" s="143" t="s">
        <v>572</v>
      </c>
      <c r="O278" s="158"/>
      <c r="P278" s="158"/>
      <c r="Q278" s="158"/>
      <c r="R278" s="158"/>
      <c r="S278" s="116" t="s">
        <v>166</v>
      </c>
      <c r="T278" s="143">
        <v>40</v>
      </c>
      <c r="U278" s="143">
        <v>0</v>
      </c>
      <c r="V278" s="143">
        <v>5</v>
      </c>
      <c r="W278" s="143">
        <v>15</v>
      </c>
      <c r="X278" s="143">
        <v>20</v>
      </c>
      <c r="Y278" s="420" t="s">
        <v>799</v>
      </c>
      <c r="Z278" s="423" t="s">
        <v>454</v>
      </c>
      <c r="AA278" s="423" t="s">
        <v>869</v>
      </c>
      <c r="AB278" s="423" t="s">
        <v>63</v>
      </c>
      <c r="AC278" s="423" t="s">
        <v>326</v>
      </c>
      <c r="AD278" s="71"/>
      <c r="AE278" s="750">
        <v>323312000</v>
      </c>
      <c r="AF278" s="116" t="s">
        <v>834</v>
      </c>
      <c r="AG278" s="368" t="s">
        <v>835</v>
      </c>
      <c r="AH278" s="116" t="s">
        <v>327</v>
      </c>
    </row>
    <row r="279" spans="1:34" s="82" customFormat="1" ht="45.75" customHeight="1" x14ac:dyDescent="0.25">
      <c r="A279" s="162" t="s">
        <v>894</v>
      </c>
      <c r="B279" s="162" t="s">
        <v>237</v>
      </c>
      <c r="C279" s="428" t="s">
        <v>852</v>
      </c>
      <c r="D279" s="447" t="s">
        <v>959</v>
      </c>
      <c r="E279" s="394" t="s">
        <v>324</v>
      </c>
      <c r="F279" s="160" t="s">
        <v>960</v>
      </c>
      <c r="G279" s="160" t="s">
        <v>961</v>
      </c>
      <c r="H279" s="158" t="s">
        <v>963</v>
      </c>
      <c r="I279" s="160" t="s">
        <v>964</v>
      </c>
      <c r="J279" s="158" t="s">
        <v>1111</v>
      </c>
      <c r="K279" s="156">
        <f>200000000</f>
        <v>200000000</v>
      </c>
      <c r="L279" s="143" t="s">
        <v>797</v>
      </c>
      <c r="M279" s="328" t="s">
        <v>156</v>
      </c>
      <c r="N279" s="143" t="s">
        <v>572</v>
      </c>
      <c r="O279" s="158"/>
      <c r="P279" s="158"/>
      <c r="Q279" s="158"/>
      <c r="R279" s="158"/>
      <c r="S279" s="116" t="s">
        <v>166</v>
      </c>
      <c r="T279" s="143">
        <v>40</v>
      </c>
      <c r="U279" s="143">
        <v>0</v>
      </c>
      <c r="V279" s="143">
        <v>5</v>
      </c>
      <c r="W279" s="143">
        <v>15</v>
      </c>
      <c r="X279" s="143">
        <v>20</v>
      </c>
      <c r="Y279" s="138" t="s">
        <v>798</v>
      </c>
      <c r="Z279" s="775" t="s">
        <v>190</v>
      </c>
      <c r="AA279" s="423" t="s">
        <v>190</v>
      </c>
      <c r="AB279" s="423" t="s">
        <v>63</v>
      </c>
      <c r="AC279" s="423" t="s">
        <v>326</v>
      </c>
      <c r="AD279" s="14"/>
      <c r="AE279" s="156">
        <f>200000000</f>
        <v>200000000</v>
      </c>
      <c r="AF279" s="116" t="s">
        <v>834</v>
      </c>
      <c r="AG279" s="368" t="s">
        <v>835</v>
      </c>
      <c r="AH279" s="116" t="s">
        <v>327</v>
      </c>
    </row>
    <row r="280" spans="1:34" s="82" customFormat="1" ht="78.75" customHeight="1" x14ac:dyDescent="0.25">
      <c r="A280" s="162" t="s">
        <v>894</v>
      </c>
      <c r="B280" s="428" t="s">
        <v>237</v>
      </c>
      <c r="C280" s="428" t="s">
        <v>852</v>
      </c>
      <c r="D280" s="451" t="s">
        <v>959</v>
      </c>
      <c r="E280" s="394" t="s">
        <v>324</v>
      </c>
      <c r="F280" s="378" t="s">
        <v>960</v>
      </c>
      <c r="G280" s="378" t="s">
        <v>962</v>
      </c>
      <c r="H280" s="158" t="s">
        <v>963</v>
      </c>
      <c r="I280" s="378" t="s">
        <v>964</v>
      </c>
      <c r="J280" s="158" t="s">
        <v>1112</v>
      </c>
      <c r="K280" s="156">
        <f>260000000</f>
        <v>260000000</v>
      </c>
      <c r="L280" s="143" t="s">
        <v>539</v>
      </c>
      <c r="M280" s="328" t="s">
        <v>156</v>
      </c>
      <c r="N280" s="143" t="s">
        <v>572</v>
      </c>
      <c r="O280" s="158"/>
      <c r="P280" s="158"/>
      <c r="Q280" s="158"/>
      <c r="R280" s="158"/>
      <c r="S280" s="116" t="s">
        <v>166</v>
      </c>
      <c r="T280" s="143">
        <v>20</v>
      </c>
      <c r="U280" s="143">
        <v>0</v>
      </c>
      <c r="V280" s="143">
        <v>0</v>
      </c>
      <c r="W280" s="143">
        <v>5</v>
      </c>
      <c r="X280" s="143">
        <v>15</v>
      </c>
      <c r="Y280" s="138" t="s">
        <v>800</v>
      </c>
      <c r="Z280" s="423" t="s">
        <v>867</v>
      </c>
      <c r="AA280" s="450" t="s">
        <v>868</v>
      </c>
      <c r="AB280" s="423" t="s">
        <v>63</v>
      </c>
      <c r="AC280" s="423" t="s">
        <v>326</v>
      </c>
      <c r="AD280" s="423"/>
      <c r="AE280" s="156">
        <f>260000000</f>
        <v>260000000</v>
      </c>
      <c r="AF280" s="116" t="s">
        <v>834</v>
      </c>
      <c r="AG280" s="368" t="s">
        <v>835</v>
      </c>
      <c r="AH280" s="116" t="s">
        <v>327</v>
      </c>
    </row>
    <row r="281" spans="1:34" s="82" customFormat="1" ht="90" customHeight="1" x14ac:dyDescent="0.25">
      <c r="A281" s="162" t="s">
        <v>894</v>
      </c>
      <c r="B281" s="428" t="s">
        <v>237</v>
      </c>
      <c r="C281" s="428" t="s">
        <v>852</v>
      </c>
      <c r="D281" s="451" t="s">
        <v>959</v>
      </c>
      <c r="E281" s="394" t="s">
        <v>324</v>
      </c>
      <c r="F281" s="378" t="s">
        <v>960</v>
      </c>
      <c r="G281" s="378" t="s">
        <v>962</v>
      </c>
      <c r="H281" s="158" t="s">
        <v>963</v>
      </c>
      <c r="I281" s="378" t="s">
        <v>964</v>
      </c>
      <c r="J281" s="158" t="s">
        <v>1112</v>
      </c>
      <c r="K281" s="153"/>
      <c r="L281" s="143" t="s">
        <v>539</v>
      </c>
      <c r="M281" s="328" t="s">
        <v>156</v>
      </c>
      <c r="N281" s="143" t="s">
        <v>572</v>
      </c>
      <c r="O281" s="158"/>
      <c r="P281" s="158"/>
      <c r="Q281" s="158"/>
      <c r="R281" s="158"/>
      <c r="S281" s="116" t="s">
        <v>166</v>
      </c>
      <c r="T281" s="143">
        <v>20</v>
      </c>
      <c r="U281" s="143">
        <v>0</v>
      </c>
      <c r="V281" s="143">
        <v>0</v>
      </c>
      <c r="W281" s="143">
        <v>5</v>
      </c>
      <c r="X281" s="143">
        <v>15</v>
      </c>
      <c r="Y281" s="138" t="s">
        <v>801</v>
      </c>
      <c r="Z281" s="423" t="s">
        <v>454</v>
      </c>
      <c r="AA281" s="423" t="s">
        <v>869</v>
      </c>
      <c r="AB281" s="423" t="s">
        <v>63</v>
      </c>
      <c r="AC281" s="423" t="s">
        <v>326</v>
      </c>
      <c r="AE281" s="153"/>
      <c r="AF281" s="116" t="s">
        <v>834</v>
      </c>
      <c r="AG281" s="368" t="s">
        <v>835</v>
      </c>
      <c r="AH281" s="116" t="s">
        <v>327</v>
      </c>
    </row>
    <row r="282" spans="1:34" s="82" customFormat="1" ht="90" customHeight="1" x14ac:dyDescent="0.25">
      <c r="A282" s="162" t="s">
        <v>894</v>
      </c>
      <c r="B282" s="428" t="s">
        <v>237</v>
      </c>
      <c r="C282" s="428" t="s">
        <v>852</v>
      </c>
      <c r="D282" s="451" t="s">
        <v>959</v>
      </c>
      <c r="E282" s="394" t="s">
        <v>324</v>
      </c>
      <c r="F282" s="378"/>
      <c r="G282" s="378"/>
      <c r="H282" s="158"/>
      <c r="I282" s="378"/>
      <c r="J282" s="158"/>
      <c r="K282" s="750">
        <v>370000000</v>
      </c>
      <c r="L282" s="772" t="s">
        <v>1258</v>
      </c>
      <c r="M282" s="328"/>
      <c r="N282" s="143"/>
      <c r="O282" s="158"/>
      <c r="P282" s="158"/>
      <c r="Q282" s="158"/>
      <c r="R282" s="158"/>
      <c r="S282" s="116"/>
      <c r="T282" s="143">
        <v>1</v>
      </c>
      <c r="U282" s="143">
        <v>0</v>
      </c>
      <c r="V282" s="143"/>
      <c r="W282" s="143">
        <v>0</v>
      </c>
      <c r="X282" s="143">
        <v>1</v>
      </c>
      <c r="Y282" s="773" t="s">
        <v>1259</v>
      </c>
      <c r="Z282" s="743" t="s">
        <v>454</v>
      </c>
      <c r="AA282" s="743" t="s">
        <v>869</v>
      </c>
      <c r="AB282" s="743" t="s">
        <v>63</v>
      </c>
      <c r="AC282" s="743" t="s">
        <v>326</v>
      </c>
      <c r="AE282" s="750">
        <v>370000000</v>
      </c>
      <c r="AF282" s="116" t="s">
        <v>834</v>
      </c>
      <c r="AG282" s="368" t="s">
        <v>835</v>
      </c>
      <c r="AH282" s="116" t="s">
        <v>327</v>
      </c>
    </row>
    <row r="283" spans="1:34" s="77" customFormat="1" ht="98.25" customHeight="1" x14ac:dyDescent="0.25">
      <c r="A283" s="118" t="s">
        <v>894</v>
      </c>
      <c r="B283" s="104" t="s">
        <v>237</v>
      </c>
      <c r="C283" s="104" t="s">
        <v>852</v>
      </c>
      <c r="D283" s="76" t="s">
        <v>959</v>
      </c>
      <c r="E283" s="269" t="s">
        <v>324</v>
      </c>
      <c r="F283" s="102" t="s">
        <v>960</v>
      </c>
      <c r="G283" s="102" t="s">
        <v>961</v>
      </c>
      <c r="H283" s="103" t="s">
        <v>963</v>
      </c>
      <c r="I283" s="102" t="s">
        <v>964</v>
      </c>
      <c r="J283" s="256" t="s">
        <v>1113</v>
      </c>
      <c r="K283" s="484">
        <f>40000000</f>
        <v>40000000</v>
      </c>
      <c r="L283" s="420" t="s">
        <v>538</v>
      </c>
      <c r="M283" s="422" t="s">
        <v>212</v>
      </c>
      <c r="N283" s="420" t="s">
        <v>1162</v>
      </c>
      <c r="O283" s="420" t="s">
        <v>1180</v>
      </c>
      <c r="P283" s="420" t="s">
        <v>1183</v>
      </c>
      <c r="Q283" s="420" t="s">
        <v>1183</v>
      </c>
      <c r="R283" s="420"/>
      <c r="S283" s="426" t="s">
        <v>166</v>
      </c>
      <c r="T283" s="420">
        <v>1</v>
      </c>
      <c r="U283" s="420">
        <v>0</v>
      </c>
      <c r="V283" s="420">
        <v>0</v>
      </c>
      <c r="W283" s="420">
        <v>0</v>
      </c>
      <c r="X283" s="420">
        <v>1</v>
      </c>
      <c r="Y283" s="138" t="s">
        <v>800</v>
      </c>
      <c r="Z283" s="423" t="s">
        <v>867</v>
      </c>
      <c r="AA283" s="450" t="s">
        <v>868</v>
      </c>
      <c r="AB283" s="423" t="s">
        <v>63</v>
      </c>
      <c r="AC283" s="423" t="s">
        <v>326</v>
      </c>
      <c r="AD283" s="423"/>
      <c r="AE283" s="484">
        <f>40000000</f>
        <v>40000000</v>
      </c>
      <c r="AF283" s="423" t="s">
        <v>834</v>
      </c>
      <c r="AG283" s="423" t="s">
        <v>835</v>
      </c>
      <c r="AH283" s="423" t="s">
        <v>327</v>
      </c>
    </row>
    <row r="284" spans="1:34" s="82" customFormat="1" ht="62.25" customHeight="1" x14ac:dyDescent="0.25">
      <c r="A284" s="162" t="s">
        <v>894</v>
      </c>
      <c r="B284" s="162" t="s">
        <v>237</v>
      </c>
      <c r="C284" s="428" t="s">
        <v>851</v>
      </c>
      <c r="D284" s="451" t="s">
        <v>965</v>
      </c>
      <c r="E284" s="397" t="s">
        <v>328</v>
      </c>
      <c r="F284" s="160" t="s">
        <v>966</v>
      </c>
      <c r="G284" s="160" t="s">
        <v>967</v>
      </c>
      <c r="H284" s="158" t="s">
        <v>968</v>
      </c>
      <c r="I284" s="160" t="s">
        <v>969</v>
      </c>
      <c r="J284" s="158" t="s">
        <v>1114</v>
      </c>
      <c r="K284" s="437">
        <v>915093000</v>
      </c>
      <c r="L284" s="585" t="s">
        <v>229</v>
      </c>
      <c r="M284" s="388" t="s">
        <v>156</v>
      </c>
      <c r="N284" s="143" t="s">
        <v>1152</v>
      </c>
      <c r="O284" s="158"/>
      <c r="P284" s="158"/>
      <c r="Q284" s="158"/>
      <c r="R284" s="158"/>
      <c r="S284" s="116" t="s">
        <v>166</v>
      </c>
      <c r="T284" s="485">
        <v>9</v>
      </c>
      <c r="U284" s="485">
        <v>9</v>
      </c>
      <c r="V284" s="485">
        <v>0</v>
      </c>
      <c r="W284" s="485">
        <v>0</v>
      </c>
      <c r="X284" s="485">
        <v>0</v>
      </c>
      <c r="Y284" s="336" t="s">
        <v>802</v>
      </c>
      <c r="Z284" s="423" t="s">
        <v>190</v>
      </c>
      <c r="AA284" s="423" t="s">
        <v>190</v>
      </c>
      <c r="AB284" s="423" t="s">
        <v>866</v>
      </c>
      <c r="AC284" s="113"/>
      <c r="AD284" s="423" t="s">
        <v>464</v>
      </c>
      <c r="AE284" s="777">
        <v>915093000</v>
      </c>
      <c r="AF284" s="116" t="s">
        <v>834</v>
      </c>
      <c r="AG284" s="368" t="s">
        <v>835</v>
      </c>
      <c r="AH284" s="116" t="s">
        <v>540</v>
      </c>
    </row>
    <row r="285" spans="1:34" s="82" customFormat="1" ht="66" customHeight="1" x14ac:dyDescent="0.25">
      <c r="A285" s="162" t="s">
        <v>894</v>
      </c>
      <c r="B285" s="162" t="s">
        <v>237</v>
      </c>
      <c r="C285" s="428" t="s">
        <v>851</v>
      </c>
      <c r="D285" s="451" t="s">
        <v>965</v>
      </c>
      <c r="E285" s="397" t="s">
        <v>328</v>
      </c>
      <c r="F285" s="160" t="s">
        <v>966</v>
      </c>
      <c r="G285" s="160" t="s">
        <v>967</v>
      </c>
      <c r="H285" s="158" t="s">
        <v>968</v>
      </c>
      <c r="I285" s="160" t="s">
        <v>969</v>
      </c>
      <c r="J285" s="158" t="s">
        <v>1114</v>
      </c>
      <c r="K285" s="437">
        <v>60000000</v>
      </c>
      <c r="L285" s="585" t="s">
        <v>229</v>
      </c>
      <c r="M285" s="388" t="s">
        <v>156</v>
      </c>
      <c r="N285" s="143" t="s">
        <v>1152</v>
      </c>
      <c r="O285" s="158"/>
      <c r="P285" s="158"/>
      <c r="Q285" s="158"/>
      <c r="R285" s="158"/>
      <c r="S285" s="116" t="s">
        <v>166</v>
      </c>
      <c r="T285" s="485">
        <v>9</v>
      </c>
      <c r="U285" s="485">
        <v>9</v>
      </c>
      <c r="V285" s="485">
        <v>0</v>
      </c>
      <c r="W285" s="485">
        <v>0</v>
      </c>
      <c r="X285" s="485">
        <v>0</v>
      </c>
      <c r="Y285" s="336" t="s">
        <v>803</v>
      </c>
      <c r="Z285" s="423" t="s">
        <v>190</v>
      </c>
      <c r="AA285" s="423" t="s">
        <v>190</v>
      </c>
      <c r="AB285" s="423" t="s">
        <v>866</v>
      </c>
      <c r="AC285" s="113"/>
      <c r="AD285" s="423" t="s">
        <v>464</v>
      </c>
      <c r="AE285" s="777">
        <v>60000000</v>
      </c>
      <c r="AF285" s="116" t="s">
        <v>834</v>
      </c>
      <c r="AG285" s="368" t="s">
        <v>835</v>
      </c>
      <c r="AH285" s="116" t="s">
        <v>540</v>
      </c>
    </row>
    <row r="286" spans="1:34" ht="109.5" customHeight="1" x14ac:dyDescent="0.25">
      <c r="A286" s="118" t="s">
        <v>894</v>
      </c>
      <c r="B286" s="104" t="s">
        <v>237</v>
      </c>
      <c r="C286" s="104" t="s">
        <v>851</v>
      </c>
      <c r="D286" s="76" t="s">
        <v>965</v>
      </c>
      <c r="E286" s="223" t="s">
        <v>328</v>
      </c>
      <c r="F286" s="200" t="s">
        <v>966</v>
      </c>
      <c r="G286" s="200" t="s">
        <v>967</v>
      </c>
      <c r="H286" s="103" t="s">
        <v>968</v>
      </c>
      <c r="I286" s="102" t="s">
        <v>969</v>
      </c>
      <c r="J286" s="215" t="s">
        <v>1115</v>
      </c>
      <c r="K286" s="437">
        <v>60000000</v>
      </c>
      <c r="L286" s="565" t="s">
        <v>804</v>
      </c>
      <c r="M286" s="432" t="s">
        <v>156</v>
      </c>
      <c r="N286" s="433" t="s">
        <v>585</v>
      </c>
      <c r="O286" s="420"/>
      <c r="P286" s="420"/>
      <c r="Q286" s="420" t="s">
        <v>831</v>
      </c>
      <c r="R286" s="420"/>
      <c r="S286" s="423" t="s">
        <v>166</v>
      </c>
      <c r="T286" s="420">
        <v>1</v>
      </c>
      <c r="U286" s="420">
        <v>0</v>
      </c>
      <c r="V286" s="420">
        <v>0</v>
      </c>
      <c r="W286" s="420">
        <v>0</v>
      </c>
      <c r="X286" s="420">
        <v>1</v>
      </c>
      <c r="Y286" s="438" t="s">
        <v>805</v>
      </c>
      <c r="Z286" s="423" t="s">
        <v>190</v>
      </c>
      <c r="AA286" s="423" t="s">
        <v>190</v>
      </c>
      <c r="AB286" s="423" t="s">
        <v>866</v>
      </c>
      <c r="AC286" s="113"/>
      <c r="AD286" s="423" t="s">
        <v>464</v>
      </c>
      <c r="AE286" s="777">
        <v>60000000</v>
      </c>
      <c r="AF286" s="423" t="s">
        <v>834</v>
      </c>
      <c r="AG286" s="423" t="s">
        <v>835</v>
      </c>
      <c r="AH286" s="423" t="s">
        <v>540</v>
      </c>
    </row>
    <row r="287" spans="1:34" s="82" customFormat="1" ht="68.25" customHeight="1" x14ac:dyDescent="0.25">
      <c r="A287" s="368" t="s">
        <v>894</v>
      </c>
      <c r="B287" s="428" t="s">
        <v>237</v>
      </c>
      <c r="C287" s="428" t="s">
        <v>851</v>
      </c>
      <c r="D287" s="451" t="s">
        <v>965</v>
      </c>
      <c r="E287" s="397" t="s">
        <v>328</v>
      </c>
      <c r="F287" s="378" t="s">
        <v>966</v>
      </c>
      <c r="G287" s="378" t="s">
        <v>967</v>
      </c>
      <c r="H287" s="158" t="s">
        <v>968</v>
      </c>
      <c r="I287" s="378" t="s">
        <v>969</v>
      </c>
      <c r="J287" s="158" t="s">
        <v>1116</v>
      </c>
      <c r="K287" s="128">
        <v>1401382461</v>
      </c>
      <c r="L287" s="585" t="s">
        <v>807</v>
      </c>
      <c r="M287" s="409" t="s">
        <v>156</v>
      </c>
      <c r="N287" s="327" t="s">
        <v>637</v>
      </c>
      <c r="O287" s="158"/>
      <c r="P287" s="158"/>
      <c r="Q287" s="158" t="s">
        <v>831</v>
      </c>
      <c r="R287" s="158"/>
      <c r="S287" s="116" t="s">
        <v>166</v>
      </c>
      <c r="T287" s="143">
        <v>5</v>
      </c>
      <c r="U287" s="143">
        <v>0</v>
      </c>
      <c r="V287" s="143">
        <v>0</v>
      </c>
      <c r="W287" s="143">
        <v>0</v>
      </c>
      <c r="X287" s="143">
        <v>5</v>
      </c>
      <c r="Y287" s="337" t="s">
        <v>1208</v>
      </c>
      <c r="Z287" s="423" t="s">
        <v>198</v>
      </c>
      <c r="AA287" s="439" t="s">
        <v>808</v>
      </c>
      <c r="AB287" s="423" t="s">
        <v>866</v>
      </c>
      <c r="AC287" s="113"/>
      <c r="AD287" s="423" t="s">
        <v>329</v>
      </c>
      <c r="AE287" s="128">
        <v>1401382461</v>
      </c>
      <c r="AF287" s="116" t="s">
        <v>834</v>
      </c>
      <c r="AG287" s="368" t="s">
        <v>835</v>
      </c>
      <c r="AH287" s="116" t="s">
        <v>540</v>
      </c>
    </row>
    <row r="288" spans="1:34" s="82" customFormat="1" ht="78.75" customHeight="1" x14ac:dyDescent="0.25">
      <c r="A288" s="368" t="s">
        <v>894</v>
      </c>
      <c r="B288" s="428" t="s">
        <v>237</v>
      </c>
      <c r="C288" s="428" t="s">
        <v>851</v>
      </c>
      <c r="D288" s="451" t="s">
        <v>965</v>
      </c>
      <c r="E288" s="397" t="s">
        <v>328</v>
      </c>
      <c r="F288" s="378" t="s">
        <v>966</v>
      </c>
      <c r="G288" s="378" t="s">
        <v>967</v>
      </c>
      <c r="H288" s="158" t="s">
        <v>968</v>
      </c>
      <c r="I288" s="378" t="s">
        <v>969</v>
      </c>
      <c r="J288" s="158" t="s">
        <v>1116</v>
      </c>
      <c r="K288" s="751">
        <v>7728299671</v>
      </c>
      <c r="L288" s="585" t="s">
        <v>807</v>
      </c>
      <c r="M288" s="409" t="s">
        <v>156</v>
      </c>
      <c r="N288" s="327" t="s">
        <v>637</v>
      </c>
      <c r="O288" s="158"/>
      <c r="P288" s="158"/>
      <c r="Q288" s="158" t="s">
        <v>831</v>
      </c>
      <c r="R288" s="158"/>
      <c r="S288" s="116" t="s">
        <v>166</v>
      </c>
      <c r="T288" s="143">
        <v>5</v>
      </c>
      <c r="U288" s="143">
        <v>0</v>
      </c>
      <c r="V288" s="143">
        <v>0</v>
      </c>
      <c r="W288" s="143">
        <v>0</v>
      </c>
      <c r="X288" s="143">
        <v>5</v>
      </c>
      <c r="Y288" s="337" t="s">
        <v>1209</v>
      </c>
      <c r="Z288" s="423" t="s">
        <v>198</v>
      </c>
      <c r="AA288" s="439" t="s">
        <v>808</v>
      </c>
      <c r="AB288" s="423" t="s">
        <v>866</v>
      </c>
      <c r="AC288" s="115"/>
      <c r="AD288" s="423" t="s">
        <v>329</v>
      </c>
      <c r="AE288" s="751">
        <v>7728299671</v>
      </c>
      <c r="AF288" s="116" t="s">
        <v>834</v>
      </c>
      <c r="AG288" s="368" t="s">
        <v>835</v>
      </c>
      <c r="AH288" s="116" t="s">
        <v>540</v>
      </c>
    </row>
    <row r="289" spans="1:34" ht="98.25" customHeight="1" x14ac:dyDescent="0.25">
      <c r="A289" s="189" t="s">
        <v>894</v>
      </c>
      <c r="B289" s="104" t="s">
        <v>237</v>
      </c>
      <c r="C289" s="104" t="s">
        <v>851</v>
      </c>
      <c r="D289" s="76" t="s">
        <v>965</v>
      </c>
      <c r="E289" s="223" t="s">
        <v>328</v>
      </c>
      <c r="F289" s="102" t="s">
        <v>966</v>
      </c>
      <c r="G289" s="102" t="s">
        <v>967</v>
      </c>
      <c r="H289" s="103" t="s">
        <v>968</v>
      </c>
      <c r="I289" s="102" t="s">
        <v>969</v>
      </c>
      <c r="J289" s="215" t="s">
        <v>1114</v>
      </c>
      <c r="K289" s="437">
        <v>40000000</v>
      </c>
      <c r="L289" s="662" t="s">
        <v>809</v>
      </c>
      <c r="M289" s="432" t="s">
        <v>156</v>
      </c>
      <c r="N289" s="433" t="s">
        <v>571</v>
      </c>
      <c r="O289" s="420"/>
      <c r="P289" s="420"/>
      <c r="Q289" s="420" t="s">
        <v>831</v>
      </c>
      <c r="R289" s="420"/>
      <c r="S289" s="423" t="s">
        <v>166</v>
      </c>
      <c r="T289" s="440">
        <v>125</v>
      </c>
      <c r="U289" s="440">
        <v>0</v>
      </c>
      <c r="V289" s="440">
        <v>0</v>
      </c>
      <c r="W289" s="440">
        <v>62</v>
      </c>
      <c r="X289" s="440">
        <v>63</v>
      </c>
      <c r="Y289" s="438" t="s">
        <v>805</v>
      </c>
      <c r="Z289" s="423" t="s">
        <v>190</v>
      </c>
      <c r="AA289" s="423" t="s">
        <v>190</v>
      </c>
      <c r="AB289" s="423" t="s">
        <v>866</v>
      </c>
      <c r="AC289" s="113"/>
      <c r="AD289" s="423" t="s">
        <v>329</v>
      </c>
      <c r="AE289" s="777">
        <v>40000000</v>
      </c>
      <c r="AF289" s="423" t="s">
        <v>834</v>
      </c>
      <c r="AG289" s="423" t="s">
        <v>835</v>
      </c>
      <c r="AH289" s="423" t="s">
        <v>540</v>
      </c>
    </row>
    <row r="290" spans="1:34" s="82" customFormat="1" ht="54" customHeight="1" x14ac:dyDescent="0.25">
      <c r="A290" s="428" t="s">
        <v>894</v>
      </c>
      <c r="B290" s="428" t="s">
        <v>237</v>
      </c>
      <c r="C290" s="428" t="s">
        <v>851</v>
      </c>
      <c r="D290" s="451" t="s">
        <v>965</v>
      </c>
      <c r="E290" s="397" t="s">
        <v>328</v>
      </c>
      <c r="F290" s="378" t="s">
        <v>966</v>
      </c>
      <c r="G290" s="378" t="s">
        <v>967</v>
      </c>
      <c r="H290" s="158" t="s">
        <v>968</v>
      </c>
      <c r="I290" s="378" t="s">
        <v>969</v>
      </c>
      <c r="J290" s="158" t="s">
        <v>969</v>
      </c>
      <c r="K290" s="770">
        <v>11592450506</v>
      </c>
      <c r="L290" s="585" t="s">
        <v>810</v>
      </c>
      <c r="M290" s="409" t="s">
        <v>156</v>
      </c>
      <c r="N290" s="327" t="s">
        <v>637</v>
      </c>
      <c r="O290" s="158"/>
      <c r="P290" s="158"/>
      <c r="Q290" s="158" t="s">
        <v>831</v>
      </c>
      <c r="R290" s="158"/>
      <c r="S290" s="116" t="s">
        <v>166</v>
      </c>
      <c r="T290" s="143">
        <v>60</v>
      </c>
      <c r="U290" s="143">
        <v>0</v>
      </c>
      <c r="V290" s="143">
        <v>0</v>
      </c>
      <c r="W290" s="143">
        <v>30</v>
      </c>
      <c r="X290" s="143">
        <v>30</v>
      </c>
      <c r="Y290" s="337" t="s">
        <v>811</v>
      </c>
      <c r="Z290" s="423" t="s">
        <v>198</v>
      </c>
      <c r="AA290" s="439" t="s">
        <v>808</v>
      </c>
      <c r="AB290" s="423" t="s">
        <v>866</v>
      </c>
      <c r="AC290" s="113"/>
      <c r="AD290" s="423" t="s">
        <v>329</v>
      </c>
      <c r="AE290" s="770">
        <v>11592450506</v>
      </c>
      <c r="AF290" s="423" t="s">
        <v>834</v>
      </c>
      <c r="AG290" s="423" t="s">
        <v>835</v>
      </c>
      <c r="AH290" s="423" t="s">
        <v>540</v>
      </c>
    </row>
    <row r="291" spans="1:34" s="82" customFormat="1" ht="64.5" customHeight="1" x14ac:dyDescent="0.25">
      <c r="A291" s="428" t="s">
        <v>894</v>
      </c>
      <c r="B291" s="428" t="s">
        <v>237</v>
      </c>
      <c r="C291" s="428" t="s">
        <v>851</v>
      </c>
      <c r="D291" s="451" t="s">
        <v>965</v>
      </c>
      <c r="E291" s="397" t="s">
        <v>328</v>
      </c>
      <c r="F291" s="378" t="s">
        <v>966</v>
      </c>
      <c r="G291" s="378" t="s">
        <v>967</v>
      </c>
      <c r="H291" s="158" t="s">
        <v>968</v>
      </c>
      <c r="I291" s="378" t="s">
        <v>969</v>
      </c>
      <c r="J291" s="158" t="s">
        <v>969</v>
      </c>
      <c r="K291" s="128">
        <v>2102073692</v>
      </c>
      <c r="L291" s="585" t="s">
        <v>810</v>
      </c>
      <c r="M291" s="409" t="s">
        <v>156</v>
      </c>
      <c r="N291" s="327" t="s">
        <v>637</v>
      </c>
      <c r="O291" s="158"/>
      <c r="P291" s="158"/>
      <c r="Q291" s="158" t="s">
        <v>831</v>
      </c>
      <c r="R291" s="158"/>
      <c r="S291" s="116" t="s">
        <v>166</v>
      </c>
      <c r="T291" s="143">
        <v>60</v>
      </c>
      <c r="U291" s="143">
        <v>0</v>
      </c>
      <c r="V291" s="143">
        <v>0</v>
      </c>
      <c r="W291" s="143">
        <v>30</v>
      </c>
      <c r="X291" s="143">
        <v>30</v>
      </c>
      <c r="Y291" s="129" t="s">
        <v>1210</v>
      </c>
      <c r="Z291" s="423" t="s">
        <v>198</v>
      </c>
      <c r="AA291" s="439" t="s">
        <v>808</v>
      </c>
      <c r="AB291" s="423" t="s">
        <v>866</v>
      </c>
      <c r="AC291" s="115"/>
      <c r="AD291" s="423" t="s">
        <v>329</v>
      </c>
      <c r="AE291" s="128">
        <v>2102073692</v>
      </c>
      <c r="AF291" s="423" t="s">
        <v>834</v>
      </c>
      <c r="AG291" s="423" t="s">
        <v>835</v>
      </c>
      <c r="AH291" s="423" t="s">
        <v>540</v>
      </c>
    </row>
    <row r="292" spans="1:34" s="82" customFormat="1" ht="59.25" customHeight="1" x14ac:dyDescent="0.25">
      <c r="A292" s="116" t="s">
        <v>892</v>
      </c>
      <c r="B292" s="162" t="s">
        <v>65</v>
      </c>
      <c r="C292" s="428" t="s">
        <v>848</v>
      </c>
      <c r="D292" s="447" t="s">
        <v>1002</v>
      </c>
      <c r="E292" s="393" t="s">
        <v>330</v>
      </c>
      <c r="F292" s="160" t="s">
        <v>978</v>
      </c>
      <c r="G292" s="160" t="s">
        <v>1003</v>
      </c>
      <c r="H292" s="158" t="s">
        <v>1004</v>
      </c>
      <c r="I292" s="160" t="s">
        <v>1005</v>
      </c>
      <c r="J292" s="158" t="s">
        <v>1117</v>
      </c>
      <c r="K292" s="506">
        <v>1331677000</v>
      </c>
      <c r="L292" s="457" t="s">
        <v>1215</v>
      </c>
      <c r="M292" s="328" t="s">
        <v>156</v>
      </c>
      <c r="N292" s="458" t="s">
        <v>572</v>
      </c>
      <c r="O292" s="459"/>
      <c r="P292" s="459"/>
      <c r="Q292" s="459"/>
      <c r="R292" s="459"/>
      <c r="S292" s="116" t="s">
        <v>166</v>
      </c>
      <c r="T292" s="116">
        <v>241</v>
      </c>
      <c r="U292" s="116">
        <v>60</v>
      </c>
      <c r="V292" s="116">
        <v>60</v>
      </c>
      <c r="W292" s="116">
        <v>61</v>
      </c>
      <c r="X292" s="116">
        <v>60</v>
      </c>
      <c r="Y292" s="465" t="s">
        <v>1226</v>
      </c>
      <c r="Z292" s="423" t="s">
        <v>867</v>
      </c>
      <c r="AA292" s="450" t="s">
        <v>868</v>
      </c>
      <c r="AB292" s="423" t="s">
        <v>65</v>
      </c>
      <c r="AC292" s="423" t="s">
        <v>544</v>
      </c>
      <c r="AD292" s="423"/>
      <c r="AE292" s="506">
        <v>1331677000</v>
      </c>
      <c r="AF292" s="116" t="s">
        <v>834</v>
      </c>
      <c r="AG292" s="368" t="s">
        <v>835</v>
      </c>
      <c r="AH292" s="116" t="s">
        <v>839</v>
      </c>
    </row>
    <row r="293" spans="1:34" s="82" customFormat="1" ht="44.25" customHeight="1" x14ac:dyDescent="0.25">
      <c r="A293" s="116" t="s">
        <v>892</v>
      </c>
      <c r="B293" s="162" t="s">
        <v>65</v>
      </c>
      <c r="C293" s="428" t="s">
        <v>848</v>
      </c>
      <c r="D293" s="447" t="s">
        <v>1002</v>
      </c>
      <c r="E293" s="393" t="s">
        <v>330</v>
      </c>
      <c r="F293" s="160" t="s">
        <v>978</v>
      </c>
      <c r="G293" s="160" t="s">
        <v>1003</v>
      </c>
      <c r="H293" s="158" t="s">
        <v>1004</v>
      </c>
      <c r="I293" s="160" t="s">
        <v>1005</v>
      </c>
      <c r="J293" s="158" t="s">
        <v>1117</v>
      </c>
      <c r="K293" s="128">
        <v>20000000</v>
      </c>
      <c r="L293" s="457" t="s">
        <v>1215</v>
      </c>
      <c r="M293" s="328" t="s">
        <v>156</v>
      </c>
      <c r="N293" s="458" t="s">
        <v>572</v>
      </c>
      <c r="O293" s="459"/>
      <c r="P293" s="459"/>
      <c r="Q293" s="459"/>
      <c r="R293" s="459"/>
      <c r="S293" s="116" t="s">
        <v>166</v>
      </c>
      <c r="T293" s="116">
        <v>241</v>
      </c>
      <c r="U293" s="116">
        <v>60</v>
      </c>
      <c r="V293" s="116">
        <v>60</v>
      </c>
      <c r="W293" s="116">
        <v>61</v>
      </c>
      <c r="X293" s="116">
        <v>60</v>
      </c>
      <c r="Y293" s="465" t="s">
        <v>812</v>
      </c>
      <c r="Z293" s="423" t="s">
        <v>190</v>
      </c>
      <c r="AA293" s="423" t="s">
        <v>190</v>
      </c>
      <c r="AB293" s="423" t="s">
        <v>65</v>
      </c>
      <c r="AC293" s="423" t="s">
        <v>544</v>
      </c>
      <c r="AD293" s="14"/>
      <c r="AE293" s="128">
        <v>20000000</v>
      </c>
      <c r="AF293" s="116" t="s">
        <v>834</v>
      </c>
      <c r="AG293" s="368" t="s">
        <v>835</v>
      </c>
      <c r="AH293" s="116" t="s">
        <v>839</v>
      </c>
    </row>
    <row r="294" spans="1:34" ht="75.75" customHeight="1" x14ac:dyDescent="0.25">
      <c r="A294" s="347" t="s">
        <v>892</v>
      </c>
      <c r="B294" s="348" t="s">
        <v>65</v>
      </c>
      <c r="C294" s="340" t="s">
        <v>848</v>
      </c>
      <c r="D294" s="349" t="s">
        <v>1002</v>
      </c>
      <c r="E294" s="345" t="s">
        <v>330</v>
      </c>
      <c r="F294" s="346" t="s">
        <v>978</v>
      </c>
      <c r="G294" s="346" t="s">
        <v>988</v>
      </c>
      <c r="H294" s="342" t="s">
        <v>998</v>
      </c>
      <c r="I294" s="346" t="s">
        <v>1001</v>
      </c>
      <c r="J294" s="342" t="s">
        <v>1118</v>
      </c>
      <c r="K294" s="486">
        <v>550000000</v>
      </c>
      <c r="L294" s="359" t="s">
        <v>1216</v>
      </c>
      <c r="M294" s="422" t="s">
        <v>156</v>
      </c>
      <c r="N294" s="435" t="s">
        <v>572</v>
      </c>
      <c r="O294" s="424"/>
      <c r="P294" s="424"/>
      <c r="Q294" s="424"/>
      <c r="R294" s="424"/>
      <c r="S294" s="423" t="s">
        <v>166</v>
      </c>
      <c r="T294" s="487">
        <v>376</v>
      </c>
      <c r="U294" s="488">
        <v>56</v>
      </c>
      <c r="V294" s="488">
        <v>188</v>
      </c>
      <c r="W294" s="488">
        <v>75</v>
      </c>
      <c r="X294" s="488">
        <v>56</v>
      </c>
      <c r="Y294" s="465" t="s">
        <v>813</v>
      </c>
      <c r="Z294" s="423" t="s">
        <v>190</v>
      </c>
      <c r="AA294" s="450" t="s">
        <v>623</v>
      </c>
      <c r="AB294" s="423" t="s">
        <v>65</v>
      </c>
      <c r="AC294" s="423" t="s">
        <v>331</v>
      </c>
      <c r="AD294" s="436"/>
      <c r="AE294" s="486">
        <v>550000000</v>
      </c>
      <c r="AF294" s="423" t="s">
        <v>834</v>
      </c>
      <c r="AG294" s="413" t="s">
        <v>835</v>
      </c>
      <c r="AH294" s="423" t="s">
        <v>839</v>
      </c>
    </row>
    <row r="295" spans="1:34" ht="78.75" customHeight="1" x14ac:dyDescent="0.25">
      <c r="A295" s="187" t="s">
        <v>892</v>
      </c>
      <c r="B295" s="182" t="s">
        <v>65</v>
      </c>
      <c r="C295" s="104" t="s">
        <v>846</v>
      </c>
      <c r="D295" s="238" t="s">
        <v>991</v>
      </c>
      <c r="E295" s="125" t="s">
        <v>333</v>
      </c>
      <c r="F295" s="102" t="s">
        <v>978</v>
      </c>
      <c r="G295" s="200" t="s">
        <v>988</v>
      </c>
      <c r="H295" s="199" t="s">
        <v>997</v>
      </c>
      <c r="I295" s="200" t="s">
        <v>994</v>
      </c>
      <c r="J295" s="215" t="s">
        <v>1119</v>
      </c>
      <c r="K295" s="145">
        <v>0</v>
      </c>
      <c r="L295" s="420" t="s">
        <v>334</v>
      </c>
      <c r="M295" s="422" t="s">
        <v>156</v>
      </c>
      <c r="N295" s="420" t="s">
        <v>669</v>
      </c>
      <c r="O295" s="420"/>
      <c r="P295" s="420"/>
      <c r="Q295" s="420"/>
      <c r="R295" s="420"/>
      <c r="S295" s="423" t="s">
        <v>166</v>
      </c>
      <c r="T295" s="420">
        <v>12</v>
      </c>
      <c r="U295" s="420">
        <v>0</v>
      </c>
      <c r="V295" s="420">
        <v>0</v>
      </c>
      <c r="W295" s="420">
        <v>6</v>
      </c>
      <c r="X295" s="420">
        <v>6</v>
      </c>
      <c r="Y295" s="420"/>
      <c r="Z295" s="423"/>
      <c r="AA295" s="423"/>
      <c r="AB295" s="423" t="s">
        <v>65</v>
      </c>
      <c r="AC295" s="423"/>
      <c r="AD295" s="423"/>
      <c r="AE295" s="145">
        <v>0</v>
      </c>
      <c r="AF295" s="423" t="s">
        <v>834</v>
      </c>
      <c r="AG295" s="423" t="s">
        <v>840</v>
      </c>
      <c r="AH295" s="423" t="s">
        <v>332</v>
      </c>
    </row>
    <row r="296" spans="1:34" ht="93.75" customHeight="1" x14ac:dyDescent="0.25">
      <c r="A296" s="187" t="s">
        <v>892</v>
      </c>
      <c r="B296" s="182" t="s">
        <v>65</v>
      </c>
      <c r="C296" s="104" t="s">
        <v>846</v>
      </c>
      <c r="D296" s="238" t="s">
        <v>991</v>
      </c>
      <c r="E296" s="223" t="s">
        <v>333</v>
      </c>
      <c r="F296" s="102" t="s">
        <v>978</v>
      </c>
      <c r="G296" s="200" t="s">
        <v>988</v>
      </c>
      <c r="H296" s="199" t="s">
        <v>997</v>
      </c>
      <c r="I296" s="200" t="s">
        <v>994</v>
      </c>
      <c r="J296" s="215" t="s">
        <v>1119</v>
      </c>
      <c r="K296" s="437">
        <v>0</v>
      </c>
      <c r="L296" s="420" t="s">
        <v>335</v>
      </c>
      <c r="M296" s="422" t="s">
        <v>156</v>
      </c>
      <c r="N296" s="420" t="s">
        <v>669</v>
      </c>
      <c r="O296" s="420"/>
      <c r="P296" s="420"/>
      <c r="Q296" s="420"/>
      <c r="R296" s="420"/>
      <c r="S296" s="423" t="s">
        <v>166</v>
      </c>
      <c r="T296" s="420">
        <v>6</v>
      </c>
      <c r="U296" s="420">
        <v>0</v>
      </c>
      <c r="V296" s="420">
        <v>0</v>
      </c>
      <c r="W296" s="420">
        <v>3</v>
      </c>
      <c r="X296" s="420">
        <v>3</v>
      </c>
      <c r="Y296" s="420"/>
      <c r="Z296" s="423"/>
      <c r="AA296" s="423"/>
      <c r="AB296" s="423" t="s">
        <v>65</v>
      </c>
      <c r="AC296" s="423"/>
      <c r="AD296" s="423"/>
      <c r="AE296" s="777">
        <v>0</v>
      </c>
      <c r="AF296" s="423" t="s">
        <v>834</v>
      </c>
      <c r="AG296" s="423" t="s">
        <v>840</v>
      </c>
      <c r="AH296" s="423" t="s">
        <v>332</v>
      </c>
    </row>
    <row r="297" spans="1:34" ht="84.75" customHeight="1" x14ac:dyDescent="0.25">
      <c r="A297" s="187" t="s">
        <v>892</v>
      </c>
      <c r="B297" s="182" t="s">
        <v>65</v>
      </c>
      <c r="C297" s="104" t="s">
        <v>846</v>
      </c>
      <c r="D297" s="238" t="s">
        <v>991</v>
      </c>
      <c r="E297" s="223" t="s">
        <v>333</v>
      </c>
      <c r="F297" s="102" t="s">
        <v>978</v>
      </c>
      <c r="G297" s="200" t="s">
        <v>988</v>
      </c>
      <c r="H297" s="199" t="s">
        <v>997</v>
      </c>
      <c r="I297" s="200" t="s">
        <v>994</v>
      </c>
      <c r="J297" s="215" t="s">
        <v>1119</v>
      </c>
      <c r="K297" s="437">
        <v>0</v>
      </c>
      <c r="L297" s="420" t="s">
        <v>336</v>
      </c>
      <c r="M297" s="422" t="s">
        <v>156</v>
      </c>
      <c r="N297" s="420" t="s">
        <v>669</v>
      </c>
      <c r="O297" s="420"/>
      <c r="P297" s="420"/>
      <c r="Q297" s="420"/>
      <c r="R297" s="420"/>
      <c r="S297" s="423" t="s">
        <v>166</v>
      </c>
      <c r="T297" s="420">
        <v>3</v>
      </c>
      <c r="U297" s="420">
        <v>0</v>
      </c>
      <c r="V297" s="420">
        <v>1</v>
      </c>
      <c r="W297" s="420">
        <v>1</v>
      </c>
      <c r="X297" s="420">
        <v>1</v>
      </c>
      <c r="Y297" s="420"/>
      <c r="Z297" s="423"/>
      <c r="AA297" s="423"/>
      <c r="AB297" s="423" t="s">
        <v>65</v>
      </c>
      <c r="AC297" s="423"/>
      <c r="AD297" s="423"/>
      <c r="AE297" s="777">
        <v>0</v>
      </c>
      <c r="AF297" s="423" t="s">
        <v>834</v>
      </c>
      <c r="AG297" s="423" t="s">
        <v>840</v>
      </c>
      <c r="AH297" s="423" t="s">
        <v>332</v>
      </c>
    </row>
    <row r="298" spans="1:34" ht="122.25" customHeight="1" x14ac:dyDescent="0.25">
      <c r="A298" s="187" t="s">
        <v>892</v>
      </c>
      <c r="B298" s="182" t="s">
        <v>65</v>
      </c>
      <c r="C298" s="104" t="s">
        <v>846</v>
      </c>
      <c r="D298" s="238" t="s">
        <v>991</v>
      </c>
      <c r="E298" s="223" t="s">
        <v>333</v>
      </c>
      <c r="F298" s="102" t="s">
        <v>978</v>
      </c>
      <c r="G298" s="200" t="s">
        <v>988</v>
      </c>
      <c r="H298" s="199" t="s">
        <v>997</v>
      </c>
      <c r="I298" s="200" t="s">
        <v>994</v>
      </c>
      <c r="J298" s="215" t="s">
        <v>1119</v>
      </c>
      <c r="K298" s="437">
        <v>0</v>
      </c>
      <c r="L298" s="420" t="s">
        <v>337</v>
      </c>
      <c r="M298" s="422" t="s">
        <v>156</v>
      </c>
      <c r="N298" s="420" t="s">
        <v>669</v>
      </c>
      <c r="O298" s="420"/>
      <c r="P298" s="420"/>
      <c r="Q298" s="420"/>
      <c r="R298" s="420"/>
      <c r="S298" s="423" t="s">
        <v>166</v>
      </c>
      <c r="T298" s="420">
        <v>1</v>
      </c>
      <c r="U298" s="420">
        <v>0</v>
      </c>
      <c r="V298" s="420">
        <v>0</v>
      </c>
      <c r="W298" s="420">
        <v>0</v>
      </c>
      <c r="X298" s="420">
        <v>1</v>
      </c>
      <c r="Y298" s="420"/>
      <c r="Z298" s="423"/>
      <c r="AA298" s="423"/>
      <c r="AB298" s="423" t="s">
        <v>65</v>
      </c>
      <c r="AC298" s="423"/>
      <c r="AD298" s="423"/>
      <c r="AE298" s="777">
        <v>0</v>
      </c>
      <c r="AF298" s="423" t="s">
        <v>834</v>
      </c>
      <c r="AG298" s="423" t="s">
        <v>840</v>
      </c>
      <c r="AH298" s="423" t="s">
        <v>332</v>
      </c>
    </row>
    <row r="299" spans="1:34" s="82" customFormat="1" ht="69" customHeight="1" x14ac:dyDescent="0.25">
      <c r="A299" s="368" t="s">
        <v>892</v>
      </c>
      <c r="B299" s="428" t="s">
        <v>65</v>
      </c>
      <c r="C299" s="428" t="s">
        <v>846</v>
      </c>
      <c r="D299" s="238" t="s">
        <v>991</v>
      </c>
      <c r="E299" s="397" t="s">
        <v>333</v>
      </c>
      <c r="F299" s="378" t="s">
        <v>978</v>
      </c>
      <c r="G299" s="378" t="s">
        <v>988</v>
      </c>
      <c r="H299" s="158" t="s">
        <v>1006</v>
      </c>
      <c r="I299" s="378" t="s">
        <v>994</v>
      </c>
      <c r="J299" s="158" t="s">
        <v>1119</v>
      </c>
      <c r="K299" s="128">
        <v>1000000000</v>
      </c>
      <c r="L299" s="143" t="s">
        <v>338</v>
      </c>
      <c r="M299" s="388" t="s">
        <v>156</v>
      </c>
      <c r="N299" s="158" t="s">
        <v>1202</v>
      </c>
      <c r="O299" s="158"/>
      <c r="P299" s="158"/>
      <c r="Q299" s="158"/>
      <c r="R299" s="158"/>
      <c r="S299" s="116" t="s">
        <v>166</v>
      </c>
      <c r="T299" s="143">
        <v>1</v>
      </c>
      <c r="U299" s="143">
        <v>1</v>
      </c>
      <c r="V299" s="143">
        <v>0</v>
      </c>
      <c r="W299" s="143">
        <v>0</v>
      </c>
      <c r="X299" s="143">
        <v>0</v>
      </c>
      <c r="Y299" s="126" t="s">
        <v>814</v>
      </c>
      <c r="Z299" s="423" t="s">
        <v>190</v>
      </c>
      <c r="AA299" s="450" t="s">
        <v>623</v>
      </c>
      <c r="AB299" s="423" t="s">
        <v>65</v>
      </c>
      <c r="AC299" s="423"/>
      <c r="AD299" s="423" t="s">
        <v>513</v>
      </c>
      <c r="AE299" s="128">
        <v>1000000000</v>
      </c>
      <c r="AF299" s="116" t="s">
        <v>834</v>
      </c>
      <c r="AG299" s="368" t="s">
        <v>840</v>
      </c>
      <c r="AH299" s="116" t="s">
        <v>332</v>
      </c>
    </row>
    <row r="300" spans="1:34" s="82" customFormat="1" ht="47.25" customHeight="1" x14ac:dyDescent="0.25">
      <c r="A300" s="368" t="s">
        <v>892</v>
      </c>
      <c r="B300" s="428" t="s">
        <v>65</v>
      </c>
      <c r="C300" s="428" t="s">
        <v>846</v>
      </c>
      <c r="D300" s="238" t="s">
        <v>991</v>
      </c>
      <c r="E300" s="397" t="s">
        <v>333</v>
      </c>
      <c r="F300" s="378" t="s">
        <v>978</v>
      </c>
      <c r="G300" s="378" t="s">
        <v>988</v>
      </c>
      <c r="H300" s="158" t="s">
        <v>1006</v>
      </c>
      <c r="I300" s="378" t="s">
        <v>994</v>
      </c>
      <c r="J300" s="158" t="s">
        <v>1119</v>
      </c>
      <c r="K300" s="518">
        <v>852999998</v>
      </c>
      <c r="L300" s="143" t="s">
        <v>338</v>
      </c>
      <c r="M300" s="388" t="s">
        <v>156</v>
      </c>
      <c r="N300" s="158" t="s">
        <v>1202</v>
      </c>
      <c r="O300" s="158"/>
      <c r="P300" s="158"/>
      <c r="Q300" s="158"/>
      <c r="R300" s="158"/>
      <c r="S300" s="116" t="s">
        <v>166</v>
      </c>
      <c r="T300" s="143">
        <v>1</v>
      </c>
      <c r="U300" s="143">
        <v>1</v>
      </c>
      <c r="V300" s="143">
        <v>0</v>
      </c>
      <c r="W300" s="143">
        <v>0</v>
      </c>
      <c r="X300" s="143">
        <v>0</v>
      </c>
      <c r="Y300" s="126" t="s">
        <v>815</v>
      </c>
      <c r="Z300" s="423" t="s">
        <v>190</v>
      </c>
      <c r="AA300" s="423" t="s">
        <v>190</v>
      </c>
      <c r="AB300" s="423" t="s">
        <v>65</v>
      </c>
      <c r="AC300" s="423"/>
      <c r="AD300" s="423" t="s">
        <v>513</v>
      </c>
      <c r="AE300" s="518">
        <v>852999998</v>
      </c>
      <c r="AF300" s="116" t="s">
        <v>834</v>
      </c>
      <c r="AG300" s="368" t="s">
        <v>840</v>
      </c>
      <c r="AH300" s="116" t="s">
        <v>332</v>
      </c>
    </row>
    <row r="301" spans="1:34" s="82" customFormat="1" ht="60" customHeight="1" x14ac:dyDescent="0.25">
      <c r="A301" s="368" t="s">
        <v>892</v>
      </c>
      <c r="B301" s="428" t="s">
        <v>65</v>
      </c>
      <c r="C301" s="428" t="s">
        <v>846</v>
      </c>
      <c r="D301" s="238" t="s">
        <v>991</v>
      </c>
      <c r="E301" s="397" t="s">
        <v>333</v>
      </c>
      <c r="F301" s="378" t="s">
        <v>978</v>
      </c>
      <c r="G301" s="378" t="s">
        <v>988</v>
      </c>
      <c r="H301" s="158" t="s">
        <v>1006</v>
      </c>
      <c r="I301" s="378" t="s">
        <v>994</v>
      </c>
      <c r="J301" s="158" t="s">
        <v>1119</v>
      </c>
      <c r="K301" s="128">
        <v>500000000</v>
      </c>
      <c r="L301" s="143" t="s">
        <v>338</v>
      </c>
      <c r="M301" s="388" t="s">
        <v>156</v>
      </c>
      <c r="N301" s="158" t="s">
        <v>1202</v>
      </c>
      <c r="O301" s="158"/>
      <c r="P301" s="158"/>
      <c r="Q301" s="158"/>
      <c r="R301" s="158"/>
      <c r="S301" s="116" t="s">
        <v>166</v>
      </c>
      <c r="T301" s="143">
        <v>1</v>
      </c>
      <c r="U301" s="143">
        <v>1</v>
      </c>
      <c r="V301" s="143">
        <v>0</v>
      </c>
      <c r="W301" s="143">
        <v>0</v>
      </c>
      <c r="X301" s="143">
        <v>0</v>
      </c>
      <c r="Y301" s="126" t="s">
        <v>816</v>
      </c>
      <c r="Z301" s="423" t="s">
        <v>190</v>
      </c>
      <c r="AA301" s="423" t="s">
        <v>190</v>
      </c>
      <c r="AB301" s="423" t="s">
        <v>65</v>
      </c>
      <c r="AC301" s="113"/>
      <c r="AD301" s="423" t="s">
        <v>541</v>
      </c>
      <c r="AE301" s="128">
        <v>500000000</v>
      </c>
      <c r="AF301" s="116" t="s">
        <v>834</v>
      </c>
      <c r="AG301" s="368" t="s">
        <v>840</v>
      </c>
      <c r="AH301" s="116" t="s">
        <v>332</v>
      </c>
    </row>
    <row r="302" spans="1:34" s="82" customFormat="1" ht="60" customHeight="1" x14ac:dyDescent="0.25">
      <c r="A302" s="368" t="s">
        <v>892</v>
      </c>
      <c r="B302" s="428" t="s">
        <v>65</v>
      </c>
      <c r="C302" s="428" t="s">
        <v>846</v>
      </c>
      <c r="D302" s="238" t="s">
        <v>991</v>
      </c>
      <c r="E302" s="397" t="s">
        <v>333</v>
      </c>
      <c r="F302" s="378" t="s">
        <v>978</v>
      </c>
      <c r="G302" s="378" t="s">
        <v>988</v>
      </c>
      <c r="H302" s="158" t="s">
        <v>1006</v>
      </c>
      <c r="I302" s="378" t="s">
        <v>994</v>
      </c>
      <c r="J302" s="158" t="s">
        <v>1120</v>
      </c>
      <c r="K302" s="128">
        <v>40000000</v>
      </c>
      <c r="L302" s="143" t="s">
        <v>339</v>
      </c>
      <c r="M302" s="328" t="s">
        <v>156</v>
      </c>
      <c r="N302" s="143" t="s">
        <v>1145</v>
      </c>
      <c r="O302" s="158"/>
      <c r="P302" s="158"/>
      <c r="Q302" s="158"/>
      <c r="R302" s="158"/>
      <c r="S302" s="116" t="s">
        <v>166</v>
      </c>
      <c r="T302" s="143">
        <v>4</v>
      </c>
      <c r="U302" s="143">
        <v>1</v>
      </c>
      <c r="V302" s="143">
        <v>1</v>
      </c>
      <c r="W302" s="143">
        <v>1</v>
      </c>
      <c r="X302" s="143">
        <v>1</v>
      </c>
      <c r="Y302" s="313" t="s">
        <v>1204</v>
      </c>
      <c r="Z302" s="423" t="s">
        <v>190</v>
      </c>
      <c r="AA302" s="423" t="s">
        <v>190</v>
      </c>
      <c r="AB302" s="423" t="s">
        <v>65</v>
      </c>
      <c r="AC302" s="113"/>
      <c r="AD302" s="423" t="s">
        <v>541</v>
      </c>
      <c r="AE302" s="128">
        <v>40000000</v>
      </c>
      <c r="AF302" s="368" t="s">
        <v>834</v>
      </c>
      <c r="AG302" s="368" t="s">
        <v>840</v>
      </c>
      <c r="AH302" s="368" t="s">
        <v>332</v>
      </c>
    </row>
    <row r="303" spans="1:34" s="82" customFormat="1" ht="84.75" customHeight="1" x14ac:dyDescent="0.25">
      <c r="A303" s="368" t="s">
        <v>892</v>
      </c>
      <c r="B303" s="428" t="s">
        <v>65</v>
      </c>
      <c r="C303" s="428" t="s">
        <v>846</v>
      </c>
      <c r="D303" s="238" t="s">
        <v>991</v>
      </c>
      <c r="E303" s="397" t="s">
        <v>333</v>
      </c>
      <c r="F303" s="378" t="s">
        <v>978</v>
      </c>
      <c r="G303" s="378" t="s">
        <v>988</v>
      </c>
      <c r="H303" s="158" t="s">
        <v>1006</v>
      </c>
      <c r="I303" s="378" t="s">
        <v>994</v>
      </c>
      <c r="J303" s="158" t="s">
        <v>1120</v>
      </c>
      <c r="K303" s="128">
        <v>1724677000</v>
      </c>
      <c r="L303" s="143" t="s">
        <v>339</v>
      </c>
      <c r="M303" s="328" t="s">
        <v>156</v>
      </c>
      <c r="N303" s="143" t="s">
        <v>1145</v>
      </c>
      <c r="O303" s="158"/>
      <c r="P303" s="158"/>
      <c r="Q303" s="158"/>
      <c r="R303" s="158"/>
      <c r="S303" s="116" t="s">
        <v>166</v>
      </c>
      <c r="T303" s="143">
        <v>4</v>
      </c>
      <c r="U303" s="143">
        <v>1</v>
      </c>
      <c r="V303" s="143">
        <v>1</v>
      </c>
      <c r="W303" s="143">
        <v>1</v>
      </c>
      <c r="X303" s="143">
        <v>1</v>
      </c>
      <c r="Y303" s="126" t="s">
        <v>817</v>
      </c>
      <c r="Z303" s="423" t="s">
        <v>190</v>
      </c>
      <c r="AA303" s="423" t="s">
        <v>190</v>
      </c>
      <c r="AB303" s="423" t="s">
        <v>65</v>
      </c>
      <c r="AC303" s="113"/>
      <c r="AD303" s="423" t="s">
        <v>541</v>
      </c>
      <c r="AE303" s="128">
        <v>1724677000</v>
      </c>
      <c r="AF303" s="368" t="s">
        <v>834</v>
      </c>
      <c r="AG303" s="368" t="s">
        <v>840</v>
      </c>
      <c r="AH303" s="368" t="s">
        <v>332</v>
      </c>
    </row>
    <row r="304" spans="1:34" s="82" customFormat="1" ht="122.25" customHeight="1" x14ac:dyDescent="0.25">
      <c r="A304" s="187" t="s">
        <v>892</v>
      </c>
      <c r="B304" s="182" t="s">
        <v>65</v>
      </c>
      <c r="C304" s="104" t="s">
        <v>846</v>
      </c>
      <c r="D304" s="238" t="s">
        <v>991</v>
      </c>
      <c r="E304" s="270" t="s">
        <v>333</v>
      </c>
      <c r="F304" s="102" t="s">
        <v>978</v>
      </c>
      <c r="G304" s="102" t="s">
        <v>988</v>
      </c>
      <c r="H304" s="103" t="s">
        <v>1006</v>
      </c>
      <c r="I304" s="102" t="s">
        <v>994</v>
      </c>
      <c r="J304" s="215" t="s">
        <v>1119</v>
      </c>
      <c r="K304" s="808">
        <v>47000002</v>
      </c>
      <c r="L304" s="420" t="s">
        <v>818</v>
      </c>
      <c r="M304" s="422" t="s">
        <v>156</v>
      </c>
      <c r="N304" s="420" t="s">
        <v>637</v>
      </c>
      <c r="O304" s="420"/>
      <c r="P304" s="420"/>
      <c r="Q304" s="420"/>
      <c r="R304" s="420"/>
      <c r="S304" s="423" t="s">
        <v>166</v>
      </c>
      <c r="T304" s="420">
        <v>1</v>
      </c>
      <c r="U304" s="420">
        <v>0</v>
      </c>
      <c r="V304" s="420">
        <v>0</v>
      </c>
      <c r="W304" s="420">
        <v>0</v>
      </c>
      <c r="X304" s="420">
        <v>1</v>
      </c>
      <c r="Y304" s="144" t="s">
        <v>815</v>
      </c>
      <c r="Z304" s="423" t="s">
        <v>190</v>
      </c>
      <c r="AA304" s="423" t="s">
        <v>190</v>
      </c>
      <c r="AB304" s="423" t="s">
        <v>65</v>
      </c>
      <c r="AC304" s="423"/>
      <c r="AD304" s="423" t="s">
        <v>541</v>
      </c>
      <c r="AE304" s="808">
        <v>47000002</v>
      </c>
      <c r="AF304" s="423" t="s">
        <v>834</v>
      </c>
      <c r="AG304" s="423" t="s">
        <v>840</v>
      </c>
      <c r="AH304" s="423" t="s">
        <v>332</v>
      </c>
    </row>
    <row r="305" spans="1:34" ht="107.25" customHeight="1" x14ac:dyDescent="0.25">
      <c r="A305" s="187" t="s">
        <v>892</v>
      </c>
      <c r="B305" s="182" t="s">
        <v>65</v>
      </c>
      <c r="C305" s="104" t="s">
        <v>848</v>
      </c>
      <c r="D305" s="238" t="s">
        <v>1002</v>
      </c>
      <c r="E305" s="121" t="s">
        <v>340</v>
      </c>
      <c r="F305" s="102" t="s">
        <v>978</v>
      </c>
      <c r="G305" s="102" t="s">
        <v>1003</v>
      </c>
      <c r="H305" s="103" t="s">
        <v>998</v>
      </c>
      <c r="I305" s="102" t="s">
        <v>1001</v>
      </c>
      <c r="J305" s="215" t="s">
        <v>1121</v>
      </c>
      <c r="K305" s="490">
        <v>0</v>
      </c>
      <c r="L305" s="420" t="s">
        <v>342</v>
      </c>
      <c r="M305" s="422" t="s">
        <v>156</v>
      </c>
      <c r="N305" s="420" t="s">
        <v>1203</v>
      </c>
      <c r="O305" s="420"/>
      <c r="P305" s="420"/>
      <c r="Q305" s="420"/>
      <c r="R305" s="420"/>
      <c r="S305" s="423" t="s">
        <v>166</v>
      </c>
      <c r="T305" s="420">
        <v>1</v>
      </c>
      <c r="U305" s="420">
        <v>0</v>
      </c>
      <c r="V305" s="420">
        <v>0</v>
      </c>
      <c r="W305" s="420">
        <v>1</v>
      </c>
      <c r="X305" s="420">
        <v>0</v>
      </c>
      <c r="Y305" s="420"/>
      <c r="Z305" s="423"/>
      <c r="AA305" s="423"/>
      <c r="AB305" s="423" t="s">
        <v>65</v>
      </c>
      <c r="AC305" s="423"/>
      <c r="AD305" s="423"/>
      <c r="AE305" s="490">
        <v>0</v>
      </c>
      <c r="AF305" s="423" t="s">
        <v>834</v>
      </c>
      <c r="AG305" s="423" t="s">
        <v>836</v>
      </c>
      <c r="AH305" s="423" t="s">
        <v>347</v>
      </c>
    </row>
    <row r="306" spans="1:34" s="82" customFormat="1" ht="66.75" customHeight="1" x14ac:dyDescent="0.25">
      <c r="A306" s="116" t="s">
        <v>892</v>
      </c>
      <c r="B306" s="162" t="s">
        <v>65</v>
      </c>
      <c r="C306" s="428" t="s">
        <v>848</v>
      </c>
      <c r="D306" s="447" t="s">
        <v>1002</v>
      </c>
      <c r="E306" s="394" t="s">
        <v>340</v>
      </c>
      <c r="F306" s="160" t="s">
        <v>978</v>
      </c>
      <c r="G306" s="160" t="s">
        <v>1003</v>
      </c>
      <c r="H306" s="158" t="s">
        <v>998</v>
      </c>
      <c r="I306" s="160" t="s">
        <v>1001</v>
      </c>
      <c r="J306" s="408" t="s">
        <v>1122</v>
      </c>
      <c r="K306" s="128">
        <v>550228000</v>
      </c>
      <c r="L306" s="143" t="s">
        <v>343</v>
      </c>
      <c r="M306" s="328" t="s">
        <v>156</v>
      </c>
      <c r="N306" s="143" t="s">
        <v>585</v>
      </c>
      <c r="O306" s="158"/>
      <c r="P306" s="158"/>
      <c r="Q306" s="158"/>
      <c r="R306" s="158"/>
      <c r="S306" s="116" t="s">
        <v>550</v>
      </c>
      <c r="T306" s="143">
        <v>96</v>
      </c>
      <c r="U306" s="143">
        <v>65</v>
      </c>
      <c r="V306" s="143">
        <v>10</v>
      </c>
      <c r="W306" s="143">
        <v>15</v>
      </c>
      <c r="X306" s="143">
        <v>6</v>
      </c>
      <c r="Y306" s="126" t="s">
        <v>819</v>
      </c>
      <c r="Z306" s="423" t="s">
        <v>867</v>
      </c>
      <c r="AA306" s="450" t="s">
        <v>868</v>
      </c>
      <c r="AB306" s="423" t="s">
        <v>65</v>
      </c>
      <c r="AC306" s="423" t="s">
        <v>542</v>
      </c>
      <c r="AD306" s="423"/>
      <c r="AE306" s="128">
        <v>550228000</v>
      </c>
      <c r="AF306" s="116" t="s">
        <v>834</v>
      </c>
      <c r="AG306" s="368" t="s">
        <v>836</v>
      </c>
      <c r="AH306" s="116" t="s">
        <v>347</v>
      </c>
    </row>
    <row r="307" spans="1:34" s="82" customFormat="1" ht="53.25" customHeight="1" x14ac:dyDescent="0.25">
      <c r="A307" s="116" t="s">
        <v>892</v>
      </c>
      <c r="B307" s="162" t="s">
        <v>65</v>
      </c>
      <c r="C307" s="428" t="s">
        <v>848</v>
      </c>
      <c r="D307" s="447" t="s">
        <v>1002</v>
      </c>
      <c r="E307" s="394" t="s">
        <v>340</v>
      </c>
      <c r="F307" s="160" t="s">
        <v>978</v>
      </c>
      <c r="G307" s="160" t="s">
        <v>1003</v>
      </c>
      <c r="H307" s="158" t="s">
        <v>998</v>
      </c>
      <c r="I307" s="160" t="s">
        <v>1001</v>
      </c>
      <c r="J307" s="408" t="s">
        <v>1122</v>
      </c>
      <c r="K307" s="128">
        <f>1297135000-13800000</f>
        <v>1283335000</v>
      </c>
      <c r="L307" s="143" t="s">
        <v>343</v>
      </c>
      <c r="M307" s="328" t="s">
        <v>156</v>
      </c>
      <c r="N307" s="143" t="s">
        <v>585</v>
      </c>
      <c r="O307" s="158"/>
      <c r="P307" s="158"/>
      <c r="Q307" s="158"/>
      <c r="R307" s="158"/>
      <c r="S307" s="116" t="s">
        <v>550</v>
      </c>
      <c r="T307" s="143">
        <v>96</v>
      </c>
      <c r="U307" s="143">
        <v>65</v>
      </c>
      <c r="V307" s="143">
        <v>10</v>
      </c>
      <c r="W307" s="143">
        <v>15</v>
      </c>
      <c r="X307" s="143">
        <v>6</v>
      </c>
      <c r="Y307" s="126" t="s">
        <v>820</v>
      </c>
      <c r="Z307" s="423" t="s">
        <v>190</v>
      </c>
      <c r="AA307" s="450" t="s">
        <v>623</v>
      </c>
      <c r="AB307" s="423" t="s">
        <v>65</v>
      </c>
      <c r="AC307" s="423" t="s">
        <v>542</v>
      </c>
      <c r="AE307" s="128">
        <f>1297135000-13800000</f>
        <v>1283335000</v>
      </c>
      <c r="AF307" s="116" t="s">
        <v>834</v>
      </c>
      <c r="AG307" s="368" t="s">
        <v>836</v>
      </c>
      <c r="AH307" s="116" t="s">
        <v>347</v>
      </c>
    </row>
    <row r="308" spans="1:34" s="82" customFormat="1" ht="71.25" customHeight="1" x14ac:dyDescent="0.25">
      <c r="A308" s="116" t="s">
        <v>892</v>
      </c>
      <c r="B308" s="162" t="s">
        <v>65</v>
      </c>
      <c r="C308" s="428" t="s">
        <v>848</v>
      </c>
      <c r="D308" s="447" t="s">
        <v>1002</v>
      </c>
      <c r="E308" s="394" t="s">
        <v>340</v>
      </c>
      <c r="F308" s="160" t="s">
        <v>978</v>
      </c>
      <c r="G308" s="160" t="s">
        <v>1003</v>
      </c>
      <c r="H308" s="158" t="s">
        <v>998</v>
      </c>
      <c r="I308" s="160" t="s">
        <v>1001</v>
      </c>
      <c r="J308" s="408" t="s">
        <v>1123</v>
      </c>
      <c r="K308" s="752">
        <f>76000000</f>
        <v>76000000</v>
      </c>
      <c r="L308" s="143" t="s">
        <v>344</v>
      </c>
      <c r="M308" s="328" t="s">
        <v>156</v>
      </c>
      <c r="N308" s="143" t="s">
        <v>585</v>
      </c>
      <c r="O308" s="158"/>
      <c r="P308" s="158"/>
      <c r="Q308" s="158"/>
      <c r="R308" s="158"/>
      <c r="S308" s="116" t="s">
        <v>166</v>
      </c>
      <c r="T308" s="143">
        <v>41</v>
      </c>
      <c r="U308" s="143">
        <v>34</v>
      </c>
      <c r="V308" s="143">
        <v>2</v>
      </c>
      <c r="W308" s="143">
        <v>3</v>
      </c>
      <c r="X308" s="143">
        <v>2</v>
      </c>
      <c r="Y308" s="126" t="s">
        <v>821</v>
      </c>
      <c r="Z308" s="423" t="s">
        <v>867</v>
      </c>
      <c r="AA308" s="450" t="s">
        <v>868</v>
      </c>
      <c r="AB308" s="423" t="s">
        <v>65</v>
      </c>
      <c r="AC308" s="423" t="s">
        <v>542</v>
      </c>
      <c r="AD308" s="423"/>
      <c r="AE308" s="752">
        <f>76000000</f>
        <v>76000000</v>
      </c>
      <c r="AF308" s="116" t="s">
        <v>834</v>
      </c>
      <c r="AG308" s="368" t="s">
        <v>836</v>
      </c>
      <c r="AH308" s="116" t="s">
        <v>347</v>
      </c>
    </row>
    <row r="309" spans="1:34" s="82" customFormat="1" ht="71.25" customHeight="1" x14ac:dyDescent="0.25">
      <c r="A309" s="116" t="s">
        <v>892</v>
      </c>
      <c r="B309" s="162" t="s">
        <v>65</v>
      </c>
      <c r="C309" s="428" t="s">
        <v>848</v>
      </c>
      <c r="D309" s="447" t="s">
        <v>1002</v>
      </c>
      <c r="E309" s="394" t="s">
        <v>340</v>
      </c>
      <c r="F309" s="160" t="s">
        <v>978</v>
      </c>
      <c r="G309" s="160" t="s">
        <v>1003</v>
      </c>
      <c r="H309" s="158" t="s">
        <v>998</v>
      </c>
      <c r="I309" s="160" t="s">
        <v>1001</v>
      </c>
      <c r="J309" s="408" t="s">
        <v>1123</v>
      </c>
      <c r="K309" s="753">
        <v>325161210</v>
      </c>
      <c r="L309" s="790" t="s">
        <v>345</v>
      </c>
      <c r="M309" s="328" t="s">
        <v>156</v>
      </c>
      <c r="N309" s="143" t="s">
        <v>585</v>
      </c>
      <c r="O309" s="158"/>
      <c r="P309" s="158"/>
      <c r="Q309" s="158"/>
      <c r="R309" s="158"/>
      <c r="S309" s="116" t="s">
        <v>166</v>
      </c>
      <c r="T309" s="790">
        <v>90</v>
      </c>
      <c r="U309" s="790">
        <v>15</v>
      </c>
      <c r="V309" s="790">
        <v>15</v>
      </c>
      <c r="W309" s="790">
        <v>20</v>
      </c>
      <c r="X309" s="790">
        <v>40</v>
      </c>
      <c r="Y309" s="126" t="s">
        <v>1225</v>
      </c>
      <c r="Z309" s="423" t="s">
        <v>198</v>
      </c>
      <c r="AA309" s="450" t="s">
        <v>750</v>
      </c>
      <c r="AB309" s="423" t="s">
        <v>65</v>
      </c>
      <c r="AC309" s="423" t="s">
        <v>542</v>
      </c>
      <c r="AD309" s="423"/>
      <c r="AE309" s="753">
        <v>325161210</v>
      </c>
      <c r="AF309" s="116" t="s">
        <v>834</v>
      </c>
      <c r="AG309" s="368" t="s">
        <v>836</v>
      </c>
      <c r="AH309" s="116" t="s">
        <v>347</v>
      </c>
    </row>
    <row r="310" spans="1:34" s="82" customFormat="1" ht="69.75" customHeight="1" x14ac:dyDescent="0.25">
      <c r="A310" s="116" t="s">
        <v>892</v>
      </c>
      <c r="B310" s="162" t="s">
        <v>65</v>
      </c>
      <c r="C310" s="428" t="s">
        <v>848</v>
      </c>
      <c r="D310" s="447" t="s">
        <v>1002</v>
      </c>
      <c r="E310" s="394" t="s">
        <v>340</v>
      </c>
      <c r="F310" s="160" t="s">
        <v>978</v>
      </c>
      <c r="G310" s="160" t="s">
        <v>1003</v>
      </c>
      <c r="H310" s="158" t="s">
        <v>998</v>
      </c>
      <c r="I310" s="160" t="s">
        <v>1001</v>
      </c>
      <c r="J310" s="408" t="s">
        <v>1123</v>
      </c>
      <c r="K310" s="752">
        <f>48907395+150000000+45000000+45000000+325161210+13800000-63188522</f>
        <v>564680083</v>
      </c>
      <c r="L310" s="143" t="s">
        <v>344</v>
      </c>
      <c r="M310" s="328" t="s">
        <v>156</v>
      </c>
      <c r="N310" s="143" t="s">
        <v>585</v>
      </c>
      <c r="O310" s="158"/>
      <c r="P310" s="158"/>
      <c r="Q310" s="158"/>
      <c r="R310" s="158"/>
      <c r="S310" s="116" t="s">
        <v>166</v>
      </c>
      <c r="T310" s="143">
        <v>41</v>
      </c>
      <c r="U310" s="143">
        <v>34</v>
      </c>
      <c r="V310" s="143">
        <v>2</v>
      </c>
      <c r="W310" s="143">
        <v>3</v>
      </c>
      <c r="X310" s="143">
        <v>2</v>
      </c>
      <c r="Y310" s="126" t="s">
        <v>1224</v>
      </c>
      <c r="Z310" s="423" t="s">
        <v>190</v>
      </c>
      <c r="AA310" s="450" t="s">
        <v>623</v>
      </c>
      <c r="AB310" s="423" t="s">
        <v>65</v>
      </c>
      <c r="AC310" s="423" t="s">
        <v>542</v>
      </c>
      <c r="AE310" s="752">
        <f>48907395+150000000+45000000+45000000+325161210+13800000-63188522</f>
        <v>564680083</v>
      </c>
      <c r="AF310" s="116" t="s">
        <v>834</v>
      </c>
      <c r="AG310" s="368" t="s">
        <v>836</v>
      </c>
      <c r="AH310" s="116" t="s">
        <v>347</v>
      </c>
    </row>
    <row r="311" spans="1:34" s="82" customFormat="1" ht="76.5" customHeight="1" x14ac:dyDescent="0.25">
      <c r="A311" s="116" t="s">
        <v>892</v>
      </c>
      <c r="B311" s="162" t="s">
        <v>65</v>
      </c>
      <c r="C311" s="428" t="s">
        <v>848</v>
      </c>
      <c r="D311" s="447" t="s">
        <v>1002</v>
      </c>
      <c r="E311" s="394" t="s">
        <v>340</v>
      </c>
      <c r="F311" s="160" t="s">
        <v>978</v>
      </c>
      <c r="G311" s="160" t="s">
        <v>1003</v>
      </c>
      <c r="H311" s="158" t="s">
        <v>998</v>
      </c>
      <c r="I311" s="160" t="s">
        <v>1001</v>
      </c>
      <c r="J311" s="408" t="s">
        <v>1124</v>
      </c>
      <c r="K311" s="752">
        <f>224000000</f>
        <v>224000000</v>
      </c>
      <c r="L311" s="143" t="s">
        <v>345</v>
      </c>
      <c r="M311" s="328" t="s">
        <v>156</v>
      </c>
      <c r="N311" s="143" t="s">
        <v>637</v>
      </c>
      <c r="O311" s="158"/>
      <c r="P311" s="158"/>
      <c r="Q311" s="158"/>
      <c r="R311" s="158"/>
      <c r="S311" s="116" t="s">
        <v>550</v>
      </c>
      <c r="T311" s="143">
        <v>90</v>
      </c>
      <c r="U311" s="143">
        <v>15</v>
      </c>
      <c r="V311" s="143">
        <v>15</v>
      </c>
      <c r="W311" s="143">
        <v>20</v>
      </c>
      <c r="X311" s="143">
        <v>40</v>
      </c>
      <c r="Y311" s="126" t="s">
        <v>821</v>
      </c>
      <c r="Z311" s="423" t="s">
        <v>867</v>
      </c>
      <c r="AA311" s="450" t="s">
        <v>868</v>
      </c>
      <c r="AB311" s="423" t="s">
        <v>65</v>
      </c>
      <c r="AC311" s="423" t="s">
        <v>542</v>
      </c>
      <c r="AD311" s="423"/>
      <c r="AE311" s="752">
        <f>224000000</f>
        <v>224000000</v>
      </c>
      <c r="AF311" s="116" t="s">
        <v>834</v>
      </c>
      <c r="AG311" s="368" t="s">
        <v>836</v>
      </c>
      <c r="AH311" s="116" t="s">
        <v>347</v>
      </c>
    </row>
    <row r="312" spans="1:34" s="82" customFormat="1" ht="72" customHeight="1" x14ac:dyDescent="0.25">
      <c r="A312" s="116" t="s">
        <v>892</v>
      </c>
      <c r="B312" s="162" t="s">
        <v>65</v>
      </c>
      <c r="C312" s="428" t="s">
        <v>848</v>
      </c>
      <c r="D312" s="447" t="s">
        <v>1002</v>
      </c>
      <c r="E312" s="394" t="s">
        <v>340</v>
      </c>
      <c r="F312" s="160" t="s">
        <v>978</v>
      </c>
      <c r="G312" s="160" t="s">
        <v>1003</v>
      </c>
      <c r="H312" s="158" t="s">
        <v>998</v>
      </c>
      <c r="I312" s="160" t="s">
        <v>1001</v>
      </c>
      <c r="J312" s="408" t="s">
        <v>1124</v>
      </c>
      <c r="K312" s="752">
        <f>3500000000-K309</f>
        <v>3174838790</v>
      </c>
      <c r="L312" s="143" t="s">
        <v>345</v>
      </c>
      <c r="M312" s="328" t="s">
        <v>156</v>
      </c>
      <c r="N312" s="143" t="s">
        <v>637</v>
      </c>
      <c r="O312" s="158"/>
      <c r="P312" s="158"/>
      <c r="Q312" s="158"/>
      <c r="R312" s="158"/>
      <c r="S312" s="116" t="s">
        <v>550</v>
      </c>
      <c r="T312" s="143">
        <v>90</v>
      </c>
      <c r="U312" s="143">
        <v>15</v>
      </c>
      <c r="V312" s="143">
        <v>15</v>
      </c>
      <c r="W312" s="143">
        <v>20</v>
      </c>
      <c r="X312" s="143">
        <v>40</v>
      </c>
      <c r="Y312" s="126" t="s">
        <v>829</v>
      </c>
      <c r="Z312" s="423" t="s">
        <v>190</v>
      </c>
      <c r="AA312" s="450" t="s">
        <v>623</v>
      </c>
      <c r="AB312" s="423" t="s">
        <v>65</v>
      </c>
      <c r="AC312" s="423" t="s">
        <v>542</v>
      </c>
      <c r="AE312" s="752">
        <f>3500000000-AE309</f>
        <v>3174838790</v>
      </c>
      <c r="AF312" s="116" t="s">
        <v>834</v>
      </c>
      <c r="AG312" s="368" t="s">
        <v>836</v>
      </c>
      <c r="AH312" s="116" t="s">
        <v>347</v>
      </c>
    </row>
    <row r="313" spans="1:34" ht="102.75" customHeight="1" x14ac:dyDescent="0.25">
      <c r="A313" s="187" t="s">
        <v>892</v>
      </c>
      <c r="B313" s="182" t="s">
        <v>65</v>
      </c>
      <c r="C313" s="104" t="s">
        <v>848</v>
      </c>
      <c r="D313" s="238" t="s">
        <v>1002</v>
      </c>
      <c r="E313" s="214" t="s">
        <v>340</v>
      </c>
      <c r="F313" s="102" t="s">
        <v>978</v>
      </c>
      <c r="G313" s="102" t="s">
        <v>1003</v>
      </c>
      <c r="H313" s="103" t="s">
        <v>998</v>
      </c>
      <c r="I313" s="102" t="s">
        <v>1001</v>
      </c>
      <c r="J313" s="249" t="s">
        <v>1125</v>
      </c>
      <c r="K313" s="437">
        <v>45000000</v>
      </c>
      <c r="L313" s="420" t="s">
        <v>346</v>
      </c>
      <c r="M313" s="422" t="s">
        <v>156</v>
      </c>
      <c r="N313" s="420" t="s">
        <v>637</v>
      </c>
      <c r="O313" s="420"/>
      <c r="P313" s="420"/>
      <c r="Q313" s="420"/>
      <c r="R313" s="420"/>
      <c r="S313" s="423" t="s">
        <v>166</v>
      </c>
      <c r="T313" s="420">
        <v>125</v>
      </c>
      <c r="U313" s="420">
        <v>10</v>
      </c>
      <c r="V313" s="420">
        <v>20</v>
      </c>
      <c r="W313" s="420">
        <v>45</v>
      </c>
      <c r="X313" s="420">
        <v>50</v>
      </c>
      <c r="Y313" s="126" t="s">
        <v>822</v>
      </c>
      <c r="Z313" s="423" t="s">
        <v>190</v>
      </c>
      <c r="AA313" s="450" t="s">
        <v>623</v>
      </c>
      <c r="AB313" s="423" t="s">
        <v>65</v>
      </c>
      <c r="AC313" s="423" t="s">
        <v>542</v>
      </c>
      <c r="AD313" s="71"/>
      <c r="AE313" s="777">
        <v>45000000</v>
      </c>
      <c r="AF313" s="423" t="s">
        <v>834</v>
      </c>
      <c r="AG313" s="423" t="s">
        <v>836</v>
      </c>
      <c r="AH313" s="423" t="s">
        <v>347</v>
      </c>
    </row>
    <row r="314" spans="1:34" ht="15" customHeight="1" x14ac:dyDescent="0.25">
      <c r="A314" s="115"/>
      <c r="B314" s="115"/>
      <c r="C314" s="115"/>
      <c r="D314" s="58"/>
      <c r="E314" s="115"/>
      <c r="F314" s="115"/>
      <c r="G314" s="115"/>
      <c r="H314" s="115"/>
      <c r="I314" s="115"/>
      <c r="J314" s="115"/>
      <c r="K314" s="840">
        <f>SUM(K20:K313)</f>
        <v>978388352690</v>
      </c>
      <c r="L314" s="122"/>
      <c r="M314" s="122"/>
      <c r="N314" s="122"/>
      <c r="O314" s="122"/>
      <c r="P314" s="122"/>
      <c r="Q314" s="122"/>
      <c r="R314" s="122"/>
      <c r="S314" s="122"/>
      <c r="T314" s="122"/>
      <c r="U314" s="115"/>
      <c r="V314" s="115"/>
      <c r="W314" s="115"/>
      <c r="X314" s="115"/>
      <c r="Y314" s="115"/>
      <c r="Z314" s="115"/>
      <c r="AA314" s="115"/>
      <c r="AB314" s="115"/>
      <c r="AC314" s="115"/>
      <c r="AD314" s="115"/>
      <c r="AE314" s="122">
        <f>SUM(AE20:AE313)</f>
        <v>978388352690</v>
      </c>
      <c r="AF314" s="157"/>
      <c r="AG314" s="115"/>
      <c r="AH314" s="115"/>
    </row>
    <row r="315" spans="1:34" x14ac:dyDescent="0.25">
      <c r="A315" s="14"/>
      <c r="B315" s="14"/>
      <c r="C315" s="14"/>
      <c r="D315" s="76"/>
      <c r="E315" s="14"/>
      <c r="F315" s="14"/>
      <c r="K315" s="73"/>
      <c r="L315" s="73"/>
      <c r="M315" s="73"/>
      <c r="N315" s="73"/>
      <c r="O315" s="73"/>
      <c r="P315" s="73"/>
      <c r="Q315" s="73"/>
      <c r="R315" s="73"/>
      <c r="S315" s="73"/>
      <c r="T315" s="73"/>
      <c r="U315" s="14"/>
      <c r="V315" s="14"/>
      <c r="W315" s="14"/>
      <c r="X315" s="14"/>
      <c r="Y315" s="14"/>
      <c r="Z315" s="14"/>
      <c r="AA315" s="14"/>
      <c r="AB315" s="14"/>
      <c r="AC315" s="14"/>
      <c r="AD315" s="14"/>
      <c r="AE315" s="14"/>
      <c r="AF315" s="14"/>
      <c r="AG315" s="14"/>
      <c r="AH315" s="14"/>
    </row>
    <row r="316" spans="1:34" x14ac:dyDescent="0.25">
      <c r="A316" s="14"/>
      <c r="B316" s="14"/>
      <c r="C316" s="14"/>
      <c r="D316" s="210"/>
      <c r="E316" s="14"/>
      <c r="F316" s="15"/>
      <c r="G316" s="15"/>
      <c r="H316" s="15"/>
      <c r="I316" s="15"/>
      <c r="J316" s="15"/>
      <c r="K316" s="74"/>
      <c r="L316" s="74"/>
      <c r="M316" s="74"/>
      <c r="N316" s="74"/>
      <c r="O316" s="74"/>
      <c r="P316" s="74"/>
      <c r="Q316" s="74"/>
      <c r="R316" s="74"/>
      <c r="S316" s="74"/>
      <c r="T316" s="74"/>
      <c r="U316" s="14"/>
      <c r="V316" s="14"/>
      <c r="W316" s="14"/>
      <c r="X316" s="14"/>
      <c r="Y316" s="14"/>
      <c r="Z316" s="14"/>
      <c r="AA316" s="14"/>
      <c r="AB316" s="14"/>
      <c r="AC316" s="14"/>
      <c r="AD316" s="14"/>
      <c r="AE316" s="14"/>
      <c r="AF316" s="71"/>
      <c r="AG316" s="16"/>
      <c r="AH316" s="14"/>
    </row>
    <row r="317" spans="1:34" ht="23.25" x14ac:dyDescent="0.35">
      <c r="A317" s="14"/>
      <c r="B317" s="14"/>
      <c r="C317" s="14"/>
      <c r="D317" s="210"/>
      <c r="E317" s="14" t="s">
        <v>1243</v>
      </c>
      <c r="F317" s="72" t="s">
        <v>434</v>
      </c>
      <c r="G317" s="72"/>
      <c r="H317" s="72"/>
      <c r="I317" s="72"/>
      <c r="J317" s="72"/>
      <c r="K317" s="106">
        <v>54057770421</v>
      </c>
      <c r="L317" s="84"/>
      <c r="M317" s="84"/>
      <c r="N317" s="84"/>
      <c r="O317" s="84"/>
      <c r="P317" s="84"/>
      <c r="Q317" s="84"/>
      <c r="R317" s="84"/>
      <c r="S317" s="84"/>
      <c r="T317" s="84"/>
      <c r="U317" s="14"/>
      <c r="V317" s="14"/>
      <c r="W317" s="14"/>
      <c r="X317" s="14"/>
      <c r="Y317" s="14"/>
      <c r="Z317" s="14"/>
      <c r="AA317" s="14"/>
      <c r="AB317" s="14"/>
      <c r="AC317" s="14"/>
      <c r="AD317" s="14"/>
      <c r="AE317" s="14"/>
      <c r="AF317" s="71"/>
      <c r="AG317" s="16"/>
      <c r="AH317" s="14"/>
    </row>
    <row r="318" spans="1:34" x14ac:dyDescent="0.25">
      <c r="A318" s="14"/>
      <c r="B318" s="14"/>
      <c r="C318" s="14"/>
      <c r="D318" s="210"/>
      <c r="E318" s="14"/>
      <c r="F318" s="14"/>
      <c r="G318" s="14"/>
      <c r="H318" s="14"/>
      <c r="I318" s="14"/>
      <c r="J318" s="14"/>
      <c r="K318" s="84">
        <f>+K317+K316+K314</f>
        <v>1032446123111</v>
      </c>
      <c r="L318" s="84"/>
      <c r="M318" s="84"/>
      <c r="N318" s="84"/>
      <c r="O318" s="84"/>
      <c r="P318" s="84"/>
      <c r="Q318" s="84"/>
      <c r="R318" s="84"/>
      <c r="S318" s="84"/>
      <c r="T318" s="84"/>
      <c r="U318" s="14"/>
      <c r="V318" s="14"/>
      <c r="W318" s="14"/>
      <c r="X318" s="14"/>
      <c r="Y318" s="14"/>
      <c r="Z318" s="14"/>
      <c r="AA318" s="14"/>
      <c r="AB318" s="14"/>
      <c r="AC318" s="57"/>
      <c r="AD318" s="71"/>
      <c r="AE318" s="14"/>
      <c r="AF318" s="71"/>
      <c r="AG318" s="16"/>
      <c r="AH318" s="14"/>
    </row>
    <row r="319" spans="1:34" x14ac:dyDescent="0.25">
      <c r="A319" s="14"/>
      <c r="B319" s="14"/>
      <c r="C319" s="14"/>
      <c r="D319" s="210"/>
      <c r="E319" s="14"/>
      <c r="F319" s="14"/>
      <c r="G319" s="14"/>
      <c r="H319" s="14"/>
      <c r="I319" s="14"/>
      <c r="J319" s="14"/>
      <c r="K319" s="70"/>
      <c r="L319" s="70"/>
      <c r="M319" s="70"/>
      <c r="N319" s="70"/>
      <c r="O319" s="70"/>
      <c r="P319" s="70"/>
      <c r="Q319" s="70"/>
      <c r="R319" s="70"/>
      <c r="S319" s="70"/>
      <c r="T319" s="70"/>
      <c r="U319" s="14"/>
      <c r="V319" s="14"/>
      <c r="W319" s="14"/>
      <c r="X319" s="14"/>
      <c r="Y319" s="14"/>
      <c r="Z319" s="14"/>
      <c r="AA319" s="14"/>
      <c r="AB319" s="14"/>
      <c r="AC319" s="57"/>
      <c r="AD319" s="71"/>
      <c r="AE319" s="14"/>
      <c r="AF319" s="71"/>
      <c r="AG319" s="16"/>
      <c r="AH319" s="14"/>
    </row>
    <row r="320" spans="1:34" x14ac:dyDescent="0.25">
      <c r="A320" s="14"/>
      <c r="B320" s="14"/>
      <c r="C320" s="14"/>
      <c r="D320" s="210"/>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57"/>
      <c r="AD320" s="71"/>
      <c r="AE320" s="14"/>
      <c r="AF320" s="71"/>
      <c r="AG320" s="16"/>
      <c r="AH320" s="14"/>
    </row>
    <row r="321" spans="1:34" x14ac:dyDescent="0.25">
      <c r="A321" s="14"/>
      <c r="B321" s="14"/>
      <c r="C321" s="14"/>
      <c r="D321" s="210"/>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57"/>
      <c r="AD321" s="71"/>
      <c r="AE321" s="14"/>
      <c r="AF321" s="71"/>
      <c r="AG321" s="16"/>
      <c r="AH321" s="14"/>
    </row>
    <row r="322" spans="1:34" x14ac:dyDescent="0.25">
      <c r="A322" s="14"/>
      <c r="B322" s="14"/>
      <c r="C322" s="14"/>
      <c r="D322" s="210"/>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57"/>
      <c r="AD322" s="71"/>
      <c r="AE322" s="14"/>
      <c r="AF322" s="71"/>
      <c r="AG322" s="16"/>
      <c r="AH322" s="14"/>
    </row>
    <row r="323" spans="1:34" x14ac:dyDescent="0.25">
      <c r="A323" s="14"/>
      <c r="B323" s="14"/>
      <c r="C323" s="14"/>
      <c r="D323" s="210"/>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57"/>
      <c r="AD323" s="71"/>
      <c r="AE323" s="14"/>
      <c r="AF323" s="71"/>
      <c r="AG323" s="16"/>
      <c r="AH323" s="14"/>
    </row>
    <row r="324" spans="1:34" x14ac:dyDescent="0.25">
      <c r="A324" s="14"/>
      <c r="B324" s="14"/>
      <c r="C324" s="14"/>
      <c r="D324" s="210"/>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57"/>
      <c r="AD324" s="71"/>
      <c r="AE324" s="14"/>
      <c r="AF324" s="71"/>
      <c r="AG324" s="16"/>
      <c r="AH324" s="14"/>
    </row>
    <row r="325" spans="1:34" x14ac:dyDescent="0.25">
      <c r="A325" s="14"/>
      <c r="B325" s="14"/>
      <c r="C325" s="14"/>
      <c r="D325" s="210"/>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57"/>
      <c r="AD325" s="71"/>
      <c r="AE325" s="14"/>
      <c r="AF325" s="71"/>
      <c r="AG325" s="16"/>
      <c r="AH325" s="14"/>
    </row>
    <row r="326" spans="1:34" x14ac:dyDescent="0.25">
      <c r="A326" s="14"/>
      <c r="B326" s="14"/>
      <c r="C326" s="14"/>
      <c r="D326" s="210"/>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57"/>
      <c r="AD326" s="71"/>
      <c r="AE326" s="14"/>
      <c r="AF326" s="71"/>
      <c r="AG326" s="16"/>
      <c r="AH326" s="14"/>
    </row>
    <row r="327" spans="1:34" x14ac:dyDescent="0.25">
      <c r="A327" s="14"/>
      <c r="B327" s="14"/>
      <c r="C327" s="14"/>
      <c r="D327" s="210"/>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57"/>
      <c r="AD327" s="71"/>
      <c r="AE327" s="14"/>
      <c r="AF327" s="71"/>
      <c r="AG327" s="16"/>
      <c r="AH327" s="14"/>
    </row>
    <row r="328" spans="1:34" x14ac:dyDescent="0.25">
      <c r="A328" s="14"/>
      <c r="B328" s="14"/>
      <c r="C328" s="14"/>
      <c r="D328" s="210"/>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57"/>
      <c r="AD328" s="71"/>
      <c r="AE328" s="14"/>
      <c r="AF328" s="71"/>
      <c r="AG328" s="16"/>
      <c r="AH328" s="14"/>
    </row>
    <row r="329" spans="1:34" x14ac:dyDescent="0.25">
      <c r="A329" s="14"/>
      <c r="B329" s="14"/>
      <c r="C329" s="14"/>
      <c r="D329" s="210"/>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57"/>
      <c r="AD329" s="71"/>
      <c r="AE329" s="14"/>
      <c r="AF329" s="71"/>
      <c r="AG329" s="16"/>
      <c r="AH329" s="14"/>
    </row>
    <row r="330" spans="1:34" x14ac:dyDescent="0.25">
      <c r="A330" s="14"/>
      <c r="B330" s="14"/>
      <c r="C330" s="14"/>
      <c r="D330" s="210"/>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57"/>
      <c r="AD330" s="71"/>
      <c r="AE330" s="14"/>
      <c r="AF330" s="71"/>
      <c r="AG330" s="16"/>
      <c r="AH330" s="14"/>
    </row>
    <row r="331" spans="1:34" x14ac:dyDescent="0.25">
      <c r="A331" s="14"/>
      <c r="B331" s="14"/>
      <c r="C331" s="14"/>
      <c r="D331" s="210"/>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57"/>
      <c r="AD331" s="71"/>
      <c r="AE331" s="14"/>
      <c r="AF331" s="71"/>
      <c r="AG331" s="16"/>
      <c r="AH331" s="14"/>
    </row>
    <row r="332" spans="1:34" x14ac:dyDescent="0.25">
      <c r="A332" s="14"/>
      <c r="B332" s="14"/>
      <c r="C332" s="14"/>
      <c r="D332" s="210"/>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57"/>
      <c r="AD332" s="71"/>
      <c r="AE332" s="14"/>
      <c r="AF332" s="71"/>
      <c r="AG332" s="16"/>
      <c r="AH332" s="14"/>
    </row>
    <row r="333" spans="1:34" x14ac:dyDescent="0.25">
      <c r="A333" s="14"/>
      <c r="B333" s="14"/>
      <c r="C333" s="14"/>
      <c r="D333" s="210"/>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57"/>
      <c r="AD333" s="71"/>
      <c r="AE333" s="14"/>
      <c r="AF333" s="71"/>
      <c r="AG333" s="16"/>
      <c r="AH333" s="14"/>
    </row>
    <row r="334" spans="1:34" x14ac:dyDescent="0.25">
      <c r="A334" s="14"/>
      <c r="B334" s="14"/>
      <c r="C334" s="14"/>
      <c r="D334" s="210"/>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57"/>
      <c r="AD334" s="71"/>
      <c r="AE334" s="14"/>
      <c r="AF334" s="71"/>
      <c r="AG334" s="16"/>
      <c r="AH334" s="14"/>
    </row>
    <row r="335" spans="1:34" x14ac:dyDescent="0.25">
      <c r="A335" s="14"/>
      <c r="B335" s="14"/>
      <c r="C335" s="14"/>
      <c r="D335" s="210"/>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57"/>
      <c r="AD335" s="71"/>
      <c r="AE335" s="14"/>
      <c r="AF335" s="71"/>
      <c r="AG335" s="16"/>
      <c r="AH335" s="14"/>
    </row>
    <row r="336" spans="1:34" x14ac:dyDescent="0.25">
      <c r="A336" s="14"/>
      <c r="B336" s="14"/>
      <c r="C336" s="14"/>
      <c r="D336" s="210"/>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57"/>
      <c r="AD336" s="71"/>
      <c r="AE336" s="14"/>
      <c r="AF336" s="71"/>
      <c r="AG336" s="16"/>
      <c r="AH336" s="14"/>
    </row>
    <row r="337" spans="1:34" x14ac:dyDescent="0.25">
      <c r="A337" s="14"/>
      <c r="B337" s="14"/>
      <c r="C337" s="14"/>
      <c r="D337" s="210"/>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57"/>
      <c r="AD337" s="71"/>
      <c r="AE337" s="14"/>
      <c r="AF337" s="71"/>
      <c r="AG337" s="16"/>
      <c r="AH337" s="14"/>
    </row>
    <row r="338" spans="1:34" x14ac:dyDescent="0.25">
      <c r="A338" s="14"/>
      <c r="B338" s="14"/>
      <c r="C338" s="14"/>
      <c r="D338" s="210"/>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57"/>
      <c r="AD338" s="71"/>
      <c r="AE338" s="14"/>
      <c r="AF338" s="71"/>
      <c r="AG338" s="16"/>
      <c r="AH338" s="14"/>
    </row>
    <row r="339" spans="1:34" x14ac:dyDescent="0.25">
      <c r="A339" s="14"/>
      <c r="B339" s="14"/>
      <c r="C339" s="14"/>
      <c r="D339" s="210"/>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57"/>
      <c r="AD339" s="71"/>
      <c r="AE339" s="14"/>
      <c r="AF339" s="71"/>
      <c r="AG339" s="16"/>
      <c r="AH339" s="14"/>
    </row>
    <row r="340" spans="1:34" x14ac:dyDescent="0.25">
      <c r="A340" s="14"/>
      <c r="B340" s="14"/>
      <c r="C340" s="14"/>
      <c r="D340" s="210"/>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57"/>
      <c r="AD340" s="71"/>
      <c r="AE340" s="14"/>
      <c r="AF340" s="71"/>
      <c r="AG340" s="16"/>
      <c r="AH340" s="14"/>
    </row>
    <row r="341" spans="1:34" x14ac:dyDescent="0.25">
      <c r="A341" s="14"/>
      <c r="B341" s="14"/>
      <c r="C341" s="14"/>
      <c r="D341" s="210"/>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57"/>
      <c r="AD341" s="71"/>
      <c r="AE341" s="14"/>
      <c r="AF341" s="71"/>
      <c r="AG341" s="16"/>
      <c r="AH341" s="14"/>
    </row>
    <row r="342" spans="1:34" x14ac:dyDescent="0.25">
      <c r="A342" s="14"/>
      <c r="B342" s="14"/>
      <c r="C342" s="14"/>
      <c r="D342" s="210"/>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57"/>
      <c r="AD342" s="71"/>
      <c r="AE342" s="14"/>
      <c r="AF342" s="71"/>
      <c r="AG342" s="16"/>
      <c r="AH342" s="14"/>
    </row>
    <row r="343" spans="1:34" x14ac:dyDescent="0.25">
      <c r="A343" s="14"/>
      <c r="B343" s="14"/>
      <c r="C343" s="14"/>
      <c r="D343" s="210"/>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57"/>
      <c r="AD343" s="71"/>
      <c r="AE343" s="14"/>
      <c r="AF343" s="71"/>
      <c r="AG343" s="16"/>
      <c r="AH343" s="14"/>
    </row>
    <row r="344" spans="1:34" x14ac:dyDescent="0.25">
      <c r="A344" s="14"/>
      <c r="B344" s="14"/>
      <c r="C344" s="14"/>
      <c r="D344" s="210"/>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57"/>
      <c r="AD344" s="71"/>
      <c r="AE344" s="14"/>
      <c r="AF344" s="71"/>
      <c r="AG344" s="16"/>
      <c r="AH344" s="14"/>
    </row>
    <row r="345" spans="1:34" x14ac:dyDescent="0.25">
      <c r="A345" s="14"/>
      <c r="B345" s="14"/>
      <c r="C345" s="14"/>
      <c r="D345" s="210"/>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57"/>
      <c r="AD345" s="71"/>
      <c r="AE345" s="14"/>
      <c r="AF345" s="71"/>
      <c r="AG345" s="16"/>
      <c r="AH345" s="14"/>
    </row>
    <row r="346" spans="1:34" x14ac:dyDescent="0.25">
      <c r="A346" s="14"/>
      <c r="B346" s="14"/>
      <c r="C346" s="14"/>
      <c r="D346" s="210"/>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57"/>
      <c r="AD346" s="71"/>
      <c r="AE346" s="14"/>
      <c r="AF346" s="71"/>
      <c r="AG346" s="16"/>
      <c r="AH346" s="14"/>
    </row>
    <row r="347" spans="1:34" x14ac:dyDescent="0.25">
      <c r="A347" s="14"/>
      <c r="B347" s="14"/>
      <c r="C347" s="14"/>
      <c r="D347" s="210"/>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57"/>
      <c r="AD347" s="71"/>
      <c r="AE347" s="14"/>
      <c r="AF347" s="71"/>
      <c r="AG347" s="16"/>
      <c r="AH347" s="14"/>
    </row>
    <row r="348" spans="1:34" x14ac:dyDescent="0.25">
      <c r="A348" s="14"/>
      <c r="B348" s="14"/>
      <c r="C348" s="14"/>
      <c r="D348" s="210"/>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57"/>
      <c r="AD348" s="71"/>
      <c r="AE348" s="14"/>
      <c r="AF348" s="71"/>
      <c r="AG348" s="16"/>
      <c r="AH348" s="14"/>
    </row>
    <row r="349" spans="1:34" x14ac:dyDescent="0.25">
      <c r="A349" s="14"/>
      <c r="B349" s="14"/>
      <c r="C349" s="14"/>
      <c r="D349" s="210"/>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57"/>
      <c r="AD349" s="71"/>
      <c r="AE349" s="14"/>
      <c r="AF349" s="71"/>
      <c r="AG349" s="16"/>
      <c r="AH349" s="14"/>
    </row>
    <row r="350" spans="1:34" x14ac:dyDescent="0.25">
      <c r="A350" s="14"/>
      <c r="B350" s="14"/>
      <c r="C350" s="14"/>
      <c r="D350" s="210"/>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57"/>
      <c r="AD350" s="71"/>
      <c r="AE350" s="14"/>
      <c r="AF350" s="71"/>
      <c r="AG350" s="16"/>
      <c r="AH350" s="14"/>
    </row>
    <row r="351" spans="1:34" x14ac:dyDescent="0.25">
      <c r="A351" s="14"/>
      <c r="B351" s="14"/>
      <c r="C351" s="14"/>
      <c r="D351" s="210"/>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57"/>
      <c r="AD351" s="71"/>
      <c r="AE351" s="14"/>
      <c r="AF351" s="71"/>
      <c r="AG351" s="16"/>
      <c r="AH351" s="14"/>
    </row>
    <row r="352" spans="1:34" x14ac:dyDescent="0.25">
      <c r="A352" s="14"/>
      <c r="B352" s="14"/>
      <c r="C352" s="14"/>
      <c r="D352" s="210"/>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57"/>
      <c r="AD352" s="71"/>
      <c r="AE352" s="14"/>
      <c r="AF352" s="71"/>
      <c r="AG352" s="16"/>
      <c r="AH352" s="14"/>
    </row>
    <row r="353" spans="1:34" x14ac:dyDescent="0.25">
      <c r="A353" s="14"/>
      <c r="B353" s="14"/>
      <c r="C353" s="14"/>
      <c r="D353" s="210"/>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57"/>
      <c r="AD353" s="71"/>
      <c r="AE353" s="14"/>
      <c r="AF353" s="71"/>
      <c r="AG353" s="16"/>
      <c r="AH353" s="14"/>
    </row>
    <row r="354" spans="1:34" x14ac:dyDescent="0.25">
      <c r="A354" s="14"/>
      <c r="B354" s="14"/>
      <c r="C354" s="14"/>
      <c r="D354" s="210"/>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57"/>
      <c r="AD354" s="71"/>
      <c r="AE354" s="14"/>
      <c r="AF354" s="71"/>
      <c r="AG354" s="16"/>
      <c r="AH354" s="14"/>
    </row>
    <row r="355" spans="1:34" x14ac:dyDescent="0.25">
      <c r="A355" s="14"/>
      <c r="B355" s="14"/>
      <c r="C355" s="14"/>
      <c r="D355" s="210"/>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57"/>
      <c r="AD355" s="71"/>
      <c r="AE355" s="14"/>
      <c r="AF355" s="71"/>
      <c r="AG355" s="16"/>
      <c r="AH355" s="14"/>
    </row>
    <row r="356" spans="1:34" x14ac:dyDescent="0.25">
      <c r="A356" s="14"/>
      <c r="B356" s="14"/>
      <c r="C356" s="14"/>
      <c r="D356" s="210"/>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57"/>
      <c r="AD356" s="71"/>
      <c r="AE356" s="14"/>
      <c r="AF356" s="71"/>
      <c r="AG356" s="16"/>
      <c r="AH356" s="14"/>
    </row>
    <row r="357" spans="1:34" x14ac:dyDescent="0.25">
      <c r="A357" s="14"/>
      <c r="B357" s="14"/>
      <c r="C357" s="14"/>
      <c r="D357" s="210"/>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57"/>
      <c r="AD357" s="71"/>
      <c r="AE357" s="14"/>
      <c r="AF357" s="71"/>
      <c r="AG357" s="16"/>
      <c r="AH357" s="14"/>
    </row>
    <row r="358" spans="1:34" x14ac:dyDescent="0.25">
      <c r="A358" s="14"/>
      <c r="B358" s="14"/>
      <c r="C358" s="14"/>
      <c r="D358" s="210"/>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57"/>
      <c r="AD358" s="71"/>
      <c r="AE358" s="14"/>
      <c r="AF358" s="71"/>
      <c r="AG358" s="16"/>
      <c r="AH358" s="14"/>
    </row>
    <row r="359" spans="1:34" x14ac:dyDescent="0.25">
      <c r="A359" s="14"/>
      <c r="B359" s="14"/>
      <c r="C359" s="14"/>
      <c r="D359" s="210"/>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57"/>
      <c r="AD359" s="71"/>
      <c r="AE359" s="14"/>
      <c r="AF359" s="71"/>
      <c r="AG359" s="16"/>
      <c r="AH359" s="14"/>
    </row>
    <row r="360" spans="1:34" x14ac:dyDescent="0.25">
      <c r="A360" s="14"/>
      <c r="B360" s="14"/>
      <c r="C360" s="14"/>
      <c r="D360" s="210"/>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57"/>
      <c r="AD360" s="71"/>
      <c r="AE360" s="14"/>
      <c r="AF360" s="71"/>
      <c r="AG360" s="16"/>
      <c r="AH360" s="14"/>
    </row>
    <row r="361" spans="1:34" x14ac:dyDescent="0.25">
      <c r="A361" s="14"/>
      <c r="B361" s="14"/>
      <c r="C361" s="14"/>
      <c r="D361" s="210"/>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57"/>
      <c r="AD361" s="71"/>
      <c r="AE361" s="14"/>
      <c r="AF361" s="71"/>
      <c r="AG361" s="16"/>
      <c r="AH361" s="14"/>
    </row>
    <row r="362" spans="1:34" x14ac:dyDescent="0.25">
      <c r="A362" s="14"/>
      <c r="B362" s="14"/>
      <c r="C362" s="14"/>
      <c r="D362" s="210"/>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57"/>
      <c r="AD362" s="71"/>
      <c r="AE362" s="14"/>
      <c r="AF362" s="71"/>
      <c r="AG362" s="16"/>
      <c r="AH362" s="14"/>
    </row>
    <row r="363" spans="1:34" x14ac:dyDescent="0.25">
      <c r="A363" s="14"/>
      <c r="B363" s="14"/>
      <c r="C363" s="14"/>
      <c r="D363" s="210"/>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57"/>
      <c r="AD363" s="71"/>
      <c r="AE363" s="14"/>
      <c r="AF363" s="71"/>
      <c r="AG363" s="16"/>
      <c r="AH363" s="14"/>
    </row>
    <row r="364" spans="1:34" x14ac:dyDescent="0.25">
      <c r="A364" s="14"/>
      <c r="B364" s="14"/>
      <c r="C364" s="14"/>
      <c r="D364" s="210"/>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57"/>
      <c r="AD364" s="71"/>
      <c r="AE364" s="14"/>
      <c r="AF364" s="71"/>
      <c r="AG364" s="16"/>
      <c r="AH364" s="14"/>
    </row>
    <row r="365" spans="1:34" x14ac:dyDescent="0.25">
      <c r="A365" s="14"/>
      <c r="B365" s="14"/>
      <c r="C365" s="14"/>
      <c r="D365" s="210"/>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57"/>
      <c r="AD365" s="71"/>
      <c r="AE365" s="14"/>
      <c r="AF365" s="71"/>
      <c r="AG365" s="16"/>
      <c r="AH365" s="14"/>
    </row>
    <row r="366" spans="1:34" x14ac:dyDescent="0.25">
      <c r="A366" s="14"/>
      <c r="B366" s="14"/>
      <c r="C366" s="14"/>
      <c r="D366" s="210"/>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57"/>
      <c r="AD366" s="71"/>
      <c r="AE366" s="14"/>
      <c r="AF366" s="71"/>
      <c r="AG366" s="16"/>
      <c r="AH366" s="14"/>
    </row>
    <row r="367" spans="1:34" x14ac:dyDescent="0.25">
      <c r="A367" s="14"/>
      <c r="B367" s="14"/>
      <c r="C367" s="14"/>
      <c r="D367" s="210"/>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57"/>
      <c r="AD367" s="71"/>
      <c r="AE367" s="14"/>
      <c r="AF367" s="71"/>
      <c r="AG367" s="16"/>
      <c r="AH367" s="14"/>
    </row>
    <row r="368" spans="1:34" x14ac:dyDescent="0.25">
      <c r="A368" s="14"/>
      <c r="B368" s="14"/>
      <c r="C368" s="14"/>
      <c r="D368" s="210"/>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57"/>
      <c r="AD368" s="71"/>
      <c r="AE368" s="14"/>
      <c r="AF368" s="71"/>
      <c r="AG368" s="16"/>
      <c r="AH368" s="14"/>
    </row>
    <row r="369" spans="1:34" x14ac:dyDescent="0.25">
      <c r="A369" s="14"/>
      <c r="B369" s="14"/>
      <c r="C369" s="14"/>
      <c r="D369" s="210"/>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57"/>
      <c r="AD369" s="71"/>
      <c r="AE369" s="14"/>
      <c r="AF369" s="71"/>
      <c r="AG369" s="16"/>
      <c r="AH369" s="14"/>
    </row>
    <row r="370" spans="1:34" x14ac:dyDescent="0.25">
      <c r="A370" s="14"/>
      <c r="B370" s="14"/>
      <c r="C370" s="14"/>
      <c r="D370" s="210"/>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57"/>
      <c r="AD370" s="71"/>
      <c r="AE370" s="14"/>
      <c r="AF370" s="71"/>
      <c r="AG370" s="16"/>
      <c r="AH370" s="14"/>
    </row>
    <row r="371" spans="1:34" x14ac:dyDescent="0.25">
      <c r="A371" s="14"/>
      <c r="B371" s="14"/>
      <c r="C371" s="14"/>
      <c r="D371" s="210"/>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57"/>
      <c r="AD371" s="71"/>
      <c r="AE371" s="14"/>
      <c r="AF371" s="71"/>
      <c r="AG371" s="16"/>
      <c r="AH371" s="14"/>
    </row>
    <row r="372" spans="1:34" x14ac:dyDescent="0.25">
      <c r="A372" s="14"/>
      <c r="B372" s="14"/>
      <c r="C372" s="14"/>
      <c r="D372" s="210"/>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57"/>
      <c r="AD372" s="71"/>
      <c r="AE372" s="14"/>
      <c r="AF372" s="71"/>
      <c r="AG372" s="16"/>
      <c r="AH372" s="14"/>
    </row>
    <row r="373" spans="1:34" x14ac:dyDescent="0.25">
      <c r="A373" s="14"/>
      <c r="B373" s="14"/>
      <c r="C373" s="14"/>
      <c r="D373" s="210"/>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57"/>
      <c r="AD373" s="71"/>
      <c r="AE373" s="14"/>
      <c r="AF373" s="71"/>
      <c r="AG373" s="16"/>
      <c r="AH373" s="14"/>
    </row>
    <row r="374" spans="1:34" x14ac:dyDescent="0.25">
      <c r="A374" s="14"/>
      <c r="B374" s="14"/>
      <c r="C374" s="14"/>
      <c r="D374" s="210"/>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57"/>
      <c r="AD374" s="71"/>
      <c r="AE374" s="14"/>
      <c r="AF374" s="71"/>
      <c r="AG374" s="16"/>
      <c r="AH374" s="14"/>
    </row>
    <row r="375" spans="1:34" x14ac:dyDescent="0.25">
      <c r="A375" s="14"/>
      <c r="B375" s="14"/>
      <c r="C375" s="14"/>
      <c r="D375" s="210"/>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57"/>
      <c r="AD375" s="71"/>
      <c r="AE375" s="14"/>
      <c r="AF375" s="71"/>
      <c r="AG375" s="16"/>
      <c r="AH375" s="14"/>
    </row>
    <row r="376" spans="1:34" x14ac:dyDescent="0.25">
      <c r="A376" s="14"/>
      <c r="B376" s="14"/>
      <c r="C376" s="14"/>
      <c r="D376" s="210"/>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57"/>
      <c r="AD376" s="71"/>
      <c r="AE376" s="14"/>
      <c r="AF376" s="71"/>
      <c r="AG376" s="16"/>
      <c r="AH376" s="14"/>
    </row>
    <row r="377" spans="1:34" x14ac:dyDescent="0.25">
      <c r="A377" s="14"/>
      <c r="B377" s="14"/>
      <c r="C377" s="14"/>
      <c r="D377" s="210"/>
      <c r="E377" s="14"/>
      <c r="F377" s="14"/>
      <c r="G377" s="85"/>
      <c r="H377" s="85"/>
      <c r="I377" s="85"/>
      <c r="J377" s="85"/>
    </row>
  </sheetData>
  <protectedRanges>
    <protectedRange sqref="X20:Y23 E21:E24 F316:J377 E36:F38 T28:Y28 T26:Y26 X24 U27:X27 L27 K26:L26 K28:L28 Y42:Y44 U42:X43 S26:S34 T34:Y34 V57:X58 Y69:Y72 S73:Y79 U91:X91 Y91:Y93 E129:E133 S190 Y165:Y203 G314:J314 D316:D377 F314:F315 K314:AH376 X154:X158 B162:B163 AF162:AH163 A20:D24 D156:D158 D162:E163 E26:F28 F20:I24 H26:H28 H90 G88:H89 G91:H91 K20:L23 H36:I38 G70:I75 S95:Y95 S20:W24 S289 Y303 S54:Y55 S151:W158 X151:X152 F126 Y97:Y101 B104:D106 Y258:Y301 T38:Y38 T37:X37 S25:X25 L24:L25 S36:S38 T36:Y36 S35:Y35 A26:D38 S39:Y40 S41:X41 K35:L35 K40 S42:T45 S46:Y52 S53:X53 S56:X56 K42:L54 U59:X60 S57:T60 S65:Y66 A68:B69 D68:E69 S67:X72 H76:I79 S80:S91 K86:K89 S92:X94 L104:L107 A107:E127 A128:D133 D136 C161:C163 A161:A163 A164:E164 S177:T179 S180:S188 T180:T190 U177:X190 S191:X203 S257:X259 S260:S261 S262:X283 S284:S285 S286:X288 S290:X303 E314:E377 A25:I25 G26:G38 I26:I35 H80:H87 I80:I91 A92:I96 F97:I114 F115:F118 G115:I126 F127:I203 A134:E135 A159:E160 K162 B103:C103 A103:A106 K91:K107 A97:C102 E97:E106 S96:X135 T81:Y84 L80:L98 T85:T91 U85:Y90 Y58:Y63 K66:L79 S61:X64 A39:I67 E165:E203 S162:X176 K164:K213 K108:L135 M141:Q141 AF20:AH160 K238:K299 A136:C158 E137:E158 K137:L160 S137:X150 Y103:Y162 AE26 AE28 AE20:AE23 AE34:AE40 AE42:AE56 AE86:AE89 AE162 AE58:AE79 AE164:AE213 AE91:AE135 AE137:AE160 M237:R237 S204:Y256 E204:I313 A165:C377 AB20:AB313 AF165:AH313 AE219:AE236 K219:K236 AE238:AE299 S159:X160 K301:K309 L162:L313 S304:Y313 K311:K313 AE301:AE309 AE311:AE313 K34 K37:L38 L36 L39:L41 L55:L65 A70:F91" name="Rango1"/>
    <protectedRange sqref="D1:D2 F1:T2" name="Rango2"/>
    <protectedRange sqref="AA148 AA53 Z280:Z313 Z277:Z278 Z20:Z275" name="Rango1_1"/>
    <protectedRange sqref="AA20:AA52 AA54:AA147 Z279 Z276 AA149:AA313" name="Rango1_2"/>
    <protectedRange sqref="AC236:AC240 AC242:AC243 AC248:AC250 AC231 AC210 AC104:AC112 AC254:AC260 AC294:AC300 AC304:AC313 AC117:AC138 AC153:AC200 AC65:AC96 AC20:AC63 AC269:AC283 AC140:AC150" name="Rango1_3"/>
    <protectedRange sqref="AD20:AD23 AD26:AD32 AD34 AD38 AD40 AD51:AD52 AD191:AD213 AD81:AD84 AD91:AD95 AD121:AD125 AD167:AD180 AD275 AD308:AD309 AD311 AD129 AD42:AD43 AD47 AD54 AD64 AD66 AD88:AD89 AD107:AD111 AD113:AD119 AD131:AD132 AD134:AD135 AD185 AD260:AD268 AD280 AD283:AD291 AD69:AD76 AD257:AD258 AD295:AD306 AD139:AD165 AD97:AD105 AD62 AD219:AD253" name="Rango1_4"/>
    <protectedRange sqref="L99" name="Rango1_5"/>
    <protectedRange sqref="L100:L101" name="Rango1_6"/>
    <protectedRange sqref="L102:L103" name="Rango1_7"/>
    <protectedRange sqref="J20:J28" name="Rango1_9"/>
    <protectedRange sqref="J36:J39" name="Rango1_10"/>
    <protectedRange sqref="J40:J43" name="Rango1_12"/>
    <protectedRange sqref="J44:J54" name="Rango1_13"/>
    <protectedRange sqref="J55:J65" name="Rango1_14"/>
    <protectedRange sqref="J70:J75 J66:J67" name="Rango1_15"/>
    <protectedRange sqref="J76:J89" name="Rango1_16"/>
    <protectedRange sqref="J90" name="Rango1_17"/>
    <protectedRange sqref="J91:J96" name="Rango1_18"/>
    <protectedRange sqref="J97:J136 J139:J313" name="Rango1_20"/>
    <protectedRange sqref="O70:R72 O258:R259 N258 N29:N33 M192:M193 O165:R166 M165:N165 M137:N137 M258:M260 N260:R260 M20:R28 M68:N72 N95:R96 M97:R135 O136:R137 M138:R140 M167:R191 N192:N201 M195:M203 O192:R203 M261:R313 M204:R236 M73:R94 M34:R67 M142:R164 R141 M238:R257" name="Rango1_8"/>
    <protectedRange sqref="T260:X261" name="Rango1_11"/>
    <protectedRange sqref="T289:X289" name="Rango1_19"/>
    <protectedRange sqref="T284:X285" name="Rango1_23"/>
    <protectedRange sqref="Y302" name="Rango1_24"/>
    <protectedRange sqref="Y53" name="Rango1_21"/>
    <protectedRange sqref="Y37" name="Rango1_22"/>
    <protectedRange sqref="Y102" name="Rango1_25"/>
    <protectedRange sqref="K300 AE300" name="Rango1_34"/>
    <protectedRange sqref="L34" name="Rango1_28"/>
    <protectedRange sqref="K36" name="Rango1_29"/>
    <protectedRange sqref="K39" name="Rango1_30"/>
    <protectedRange sqref="K55:K56 K58:K65" name="Rango1_32"/>
  </protectedRanges>
  <autoFilter ref="A19:AM314"/>
  <mergeCells count="27">
    <mergeCell ref="A4:B4"/>
    <mergeCell ref="A5:B5"/>
    <mergeCell ref="A8:F8"/>
    <mergeCell ref="A70:A72"/>
    <mergeCell ref="A73:A74"/>
    <mergeCell ref="A9:B9"/>
    <mergeCell ref="D9:J9"/>
    <mergeCell ref="A10:B10"/>
    <mergeCell ref="D10:J10"/>
    <mergeCell ref="A11:B11"/>
    <mergeCell ref="A1:B1"/>
    <mergeCell ref="F1:T1"/>
    <mergeCell ref="A2:B2"/>
    <mergeCell ref="F2:T2"/>
    <mergeCell ref="A3:B3"/>
    <mergeCell ref="AG130:AG131"/>
    <mergeCell ref="A12:B12"/>
    <mergeCell ref="A13:B13"/>
    <mergeCell ref="A16:E16"/>
    <mergeCell ref="O18:R18"/>
    <mergeCell ref="A75:A76"/>
    <mergeCell ref="AC17:AD18"/>
    <mergeCell ref="U68:U69"/>
    <mergeCell ref="V68:V69"/>
    <mergeCell ref="W68:W69"/>
    <mergeCell ref="X68:X69"/>
    <mergeCell ref="T68:T69"/>
  </mergeCells>
  <dataValidations count="26">
    <dataValidation type="list" allowBlank="1" showInputMessage="1" showErrorMessage="1" sqref="E66:E67 E34:E39">
      <formula1>$AW$1:$AW$19</formula1>
    </dataValidation>
    <dataValidation type="list" allowBlank="1" showInputMessage="1" showErrorMessage="1" sqref="M88:M92 M103 M173:M193 M73 M256:M279 M142:M144 M248:M253 M105:M112 M126:M135 M33:M63 M97:M98 M29:M31 M195:M204 M286:M313 M206:M218 M77:M86 M137:M140 M220:M236 M238:M246">
      <formula1>$AT$1:$AT$3</formula1>
    </dataValidation>
    <dataValidation type="list" allowBlank="1" showInputMessage="1" showErrorMessage="1" sqref="C162 C156:C157 B165:C173 B192:B197 C192:C201 B104:C125 B155:B160 B137:C154 B277:C313 B162:B164 B274:B276 C274 B36:B37 B219:C273">
      <formula1>Dimensiones</formula1>
    </dataValidation>
    <dataValidation showDropDown="1" showInputMessage="1" showErrorMessage="1" sqref="C128:C135 B177:C179 C174:C176 B126:C127 B130:B132 B136:C136 B91:C94 B97:B103"/>
    <dataValidation type="list" allowBlank="1" showInputMessage="1" showErrorMessage="1" sqref="E259 E251:E253">
      <formula1>$AW$1:$AW$43</formula1>
    </dataValidation>
    <dataValidation type="list" allowBlank="1" showInputMessage="1" showErrorMessage="1" sqref="M113:M114 M124:M125 M116:M122">
      <formula1>$AS$1:$AS$2</formula1>
    </dataValidation>
    <dataValidation type="list" allowBlank="1" showInputMessage="1" showErrorMessage="1" sqref="E260:E264">
      <formula1>$AW$1:$AW$45</formula1>
    </dataValidation>
    <dataValidation type="list" allowBlank="1" showInputMessage="1" showErrorMessage="1" sqref="M156:M160 M151:M154 M148:M149 M162:M165">
      <formula1>$AT$1:$AT$2</formula1>
    </dataValidation>
    <dataValidation type="list" allowBlank="1" showInputMessage="1" showErrorMessage="1" sqref="E192:E197">
      <formula1>$AW$1:$AW$41</formula1>
    </dataValidation>
    <dataValidation type="list" allowBlank="1" showInputMessage="1" showErrorMessage="1" sqref="E228:E242">
      <formula1>$AW$1:$AW$58</formula1>
    </dataValidation>
    <dataValidation type="list" allowBlank="1" showInputMessage="1" showErrorMessage="1" sqref="E243:E250">
      <formula1>$AW$1:$AW$46</formula1>
    </dataValidation>
    <dataValidation type="list" allowBlank="1" showInputMessage="1" showErrorMessage="1" sqref="E254:E258">
      <formula1>$AW$1:$AW$42</formula1>
    </dataValidation>
    <dataValidation type="list" allowBlank="1" showInputMessage="1" showErrorMessage="1" sqref="C95:C96 B133:B135">
      <formula1>INDIRECT(A96)</formula1>
    </dataValidation>
    <dataValidation type="list" allowBlank="1" showInputMessage="1" showErrorMessage="1" sqref="E219:E227">
      <formula1>INDIRECT(B219)</formula1>
    </dataValidation>
    <dataValidation type="list" allowBlank="1" showInputMessage="1" showErrorMessage="1" sqref="E292:E294">
      <formula1>$AX$1:$AX$43</formula1>
    </dataValidation>
    <dataValidation type="list" allowBlank="1" showInputMessage="1" showErrorMessage="1" sqref="L197">
      <formula1>INDIRECT(C197)</formula1>
    </dataValidation>
    <dataValidation type="list" allowBlank="1" showInputMessage="1" showErrorMessage="1" sqref="B180:C180">
      <formula1>INDIRECT(A179)</formula1>
    </dataValidation>
    <dataValidation type="list" allowBlank="1" showInputMessage="1" showErrorMessage="1" sqref="B190:C191">
      <formula1>INDIRECT(A181)</formula1>
    </dataValidation>
    <dataValidation type="list" allowBlank="1" showInputMessage="1" showErrorMessage="1" sqref="Q197:Q201">
      <formula1>INDIRECT(E197)</formula1>
    </dataValidation>
    <dataValidation type="list" allowBlank="1" showInputMessage="1" showErrorMessage="1" sqref="P197:P201">
      <formula1>INDIRECT(E197)</formula1>
    </dataValidation>
    <dataValidation type="list" allowBlank="1" showInputMessage="1" showErrorMessage="1" sqref="R197:R201">
      <formula1>INDIRECT(E197)</formula1>
    </dataValidation>
    <dataValidation type="list" allowBlank="1" showInputMessage="1" showErrorMessage="1" sqref="E265:E274">
      <formula1>$AW$1:$AW$47</formula1>
    </dataValidation>
    <dataValidation allowBlank="1" showInputMessage="1" sqref="B95:B96"/>
    <dataValidation showDropDown="1" showErrorMessage="1" sqref="B129"/>
    <dataValidation type="list" allowBlank="1" showInputMessage="1" showErrorMessage="1" sqref="N197:O201">
      <formula1>INDIRECT(D197)</formula1>
    </dataValidation>
    <dataValidation type="list" allowBlank="1" showInputMessage="1" showErrorMessage="1" sqref="E206:E218">
      <formula1>$AW$1:$AW$88</formula1>
    </dataValidation>
  </dataValidations>
  <pageMargins left="0.7" right="0.7" top="0.75" bottom="0.75" header="0.3" footer="0.3"/>
  <pageSetup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C1985"/>
  <sheetViews>
    <sheetView topLeftCell="D88" workbookViewId="0">
      <selection activeCell="I73" sqref="I73"/>
    </sheetView>
  </sheetViews>
  <sheetFormatPr baseColWidth="10" defaultRowHeight="15" x14ac:dyDescent="0.25"/>
  <cols>
    <col min="1" max="1" width="29.7109375" style="18" customWidth="1"/>
    <col min="2" max="2" width="17.5703125" style="18" customWidth="1"/>
    <col min="3" max="3" width="35.5703125" style="18" customWidth="1"/>
    <col min="4" max="4" width="29" style="18" customWidth="1"/>
    <col min="5" max="5" width="9.5703125" style="18" customWidth="1"/>
    <col min="6" max="6" width="6.85546875" style="18" customWidth="1"/>
    <col min="7" max="7" width="25.42578125" style="18" customWidth="1"/>
    <col min="8" max="8" width="44" style="18" customWidth="1"/>
    <col min="9" max="9" width="23.42578125" style="175" customWidth="1"/>
    <col min="10" max="10" width="21.5703125" style="18" customWidth="1"/>
    <col min="11" max="11" width="21.85546875" style="18" customWidth="1"/>
    <col min="12" max="12" width="20.28515625" style="18" bestFit="1" customWidth="1"/>
    <col min="13" max="16384" width="11.42578125" style="18"/>
  </cols>
  <sheetData>
    <row r="1" spans="1:16383" ht="27.75" thickBot="1" x14ac:dyDescent="0.3">
      <c r="A1" s="932" t="s">
        <v>442</v>
      </c>
      <c r="B1" s="932"/>
      <c r="C1" s="932"/>
      <c r="D1" s="932"/>
      <c r="E1" s="932"/>
      <c r="F1" s="932"/>
      <c r="G1" s="932"/>
      <c r="H1" s="932"/>
      <c r="I1" s="932"/>
      <c r="J1" s="932"/>
      <c r="K1" s="17"/>
      <c r="L1" s="17"/>
    </row>
    <row r="2" spans="1:16383" ht="20.25" thickBot="1" x14ac:dyDescent="0.3">
      <c r="A2" s="933" t="s">
        <v>443</v>
      </c>
      <c r="B2" s="934"/>
      <c r="C2" s="934"/>
      <c r="D2" s="934"/>
      <c r="E2" s="934"/>
      <c r="F2" s="934"/>
      <c r="G2" s="934"/>
      <c r="H2" s="934"/>
      <c r="I2" s="934"/>
      <c r="J2" s="935"/>
      <c r="K2" s="19"/>
      <c r="L2" s="19"/>
    </row>
    <row r="3" spans="1:16383" ht="15.75" thickBot="1" x14ac:dyDescent="0.3">
      <c r="A3" s="21">
        <v>1</v>
      </c>
      <c r="B3" s="22">
        <v>2</v>
      </c>
      <c r="C3" s="22">
        <v>3</v>
      </c>
      <c r="D3" s="22">
        <v>4</v>
      </c>
      <c r="E3" s="22">
        <v>5</v>
      </c>
      <c r="F3" s="22">
        <v>6</v>
      </c>
      <c r="G3" s="22">
        <v>7</v>
      </c>
      <c r="H3" s="22">
        <v>8</v>
      </c>
      <c r="I3" s="166">
        <v>9</v>
      </c>
      <c r="J3" s="23">
        <v>10</v>
      </c>
      <c r="K3" s="20"/>
      <c r="L3" s="20"/>
    </row>
    <row r="4" spans="1:16383" ht="43.5" thickBot="1" x14ac:dyDescent="0.3">
      <c r="A4" s="25" t="s">
        <v>348</v>
      </c>
      <c r="B4" s="26" t="s">
        <v>349</v>
      </c>
      <c r="C4" s="26" t="s">
        <v>350</v>
      </c>
      <c r="D4" s="26" t="s">
        <v>351</v>
      </c>
      <c r="E4" s="26" t="s">
        <v>352</v>
      </c>
      <c r="F4" s="26" t="s">
        <v>353</v>
      </c>
      <c r="G4" s="26" t="s">
        <v>354</v>
      </c>
      <c r="H4" s="26" t="s">
        <v>355</v>
      </c>
      <c r="I4" s="167" t="s">
        <v>356</v>
      </c>
      <c r="J4" s="27" t="s">
        <v>357</v>
      </c>
      <c r="K4" s="24"/>
      <c r="L4" s="24"/>
    </row>
    <row r="5" spans="1:16383" ht="57" customHeight="1" thickBot="1" x14ac:dyDescent="0.3">
      <c r="A5" s="29" t="s">
        <v>358</v>
      </c>
      <c r="B5" s="59">
        <v>440209</v>
      </c>
      <c r="C5" s="33" t="s">
        <v>844</v>
      </c>
      <c r="D5" s="30" t="s">
        <v>359</v>
      </c>
      <c r="E5" s="30"/>
      <c r="F5" s="31"/>
      <c r="G5" s="32" t="s">
        <v>360</v>
      </c>
      <c r="H5" s="33" t="s">
        <v>361</v>
      </c>
      <c r="I5" s="168">
        <v>3231596000</v>
      </c>
      <c r="J5" s="34" t="s">
        <v>362</v>
      </c>
      <c r="K5" s="28"/>
      <c r="L5" s="28"/>
    </row>
    <row r="6" spans="1:16383" ht="60.75" customHeight="1" x14ac:dyDescent="0.25">
      <c r="A6" s="29" t="s">
        <v>358</v>
      </c>
      <c r="B6" s="59">
        <v>440209</v>
      </c>
      <c r="C6" s="33" t="s">
        <v>844</v>
      </c>
      <c r="D6" s="30" t="s">
        <v>359</v>
      </c>
      <c r="E6" s="30"/>
      <c r="F6" s="31"/>
      <c r="G6" s="32" t="s">
        <v>360</v>
      </c>
      <c r="H6" s="33" t="s">
        <v>361</v>
      </c>
      <c r="I6" s="168">
        <v>15000000</v>
      </c>
      <c r="J6" s="38" t="s">
        <v>369</v>
      </c>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4"/>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53"/>
      <c r="KV6" s="53"/>
      <c r="KW6" s="53"/>
      <c r="KX6" s="53"/>
      <c r="KY6" s="53"/>
      <c r="KZ6" s="53"/>
      <c r="LA6" s="53"/>
      <c r="LB6" s="53"/>
      <c r="LC6" s="53"/>
      <c r="LD6" s="53"/>
      <c r="LE6" s="53"/>
      <c r="LF6" s="53"/>
      <c r="LG6" s="53"/>
      <c r="LH6" s="53"/>
      <c r="LI6" s="53"/>
      <c r="LJ6" s="53"/>
      <c r="LK6" s="53"/>
      <c r="LL6" s="53"/>
      <c r="LM6" s="53"/>
      <c r="LN6" s="53"/>
      <c r="LO6" s="53"/>
      <c r="LP6" s="53"/>
      <c r="LQ6" s="53"/>
      <c r="LR6" s="53"/>
      <c r="LS6" s="53"/>
      <c r="LT6" s="53"/>
      <c r="LU6" s="53"/>
      <c r="LV6" s="53"/>
      <c r="LW6" s="53"/>
      <c r="LX6" s="53"/>
      <c r="LY6" s="53"/>
      <c r="LZ6" s="53"/>
      <c r="MA6" s="53"/>
      <c r="MB6" s="53"/>
      <c r="MC6" s="53"/>
      <c r="MD6" s="53"/>
      <c r="ME6" s="53"/>
      <c r="MF6" s="53"/>
      <c r="MG6" s="53"/>
      <c r="MH6" s="53"/>
      <c r="MI6" s="53"/>
      <c r="MJ6" s="53"/>
      <c r="MK6" s="53"/>
      <c r="ML6" s="53"/>
      <c r="MM6" s="53"/>
      <c r="MN6" s="53"/>
      <c r="MO6" s="53"/>
      <c r="MP6" s="53"/>
      <c r="MQ6" s="53"/>
      <c r="MR6" s="53"/>
      <c r="MS6" s="53"/>
      <c r="MT6" s="53"/>
      <c r="MU6" s="53"/>
      <c r="MV6" s="53"/>
      <c r="MW6" s="53"/>
      <c r="MX6" s="53"/>
      <c r="MY6" s="53"/>
      <c r="MZ6" s="53"/>
      <c r="NA6" s="53"/>
      <c r="NB6" s="53"/>
      <c r="NC6" s="53"/>
      <c r="ND6" s="53"/>
      <c r="NE6" s="53"/>
      <c r="NF6" s="53"/>
      <c r="NG6" s="53"/>
      <c r="NH6" s="53"/>
      <c r="NI6" s="53"/>
      <c r="NJ6" s="53"/>
      <c r="NK6" s="53"/>
      <c r="NL6" s="53"/>
      <c r="NM6" s="53"/>
      <c r="NN6" s="53"/>
      <c r="NO6" s="53"/>
      <c r="NP6" s="53"/>
      <c r="NQ6" s="53"/>
      <c r="NR6" s="53"/>
      <c r="NS6" s="53"/>
      <c r="NT6" s="53"/>
      <c r="NU6" s="53"/>
      <c r="NV6" s="53"/>
      <c r="NW6" s="53"/>
      <c r="NX6" s="53"/>
      <c r="NY6" s="53"/>
      <c r="NZ6" s="53"/>
      <c r="OA6" s="53"/>
      <c r="OB6" s="53"/>
      <c r="OC6" s="53"/>
      <c r="OD6" s="53"/>
      <c r="OE6" s="53"/>
      <c r="OF6" s="53"/>
      <c r="OG6" s="53"/>
      <c r="OH6" s="53"/>
      <c r="OI6" s="53"/>
      <c r="OJ6" s="53"/>
      <c r="OK6" s="53"/>
      <c r="OL6" s="53"/>
      <c r="OM6" s="53"/>
      <c r="ON6" s="53"/>
      <c r="OO6" s="53"/>
      <c r="OP6" s="53"/>
      <c r="OQ6" s="53"/>
      <c r="OR6" s="53"/>
      <c r="OS6" s="53"/>
      <c r="OT6" s="53"/>
      <c r="OU6" s="53"/>
      <c r="OV6" s="53"/>
      <c r="OW6" s="53"/>
      <c r="OX6" s="53"/>
      <c r="OY6" s="53"/>
      <c r="OZ6" s="53"/>
      <c r="PA6" s="53"/>
      <c r="PB6" s="53"/>
      <c r="PC6" s="53"/>
      <c r="PD6" s="53"/>
      <c r="PE6" s="53"/>
      <c r="PF6" s="53"/>
      <c r="PG6" s="53"/>
      <c r="PH6" s="53"/>
      <c r="PI6" s="53"/>
      <c r="PJ6" s="53"/>
      <c r="PK6" s="53"/>
      <c r="PL6" s="53"/>
      <c r="PM6" s="53"/>
      <c r="PN6" s="53"/>
      <c r="PO6" s="53"/>
      <c r="PP6" s="53"/>
      <c r="PQ6" s="53"/>
      <c r="PR6" s="53"/>
      <c r="PS6" s="53"/>
      <c r="PT6" s="53"/>
      <c r="PU6" s="53"/>
      <c r="PV6" s="53"/>
      <c r="PW6" s="53"/>
      <c r="PX6" s="53"/>
      <c r="PY6" s="53"/>
      <c r="PZ6" s="53"/>
      <c r="QA6" s="53"/>
      <c r="QB6" s="53"/>
      <c r="QC6" s="53"/>
      <c r="QD6" s="53"/>
      <c r="QE6" s="53"/>
      <c r="QF6" s="53"/>
      <c r="QG6" s="53"/>
      <c r="QH6" s="53"/>
      <c r="QI6" s="53"/>
      <c r="QJ6" s="53"/>
      <c r="QK6" s="53"/>
      <c r="QL6" s="53"/>
      <c r="QM6" s="53"/>
      <c r="QN6" s="53"/>
      <c r="QO6" s="53"/>
      <c r="QP6" s="53"/>
      <c r="QQ6" s="53"/>
      <c r="QR6" s="53"/>
      <c r="QS6" s="53"/>
      <c r="QT6" s="53"/>
      <c r="QU6" s="53"/>
      <c r="QV6" s="53"/>
      <c r="QW6" s="53"/>
      <c r="QX6" s="53"/>
      <c r="QY6" s="53"/>
      <c r="QZ6" s="53"/>
      <c r="RA6" s="53"/>
      <c r="RB6" s="53"/>
      <c r="RC6" s="53"/>
      <c r="RD6" s="53"/>
      <c r="RE6" s="53"/>
      <c r="RF6" s="53"/>
      <c r="RG6" s="53"/>
      <c r="RH6" s="53"/>
      <c r="RI6" s="53"/>
      <c r="RJ6" s="53"/>
      <c r="RK6" s="53"/>
      <c r="RL6" s="53"/>
      <c r="RM6" s="53"/>
      <c r="RN6" s="53"/>
      <c r="RO6" s="53"/>
      <c r="RP6" s="53"/>
      <c r="RQ6" s="53"/>
      <c r="RR6" s="53"/>
      <c r="RS6" s="53"/>
      <c r="RT6" s="53"/>
      <c r="RU6" s="53"/>
      <c r="RV6" s="53"/>
      <c r="RW6" s="53"/>
      <c r="RX6" s="53"/>
      <c r="RY6" s="53"/>
      <c r="RZ6" s="53"/>
      <c r="SA6" s="53"/>
      <c r="SB6" s="53"/>
      <c r="SC6" s="53"/>
      <c r="SD6" s="53"/>
      <c r="SE6" s="53"/>
      <c r="SF6" s="53"/>
      <c r="SG6" s="53"/>
      <c r="SH6" s="53"/>
      <c r="SI6" s="53"/>
      <c r="SJ6" s="53"/>
      <c r="SK6" s="53"/>
      <c r="SL6" s="53"/>
      <c r="SM6" s="53"/>
      <c r="SN6" s="53"/>
      <c r="SO6" s="53"/>
      <c r="SP6" s="53"/>
      <c r="SQ6" s="53"/>
      <c r="SR6" s="53"/>
      <c r="SS6" s="53"/>
      <c r="ST6" s="53"/>
      <c r="SU6" s="53"/>
      <c r="SV6" s="53"/>
      <c r="SW6" s="53"/>
      <c r="SX6" s="53"/>
      <c r="SY6" s="53"/>
      <c r="SZ6" s="53"/>
      <c r="TA6" s="53"/>
      <c r="TB6" s="53"/>
      <c r="TC6" s="53"/>
      <c r="TD6" s="53"/>
      <c r="TE6" s="53"/>
      <c r="TF6" s="53"/>
      <c r="TG6" s="53"/>
      <c r="TH6" s="53"/>
      <c r="TI6" s="53"/>
      <c r="TJ6" s="53"/>
      <c r="TK6" s="53"/>
      <c r="TL6" s="53"/>
      <c r="TM6" s="53"/>
      <c r="TN6" s="53"/>
      <c r="TO6" s="53"/>
      <c r="TP6" s="53"/>
      <c r="TQ6" s="53"/>
      <c r="TR6" s="53"/>
      <c r="TS6" s="53"/>
      <c r="TT6" s="53"/>
      <c r="TU6" s="53"/>
      <c r="TV6" s="53"/>
      <c r="TW6" s="53"/>
      <c r="TX6" s="53"/>
      <c r="TY6" s="53"/>
      <c r="TZ6" s="53"/>
      <c r="UA6" s="53"/>
      <c r="UB6" s="53"/>
      <c r="UC6" s="53"/>
      <c r="UD6" s="53"/>
      <c r="UE6" s="53"/>
      <c r="UF6" s="53"/>
      <c r="UG6" s="53"/>
      <c r="UH6" s="53"/>
      <c r="UI6" s="53"/>
      <c r="UJ6" s="53"/>
      <c r="UK6" s="53"/>
      <c r="UL6" s="53"/>
      <c r="UM6" s="53"/>
      <c r="UN6" s="53"/>
      <c r="UO6" s="53"/>
      <c r="UP6" s="53"/>
      <c r="UQ6" s="53"/>
      <c r="UR6" s="53"/>
      <c r="US6" s="53"/>
      <c r="UT6" s="53"/>
      <c r="UU6" s="53"/>
      <c r="UV6" s="53"/>
      <c r="UW6" s="53"/>
      <c r="UX6" s="53"/>
      <c r="UY6" s="53"/>
      <c r="UZ6" s="53"/>
      <c r="VA6" s="53"/>
      <c r="VB6" s="53"/>
      <c r="VC6" s="53"/>
      <c r="VD6" s="53"/>
      <c r="VE6" s="53"/>
      <c r="VF6" s="53"/>
      <c r="VG6" s="53"/>
      <c r="VH6" s="53"/>
      <c r="VI6" s="53"/>
      <c r="VJ6" s="53"/>
      <c r="VK6" s="53"/>
      <c r="VL6" s="53"/>
      <c r="VM6" s="53"/>
      <c r="VN6" s="53"/>
      <c r="VO6" s="53"/>
      <c r="VP6" s="53"/>
      <c r="VQ6" s="53"/>
      <c r="VR6" s="53"/>
      <c r="VS6" s="53"/>
      <c r="VT6" s="53"/>
      <c r="VU6" s="53"/>
      <c r="VV6" s="53"/>
      <c r="VW6" s="53"/>
      <c r="VX6" s="53"/>
      <c r="VY6" s="53"/>
      <c r="VZ6" s="53"/>
      <c r="WA6" s="53"/>
      <c r="WB6" s="53"/>
      <c r="WC6" s="53"/>
      <c r="WD6" s="53"/>
      <c r="WE6" s="53"/>
      <c r="WF6" s="53"/>
      <c r="WG6" s="53"/>
      <c r="WH6" s="53"/>
      <c r="WI6" s="53"/>
      <c r="WJ6" s="53"/>
      <c r="WK6" s="53"/>
      <c r="WL6" s="53"/>
      <c r="WM6" s="53"/>
      <c r="WN6" s="53"/>
      <c r="WO6" s="53"/>
      <c r="WP6" s="53"/>
      <c r="WQ6" s="53"/>
      <c r="WR6" s="53"/>
      <c r="WS6" s="53"/>
      <c r="WT6" s="53"/>
      <c r="WU6" s="53"/>
      <c r="WV6" s="53"/>
      <c r="WW6" s="53"/>
      <c r="WX6" s="53"/>
      <c r="WY6" s="53"/>
      <c r="WZ6" s="53"/>
      <c r="XA6" s="53"/>
      <c r="XB6" s="53"/>
      <c r="XC6" s="53"/>
      <c r="XD6" s="53"/>
      <c r="XE6" s="53"/>
      <c r="XF6" s="53"/>
      <c r="XG6" s="53"/>
      <c r="XH6" s="53"/>
      <c r="XI6" s="53"/>
      <c r="XJ6" s="53"/>
      <c r="XK6" s="53"/>
      <c r="XL6" s="53"/>
      <c r="XM6" s="53"/>
      <c r="XN6" s="53"/>
      <c r="XO6" s="53"/>
      <c r="XP6" s="53"/>
      <c r="XQ6" s="53"/>
      <c r="XR6" s="53"/>
      <c r="XS6" s="53"/>
      <c r="XT6" s="53"/>
      <c r="XU6" s="53"/>
      <c r="XV6" s="53"/>
      <c r="XW6" s="53"/>
      <c r="XX6" s="53"/>
      <c r="XY6" s="53"/>
      <c r="XZ6" s="53"/>
      <c r="YA6" s="53"/>
      <c r="YB6" s="53"/>
      <c r="YC6" s="53"/>
      <c r="YD6" s="53"/>
      <c r="YE6" s="53"/>
      <c r="YF6" s="53"/>
      <c r="YG6" s="53"/>
      <c r="YH6" s="53"/>
      <c r="YI6" s="53"/>
      <c r="YJ6" s="53"/>
      <c r="YK6" s="53"/>
      <c r="YL6" s="53"/>
      <c r="YM6" s="53"/>
      <c r="YN6" s="53"/>
      <c r="YO6" s="53"/>
      <c r="YP6" s="53"/>
      <c r="YQ6" s="53"/>
      <c r="YR6" s="53"/>
      <c r="YS6" s="53"/>
      <c r="YT6" s="53"/>
      <c r="YU6" s="53"/>
      <c r="YV6" s="53"/>
      <c r="YW6" s="53"/>
      <c r="YX6" s="53"/>
      <c r="YY6" s="53"/>
      <c r="YZ6" s="53"/>
      <c r="ZA6" s="53"/>
      <c r="ZB6" s="53"/>
      <c r="ZC6" s="53"/>
      <c r="ZD6" s="53"/>
      <c r="ZE6" s="53"/>
      <c r="ZF6" s="53"/>
      <c r="ZG6" s="53"/>
      <c r="ZH6" s="53"/>
      <c r="ZI6" s="53"/>
      <c r="ZJ6" s="53"/>
      <c r="ZK6" s="53"/>
      <c r="ZL6" s="53"/>
      <c r="ZM6" s="53"/>
      <c r="ZN6" s="53"/>
      <c r="ZO6" s="53"/>
      <c r="ZP6" s="53"/>
      <c r="ZQ6" s="53"/>
      <c r="ZR6" s="53"/>
      <c r="ZS6" s="53"/>
      <c r="ZT6" s="53"/>
      <c r="ZU6" s="53"/>
      <c r="ZV6" s="53"/>
      <c r="ZW6" s="53"/>
      <c r="ZX6" s="53"/>
      <c r="ZY6" s="53"/>
      <c r="ZZ6" s="53"/>
      <c r="AAA6" s="53"/>
      <c r="AAB6" s="53"/>
      <c r="AAC6" s="53"/>
      <c r="AAD6" s="53"/>
      <c r="AAE6" s="53"/>
      <c r="AAF6" s="53"/>
      <c r="AAG6" s="53"/>
      <c r="AAH6" s="53"/>
      <c r="AAI6" s="53"/>
      <c r="AAJ6" s="53"/>
      <c r="AAK6" s="53"/>
      <c r="AAL6" s="53"/>
      <c r="AAM6" s="53"/>
      <c r="AAN6" s="53"/>
      <c r="AAO6" s="53"/>
      <c r="AAP6" s="53"/>
      <c r="AAQ6" s="53"/>
      <c r="AAR6" s="53"/>
      <c r="AAS6" s="53"/>
      <c r="AAT6" s="53"/>
      <c r="AAU6" s="53"/>
      <c r="AAV6" s="53"/>
      <c r="AAW6" s="53"/>
      <c r="AAX6" s="53"/>
      <c r="AAY6" s="53"/>
      <c r="AAZ6" s="53"/>
      <c r="ABA6" s="53"/>
      <c r="ABB6" s="53"/>
      <c r="ABC6" s="53"/>
      <c r="ABD6" s="53"/>
      <c r="ABE6" s="53"/>
      <c r="ABF6" s="53"/>
      <c r="ABG6" s="53"/>
      <c r="ABH6" s="53"/>
      <c r="ABI6" s="53"/>
      <c r="ABJ6" s="53"/>
      <c r="ABK6" s="53"/>
      <c r="ABL6" s="53"/>
      <c r="ABM6" s="53"/>
      <c r="ABN6" s="53"/>
      <c r="ABO6" s="53"/>
      <c r="ABP6" s="53"/>
      <c r="ABQ6" s="53"/>
      <c r="ABR6" s="53"/>
      <c r="ABS6" s="53"/>
      <c r="ABT6" s="53"/>
      <c r="ABU6" s="53"/>
      <c r="ABV6" s="53"/>
      <c r="ABW6" s="53"/>
      <c r="ABX6" s="53"/>
      <c r="ABY6" s="53"/>
      <c r="ABZ6" s="53"/>
      <c r="ACA6" s="53"/>
      <c r="ACB6" s="53"/>
      <c r="ACC6" s="53"/>
      <c r="ACD6" s="53"/>
      <c r="ACE6" s="53"/>
      <c r="ACF6" s="53"/>
      <c r="ACG6" s="53"/>
      <c r="ACH6" s="53"/>
      <c r="ACI6" s="53"/>
      <c r="ACJ6" s="53"/>
      <c r="ACK6" s="53"/>
      <c r="ACL6" s="53"/>
      <c r="ACM6" s="53"/>
      <c r="ACN6" s="53"/>
      <c r="ACO6" s="53"/>
      <c r="ACP6" s="53"/>
      <c r="ACQ6" s="53"/>
      <c r="ACR6" s="53"/>
      <c r="ACS6" s="53"/>
      <c r="ACT6" s="53"/>
      <c r="ACU6" s="53"/>
      <c r="ACV6" s="53"/>
      <c r="ACW6" s="53"/>
      <c r="ACX6" s="53"/>
      <c r="ACY6" s="53"/>
      <c r="ACZ6" s="53"/>
      <c r="ADA6" s="53"/>
      <c r="ADB6" s="53"/>
      <c r="ADC6" s="53"/>
      <c r="ADD6" s="53"/>
      <c r="ADE6" s="53"/>
      <c r="ADF6" s="53"/>
      <c r="ADG6" s="53"/>
      <c r="ADH6" s="53"/>
      <c r="ADI6" s="53"/>
      <c r="ADJ6" s="53"/>
      <c r="ADK6" s="53"/>
      <c r="ADL6" s="53"/>
      <c r="ADM6" s="53"/>
      <c r="ADN6" s="53"/>
      <c r="ADO6" s="53"/>
      <c r="ADP6" s="53"/>
      <c r="ADQ6" s="53"/>
      <c r="ADR6" s="53"/>
      <c r="ADS6" s="53"/>
      <c r="ADT6" s="53"/>
      <c r="ADU6" s="53"/>
      <c r="ADV6" s="53"/>
      <c r="ADW6" s="53"/>
      <c r="ADX6" s="53"/>
      <c r="ADY6" s="53"/>
      <c r="ADZ6" s="53"/>
      <c r="AEA6" s="53"/>
      <c r="AEB6" s="53"/>
      <c r="AEC6" s="53"/>
      <c r="AED6" s="53"/>
      <c r="AEE6" s="53"/>
      <c r="AEF6" s="53"/>
      <c r="AEG6" s="53"/>
      <c r="AEH6" s="53"/>
      <c r="AEI6" s="53"/>
      <c r="AEJ6" s="53"/>
      <c r="AEK6" s="53"/>
      <c r="AEL6" s="53"/>
      <c r="AEM6" s="53"/>
      <c r="AEN6" s="53"/>
      <c r="AEO6" s="53"/>
      <c r="AEP6" s="53"/>
      <c r="AEQ6" s="53"/>
      <c r="AER6" s="53"/>
      <c r="AES6" s="53"/>
      <c r="AET6" s="53"/>
      <c r="AEU6" s="53"/>
      <c r="AEV6" s="53"/>
      <c r="AEW6" s="53"/>
      <c r="AEX6" s="53"/>
      <c r="AEY6" s="53"/>
      <c r="AEZ6" s="53"/>
      <c r="AFA6" s="53"/>
      <c r="AFB6" s="53"/>
      <c r="AFC6" s="53"/>
      <c r="AFD6" s="53"/>
      <c r="AFE6" s="53"/>
      <c r="AFF6" s="53"/>
      <c r="AFG6" s="53"/>
      <c r="AFH6" s="53"/>
      <c r="AFI6" s="53"/>
      <c r="AFJ6" s="53"/>
      <c r="AFK6" s="53"/>
      <c r="AFL6" s="53"/>
      <c r="AFM6" s="53"/>
      <c r="AFN6" s="53"/>
      <c r="AFO6" s="53"/>
      <c r="AFP6" s="53"/>
      <c r="AFQ6" s="53"/>
      <c r="AFR6" s="53"/>
      <c r="AFS6" s="53"/>
      <c r="AFT6" s="53"/>
      <c r="AFU6" s="53"/>
      <c r="AFV6" s="53"/>
      <c r="AFW6" s="53"/>
      <c r="AFX6" s="53"/>
      <c r="AFY6" s="53"/>
      <c r="AFZ6" s="53"/>
      <c r="AGA6" s="53"/>
      <c r="AGB6" s="53"/>
      <c r="AGC6" s="53"/>
      <c r="AGD6" s="53"/>
      <c r="AGE6" s="53"/>
      <c r="AGF6" s="53"/>
      <c r="AGG6" s="53"/>
      <c r="AGH6" s="53"/>
      <c r="AGI6" s="53"/>
      <c r="AGJ6" s="53"/>
      <c r="AGK6" s="53"/>
      <c r="AGL6" s="53"/>
      <c r="AGM6" s="53"/>
      <c r="AGN6" s="53"/>
      <c r="AGO6" s="53"/>
      <c r="AGP6" s="53"/>
      <c r="AGQ6" s="53"/>
      <c r="AGR6" s="53"/>
      <c r="AGS6" s="53"/>
      <c r="AGT6" s="53"/>
      <c r="AGU6" s="53"/>
      <c r="AGV6" s="53"/>
      <c r="AGW6" s="53"/>
      <c r="AGX6" s="53"/>
      <c r="AGY6" s="53"/>
      <c r="AGZ6" s="53"/>
      <c r="AHA6" s="53"/>
      <c r="AHB6" s="53"/>
      <c r="AHC6" s="53"/>
      <c r="AHD6" s="53"/>
      <c r="AHE6" s="53"/>
      <c r="AHF6" s="53"/>
      <c r="AHG6" s="53"/>
      <c r="AHH6" s="53"/>
      <c r="AHI6" s="53"/>
      <c r="AHJ6" s="53"/>
      <c r="AHK6" s="53"/>
      <c r="AHL6" s="53"/>
      <c r="AHM6" s="53"/>
      <c r="AHN6" s="53"/>
      <c r="AHO6" s="53"/>
      <c r="AHP6" s="53"/>
      <c r="AHQ6" s="53"/>
      <c r="AHR6" s="53"/>
      <c r="AHS6" s="53"/>
      <c r="AHT6" s="53"/>
      <c r="AHU6" s="53"/>
      <c r="AHV6" s="53"/>
      <c r="AHW6" s="53"/>
      <c r="AHX6" s="53"/>
      <c r="AHY6" s="53"/>
      <c r="AHZ6" s="53"/>
      <c r="AIA6" s="53"/>
      <c r="AIB6" s="53"/>
      <c r="AIC6" s="53"/>
      <c r="AID6" s="53"/>
      <c r="AIE6" s="53"/>
      <c r="AIF6" s="53"/>
      <c r="AIG6" s="53"/>
      <c r="AIH6" s="53"/>
      <c r="AII6" s="53"/>
      <c r="AIJ6" s="53"/>
      <c r="AIK6" s="53"/>
      <c r="AIL6" s="53"/>
      <c r="AIM6" s="53"/>
      <c r="AIN6" s="53"/>
      <c r="AIO6" s="53"/>
      <c r="AIP6" s="53"/>
      <c r="AIQ6" s="53"/>
      <c r="AIR6" s="53"/>
      <c r="AIS6" s="53"/>
      <c r="AIT6" s="53"/>
      <c r="AIU6" s="53"/>
      <c r="AIV6" s="53"/>
      <c r="AIW6" s="53"/>
      <c r="AIX6" s="53"/>
      <c r="AIY6" s="53"/>
      <c r="AIZ6" s="53"/>
      <c r="AJA6" s="53"/>
      <c r="AJB6" s="53"/>
      <c r="AJC6" s="53"/>
      <c r="AJD6" s="53"/>
      <c r="AJE6" s="53"/>
      <c r="AJF6" s="53"/>
      <c r="AJG6" s="53"/>
      <c r="AJH6" s="53"/>
      <c r="AJI6" s="53"/>
      <c r="AJJ6" s="53"/>
      <c r="AJK6" s="53"/>
      <c r="AJL6" s="53"/>
      <c r="AJM6" s="53"/>
      <c r="AJN6" s="53"/>
      <c r="AJO6" s="53"/>
      <c r="AJP6" s="53"/>
      <c r="AJQ6" s="53"/>
      <c r="AJR6" s="53"/>
      <c r="AJS6" s="53"/>
      <c r="AJT6" s="53"/>
      <c r="AJU6" s="53"/>
      <c r="AJV6" s="53"/>
      <c r="AJW6" s="53"/>
      <c r="AJX6" s="53"/>
      <c r="AJY6" s="53"/>
      <c r="AJZ6" s="53"/>
      <c r="AKA6" s="53"/>
      <c r="AKB6" s="53"/>
      <c r="AKC6" s="53"/>
      <c r="AKD6" s="53"/>
      <c r="AKE6" s="53"/>
      <c r="AKF6" s="53"/>
      <c r="AKG6" s="53"/>
      <c r="AKH6" s="53"/>
      <c r="AKI6" s="53"/>
      <c r="AKJ6" s="53"/>
      <c r="AKK6" s="53"/>
      <c r="AKL6" s="53"/>
      <c r="AKM6" s="53"/>
      <c r="AKN6" s="53"/>
      <c r="AKO6" s="53"/>
      <c r="AKP6" s="53"/>
      <c r="AKQ6" s="53"/>
      <c r="AKR6" s="53"/>
      <c r="AKS6" s="53"/>
      <c r="AKT6" s="53"/>
      <c r="AKU6" s="53"/>
      <c r="AKV6" s="53"/>
      <c r="AKW6" s="53"/>
      <c r="AKX6" s="53"/>
      <c r="AKY6" s="53"/>
      <c r="AKZ6" s="53"/>
      <c r="ALA6" s="53"/>
      <c r="ALB6" s="53"/>
      <c r="ALC6" s="53"/>
      <c r="ALD6" s="53"/>
      <c r="ALE6" s="53"/>
      <c r="ALF6" s="53"/>
      <c r="ALG6" s="53"/>
      <c r="ALH6" s="53"/>
      <c r="ALI6" s="53"/>
      <c r="ALJ6" s="53"/>
      <c r="ALK6" s="53"/>
      <c r="ALL6" s="53"/>
      <c r="ALM6" s="53"/>
      <c r="ALN6" s="53"/>
      <c r="ALO6" s="53"/>
      <c r="ALP6" s="53"/>
      <c r="ALQ6" s="53"/>
      <c r="ALR6" s="53"/>
      <c r="ALS6" s="53"/>
      <c r="ALT6" s="53"/>
      <c r="ALU6" s="53"/>
      <c r="ALV6" s="53"/>
      <c r="ALW6" s="53"/>
      <c r="ALX6" s="53"/>
      <c r="ALY6" s="53"/>
      <c r="ALZ6" s="53"/>
      <c r="AMA6" s="53"/>
      <c r="AMB6" s="53"/>
      <c r="AMC6" s="53"/>
      <c r="AMD6" s="53"/>
      <c r="AME6" s="53"/>
      <c r="AMF6" s="53"/>
      <c r="AMG6" s="53"/>
      <c r="AMH6" s="53"/>
      <c r="AMI6" s="53"/>
      <c r="AMJ6" s="53"/>
      <c r="AMK6" s="53"/>
      <c r="AML6" s="53"/>
      <c r="AMM6" s="53"/>
      <c r="AMN6" s="53"/>
      <c r="AMO6" s="53"/>
      <c r="AMP6" s="53"/>
      <c r="AMQ6" s="53"/>
      <c r="AMR6" s="53"/>
      <c r="AMS6" s="53"/>
      <c r="AMT6" s="53"/>
      <c r="AMU6" s="53"/>
      <c r="AMV6" s="53"/>
      <c r="AMW6" s="53"/>
      <c r="AMX6" s="53"/>
      <c r="AMY6" s="53"/>
      <c r="AMZ6" s="53"/>
      <c r="ANA6" s="53"/>
      <c r="ANB6" s="53"/>
      <c r="ANC6" s="53"/>
      <c r="AND6" s="53"/>
      <c r="ANE6" s="53"/>
      <c r="ANF6" s="53"/>
      <c r="ANG6" s="53"/>
      <c r="ANH6" s="53"/>
      <c r="ANI6" s="53"/>
      <c r="ANJ6" s="53"/>
      <c r="ANK6" s="53"/>
      <c r="ANL6" s="53"/>
      <c r="ANM6" s="53"/>
      <c r="ANN6" s="53"/>
      <c r="ANO6" s="53"/>
      <c r="ANP6" s="53"/>
      <c r="ANQ6" s="53"/>
      <c r="ANR6" s="53"/>
      <c r="ANS6" s="53"/>
      <c r="ANT6" s="53"/>
      <c r="ANU6" s="53"/>
      <c r="ANV6" s="53"/>
      <c r="ANW6" s="53"/>
      <c r="ANX6" s="53"/>
      <c r="ANY6" s="53"/>
      <c r="ANZ6" s="53"/>
      <c r="AOA6" s="53"/>
      <c r="AOB6" s="53"/>
      <c r="AOC6" s="53"/>
      <c r="AOD6" s="53"/>
      <c r="AOE6" s="53"/>
      <c r="AOF6" s="53"/>
      <c r="AOG6" s="53"/>
      <c r="AOH6" s="53"/>
      <c r="AOI6" s="53"/>
      <c r="AOJ6" s="53"/>
      <c r="AOK6" s="53"/>
      <c r="AOL6" s="53"/>
      <c r="AOM6" s="53"/>
      <c r="AON6" s="53"/>
      <c r="AOO6" s="53"/>
      <c r="AOP6" s="53"/>
      <c r="AOQ6" s="53"/>
      <c r="AOR6" s="53"/>
      <c r="AOS6" s="53"/>
      <c r="AOT6" s="53"/>
      <c r="AOU6" s="53"/>
      <c r="AOV6" s="53"/>
      <c r="AOW6" s="53"/>
      <c r="AOX6" s="53"/>
      <c r="AOY6" s="53"/>
      <c r="AOZ6" s="53"/>
      <c r="APA6" s="53"/>
      <c r="APB6" s="53"/>
      <c r="APC6" s="53"/>
      <c r="APD6" s="53"/>
      <c r="APE6" s="53"/>
      <c r="APF6" s="53"/>
      <c r="APG6" s="53"/>
      <c r="APH6" s="53"/>
      <c r="API6" s="53"/>
      <c r="APJ6" s="53"/>
      <c r="APK6" s="53"/>
      <c r="APL6" s="53"/>
      <c r="APM6" s="53"/>
      <c r="APN6" s="53"/>
      <c r="APO6" s="53"/>
      <c r="APP6" s="53"/>
      <c r="APQ6" s="53"/>
      <c r="APR6" s="53"/>
      <c r="APS6" s="53"/>
      <c r="APT6" s="53"/>
      <c r="APU6" s="53"/>
      <c r="APV6" s="53"/>
      <c r="APW6" s="53"/>
      <c r="APX6" s="53"/>
      <c r="APY6" s="53"/>
      <c r="APZ6" s="53"/>
      <c r="AQA6" s="53"/>
      <c r="AQB6" s="53"/>
      <c r="AQC6" s="53"/>
      <c r="AQD6" s="53"/>
      <c r="AQE6" s="53"/>
      <c r="AQF6" s="53"/>
      <c r="AQG6" s="53"/>
      <c r="AQH6" s="53"/>
      <c r="AQI6" s="53"/>
      <c r="AQJ6" s="53"/>
      <c r="AQK6" s="53"/>
      <c r="AQL6" s="53"/>
      <c r="AQM6" s="53"/>
      <c r="AQN6" s="53"/>
      <c r="AQO6" s="53"/>
      <c r="AQP6" s="53"/>
      <c r="AQQ6" s="53"/>
      <c r="AQR6" s="53"/>
      <c r="AQS6" s="53"/>
      <c r="AQT6" s="53"/>
      <c r="AQU6" s="53"/>
      <c r="AQV6" s="53"/>
      <c r="AQW6" s="53"/>
      <c r="AQX6" s="53"/>
      <c r="AQY6" s="53"/>
      <c r="AQZ6" s="53"/>
      <c r="ARA6" s="53"/>
      <c r="ARB6" s="53"/>
      <c r="ARC6" s="53"/>
      <c r="ARD6" s="53"/>
      <c r="ARE6" s="53"/>
      <c r="ARF6" s="53"/>
      <c r="ARG6" s="53"/>
      <c r="ARH6" s="53"/>
      <c r="ARI6" s="53"/>
      <c r="ARJ6" s="53"/>
      <c r="ARK6" s="53"/>
      <c r="ARL6" s="53"/>
      <c r="ARM6" s="53"/>
      <c r="ARN6" s="53"/>
      <c r="ARO6" s="53"/>
      <c r="ARP6" s="53"/>
      <c r="ARQ6" s="53"/>
      <c r="ARR6" s="53"/>
      <c r="ARS6" s="53"/>
      <c r="ART6" s="53"/>
      <c r="ARU6" s="53"/>
      <c r="ARV6" s="53"/>
      <c r="ARW6" s="53"/>
      <c r="ARX6" s="53"/>
      <c r="ARY6" s="53"/>
      <c r="ARZ6" s="53"/>
      <c r="ASA6" s="53"/>
      <c r="ASB6" s="53"/>
      <c r="ASC6" s="53"/>
      <c r="ASD6" s="53"/>
      <c r="ASE6" s="53"/>
      <c r="ASF6" s="53"/>
      <c r="ASG6" s="53"/>
      <c r="ASH6" s="53"/>
      <c r="ASI6" s="53"/>
      <c r="ASJ6" s="53"/>
      <c r="ASK6" s="53"/>
      <c r="ASL6" s="53"/>
      <c r="ASM6" s="53"/>
      <c r="ASN6" s="53"/>
      <c r="ASO6" s="53"/>
      <c r="ASP6" s="53"/>
      <c r="ASQ6" s="53"/>
      <c r="ASR6" s="53"/>
      <c r="ASS6" s="53"/>
      <c r="AST6" s="53"/>
      <c r="ASU6" s="53"/>
      <c r="ASV6" s="53"/>
      <c r="ASW6" s="53"/>
      <c r="ASX6" s="53"/>
      <c r="ASY6" s="53"/>
      <c r="ASZ6" s="53"/>
      <c r="ATA6" s="53"/>
      <c r="ATB6" s="53"/>
      <c r="ATC6" s="53"/>
      <c r="ATD6" s="53"/>
      <c r="ATE6" s="53"/>
      <c r="ATF6" s="53"/>
      <c r="ATG6" s="53"/>
      <c r="ATH6" s="53"/>
      <c r="ATI6" s="53"/>
      <c r="ATJ6" s="53"/>
      <c r="ATK6" s="53"/>
      <c r="ATL6" s="53"/>
      <c r="ATM6" s="53"/>
      <c r="ATN6" s="53"/>
      <c r="ATO6" s="53"/>
      <c r="ATP6" s="53"/>
      <c r="ATQ6" s="53"/>
      <c r="ATR6" s="53"/>
      <c r="ATS6" s="53"/>
      <c r="ATT6" s="53"/>
      <c r="ATU6" s="53"/>
      <c r="ATV6" s="53"/>
      <c r="ATW6" s="53"/>
      <c r="ATX6" s="53"/>
      <c r="ATY6" s="53"/>
      <c r="ATZ6" s="53"/>
      <c r="AUA6" s="53"/>
      <c r="AUB6" s="53"/>
      <c r="AUC6" s="53"/>
      <c r="AUD6" s="53"/>
      <c r="AUE6" s="53"/>
      <c r="AUF6" s="53"/>
      <c r="AUG6" s="53"/>
      <c r="AUH6" s="53"/>
      <c r="AUI6" s="53"/>
      <c r="AUJ6" s="53"/>
      <c r="AUK6" s="53"/>
      <c r="AUL6" s="53"/>
      <c r="AUM6" s="53"/>
      <c r="AUN6" s="53"/>
      <c r="AUO6" s="53"/>
      <c r="AUP6" s="53"/>
      <c r="AUQ6" s="53"/>
      <c r="AUR6" s="53"/>
      <c r="AUS6" s="53"/>
      <c r="AUT6" s="53"/>
      <c r="AUU6" s="53"/>
      <c r="AUV6" s="53"/>
      <c r="AUW6" s="53"/>
      <c r="AUX6" s="53"/>
      <c r="AUY6" s="53"/>
      <c r="AUZ6" s="53"/>
      <c r="AVA6" s="53"/>
      <c r="AVB6" s="53"/>
      <c r="AVC6" s="53"/>
      <c r="AVD6" s="53"/>
      <c r="AVE6" s="53"/>
      <c r="AVF6" s="53"/>
      <c r="AVG6" s="53"/>
      <c r="AVH6" s="53"/>
      <c r="AVI6" s="53"/>
      <c r="AVJ6" s="53"/>
      <c r="AVK6" s="53"/>
      <c r="AVL6" s="53"/>
      <c r="AVM6" s="53"/>
      <c r="AVN6" s="53"/>
      <c r="AVO6" s="53"/>
      <c r="AVP6" s="53"/>
      <c r="AVQ6" s="53"/>
      <c r="AVR6" s="53"/>
      <c r="AVS6" s="53"/>
      <c r="AVT6" s="53"/>
      <c r="AVU6" s="53"/>
      <c r="AVV6" s="53"/>
      <c r="AVW6" s="53"/>
      <c r="AVX6" s="53"/>
      <c r="AVY6" s="53"/>
      <c r="AVZ6" s="53"/>
      <c r="AWA6" s="53"/>
      <c r="AWB6" s="53"/>
      <c r="AWC6" s="53"/>
      <c r="AWD6" s="53"/>
      <c r="AWE6" s="53"/>
      <c r="AWF6" s="53"/>
      <c r="AWG6" s="53"/>
      <c r="AWH6" s="53"/>
      <c r="AWI6" s="53"/>
      <c r="AWJ6" s="53"/>
      <c r="AWK6" s="53"/>
      <c r="AWL6" s="53"/>
      <c r="AWM6" s="53"/>
      <c r="AWN6" s="53"/>
      <c r="AWO6" s="53"/>
      <c r="AWP6" s="53"/>
      <c r="AWQ6" s="53"/>
      <c r="AWR6" s="53"/>
      <c r="AWS6" s="53"/>
      <c r="AWT6" s="53"/>
      <c r="AWU6" s="53"/>
      <c r="AWV6" s="53"/>
      <c r="AWW6" s="53"/>
      <c r="AWX6" s="53"/>
      <c r="AWY6" s="53"/>
      <c r="AWZ6" s="53"/>
      <c r="AXA6" s="53"/>
      <c r="AXB6" s="53"/>
      <c r="AXC6" s="53"/>
      <c r="AXD6" s="53"/>
      <c r="AXE6" s="53"/>
      <c r="AXF6" s="53"/>
      <c r="AXG6" s="53"/>
      <c r="AXH6" s="53"/>
      <c r="AXI6" s="53"/>
      <c r="AXJ6" s="53"/>
      <c r="AXK6" s="53"/>
      <c r="AXL6" s="53"/>
      <c r="AXM6" s="53"/>
      <c r="AXN6" s="53"/>
      <c r="AXO6" s="53"/>
      <c r="AXP6" s="53"/>
      <c r="AXQ6" s="53"/>
      <c r="AXR6" s="53"/>
      <c r="AXS6" s="53"/>
      <c r="AXT6" s="53"/>
      <c r="AXU6" s="53"/>
      <c r="AXV6" s="53"/>
      <c r="AXW6" s="53"/>
      <c r="AXX6" s="53"/>
      <c r="AXY6" s="53"/>
      <c r="AXZ6" s="53"/>
      <c r="AYA6" s="53"/>
      <c r="AYB6" s="53"/>
      <c r="AYC6" s="53"/>
      <c r="AYD6" s="53"/>
      <c r="AYE6" s="53"/>
      <c r="AYF6" s="53"/>
      <c r="AYG6" s="53"/>
      <c r="AYH6" s="53"/>
      <c r="AYI6" s="53"/>
      <c r="AYJ6" s="53"/>
      <c r="AYK6" s="53"/>
      <c r="AYL6" s="53"/>
      <c r="AYM6" s="53"/>
      <c r="AYN6" s="53"/>
      <c r="AYO6" s="53"/>
      <c r="AYP6" s="53"/>
      <c r="AYQ6" s="53"/>
      <c r="AYR6" s="53"/>
      <c r="AYS6" s="53"/>
      <c r="AYT6" s="53"/>
      <c r="AYU6" s="53"/>
      <c r="AYV6" s="53"/>
      <c r="AYW6" s="53"/>
      <c r="AYX6" s="53"/>
      <c r="AYY6" s="53"/>
      <c r="AYZ6" s="53"/>
      <c r="AZA6" s="53"/>
      <c r="AZB6" s="53"/>
      <c r="AZC6" s="53"/>
      <c r="AZD6" s="53"/>
      <c r="AZE6" s="53"/>
      <c r="AZF6" s="53"/>
      <c r="AZG6" s="53"/>
      <c r="AZH6" s="53"/>
      <c r="AZI6" s="53"/>
      <c r="AZJ6" s="53"/>
      <c r="AZK6" s="53"/>
      <c r="AZL6" s="53"/>
      <c r="AZM6" s="53"/>
      <c r="AZN6" s="53"/>
      <c r="AZO6" s="53"/>
      <c r="AZP6" s="53"/>
      <c r="AZQ6" s="53"/>
      <c r="AZR6" s="53"/>
      <c r="AZS6" s="53"/>
      <c r="AZT6" s="53"/>
      <c r="AZU6" s="53"/>
      <c r="AZV6" s="53"/>
      <c r="AZW6" s="53"/>
      <c r="AZX6" s="53"/>
      <c r="AZY6" s="53"/>
      <c r="AZZ6" s="53"/>
      <c r="BAA6" s="53"/>
      <c r="BAB6" s="53"/>
      <c r="BAC6" s="53"/>
      <c r="BAD6" s="53"/>
      <c r="BAE6" s="53"/>
      <c r="BAF6" s="53"/>
      <c r="BAG6" s="53"/>
      <c r="BAH6" s="53"/>
      <c r="BAI6" s="53"/>
      <c r="BAJ6" s="53"/>
      <c r="BAK6" s="53"/>
      <c r="BAL6" s="53"/>
      <c r="BAM6" s="53"/>
      <c r="BAN6" s="53"/>
      <c r="BAO6" s="53"/>
      <c r="BAP6" s="53"/>
      <c r="BAQ6" s="53"/>
      <c r="BAR6" s="53"/>
      <c r="BAS6" s="53"/>
      <c r="BAT6" s="53"/>
      <c r="BAU6" s="53"/>
      <c r="BAV6" s="53"/>
      <c r="BAW6" s="53"/>
      <c r="BAX6" s="53"/>
      <c r="BAY6" s="53"/>
      <c r="BAZ6" s="53"/>
      <c r="BBA6" s="53"/>
      <c r="BBB6" s="53"/>
      <c r="BBC6" s="53"/>
      <c r="BBD6" s="53"/>
      <c r="BBE6" s="53"/>
      <c r="BBF6" s="53"/>
      <c r="BBG6" s="53"/>
      <c r="BBH6" s="53"/>
      <c r="BBI6" s="53"/>
      <c r="BBJ6" s="53"/>
      <c r="BBK6" s="53"/>
      <c r="BBL6" s="53"/>
      <c r="BBM6" s="53"/>
      <c r="BBN6" s="53"/>
      <c r="BBO6" s="53"/>
      <c r="BBP6" s="53"/>
      <c r="BBQ6" s="53"/>
      <c r="BBR6" s="53"/>
      <c r="BBS6" s="53"/>
      <c r="BBT6" s="53"/>
      <c r="BBU6" s="53"/>
      <c r="BBV6" s="53"/>
      <c r="BBW6" s="53"/>
      <c r="BBX6" s="53"/>
      <c r="BBY6" s="53"/>
      <c r="BBZ6" s="53"/>
      <c r="BCA6" s="53"/>
      <c r="BCB6" s="53"/>
      <c r="BCC6" s="53"/>
      <c r="BCD6" s="53"/>
      <c r="BCE6" s="53"/>
      <c r="BCF6" s="53"/>
      <c r="BCG6" s="53"/>
      <c r="BCH6" s="53"/>
      <c r="BCI6" s="53"/>
      <c r="BCJ6" s="53"/>
      <c r="BCK6" s="53"/>
      <c r="BCL6" s="53"/>
      <c r="BCM6" s="53"/>
      <c r="BCN6" s="53"/>
      <c r="BCO6" s="53"/>
      <c r="BCP6" s="53"/>
      <c r="BCQ6" s="53"/>
      <c r="BCR6" s="53"/>
      <c r="BCS6" s="53"/>
      <c r="BCT6" s="53"/>
      <c r="BCU6" s="53"/>
      <c r="BCV6" s="53"/>
      <c r="BCW6" s="53"/>
      <c r="BCX6" s="53"/>
      <c r="BCY6" s="53"/>
      <c r="BCZ6" s="53"/>
      <c r="BDA6" s="53"/>
      <c r="BDB6" s="53"/>
      <c r="BDC6" s="53"/>
      <c r="BDD6" s="53"/>
      <c r="BDE6" s="53"/>
      <c r="BDF6" s="53"/>
      <c r="BDG6" s="53"/>
      <c r="BDH6" s="53"/>
      <c r="BDI6" s="53"/>
      <c r="BDJ6" s="53"/>
      <c r="BDK6" s="53"/>
      <c r="BDL6" s="53"/>
      <c r="BDM6" s="53"/>
      <c r="BDN6" s="53"/>
      <c r="BDO6" s="53"/>
      <c r="BDP6" s="53"/>
      <c r="BDQ6" s="53"/>
      <c r="BDR6" s="53"/>
      <c r="BDS6" s="53"/>
      <c r="BDT6" s="53"/>
      <c r="BDU6" s="53"/>
      <c r="BDV6" s="53"/>
      <c r="BDW6" s="53"/>
      <c r="BDX6" s="53"/>
      <c r="BDY6" s="53"/>
      <c r="BDZ6" s="53"/>
      <c r="BEA6" s="53"/>
      <c r="BEB6" s="53"/>
      <c r="BEC6" s="53"/>
      <c r="BED6" s="53"/>
      <c r="BEE6" s="53"/>
      <c r="BEF6" s="53"/>
      <c r="BEG6" s="53"/>
      <c r="BEH6" s="53"/>
      <c r="BEI6" s="53"/>
      <c r="BEJ6" s="53"/>
      <c r="BEK6" s="53"/>
      <c r="BEL6" s="53"/>
      <c r="BEM6" s="53"/>
      <c r="BEN6" s="53"/>
      <c r="BEO6" s="53"/>
      <c r="BEP6" s="53"/>
      <c r="BEQ6" s="53"/>
      <c r="BER6" s="53"/>
      <c r="BES6" s="53"/>
      <c r="BET6" s="53"/>
      <c r="BEU6" s="53"/>
      <c r="BEV6" s="53"/>
      <c r="BEW6" s="53"/>
      <c r="BEX6" s="53"/>
      <c r="BEY6" s="53"/>
      <c r="BEZ6" s="53"/>
      <c r="BFA6" s="53"/>
      <c r="BFB6" s="53"/>
      <c r="BFC6" s="53"/>
      <c r="BFD6" s="53"/>
      <c r="BFE6" s="53"/>
      <c r="BFF6" s="53"/>
      <c r="BFG6" s="53"/>
      <c r="BFH6" s="53"/>
      <c r="BFI6" s="53"/>
      <c r="BFJ6" s="53"/>
      <c r="BFK6" s="53"/>
      <c r="BFL6" s="53"/>
      <c r="BFM6" s="53"/>
      <c r="BFN6" s="53"/>
      <c r="BFO6" s="53"/>
      <c r="BFP6" s="53"/>
      <c r="BFQ6" s="53"/>
      <c r="BFR6" s="53"/>
      <c r="BFS6" s="53"/>
      <c r="BFT6" s="53"/>
      <c r="BFU6" s="53"/>
      <c r="BFV6" s="53"/>
      <c r="BFW6" s="53"/>
      <c r="BFX6" s="53"/>
      <c r="BFY6" s="53"/>
      <c r="BFZ6" s="53"/>
      <c r="BGA6" s="53"/>
      <c r="BGB6" s="53"/>
      <c r="BGC6" s="53"/>
      <c r="BGD6" s="53"/>
      <c r="BGE6" s="53"/>
      <c r="BGF6" s="53"/>
      <c r="BGG6" s="53"/>
      <c r="BGH6" s="53"/>
      <c r="BGI6" s="53"/>
      <c r="BGJ6" s="53"/>
      <c r="BGK6" s="53"/>
      <c r="BGL6" s="53"/>
      <c r="BGM6" s="53"/>
      <c r="BGN6" s="53"/>
      <c r="BGO6" s="53"/>
      <c r="BGP6" s="53"/>
      <c r="BGQ6" s="53"/>
      <c r="BGR6" s="53"/>
      <c r="BGS6" s="53"/>
      <c r="BGT6" s="53"/>
      <c r="BGU6" s="53"/>
      <c r="BGV6" s="53"/>
      <c r="BGW6" s="53"/>
      <c r="BGX6" s="53"/>
      <c r="BGY6" s="53"/>
      <c r="BGZ6" s="53"/>
      <c r="BHA6" s="53"/>
      <c r="BHB6" s="53"/>
      <c r="BHC6" s="53"/>
      <c r="BHD6" s="53"/>
      <c r="BHE6" s="53"/>
      <c r="BHF6" s="53"/>
      <c r="BHG6" s="53"/>
      <c r="BHH6" s="53"/>
      <c r="BHI6" s="53"/>
      <c r="BHJ6" s="53"/>
      <c r="BHK6" s="53"/>
      <c r="BHL6" s="53"/>
      <c r="BHM6" s="53"/>
      <c r="BHN6" s="53"/>
      <c r="BHO6" s="53"/>
      <c r="BHP6" s="53"/>
      <c r="BHQ6" s="53"/>
      <c r="BHR6" s="53"/>
      <c r="BHS6" s="53"/>
      <c r="BHT6" s="53"/>
      <c r="BHU6" s="53"/>
      <c r="BHV6" s="53"/>
      <c r="BHW6" s="53"/>
      <c r="BHX6" s="53"/>
      <c r="BHY6" s="53"/>
      <c r="BHZ6" s="53"/>
      <c r="BIA6" s="53"/>
      <c r="BIB6" s="53"/>
      <c r="BIC6" s="53"/>
      <c r="BID6" s="53"/>
      <c r="BIE6" s="53"/>
      <c r="BIF6" s="53"/>
      <c r="BIG6" s="53"/>
      <c r="BIH6" s="53"/>
      <c r="BII6" s="53"/>
      <c r="BIJ6" s="53"/>
      <c r="BIK6" s="53"/>
      <c r="BIL6" s="53"/>
      <c r="BIM6" s="53"/>
      <c r="BIN6" s="53"/>
      <c r="BIO6" s="53"/>
      <c r="BIP6" s="53"/>
      <c r="BIQ6" s="53"/>
      <c r="BIR6" s="53"/>
      <c r="BIS6" s="53"/>
      <c r="BIT6" s="53"/>
      <c r="BIU6" s="53"/>
      <c r="BIV6" s="53"/>
      <c r="BIW6" s="53"/>
      <c r="BIX6" s="53"/>
      <c r="BIY6" s="53"/>
      <c r="BIZ6" s="53"/>
      <c r="BJA6" s="53"/>
      <c r="BJB6" s="53"/>
      <c r="BJC6" s="53"/>
      <c r="BJD6" s="53"/>
      <c r="BJE6" s="53"/>
      <c r="BJF6" s="53"/>
      <c r="BJG6" s="53"/>
      <c r="BJH6" s="53"/>
      <c r="BJI6" s="53"/>
      <c r="BJJ6" s="53"/>
      <c r="BJK6" s="53"/>
      <c r="BJL6" s="53"/>
      <c r="BJM6" s="53"/>
      <c r="BJN6" s="53"/>
      <c r="BJO6" s="53"/>
      <c r="BJP6" s="53"/>
      <c r="BJQ6" s="53"/>
      <c r="BJR6" s="53"/>
      <c r="BJS6" s="53"/>
      <c r="BJT6" s="53"/>
      <c r="BJU6" s="53"/>
      <c r="BJV6" s="53"/>
      <c r="BJW6" s="53"/>
      <c r="BJX6" s="53"/>
      <c r="BJY6" s="53"/>
      <c r="BJZ6" s="53"/>
      <c r="BKA6" s="53"/>
      <c r="BKB6" s="53"/>
      <c r="BKC6" s="53"/>
      <c r="BKD6" s="53"/>
      <c r="BKE6" s="53"/>
      <c r="BKF6" s="53"/>
      <c r="BKG6" s="53"/>
      <c r="BKH6" s="53"/>
      <c r="BKI6" s="53"/>
      <c r="BKJ6" s="53"/>
      <c r="BKK6" s="53"/>
      <c r="BKL6" s="53"/>
      <c r="BKM6" s="53"/>
      <c r="BKN6" s="53"/>
      <c r="BKO6" s="53"/>
      <c r="BKP6" s="53"/>
      <c r="BKQ6" s="53"/>
      <c r="BKR6" s="53"/>
      <c r="BKS6" s="53"/>
      <c r="BKT6" s="53"/>
      <c r="BKU6" s="53"/>
      <c r="BKV6" s="53"/>
      <c r="BKW6" s="53"/>
      <c r="BKX6" s="53"/>
      <c r="BKY6" s="53"/>
      <c r="BKZ6" s="53"/>
      <c r="BLA6" s="53"/>
      <c r="BLB6" s="53"/>
      <c r="BLC6" s="53"/>
      <c r="BLD6" s="53"/>
      <c r="BLE6" s="53"/>
      <c r="BLF6" s="53"/>
      <c r="BLG6" s="53"/>
      <c r="BLH6" s="53"/>
      <c r="BLI6" s="53"/>
      <c r="BLJ6" s="53"/>
      <c r="BLK6" s="53"/>
      <c r="BLL6" s="53"/>
      <c r="BLM6" s="53"/>
      <c r="BLN6" s="53"/>
      <c r="BLO6" s="53"/>
      <c r="BLP6" s="53"/>
      <c r="BLQ6" s="53"/>
      <c r="BLR6" s="53"/>
      <c r="BLS6" s="53"/>
      <c r="BLT6" s="53"/>
      <c r="BLU6" s="53"/>
      <c r="BLV6" s="53"/>
      <c r="BLW6" s="53"/>
      <c r="BLX6" s="53"/>
      <c r="BLY6" s="53"/>
      <c r="BLZ6" s="53"/>
      <c r="BMA6" s="53"/>
      <c r="BMB6" s="53"/>
      <c r="BMC6" s="53"/>
      <c r="BMD6" s="53"/>
      <c r="BME6" s="53"/>
      <c r="BMF6" s="53"/>
      <c r="BMG6" s="53"/>
      <c r="BMH6" s="53"/>
      <c r="BMI6" s="53"/>
      <c r="BMJ6" s="53"/>
      <c r="BMK6" s="53"/>
      <c r="BML6" s="53"/>
      <c r="BMM6" s="53"/>
      <c r="BMN6" s="53"/>
      <c r="BMO6" s="53"/>
      <c r="BMP6" s="53"/>
      <c r="BMQ6" s="53"/>
      <c r="BMR6" s="53"/>
      <c r="BMS6" s="53"/>
      <c r="BMT6" s="53"/>
      <c r="BMU6" s="53"/>
      <c r="BMV6" s="53"/>
      <c r="BMW6" s="53"/>
      <c r="BMX6" s="53"/>
      <c r="BMY6" s="53"/>
      <c r="BMZ6" s="53"/>
      <c r="BNA6" s="53"/>
      <c r="BNB6" s="53"/>
      <c r="BNC6" s="53"/>
      <c r="BND6" s="53"/>
      <c r="BNE6" s="53"/>
      <c r="BNF6" s="53"/>
      <c r="BNG6" s="53"/>
      <c r="BNH6" s="53"/>
      <c r="BNI6" s="53"/>
      <c r="BNJ6" s="53"/>
      <c r="BNK6" s="53"/>
      <c r="BNL6" s="53"/>
      <c r="BNM6" s="53"/>
      <c r="BNN6" s="53"/>
      <c r="BNO6" s="53"/>
      <c r="BNP6" s="53"/>
      <c r="BNQ6" s="53"/>
      <c r="BNR6" s="53"/>
      <c r="BNS6" s="53"/>
      <c r="BNT6" s="53"/>
      <c r="BNU6" s="53"/>
      <c r="BNV6" s="53"/>
      <c r="BNW6" s="53"/>
      <c r="BNX6" s="53"/>
      <c r="BNY6" s="53"/>
      <c r="BNZ6" s="53"/>
      <c r="BOA6" s="53"/>
      <c r="BOB6" s="53"/>
      <c r="BOC6" s="53"/>
      <c r="BOD6" s="53"/>
      <c r="BOE6" s="53"/>
      <c r="BOF6" s="53"/>
      <c r="BOG6" s="53"/>
      <c r="BOH6" s="53"/>
      <c r="BOI6" s="53"/>
      <c r="BOJ6" s="53"/>
      <c r="BOK6" s="53"/>
      <c r="BOL6" s="53"/>
      <c r="BOM6" s="53"/>
      <c r="BON6" s="53"/>
      <c r="BOO6" s="53"/>
      <c r="BOP6" s="53"/>
      <c r="BOQ6" s="53"/>
      <c r="BOR6" s="53"/>
      <c r="BOS6" s="53"/>
      <c r="BOT6" s="53"/>
      <c r="BOU6" s="53"/>
      <c r="BOV6" s="53"/>
      <c r="BOW6" s="53"/>
      <c r="BOX6" s="53"/>
      <c r="BOY6" s="53"/>
      <c r="BOZ6" s="53"/>
      <c r="BPA6" s="53"/>
      <c r="BPB6" s="53"/>
      <c r="BPC6" s="53"/>
      <c r="BPD6" s="53"/>
      <c r="BPE6" s="53"/>
      <c r="BPF6" s="53"/>
      <c r="BPG6" s="53"/>
      <c r="BPH6" s="53"/>
      <c r="BPI6" s="53"/>
      <c r="BPJ6" s="53"/>
      <c r="BPK6" s="53"/>
      <c r="BPL6" s="53"/>
      <c r="BPM6" s="53"/>
      <c r="BPN6" s="53"/>
      <c r="BPO6" s="53"/>
      <c r="BPP6" s="53"/>
      <c r="BPQ6" s="53"/>
      <c r="BPR6" s="53"/>
      <c r="BPS6" s="53"/>
      <c r="BPT6" s="53"/>
      <c r="BPU6" s="53"/>
      <c r="BPV6" s="53"/>
      <c r="BPW6" s="53"/>
      <c r="BPX6" s="53"/>
      <c r="BPY6" s="53"/>
      <c r="BPZ6" s="53"/>
      <c r="BQA6" s="53"/>
      <c r="BQB6" s="53"/>
      <c r="BQC6" s="53"/>
      <c r="BQD6" s="53"/>
      <c r="BQE6" s="53"/>
      <c r="BQF6" s="53"/>
      <c r="BQG6" s="53"/>
      <c r="BQH6" s="53"/>
      <c r="BQI6" s="53"/>
      <c r="BQJ6" s="53"/>
      <c r="BQK6" s="53"/>
      <c r="BQL6" s="53"/>
      <c r="BQM6" s="53"/>
      <c r="BQN6" s="53"/>
      <c r="BQO6" s="53"/>
      <c r="BQP6" s="53"/>
      <c r="BQQ6" s="53"/>
      <c r="BQR6" s="53"/>
      <c r="BQS6" s="53"/>
      <c r="BQT6" s="53"/>
      <c r="BQU6" s="53"/>
      <c r="BQV6" s="53"/>
      <c r="BQW6" s="53"/>
      <c r="BQX6" s="53"/>
      <c r="BQY6" s="53"/>
      <c r="BQZ6" s="53"/>
      <c r="BRA6" s="53"/>
      <c r="BRB6" s="53"/>
      <c r="BRC6" s="53"/>
      <c r="BRD6" s="53"/>
      <c r="BRE6" s="53"/>
      <c r="BRF6" s="53"/>
      <c r="BRG6" s="53"/>
      <c r="BRH6" s="53"/>
      <c r="BRI6" s="53"/>
      <c r="BRJ6" s="53"/>
      <c r="BRK6" s="53"/>
      <c r="BRL6" s="53"/>
      <c r="BRM6" s="53"/>
      <c r="BRN6" s="53"/>
      <c r="BRO6" s="53"/>
      <c r="BRP6" s="53"/>
      <c r="BRQ6" s="53"/>
      <c r="BRR6" s="53"/>
      <c r="BRS6" s="53"/>
      <c r="BRT6" s="53"/>
      <c r="BRU6" s="53"/>
      <c r="BRV6" s="53"/>
      <c r="BRW6" s="53"/>
      <c r="BRX6" s="53"/>
      <c r="BRY6" s="53"/>
      <c r="BRZ6" s="53"/>
      <c r="BSA6" s="53"/>
      <c r="BSB6" s="53"/>
      <c r="BSC6" s="53"/>
      <c r="BSD6" s="53"/>
      <c r="BSE6" s="53"/>
      <c r="BSF6" s="53"/>
      <c r="BSG6" s="53"/>
      <c r="BSH6" s="53"/>
      <c r="BSI6" s="53"/>
      <c r="BSJ6" s="53"/>
      <c r="BSK6" s="53"/>
      <c r="BSL6" s="53"/>
      <c r="BSM6" s="53"/>
      <c r="BSN6" s="53"/>
      <c r="BSO6" s="53"/>
      <c r="BSP6" s="53"/>
      <c r="BSQ6" s="53"/>
      <c r="BSR6" s="53"/>
      <c r="BSS6" s="53"/>
      <c r="BST6" s="53"/>
      <c r="BSU6" s="53"/>
      <c r="BSV6" s="53"/>
      <c r="BSW6" s="53"/>
      <c r="BSX6" s="53"/>
      <c r="BSY6" s="53"/>
      <c r="BSZ6" s="53"/>
      <c r="BTA6" s="53"/>
      <c r="BTB6" s="53"/>
      <c r="BTC6" s="53"/>
      <c r="BTD6" s="53"/>
      <c r="BTE6" s="53"/>
      <c r="BTF6" s="53"/>
      <c r="BTG6" s="53"/>
      <c r="BTH6" s="53"/>
      <c r="BTI6" s="53"/>
      <c r="BTJ6" s="53"/>
      <c r="BTK6" s="53"/>
      <c r="BTL6" s="53"/>
      <c r="BTM6" s="53"/>
      <c r="BTN6" s="53"/>
      <c r="BTO6" s="53"/>
      <c r="BTP6" s="53"/>
      <c r="BTQ6" s="53"/>
      <c r="BTR6" s="53"/>
      <c r="BTS6" s="53"/>
      <c r="BTT6" s="53"/>
      <c r="BTU6" s="53"/>
      <c r="BTV6" s="53"/>
      <c r="BTW6" s="53"/>
      <c r="BTX6" s="53"/>
      <c r="BTY6" s="53"/>
      <c r="BTZ6" s="53"/>
      <c r="BUA6" s="53"/>
      <c r="BUB6" s="53"/>
      <c r="BUC6" s="53"/>
      <c r="BUD6" s="53"/>
      <c r="BUE6" s="53"/>
      <c r="BUF6" s="53"/>
      <c r="BUG6" s="53"/>
      <c r="BUH6" s="53"/>
      <c r="BUI6" s="53"/>
      <c r="BUJ6" s="53"/>
      <c r="BUK6" s="53"/>
      <c r="BUL6" s="53"/>
      <c r="BUM6" s="53"/>
      <c r="BUN6" s="53"/>
      <c r="BUO6" s="53"/>
      <c r="BUP6" s="53"/>
      <c r="BUQ6" s="53"/>
      <c r="BUR6" s="53"/>
      <c r="BUS6" s="53"/>
      <c r="BUT6" s="53"/>
      <c r="BUU6" s="53"/>
      <c r="BUV6" s="53"/>
      <c r="BUW6" s="53"/>
      <c r="BUX6" s="53"/>
      <c r="BUY6" s="53"/>
      <c r="BUZ6" s="53"/>
      <c r="BVA6" s="53"/>
      <c r="BVB6" s="53"/>
      <c r="BVC6" s="53"/>
      <c r="BVD6" s="53"/>
      <c r="BVE6" s="53"/>
      <c r="BVF6" s="53"/>
      <c r="BVG6" s="53"/>
      <c r="BVH6" s="53"/>
      <c r="BVI6" s="53"/>
      <c r="BVJ6" s="53"/>
      <c r="BVK6" s="53"/>
      <c r="BVL6" s="53"/>
      <c r="BVM6" s="53"/>
      <c r="BVN6" s="53"/>
      <c r="BVO6" s="53"/>
      <c r="BVP6" s="53"/>
      <c r="BVQ6" s="53"/>
      <c r="BVR6" s="53"/>
      <c r="BVS6" s="53"/>
      <c r="BVT6" s="53"/>
      <c r="BVU6" s="53"/>
      <c r="BVV6" s="53"/>
      <c r="BVW6" s="53"/>
      <c r="BVX6" s="53"/>
      <c r="BVY6" s="53"/>
      <c r="BVZ6" s="53"/>
      <c r="BWA6" s="53"/>
      <c r="BWB6" s="53"/>
      <c r="BWC6" s="53"/>
      <c r="BWD6" s="53"/>
      <c r="BWE6" s="53"/>
      <c r="BWF6" s="53"/>
      <c r="BWG6" s="53"/>
      <c r="BWH6" s="53"/>
      <c r="BWI6" s="53"/>
      <c r="BWJ6" s="53"/>
      <c r="BWK6" s="53"/>
      <c r="BWL6" s="53"/>
      <c r="BWM6" s="53"/>
      <c r="BWN6" s="53"/>
      <c r="BWO6" s="53"/>
      <c r="BWP6" s="53"/>
      <c r="BWQ6" s="53"/>
      <c r="BWR6" s="53"/>
      <c r="BWS6" s="53"/>
      <c r="BWT6" s="53"/>
      <c r="BWU6" s="53"/>
      <c r="BWV6" s="53"/>
      <c r="BWW6" s="53"/>
      <c r="BWX6" s="53"/>
      <c r="BWY6" s="53"/>
      <c r="BWZ6" s="53"/>
      <c r="BXA6" s="53"/>
      <c r="BXB6" s="53"/>
      <c r="BXC6" s="53"/>
      <c r="BXD6" s="53"/>
      <c r="BXE6" s="53"/>
      <c r="BXF6" s="53"/>
      <c r="BXG6" s="53"/>
      <c r="BXH6" s="53"/>
      <c r="BXI6" s="53"/>
      <c r="BXJ6" s="53"/>
      <c r="BXK6" s="53"/>
      <c r="BXL6" s="53"/>
      <c r="BXM6" s="53"/>
      <c r="BXN6" s="53"/>
      <c r="BXO6" s="53"/>
      <c r="BXP6" s="53"/>
      <c r="BXQ6" s="53"/>
      <c r="BXR6" s="53"/>
      <c r="BXS6" s="53"/>
      <c r="BXT6" s="53"/>
      <c r="BXU6" s="53"/>
      <c r="BXV6" s="53"/>
      <c r="BXW6" s="53"/>
      <c r="BXX6" s="53"/>
      <c r="BXY6" s="53"/>
      <c r="BXZ6" s="53"/>
      <c r="BYA6" s="53"/>
      <c r="BYB6" s="53"/>
      <c r="BYC6" s="53"/>
      <c r="BYD6" s="53"/>
      <c r="BYE6" s="53"/>
      <c r="BYF6" s="53"/>
      <c r="BYG6" s="53"/>
      <c r="BYH6" s="53"/>
      <c r="BYI6" s="53"/>
      <c r="BYJ6" s="53"/>
      <c r="BYK6" s="53"/>
      <c r="BYL6" s="53"/>
      <c r="BYM6" s="53"/>
      <c r="BYN6" s="53"/>
      <c r="BYO6" s="53"/>
      <c r="BYP6" s="53"/>
      <c r="BYQ6" s="53"/>
      <c r="BYR6" s="53"/>
      <c r="BYS6" s="53"/>
      <c r="BYT6" s="53"/>
      <c r="BYU6" s="53"/>
      <c r="BYV6" s="53"/>
      <c r="BYW6" s="53"/>
      <c r="BYX6" s="53"/>
      <c r="BYY6" s="53"/>
      <c r="BYZ6" s="53"/>
      <c r="BZA6" s="53"/>
      <c r="BZB6" s="53"/>
      <c r="BZC6" s="53"/>
      <c r="BZD6" s="53"/>
      <c r="BZE6" s="53"/>
      <c r="BZF6" s="53"/>
      <c r="BZG6" s="53"/>
      <c r="BZH6" s="53"/>
      <c r="BZI6" s="53"/>
      <c r="BZJ6" s="53"/>
      <c r="BZK6" s="53"/>
      <c r="BZL6" s="53"/>
      <c r="BZM6" s="53"/>
      <c r="BZN6" s="53"/>
      <c r="BZO6" s="53"/>
      <c r="BZP6" s="53"/>
      <c r="BZQ6" s="53"/>
      <c r="BZR6" s="53"/>
      <c r="BZS6" s="53"/>
      <c r="BZT6" s="53"/>
      <c r="BZU6" s="53"/>
      <c r="BZV6" s="53"/>
      <c r="BZW6" s="53"/>
      <c r="BZX6" s="53"/>
      <c r="BZY6" s="53"/>
      <c r="BZZ6" s="53"/>
      <c r="CAA6" s="53"/>
      <c r="CAB6" s="53"/>
      <c r="CAC6" s="53"/>
      <c r="CAD6" s="53"/>
      <c r="CAE6" s="53"/>
      <c r="CAF6" s="53"/>
      <c r="CAG6" s="53"/>
      <c r="CAH6" s="53"/>
      <c r="CAI6" s="53"/>
      <c r="CAJ6" s="53"/>
      <c r="CAK6" s="53"/>
      <c r="CAL6" s="53"/>
      <c r="CAM6" s="53"/>
      <c r="CAN6" s="53"/>
      <c r="CAO6" s="53"/>
      <c r="CAP6" s="53"/>
      <c r="CAQ6" s="53"/>
      <c r="CAR6" s="53"/>
      <c r="CAS6" s="53"/>
      <c r="CAT6" s="53"/>
      <c r="CAU6" s="53"/>
      <c r="CAV6" s="53"/>
      <c r="CAW6" s="53"/>
      <c r="CAX6" s="53"/>
      <c r="CAY6" s="53"/>
      <c r="CAZ6" s="53"/>
      <c r="CBA6" s="53"/>
      <c r="CBB6" s="53"/>
      <c r="CBC6" s="53"/>
      <c r="CBD6" s="53"/>
      <c r="CBE6" s="53"/>
      <c r="CBF6" s="53"/>
      <c r="CBG6" s="53"/>
      <c r="CBH6" s="53"/>
      <c r="CBI6" s="53"/>
      <c r="CBJ6" s="53"/>
      <c r="CBK6" s="53"/>
      <c r="CBL6" s="53"/>
      <c r="CBM6" s="53"/>
      <c r="CBN6" s="53"/>
      <c r="CBO6" s="53"/>
      <c r="CBP6" s="53"/>
      <c r="CBQ6" s="53"/>
      <c r="CBR6" s="53"/>
      <c r="CBS6" s="53"/>
      <c r="CBT6" s="53"/>
      <c r="CBU6" s="53"/>
      <c r="CBV6" s="53"/>
      <c r="CBW6" s="53"/>
      <c r="CBX6" s="53"/>
      <c r="CBY6" s="53"/>
      <c r="CBZ6" s="53"/>
      <c r="CCA6" s="53"/>
      <c r="CCB6" s="53"/>
      <c r="CCC6" s="53"/>
      <c r="CCD6" s="53"/>
      <c r="CCE6" s="53"/>
      <c r="CCF6" s="53"/>
      <c r="CCG6" s="53"/>
      <c r="CCH6" s="53"/>
      <c r="CCI6" s="53"/>
      <c r="CCJ6" s="53"/>
      <c r="CCK6" s="53"/>
      <c r="CCL6" s="53"/>
      <c r="CCM6" s="53"/>
      <c r="CCN6" s="53"/>
      <c r="CCO6" s="53"/>
      <c r="CCP6" s="53"/>
      <c r="CCQ6" s="53"/>
      <c r="CCR6" s="53"/>
      <c r="CCS6" s="53"/>
      <c r="CCT6" s="53"/>
      <c r="CCU6" s="53"/>
      <c r="CCV6" s="53"/>
      <c r="CCW6" s="53"/>
      <c r="CCX6" s="53"/>
      <c r="CCY6" s="53"/>
      <c r="CCZ6" s="53"/>
      <c r="CDA6" s="53"/>
      <c r="CDB6" s="53"/>
      <c r="CDC6" s="53"/>
      <c r="CDD6" s="53"/>
      <c r="CDE6" s="53"/>
      <c r="CDF6" s="53"/>
      <c r="CDG6" s="53"/>
      <c r="CDH6" s="53"/>
      <c r="CDI6" s="53"/>
      <c r="CDJ6" s="53"/>
      <c r="CDK6" s="53"/>
      <c r="CDL6" s="53"/>
      <c r="CDM6" s="53"/>
      <c r="CDN6" s="53"/>
      <c r="CDO6" s="53"/>
      <c r="CDP6" s="53"/>
      <c r="CDQ6" s="53"/>
      <c r="CDR6" s="53"/>
      <c r="CDS6" s="53"/>
      <c r="CDT6" s="53"/>
      <c r="CDU6" s="53"/>
      <c r="CDV6" s="53"/>
      <c r="CDW6" s="53"/>
      <c r="CDX6" s="53"/>
      <c r="CDY6" s="53"/>
      <c r="CDZ6" s="53"/>
      <c r="CEA6" s="53"/>
      <c r="CEB6" s="53"/>
      <c r="CEC6" s="53"/>
      <c r="CED6" s="53"/>
      <c r="CEE6" s="53"/>
      <c r="CEF6" s="53"/>
      <c r="CEG6" s="53"/>
      <c r="CEH6" s="53"/>
      <c r="CEI6" s="53"/>
      <c r="CEJ6" s="53"/>
      <c r="CEK6" s="53"/>
      <c r="CEL6" s="53"/>
      <c r="CEM6" s="53"/>
      <c r="CEN6" s="53"/>
      <c r="CEO6" s="53"/>
      <c r="CEP6" s="53"/>
      <c r="CEQ6" s="53"/>
      <c r="CER6" s="53"/>
      <c r="CES6" s="53"/>
      <c r="CET6" s="53"/>
      <c r="CEU6" s="53"/>
      <c r="CEV6" s="53"/>
      <c r="CEW6" s="53"/>
      <c r="CEX6" s="53"/>
      <c r="CEY6" s="53"/>
      <c r="CEZ6" s="53"/>
      <c r="CFA6" s="53"/>
      <c r="CFB6" s="53"/>
      <c r="CFC6" s="53"/>
      <c r="CFD6" s="53"/>
      <c r="CFE6" s="53"/>
      <c r="CFF6" s="53"/>
      <c r="CFG6" s="53"/>
      <c r="CFH6" s="53"/>
      <c r="CFI6" s="53"/>
      <c r="CFJ6" s="53"/>
      <c r="CFK6" s="53"/>
      <c r="CFL6" s="53"/>
      <c r="CFM6" s="53"/>
      <c r="CFN6" s="53"/>
      <c r="CFO6" s="53"/>
      <c r="CFP6" s="53"/>
      <c r="CFQ6" s="53"/>
      <c r="CFR6" s="53"/>
      <c r="CFS6" s="53"/>
      <c r="CFT6" s="53"/>
      <c r="CFU6" s="53"/>
      <c r="CFV6" s="53"/>
      <c r="CFW6" s="53"/>
      <c r="CFX6" s="53"/>
      <c r="CFY6" s="53"/>
      <c r="CFZ6" s="53"/>
      <c r="CGA6" s="53"/>
      <c r="CGB6" s="53"/>
      <c r="CGC6" s="53"/>
      <c r="CGD6" s="53"/>
      <c r="CGE6" s="53"/>
      <c r="CGF6" s="53"/>
      <c r="CGG6" s="53"/>
      <c r="CGH6" s="53"/>
      <c r="CGI6" s="53"/>
      <c r="CGJ6" s="53"/>
      <c r="CGK6" s="53"/>
      <c r="CGL6" s="53"/>
      <c r="CGM6" s="53"/>
      <c r="CGN6" s="53"/>
      <c r="CGO6" s="53"/>
      <c r="CGP6" s="53"/>
      <c r="CGQ6" s="53"/>
      <c r="CGR6" s="53"/>
      <c r="CGS6" s="53"/>
      <c r="CGT6" s="53"/>
      <c r="CGU6" s="53"/>
      <c r="CGV6" s="53"/>
      <c r="CGW6" s="53"/>
      <c r="CGX6" s="53"/>
      <c r="CGY6" s="53"/>
      <c r="CGZ6" s="53"/>
      <c r="CHA6" s="53"/>
      <c r="CHB6" s="53"/>
      <c r="CHC6" s="53"/>
      <c r="CHD6" s="53"/>
      <c r="CHE6" s="53"/>
      <c r="CHF6" s="53"/>
      <c r="CHG6" s="53"/>
      <c r="CHH6" s="53"/>
      <c r="CHI6" s="53"/>
      <c r="CHJ6" s="53"/>
      <c r="CHK6" s="53"/>
      <c r="CHL6" s="53"/>
      <c r="CHM6" s="53"/>
      <c r="CHN6" s="53"/>
      <c r="CHO6" s="53"/>
      <c r="CHP6" s="53"/>
      <c r="CHQ6" s="53"/>
      <c r="CHR6" s="53"/>
      <c r="CHS6" s="53"/>
      <c r="CHT6" s="53"/>
      <c r="CHU6" s="53"/>
      <c r="CHV6" s="53"/>
      <c r="CHW6" s="53"/>
      <c r="CHX6" s="53"/>
      <c r="CHY6" s="53"/>
      <c r="CHZ6" s="53"/>
      <c r="CIA6" s="53"/>
      <c r="CIB6" s="53"/>
      <c r="CIC6" s="53"/>
      <c r="CID6" s="53"/>
      <c r="CIE6" s="53"/>
      <c r="CIF6" s="53"/>
      <c r="CIG6" s="53"/>
      <c r="CIH6" s="53"/>
      <c r="CII6" s="53"/>
      <c r="CIJ6" s="53"/>
      <c r="CIK6" s="53"/>
      <c r="CIL6" s="53"/>
      <c r="CIM6" s="53"/>
      <c r="CIN6" s="53"/>
      <c r="CIO6" s="53"/>
      <c r="CIP6" s="53"/>
      <c r="CIQ6" s="53"/>
      <c r="CIR6" s="53"/>
      <c r="CIS6" s="53"/>
      <c r="CIT6" s="53"/>
      <c r="CIU6" s="53"/>
      <c r="CIV6" s="53"/>
      <c r="CIW6" s="53"/>
      <c r="CIX6" s="53"/>
      <c r="CIY6" s="53"/>
      <c r="CIZ6" s="53"/>
      <c r="CJA6" s="53"/>
      <c r="CJB6" s="53"/>
      <c r="CJC6" s="53"/>
      <c r="CJD6" s="53"/>
      <c r="CJE6" s="53"/>
      <c r="CJF6" s="53"/>
      <c r="CJG6" s="53"/>
      <c r="CJH6" s="53"/>
      <c r="CJI6" s="53"/>
      <c r="CJJ6" s="53"/>
      <c r="CJK6" s="53"/>
      <c r="CJL6" s="53"/>
      <c r="CJM6" s="53"/>
      <c r="CJN6" s="53"/>
      <c r="CJO6" s="53"/>
      <c r="CJP6" s="53"/>
      <c r="CJQ6" s="53"/>
      <c r="CJR6" s="53"/>
      <c r="CJS6" s="53"/>
      <c r="CJT6" s="53"/>
      <c r="CJU6" s="53"/>
      <c r="CJV6" s="53"/>
      <c r="CJW6" s="53"/>
      <c r="CJX6" s="53"/>
      <c r="CJY6" s="53"/>
      <c r="CJZ6" s="53"/>
      <c r="CKA6" s="53"/>
      <c r="CKB6" s="53"/>
      <c r="CKC6" s="53"/>
      <c r="CKD6" s="53"/>
      <c r="CKE6" s="53"/>
      <c r="CKF6" s="53"/>
      <c r="CKG6" s="53"/>
      <c r="CKH6" s="53"/>
      <c r="CKI6" s="53"/>
      <c r="CKJ6" s="53"/>
      <c r="CKK6" s="53"/>
      <c r="CKL6" s="53"/>
      <c r="CKM6" s="53"/>
      <c r="CKN6" s="53"/>
      <c r="CKO6" s="53"/>
      <c r="CKP6" s="53"/>
      <c r="CKQ6" s="53"/>
      <c r="CKR6" s="53"/>
      <c r="CKS6" s="53"/>
      <c r="CKT6" s="53"/>
      <c r="CKU6" s="53"/>
      <c r="CKV6" s="53"/>
      <c r="CKW6" s="53"/>
      <c r="CKX6" s="53"/>
      <c r="CKY6" s="53"/>
      <c r="CKZ6" s="53"/>
      <c r="CLA6" s="53"/>
      <c r="CLB6" s="53"/>
      <c r="CLC6" s="53"/>
      <c r="CLD6" s="53"/>
      <c r="CLE6" s="53"/>
      <c r="CLF6" s="53"/>
      <c r="CLG6" s="53"/>
      <c r="CLH6" s="53"/>
      <c r="CLI6" s="53"/>
      <c r="CLJ6" s="53"/>
      <c r="CLK6" s="53"/>
      <c r="CLL6" s="53"/>
      <c r="CLM6" s="53"/>
      <c r="CLN6" s="53"/>
      <c r="CLO6" s="53"/>
      <c r="CLP6" s="53"/>
      <c r="CLQ6" s="53"/>
      <c r="CLR6" s="53"/>
      <c r="CLS6" s="53"/>
      <c r="CLT6" s="53"/>
      <c r="CLU6" s="53"/>
      <c r="CLV6" s="53"/>
      <c r="CLW6" s="53"/>
      <c r="CLX6" s="53"/>
      <c r="CLY6" s="53"/>
      <c r="CLZ6" s="53"/>
      <c r="CMA6" s="53"/>
      <c r="CMB6" s="53"/>
      <c r="CMC6" s="53"/>
      <c r="CMD6" s="53"/>
      <c r="CME6" s="53"/>
      <c r="CMF6" s="53"/>
      <c r="CMG6" s="53"/>
      <c r="CMH6" s="53"/>
      <c r="CMI6" s="53"/>
      <c r="CMJ6" s="53"/>
      <c r="CMK6" s="53"/>
      <c r="CML6" s="53"/>
      <c r="CMM6" s="53"/>
      <c r="CMN6" s="53"/>
      <c r="CMO6" s="53"/>
      <c r="CMP6" s="53"/>
      <c r="CMQ6" s="53"/>
      <c r="CMR6" s="53"/>
      <c r="CMS6" s="53"/>
      <c r="CMT6" s="53"/>
      <c r="CMU6" s="53"/>
      <c r="CMV6" s="53"/>
      <c r="CMW6" s="53"/>
      <c r="CMX6" s="53"/>
      <c r="CMY6" s="53"/>
      <c r="CMZ6" s="53"/>
      <c r="CNA6" s="53"/>
      <c r="CNB6" s="53"/>
      <c r="CNC6" s="53"/>
      <c r="CND6" s="53"/>
      <c r="CNE6" s="53"/>
      <c r="CNF6" s="53"/>
      <c r="CNG6" s="53"/>
      <c r="CNH6" s="53"/>
      <c r="CNI6" s="53"/>
      <c r="CNJ6" s="53"/>
      <c r="CNK6" s="53"/>
      <c r="CNL6" s="53"/>
      <c r="CNM6" s="53"/>
      <c r="CNN6" s="53"/>
      <c r="CNO6" s="53"/>
      <c r="CNP6" s="53"/>
      <c r="CNQ6" s="53"/>
      <c r="CNR6" s="53"/>
      <c r="CNS6" s="53"/>
      <c r="CNT6" s="53"/>
      <c r="CNU6" s="53"/>
      <c r="CNV6" s="53"/>
      <c r="CNW6" s="53"/>
      <c r="CNX6" s="53"/>
      <c r="CNY6" s="53"/>
      <c r="CNZ6" s="53"/>
      <c r="COA6" s="53"/>
      <c r="COB6" s="53"/>
      <c r="COC6" s="53"/>
      <c r="COD6" s="53"/>
      <c r="COE6" s="53"/>
      <c r="COF6" s="53"/>
      <c r="COG6" s="53"/>
      <c r="COH6" s="53"/>
      <c r="COI6" s="53"/>
      <c r="COJ6" s="53"/>
      <c r="COK6" s="53"/>
      <c r="COL6" s="53"/>
      <c r="COM6" s="53"/>
      <c r="CON6" s="53"/>
      <c r="COO6" s="53"/>
      <c r="COP6" s="53"/>
      <c r="COQ6" s="53"/>
      <c r="COR6" s="53"/>
      <c r="COS6" s="53"/>
      <c r="COT6" s="53"/>
      <c r="COU6" s="53"/>
      <c r="COV6" s="53"/>
      <c r="COW6" s="53"/>
      <c r="COX6" s="53"/>
      <c r="COY6" s="53"/>
      <c r="COZ6" s="53"/>
      <c r="CPA6" s="53"/>
      <c r="CPB6" s="53"/>
      <c r="CPC6" s="53"/>
      <c r="CPD6" s="53"/>
      <c r="CPE6" s="53"/>
      <c r="CPF6" s="53"/>
      <c r="CPG6" s="53"/>
      <c r="CPH6" s="53"/>
      <c r="CPI6" s="53"/>
      <c r="CPJ6" s="53"/>
      <c r="CPK6" s="53"/>
      <c r="CPL6" s="53"/>
      <c r="CPM6" s="53"/>
      <c r="CPN6" s="53"/>
      <c r="CPO6" s="53"/>
      <c r="CPP6" s="53"/>
      <c r="CPQ6" s="53"/>
      <c r="CPR6" s="53"/>
      <c r="CPS6" s="53"/>
      <c r="CPT6" s="53"/>
      <c r="CPU6" s="53"/>
      <c r="CPV6" s="53"/>
      <c r="CPW6" s="53"/>
      <c r="CPX6" s="53"/>
      <c r="CPY6" s="53"/>
      <c r="CPZ6" s="53"/>
      <c r="CQA6" s="53"/>
      <c r="CQB6" s="53"/>
      <c r="CQC6" s="53"/>
      <c r="CQD6" s="53"/>
      <c r="CQE6" s="53"/>
      <c r="CQF6" s="53"/>
      <c r="CQG6" s="53"/>
      <c r="CQH6" s="53"/>
      <c r="CQI6" s="53"/>
      <c r="CQJ6" s="53"/>
      <c r="CQK6" s="53"/>
      <c r="CQL6" s="53"/>
      <c r="CQM6" s="53"/>
      <c r="CQN6" s="53"/>
      <c r="CQO6" s="53"/>
      <c r="CQP6" s="53"/>
      <c r="CQQ6" s="53"/>
      <c r="CQR6" s="53"/>
      <c r="CQS6" s="53"/>
      <c r="CQT6" s="53"/>
      <c r="CQU6" s="53"/>
      <c r="CQV6" s="53"/>
      <c r="CQW6" s="53"/>
      <c r="CQX6" s="53"/>
      <c r="CQY6" s="53"/>
      <c r="CQZ6" s="53"/>
      <c r="CRA6" s="53"/>
      <c r="CRB6" s="53"/>
      <c r="CRC6" s="53"/>
      <c r="CRD6" s="53"/>
      <c r="CRE6" s="53"/>
      <c r="CRF6" s="53"/>
      <c r="CRG6" s="53"/>
      <c r="CRH6" s="53"/>
      <c r="CRI6" s="53"/>
      <c r="CRJ6" s="53"/>
      <c r="CRK6" s="53"/>
      <c r="CRL6" s="53"/>
      <c r="CRM6" s="53"/>
      <c r="CRN6" s="53"/>
      <c r="CRO6" s="53"/>
      <c r="CRP6" s="53"/>
      <c r="CRQ6" s="53"/>
      <c r="CRR6" s="53"/>
      <c r="CRS6" s="53"/>
      <c r="CRT6" s="53"/>
      <c r="CRU6" s="53"/>
      <c r="CRV6" s="53"/>
      <c r="CRW6" s="53"/>
      <c r="CRX6" s="53"/>
      <c r="CRY6" s="53"/>
      <c r="CRZ6" s="53"/>
      <c r="CSA6" s="53"/>
      <c r="CSB6" s="53"/>
      <c r="CSC6" s="53"/>
      <c r="CSD6" s="53"/>
      <c r="CSE6" s="53"/>
      <c r="CSF6" s="53"/>
      <c r="CSG6" s="53"/>
      <c r="CSH6" s="53"/>
      <c r="CSI6" s="53"/>
      <c r="CSJ6" s="53"/>
      <c r="CSK6" s="53"/>
      <c r="CSL6" s="53"/>
      <c r="CSM6" s="53"/>
      <c r="CSN6" s="53"/>
      <c r="CSO6" s="53"/>
      <c r="CSP6" s="53"/>
      <c r="CSQ6" s="53"/>
      <c r="CSR6" s="53"/>
      <c r="CSS6" s="53"/>
      <c r="CST6" s="53"/>
      <c r="CSU6" s="53"/>
      <c r="CSV6" s="53"/>
      <c r="CSW6" s="53"/>
      <c r="CSX6" s="53"/>
      <c r="CSY6" s="53"/>
      <c r="CSZ6" s="53"/>
      <c r="CTA6" s="53"/>
      <c r="CTB6" s="53"/>
      <c r="CTC6" s="53"/>
      <c r="CTD6" s="53"/>
      <c r="CTE6" s="53"/>
      <c r="CTF6" s="53"/>
      <c r="CTG6" s="53"/>
      <c r="CTH6" s="53"/>
      <c r="CTI6" s="53"/>
      <c r="CTJ6" s="53"/>
      <c r="CTK6" s="53"/>
      <c r="CTL6" s="53"/>
      <c r="CTM6" s="53"/>
      <c r="CTN6" s="53"/>
      <c r="CTO6" s="53"/>
      <c r="CTP6" s="53"/>
      <c r="CTQ6" s="53"/>
      <c r="CTR6" s="53"/>
      <c r="CTS6" s="53"/>
      <c r="CTT6" s="53"/>
      <c r="CTU6" s="53"/>
      <c r="CTV6" s="53"/>
      <c r="CTW6" s="53"/>
      <c r="CTX6" s="53"/>
      <c r="CTY6" s="53"/>
      <c r="CTZ6" s="53"/>
      <c r="CUA6" s="53"/>
      <c r="CUB6" s="53"/>
      <c r="CUC6" s="53"/>
      <c r="CUD6" s="53"/>
      <c r="CUE6" s="53"/>
      <c r="CUF6" s="53"/>
      <c r="CUG6" s="53"/>
      <c r="CUH6" s="53"/>
      <c r="CUI6" s="53"/>
      <c r="CUJ6" s="53"/>
      <c r="CUK6" s="53"/>
      <c r="CUL6" s="53"/>
      <c r="CUM6" s="53"/>
      <c r="CUN6" s="53"/>
      <c r="CUO6" s="53"/>
      <c r="CUP6" s="53"/>
      <c r="CUQ6" s="53"/>
      <c r="CUR6" s="53"/>
      <c r="CUS6" s="53"/>
      <c r="CUT6" s="53"/>
      <c r="CUU6" s="53"/>
      <c r="CUV6" s="53"/>
      <c r="CUW6" s="53"/>
      <c r="CUX6" s="53"/>
      <c r="CUY6" s="53"/>
      <c r="CUZ6" s="53"/>
      <c r="CVA6" s="53"/>
      <c r="CVB6" s="53"/>
      <c r="CVC6" s="53"/>
      <c r="CVD6" s="53"/>
      <c r="CVE6" s="53"/>
      <c r="CVF6" s="53"/>
      <c r="CVG6" s="53"/>
      <c r="CVH6" s="53"/>
      <c r="CVI6" s="53"/>
      <c r="CVJ6" s="53"/>
      <c r="CVK6" s="53"/>
      <c r="CVL6" s="53"/>
      <c r="CVM6" s="53"/>
      <c r="CVN6" s="53"/>
      <c r="CVO6" s="53"/>
      <c r="CVP6" s="53"/>
      <c r="CVQ6" s="53"/>
      <c r="CVR6" s="53"/>
      <c r="CVS6" s="53"/>
      <c r="CVT6" s="53"/>
      <c r="CVU6" s="53"/>
      <c r="CVV6" s="53"/>
      <c r="CVW6" s="53"/>
      <c r="CVX6" s="53"/>
      <c r="CVY6" s="53"/>
      <c r="CVZ6" s="53"/>
      <c r="CWA6" s="53"/>
      <c r="CWB6" s="53"/>
      <c r="CWC6" s="53"/>
      <c r="CWD6" s="53"/>
      <c r="CWE6" s="53"/>
      <c r="CWF6" s="53"/>
      <c r="CWG6" s="53"/>
      <c r="CWH6" s="53"/>
      <c r="CWI6" s="53"/>
      <c r="CWJ6" s="53"/>
      <c r="CWK6" s="53"/>
      <c r="CWL6" s="53"/>
      <c r="CWM6" s="53"/>
      <c r="CWN6" s="53"/>
      <c r="CWO6" s="53"/>
      <c r="CWP6" s="53"/>
      <c r="CWQ6" s="53"/>
      <c r="CWR6" s="53"/>
      <c r="CWS6" s="53"/>
      <c r="CWT6" s="53"/>
      <c r="CWU6" s="53"/>
      <c r="CWV6" s="53"/>
      <c r="CWW6" s="53"/>
      <c r="CWX6" s="53"/>
      <c r="CWY6" s="53"/>
      <c r="CWZ6" s="53"/>
      <c r="CXA6" s="53"/>
      <c r="CXB6" s="53"/>
      <c r="CXC6" s="53"/>
      <c r="CXD6" s="53"/>
      <c r="CXE6" s="53"/>
      <c r="CXF6" s="53"/>
      <c r="CXG6" s="53"/>
      <c r="CXH6" s="53"/>
      <c r="CXI6" s="53"/>
      <c r="CXJ6" s="53"/>
      <c r="CXK6" s="53"/>
      <c r="CXL6" s="53"/>
      <c r="CXM6" s="53"/>
      <c r="CXN6" s="53"/>
      <c r="CXO6" s="53"/>
      <c r="CXP6" s="53"/>
      <c r="CXQ6" s="53"/>
      <c r="CXR6" s="53"/>
      <c r="CXS6" s="53"/>
      <c r="CXT6" s="53"/>
      <c r="CXU6" s="53"/>
      <c r="CXV6" s="53"/>
      <c r="CXW6" s="53"/>
      <c r="CXX6" s="53"/>
      <c r="CXY6" s="53"/>
      <c r="CXZ6" s="53"/>
      <c r="CYA6" s="53"/>
      <c r="CYB6" s="53"/>
      <c r="CYC6" s="53"/>
      <c r="CYD6" s="53"/>
      <c r="CYE6" s="53"/>
      <c r="CYF6" s="53"/>
      <c r="CYG6" s="53"/>
      <c r="CYH6" s="53"/>
      <c r="CYI6" s="53"/>
      <c r="CYJ6" s="53"/>
      <c r="CYK6" s="53"/>
      <c r="CYL6" s="53"/>
      <c r="CYM6" s="53"/>
      <c r="CYN6" s="53"/>
      <c r="CYO6" s="53"/>
      <c r="CYP6" s="53"/>
      <c r="CYQ6" s="53"/>
      <c r="CYR6" s="53"/>
      <c r="CYS6" s="53"/>
      <c r="CYT6" s="53"/>
      <c r="CYU6" s="53"/>
      <c r="CYV6" s="53"/>
      <c r="CYW6" s="53"/>
      <c r="CYX6" s="53"/>
      <c r="CYY6" s="53"/>
      <c r="CYZ6" s="53"/>
      <c r="CZA6" s="53"/>
      <c r="CZB6" s="53"/>
      <c r="CZC6" s="53"/>
      <c r="CZD6" s="53"/>
      <c r="CZE6" s="53"/>
      <c r="CZF6" s="53"/>
      <c r="CZG6" s="53"/>
      <c r="CZH6" s="53"/>
      <c r="CZI6" s="53"/>
      <c r="CZJ6" s="53"/>
      <c r="CZK6" s="53"/>
      <c r="CZL6" s="53"/>
      <c r="CZM6" s="53"/>
      <c r="CZN6" s="53"/>
      <c r="CZO6" s="53"/>
      <c r="CZP6" s="53"/>
      <c r="CZQ6" s="53"/>
      <c r="CZR6" s="53"/>
      <c r="CZS6" s="53"/>
      <c r="CZT6" s="53"/>
      <c r="CZU6" s="53"/>
      <c r="CZV6" s="53"/>
      <c r="CZW6" s="53"/>
      <c r="CZX6" s="53"/>
      <c r="CZY6" s="53"/>
      <c r="CZZ6" s="53"/>
      <c r="DAA6" s="53"/>
      <c r="DAB6" s="53"/>
      <c r="DAC6" s="53"/>
      <c r="DAD6" s="53"/>
      <c r="DAE6" s="53"/>
      <c r="DAF6" s="53"/>
      <c r="DAG6" s="53"/>
      <c r="DAH6" s="53"/>
      <c r="DAI6" s="53"/>
      <c r="DAJ6" s="53"/>
      <c r="DAK6" s="53"/>
      <c r="DAL6" s="53"/>
      <c r="DAM6" s="53"/>
      <c r="DAN6" s="53"/>
      <c r="DAO6" s="53"/>
      <c r="DAP6" s="53"/>
      <c r="DAQ6" s="53"/>
      <c r="DAR6" s="53"/>
      <c r="DAS6" s="53"/>
      <c r="DAT6" s="53"/>
      <c r="DAU6" s="53"/>
      <c r="DAV6" s="53"/>
      <c r="DAW6" s="53"/>
      <c r="DAX6" s="53"/>
      <c r="DAY6" s="53"/>
      <c r="DAZ6" s="53"/>
      <c r="DBA6" s="53"/>
      <c r="DBB6" s="53"/>
      <c r="DBC6" s="53"/>
      <c r="DBD6" s="53"/>
      <c r="DBE6" s="53"/>
      <c r="DBF6" s="53"/>
      <c r="DBG6" s="53"/>
      <c r="DBH6" s="53"/>
      <c r="DBI6" s="53"/>
      <c r="DBJ6" s="53"/>
      <c r="DBK6" s="53"/>
      <c r="DBL6" s="53"/>
      <c r="DBM6" s="53"/>
      <c r="DBN6" s="53"/>
      <c r="DBO6" s="53"/>
      <c r="DBP6" s="53"/>
      <c r="DBQ6" s="53"/>
      <c r="DBR6" s="53"/>
      <c r="DBS6" s="53"/>
      <c r="DBT6" s="53"/>
      <c r="DBU6" s="53"/>
      <c r="DBV6" s="53"/>
      <c r="DBW6" s="53"/>
      <c r="DBX6" s="53"/>
      <c r="DBY6" s="53"/>
      <c r="DBZ6" s="53"/>
      <c r="DCA6" s="53"/>
      <c r="DCB6" s="53"/>
      <c r="DCC6" s="53"/>
      <c r="DCD6" s="53"/>
      <c r="DCE6" s="53"/>
      <c r="DCF6" s="53"/>
      <c r="DCG6" s="53"/>
      <c r="DCH6" s="53"/>
      <c r="DCI6" s="53"/>
      <c r="DCJ6" s="53"/>
      <c r="DCK6" s="53"/>
      <c r="DCL6" s="53"/>
      <c r="DCM6" s="53"/>
      <c r="DCN6" s="53"/>
      <c r="DCO6" s="53"/>
      <c r="DCP6" s="53"/>
      <c r="DCQ6" s="53"/>
      <c r="DCR6" s="53"/>
      <c r="DCS6" s="53"/>
      <c r="DCT6" s="53"/>
      <c r="DCU6" s="53"/>
      <c r="DCV6" s="53"/>
      <c r="DCW6" s="53"/>
      <c r="DCX6" s="53"/>
      <c r="DCY6" s="53"/>
      <c r="DCZ6" s="53"/>
      <c r="DDA6" s="53"/>
      <c r="DDB6" s="53"/>
      <c r="DDC6" s="53"/>
      <c r="DDD6" s="53"/>
      <c r="DDE6" s="53"/>
      <c r="DDF6" s="53"/>
      <c r="DDG6" s="53"/>
      <c r="DDH6" s="53"/>
      <c r="DDI6" s="53"/>
      <c r="DDJ6" s="53"/>
      <c r="DDK6" s="53"/>
      <c r="DDL6" s="53"/>
      <c r="DDM6" s="53"/>
      <c r="DDN6" s="53"/>
      <c r="DDO6" s="53"/>
      <c r="DDP6" s="53"/>
      <c r="DDQ6" s="53"/>
      <c r="DDR6" s="53"/>
      <c r="DDS6" s="53"/>
      <c r="DDT6" s="53"/>
      <c r="DDU6" s="53"/>
      <c r="DDV6" s="53"/>
      <c r="DDW6" s="53"/>
      <c r="DDX6" s="53"/>
      <c r="DDY6" s="53"/>
      <c r="DDZ6" s="53"/>
      <c r="DEA6" s="53"/>
      <c r="DEB6" s="53"/>
      <c r="DEC6" s="53"/>
      <c r="DED6" s="53"/>
      <c r="DEE6" s="53"/>
      <c r="DEF6" s="53"/>
      <c r="DEG6" s="53"/>
      <c r="DEH6" s="53"/>
      <c r="DEI6" s="53"/>
      <c r="DEJ6" s="53"/>
      <c r="DEK6" s="53"/>
      <c r="DEL6" s="53"/>
      <c r="DEM6" s="53"/>
      <c r="DEN6" s="53"/>
      <c r="DEO6" s="53"/>
      <c r="DEP6" s="53"/>
      <c r="DEQ6" s="53"/>
      <c r="DER6" s="53"/>
      <c r="DES6" s="53"/>
      <c r="DET6" s="53"/>
      <c r="DEU6" s="53"/>
      <c r="DEV6" s="53"/>
      <c r="DEW6" s="53"/>
      <c r="DEX6" s="53"/>
      <c r="DEY6" s="53"/>
      <c r="DEZ6" s="53"/>
      <c r="DFA6" s="53"/>
      <c r="DFB6" s="53"/>
      <c r="DFC6" s="53"/>
      <c r="DFD6" s="53"/>
      <c r="DFE6" s="53"/>
      <c r="DFF6" s="53"/>
      <c r="DFG6" s="53"/>
      <c r="DFH6" s="53"/>
      <c r="DFI6" s="53"/>
      <c r="DFJ6" s="53"/>
      <c r="DFK6" s="53"/>
      <c r="DFL6" s="53"/>
      <c r="DFM6" s="53"/>
      <c r="DFN6" s="53"/>
      <c r="DFO6" s="53"/>
      <c r="DFP6" s="53"/>
      <c r="DFQ6" s="53"/>
      <c r="DFR6" s="53"/>
      <c r="DFS6" s="53"/>
      <c r="DFT6" s="53"/>
      <c r="DFU6" s="53"/>
      <c r="DFV6" s="53"/>
      <c r="DFW6" s="53"/>
      <c r="DFX6" s="53"/>
      <c r="DFY6" s="53"/>
      <c r="DFZ6" s="53"/>
      <c r="DGA6" s="53"/>
      <c r="DGB6" s="53"/>
      <c r="DGC6" s="53"/>
      <c r="DGD6" s="53"/>
      <c r="DGE6" s="53"/>
      <c r="DGF6" s="53"/>
      <c r="DGG6" s="53"/>
      <c r="DGH6" s="53"/>
      <c r="DGI6" s="53"/>
      <c r="DGJ6" s="53"/>
      <c r="DGK6" s="53"/>
      <c r="DGL6" s="53"/>
      <c r="DGM6" s="53"/>
      <c r="DGN6" s="53"/>
      <c r="DGO6" s="53"/>
      <c r="DGP6" s="53"/>
      <c r="DGQ6" s="53"/>
      <c r="DGR6" s="53"/>
      <c r="DGS6" s="53"/>
      <c r="DGT6" s="53"/>
      <c r="DGU6" s="53"/>
      <c r="DGV6" s="53"/>
      <c r="DGW6" s="53"/>
      <c r="DGX6" s="53"/>
      <c r="DGY6" s="53"/>
      <c r="DGZ6" s="53"/>
      <c r="DHA6" s="53"/>
      <c r="DHB6" s="53"/>
      <c r="DHC6" s="53"/>
      <c r="DHD6" s="53"/>
      <c r="DHE6" s="53"/>
      <c r="DHF6" s="53"/>
      <c r="DHG6" s="53"/>
      <c r="DHH6" s="53"/>
      <c r="DHI6" s="53"/>
      <c r="DHJ6" s="53"/>
      <c r="DHK6" s="53"/>
      <c r="DHL6" s="53"/>
      <c r="DHM6" s="53"/>
      <c r="DHN6" s="53"/>
      <c r="DHO6" s="53"/>
      <c r="DHP6" s="53"/>
      <c r="DHQ6" s="53"/>
      <c r="DHR6" s="53"/>
      <c r="DHS6" s="53"/>
      <c r="DHT6" s="53"/>
      <c r="DHU6" s="53"/>
      <c r="DHV6" s="53"/>
      <c r="DHW6" s="53"/>
      <c r="DHX6" s="53"/>
      <c r="DHY6" s="53"/>
      <c r="DHZ6" s="53"/>
      <c r="DIA6" s="53"/>
      <c r="DIB6" s="53"/>
      <c r="DIC6" s="53"/>
      <c r="DID6" s="53"/>
      <c r="DIE6" s="53"/>
      <c r="DIF6" s="53"/>
      <c r="DIG6" s="53"/>
      <c r="DIH6" s="53"/>
      <c r="DII6" s="53"/>
      <c r="DIJ6" s="53"/>
      <c r="DIK6" s="53"/>
      <c r="DIL6" s="53"/>
      <c r="DIM6" s="53"/>
      <c r="DIN6" s="53"/>
      <c r="DIO6" s="53"/>
      <c r="DIP6" s="53"/>
      <c r="DIQ6" s="53"/>
      <c r="DIR6" s="53"/>
      <c r="DIS6" s="53"/>
      <c r="DIT6" s="53"/>
      <c r="DIU6" s="53"/>
      <c r="DIV6" s="53"/>
      <c r="DIW6" s="53"/>
      <c r="DIX6" s="53"/>
      <c r="DIY6" s="53"/>
      <c r="DIZ6" s="53"/>
      <c r="DJA6" s="53"/>
      <c r="DJB6" s="53"/>
      <c r="DJC6" s="53"/>
      <c r="DJD6" s="53"/>
      <c r="DJE6" s="53"/>
      <c r="DJF6" s="53"/>
      <c r="DJG6" s="53"/>
      <c r="DJH6" s="53"/>
      <c r="DJI6" s="53"/>
      <c r="DJJ6" s="53"/>
      <c r="DJK6" s="53"/>
      <c r="DJL6" s="53"/>
      <c r="DJM6" s="53"/>
      <c r="DJN6" s="53"/>
      <c r="DJO6" s="53"/>
      <c r="DJP6" s="53"/>
      <c r="DJQ6" s="53"/>
      <c r="DJR6" s="53"/>
      <c r="DJS6" s="53"/>
      <c r="DJT6" s="53"/>
      <c r="DJU6" s="53"/>
      <c r="DJV6" s="53"/>
      <c r="DJW6" s="53"/>
      <c r="DJX6" s="53"/>
      <c r="DJY6" s="53"/>
      <c r="DJZ6" s="53"/>
      <c r="DKA6" s="53"/>
      <c r="DKB6" s="53"/>
      <c r="DKC6" s="53"/>
      <c r="DKD6" s="53"/>
      <c r="DKE6" s="53"/>
      <c r="DKF6" s="53"/>
      <c r="DKG6" s="53"/>
      <c r="DKH6" s="53"/>
      <c r="DKI6" s="53"/>
      <c r="DKJ6" s="53"/>
      <c r="DKK6" s="53"/>
      <c r="DKL6" s="53"/>
      <c r="DKM6" s="53"/>
      <c r="DKN6" s="53"/>
      <c r="DKO6" s="53"/>
      <c r="DKP6" s="53"/>
      <c r="DKQ6" s="53"/>
      <c r="DKR6" s="53"/>
      <c r="DKS6" s="53"/>
      <c r="DKT6" s="53"/>
      <c r="DKU6" s="53"/>
      <c r="DKV6" s="53"/>
      <c r="DKW6" s="53"/>
      <c r="DKX6" s="53"/>
      <c r="DKY6" s="53"/>
      <c r="DKZ6" s="53"/>
      <c r="DLA6" s="53"/>
      <c r="DLB6" s="53"/>
      <c r="DLC6" s="53"/>
      <c r="DLD6" s="53"/>
      <c r="DLE6" s="53"/>
      <c r="DLF6" s="53"/>
      <c r="DLG6" s="53"/>
      <c r="DLH6" s="53"/>
      <c r="DLI6" s="53"/>
      <c r="DLJ6" s="53"/>
      <c r="DLK6" s="53"/>
      <c r="DLL6" s="53"/>
      <c r="DLM6" s="53"/>
      <c r="DLN6" s="53"/>
      <c r="DLO6" s="53"/>
      <c r="DLP6" s="53"/>
      <c r="DLQ6" s="53"/>
      <c r="DLR6" s="53"/>
      <c r="DLS6" s="53"/>
      <c r="DLT6" s="53"/>
      <c r="DLU6" s="53"/>
      <c r="DLV6" s="53"/>
      <c r="DLW6" s="53"/>
      <c r="DLX6" s="53"/>
      <c r="DLY6" s="53"/>
      <c r="DLZ6" s="53"/>
      <c r="DMA6" s="53"/>
      <c r="DMB6" s="53"/>
      <c r="DMC6" s="53"/>
      <c r="DMD6" s="53"/>
      <c r="DME6" s="53"/>
      <c r="DMF6" s="53"/>
      <c r="DMG6" s="53"/>
      <c r="DMH6" s="53"/>
      <c r="DMI6" s="53"/>
      <c r="DMJ6" s="53"/>
      <c r="DMK6" s="53"/>
      <c r="DML6" s="53"/>
      <c r="DMM6" s="53"/>
      <c r="DMN6" s="53"/>
      <c r="DMO6" s="53"/>
      <c r="DMP6" s="53"/>
      <c r="DMQ6" s="53"/>
      <c r="DMR6" s="53"/>
      <c r="DMS6" s="53"/>
      <c r="DMT6" s="53"/>
      <c r="DMU6" s="53"/>
      <c r="DMV6" s="53"/>
      <c r="DMW6" s="53"/>
      <c r="DMX6" s="53"/>
      <c r="DMY6" s="53"/>
      <c r="DMZ6" s="53"/>
      <c r="DNA6" s="53"/>
      <c r="DNB6" s="53"/>
      <c r="DNC6" s="53"/>
      <c r="DND6" s="53"/>
      <c r="DNE6" s="53"/>
      <c r="DNF6" s="53"/>
      <c r="DNG6" s="53"/>
      <c r="DNH6" s="53"/>
      <c r="DNI6" s="53"/>
      <c r="DNJ6" s="53"/>
      <c r="DNK6" s="53"/>
      <c r="DNL6" s="53"/>
      <c r="DNM6" s="53"/>
      <c r="DNN6" s="53"/>
      <c r="DNO6" s="53"/>
      <c r="DNP6" s="53"/>
      <c r="DNQ6" s="53"/>
      <c r="DNR6" s="53"/>
      <c r="DNS6" s="53"/>
      <c r="DNT6" s="53"/>
      <c r="DNU6" s="53"/>
      <c r="DNV6" s="53"/>
      <c r="DNW6" s="53"/>
      <c r="DNX6" s="53"/>
      <c r="DNY6" s="53"/>
      <c r="DNZ6" s="53"/>
      <c r="DOA6" s="53"/>
      <c r="DOB6" s="53"/>
      <c r="DOC6" s="53"/>
      <c r="DOD6" s="53"/>
      <c r="DOE6" s="53"/>
      <c r="DOF6" s="53"/>
      <c r="DOG6" s="53"/>
      <c r="DOH6" s="53"/>
      <c r="DOI6" s="53"/>
      <c r="DOJ6" s="53"/>
      <c r="DOK6" s="53"/>
      <c r="DOL6" s="53"/>
      <c r="DOM6" s="53"/>
      <c r="DON6" s="53"/>
      <c r="DOO6" s="53"/>
      <c r="DOP6" s="53"/>
      <c r="DOQ6" s="53"/>
      <c r="DOR6" s="53"/>
      <c r="DOS6" s="53"/>
      <c r="DOT6" s="53"/>
      <c r="DOU6" s="53"/>
      <c r="DOV6" s="53"/>
      <c r="DOW6" s="53"/>
      <c r="DOX6" s="53"/>
      <c r="DOY6" s="53"/>
      <c r="DOZ6" s="53"/>
      <c r="DPA6" s="53"/>
      <c r="DPB6" s="53"/>
      <c r="DPC6" s="53"/>
      <c r="DPD6" s="53"/>
      <c r="DPE6" s="53"/>
      <c r="DPF6" s="53"/>
      <c r="DPG6" s="53"/>
      <c r="DPH6" s="53"/>
      <c r="DPI6" s="53"/>
      <c r="DPJ6" s="53"/>
      <c r="DPK6" s="53"/>
      <c r="DPL6" s="53"/>
      <c r="DPM6" s="53"/>
      <c r="DPN6" s="53"/>
      <c r="DPO6" s="53"/>
      <c r="DPP6" s="53"/>
      <c r="DPQ6" s="53"/>
      <c r="DPR6" s="53"/>
      <c r="DPS6" s="53"/>
      <c r="DPT6" s="53"/>
      <c r="DPU6" s="53"/>
      <c r="DPV6" s="53"/>
      <c r="DPW6" s="53"/>
      <c r="DPX6" s="53"/>
      <c r="DPY6" s="53"/>
      <c r="DPZ6" s="53"/>
      <c r="DQA6" s="53"/>
      <c r="DQB6" s="53"/>
      <c r="DQC6" s="53"/>
      <c r="DQD6" s="53"/>
      <c r="DQE6" s="53"/>
      <c r="DQF6" s="53"/>
      <c r="DQG6" s="53"/>
      <c r="DQH6" s="53"/>
      <c r="DQI6" s="53"/>
      <c r="DQJ6" s="53"/>
      <c r="DQK6" s="53"/>
      <c r="DQL6" s="53"/>
      <c r="DQM6" s="53"/>
      <c r="DQN6" s="53"/>
      <c r="DQO6" s="53"/>
      <c r="DQP6" s="53"/>
      <c r="DQQ6" s="53"/>
      <c r="DQR6" s="53"/>
      <c r="DQS6" s="53"/>
      <c r="DQT6" s="53"/>
      <c r="DQU6" s="53"/>
      <c r="DQV6" s="53"/>
      <c r="DQW6" s="53"/>
      <c r="DQX6" s="53"/>
      <c r="DQY6" s="53"/>
      <c r="DQZ6" s="53"/>
      <c r="DRA6" s="53"/>
      <c r="DRB6" s="53"/>
      <c r="DRC6" s="53"/>
      <c r="DRD6" s="53"/>
      <c r="DRE6" s="53"/>
      <c r="DRF6" s="53"/>
      <c r="DRG6" s="53"/>
      <c r="DRH6" s="53"/>
      <c r="DRI6" s="53"/>
      <c r="DRJ6" s="53"/>
      <c r="DRK6" s="53"/>
      <c r="DRL6" s="53"/>
      <c r="DRM6" s="53"/>
      <c r="DRN6" s="53"/>
      <c r="DRO6" s="53"/>
      <c r="DRP6" s="53"/>
      <c r="DRQ6" s="53"/>
      <c r="DRR6" s="53"/>
      <c r="DRS6" s="53"/>
      <c r="DRT6" s="53"/>
      <c r="DRU6" s="53"/>
      <c r="DRV6" s="53"/>
      <c r="DRW6" s="53"/>
      <c r="DRX6" s="53"/>
      <c r="DRY6" s="53"/>
      <c r="DRZ6" s="53"/>
      <c r="DSA6" s="53"/>
      <c r="DSB6" s="53"/>
      <c r="DSC6" s="53"/>
      <c r="DSD6" s="53"/>
      <c r="DSE6" s="53"/>
      <c r="DSF6" s="53"/>
      <c r="DSG6" s="53"/>
      <c r="DSH6" s="53"/>
      <c r="DSI6" s="53"/>
      <c r="DSJ6" s="53"/>
      <c r="DSK6" s="53"/>
      <c r="DSL6" s="53"/>
      <c r="DSM6" s="53"/>
      <c r="DSN6" s="53"/>
      <c r="DSO6" s="53"/>
      <c r="DSP6" s="53"/>
      <c r="DSQ6" s="53"/>
      <c r="DSR6" s="53"/>
      <c r="DSS6" s="53"/>
      <c r="DST6" s="53"/>
      <c r="DSU6" s="53"/>
      <c r="DSV6" s="53"/>
      <c r="DSW6" s="53"/>
      <c r="DSX6" s="53"/>
      <c r="DSY6" s="53"/>
      <c r="DSZ6" s="53"/>
      <c r="DTA6" s="53"/>
      <c r="DTB6" s="53"/>
      <c r="DTC6" s="53"/>
      <c r="DTD6" s="53"/>
      <c r="DTE6" s="53"/>
      <c r="DTF6" s="53"/>
      <c r="DTG6" s="53"/>
      <c r="DTH6" s="53"/>
      <c r="DTI6" s="53"/>
      <c r="DTJ6" s="53"/>
      <c r="DTK6" s="53"/>
      <c r="DTL6" s="53"/>
      <c r="DTM6" s="53"/>
      <c r="DTN6" s="53"/>
      <c r="DTO6" s="53"/>
      <c r="DTP6" s="53"/>
      <c r="DTQ6" s="53"/>
      <c r="DTR6" s="53"/>
      <c r="DTS6" s="53"/>
      <c r="DTT6" s="53"/>
      <c r="DTU6" s="53"/>
      <c r="DTV6" s="53"/>
      <c r="DTW6" s="53"/>
      <c r="DTX6" s="53"/>
      <c r="DTY6" s="53"/>
      <c r="DTZ6" s="53"/>
      <c r="DUA6" s="53"/>
      <c r="DUB6" s="53"/>
      <c r="DUC6" s="53"/>
      <c r="DUD6" s="53"/>
      <c r="DUE6" s="53"/>
      <c r="DUF6" s="53"/>
      <c r="DUG6" s="53"/>
      <c r="DUH6" s="53"/>
      <c r="DUI6" s="53"/>
      <c r="DUJ6" s="53"/>
      <c r="DUK6" s="53"/>
      <c r="DUL6" s="53"/>
      <c r="DUM6" s="53"/>
      <c r="DUN6" s="53"/>
      <c r="DUO6" s="53"/>
      <c r="DUP6" s="53"/>
      <c r="DUQ6" s="53"/>
      <c r="DUR6" s="53"/>
      <c r="DUS6" s="53"/>
      <c r="DUT6" s="53"/>
      <c r="DUU6" s="53"/>
      <c r="DUV6" s="53"/>
      <c r="DUW6" s="53"/>
      <c r="DUX6" s="53"/>
      <c r="DUY6" s="53"/>
      <c r="DUZ6" s="53"/>
      <c r="DVA6" s="53"/>
      <c r="DVB6" s="53"/>
      <c r="DVC6" s="53"/>
      <c r="DVD6" s="53"/>
      <c r="DVE6" s="53"/>
      <c r="DVF6" s="53"/>
      <c r="DVG6" s="53"/>
      <c r="DVH6" s="53"/>
      <c r="DVI6" s="53"/>
      <c r="DVJ6" s="53"/>
      <c r="DVK6" s="53"/>
      <c r="DVL6" s="53"/>
      <c r="DVM6" s="53"/>
      <c r="DVN6" s="53"/>
      <c r="DVO6" s="53"/>
      <c r="DVP6" s="53"/>
      <c r="DVQ6" s="53"/>
      <c r="DVR6" s="53"/>
      <c r="DVS6" s="53"/>
      <c r="DVT6" s="53"/>
      <c r="DVU6" s="53"/>
      <c r="DVV6" s="53"/>
      <c r="DVW6" s="53"/>
      <c r="DVX6" s="53"/>
      <c r="DVY6" s="53"/>
      <c r="DVZ6" s="53"/>
      <c r="DWA6" s="53"/>
      <c r="DWB6" s="53"/>
      <c r="DWC6" s="53"/>
      <c r="DWD6" s="53"/>
      <c r="DWE6" s="53"/>
      <c r="DWF6" s="53"/>
      <c r="DWG6" s="53"/>
      <c r="DWH6" s="53"/>
      <c r="DWI6" s="53"/>
      <c r="DWJ6" s="53"/>
      <c r="DWK6" s="53"/>
      <c r="DWL6" s="53"/>
      <c r="DWM6" s="53"/>
      <c r="DWN6" s="53"/>
      <c r="DWO6" s="53"/>
      <c r="DWP6" s="53"/>
      <c r="DWQ6" s="53"/>
      <c r="DWR6" s="53"/>
      <c r="DWS6" s="53"/>
      <c r="DWT6" s="53"/>
      <c r="DWU6" s="53"/>
      <c r="DWV6" s="53"/>
      <c r="DWW6" s="53"/>
      <c r="DWX6" s="53"/>
      <c r="DWY6" s="53"/>
      <c r="DWZ6" s="53"/>
      <c r="DXA6" s="53"/>
      <c r="DXB6" s="53"/>
      <c r="DXC6" s="53"/>
      <c r="DXD6" s="53"/>
      <c r="DXE6" s="53"/>
      <c r="DXF6" s="53"/>
      <c r="DXG6" s="53"/>
      <c r="DXH6" s="53"/>
      <c r="DXI6" s="53"/>
      <c r="DXJ6" s="53"/>
      <c r="DXK6" s="53"/>
      <c r="DXL6" s="53"/>
      <c r="DXM6" s="53"/>
      <c r="DXN6" s="53"/>
      <c r="DXO6" s="53"/>
      <c r="DXP6" s="53"/>
      <c r="DXQ6" s="53"/>
      <c r="DXR6" s="53"/>
      <c r="DXS6" s="53"/>
      <c r="DXT6" s="53"/>
      <c r="DXU6" s="53"/>
      <c r="DXV6" s="53"/>
      <c r="DXW6" s="53"/>
      <c r="DXX6" s="53"/>
      <c r="DXY6" s="53"/>
      <c r="DXZ6" s="53"/>
      <c r="DYA6" s="53"/>
      <c r="DYB6" s="53"/>
      <c r="DYC6" s="53"/>
      <c r="DYD6" s="53"/>
      <c r="DYE6" s="53"/>
      <c r="DYF6" s="53"/>
      <c r="DYG6" s="53"/>
      <c r="DYH6" s="53"/>
      <c r="DYI6" s="53"/>
      <c r="DYJ6" s="53"/>
      <c r="DYK6" s="53"/>
      <c r="DYL6" s="53"/>
      <c r="DYM6" s="53"/>
      <c r="DYN6" s="53"/>
      <c r="DYO6" s="53"/>
      <c r="DYP6" s="53"/>
      <c r="DYQ6" s="53"/>
      <c r="DYR6" s="53"/>
      <c r="DYS6" s="53"/>
      <c r="DYT6" s="53"/>
      <c r="DYU6" s="53"/>
      <c r="DYV6" s="53"/>
      <c r="DYW6" s="53"/>
      <c r="DYX6" s="53"/>
      <c r="DYY6" s="53"/>
      <c r="DYZ6" s="53"/>
      <c r="DZA6" s="53"/>
      <c r="DZB6" s="53"/>
      <c r="DZC6" s="53"/>
      <c r="DZD6" s="53"/>
      <c r="DZE6" s="53"/>
      <c r="DZF6" s="53"/>
      <c r="DZG6" s="53"/>
      <c r="DZH6" s="53"/>
      <c r="DZI6" s="53"/>
      <c r="DZJ6" s="53"/>
      <c r="DZK6" s="53"/>
      <c r="DZL6" s="53"/>
      <c r="DZM6" s="53"/>
      <c r="DZN6" s="53"/>
      <c r="DZO6" s="53"/>
      <c r="DZP6" s="53"/>
      <c r="DZQ6" s="53"/>
      <c r="DZR6" s="53"/>
      <c r="DZS6" s="53"/>
      <c r="DZT6" s="53"/>
      <c r="DZU6" s="53"/>
      <c r="DZV6" s="53"/>
      <c r="DZW6" s="53"/>
      <c r="DZX6" s="53"/>
      <c r="DZY6" s="53"/>
      <c r="DZZ6" s="53"/>
      <c r="EAA6" s="53"/>
      <c r="EAB6" s="53"/>
      <c r="EAC6" s="53"/>
      <c r="EAD6" s="53"/>
      <c r="EAE6" s="53"/>
      <c r="EAF6" s="53"/>
      <c r="EAG6" s="53"/>
      <c r="EAH6" s="53"/>
      <c r="EAI6" s="53"/>
      <c r="EAJ6" s="53"/>
      <c r="EAK6" s="53"/>
      <c r="EAL6" s="53"/>
      <c r="EAM6" s="53"/>
      <c r="EAN6" s="53"/>
      <c r="EAO6" s="53"/>
      <c r="EAP6" s="53"/>
      <c r="EAQ6" s="53"/>
      <c r="EAR6" s="53"/>
      <c r="EAS6" s="53"/>
      <c r="EAT6" s="53"/>
      <c r="EAU6" s="53"/>
      <c r="EAV6" s="53"/>
      <c r="EAW6" s="53"/>
      <c r="EAX6" s="53"/>
      <c r="EAY6" s="53"/>
      <c r="EAZ6" s="53"/>
      <c r="EBA6" s="53"/>
      <c r="EBB6" s="53"/>
      <c r="EBC6" s="53"/>
      <c r="EBD6" s="53"/>
      <c r="EBE6" s="53"/>
      <c r="EBF6" s="53"/>
      <c r="EBG6" s="53"/>
      <c r="EBH6" s="53"/>
      <c r="EBI6" s="53"/>
      <c r="EBJ6" s="53"/>
      <c r="EBK6" s="53"/>
      <c r="EBL6" s="53"/>
      <c r="EBM6" s="53"/>
      <c r="EBN6" s="53"/>
      <c r="EBO6" s="53"/>
      <c r="EBP6" s="53"/>
      <c r="EBQ6" s="53"/>
      <c r="EBR6" s="53"/>
      <c r="EBS6" s="53"/>
      <c r="EBT6" s="53"/>
      <c r="EBU6" s="53"/>
      <c r="EBV6" s="53"/>
      <c r="EBW6" s="53"/>
      <c r="EBX6" s="53"/>
      <c r="EBY6" s="53"/>
      <c r="EBZ6" s="53"/>
      <c r="ECA6" s="53"/>
      <c r="ECB6" s="53"/>
      <c r="ECC6" s="53"/>
      <c r="ECD6" s="53"/>
      <c r="ECE6" s="53"/>
      <c r="ECF6" s="53"/>
      <c r="ECG6" s="53"/>
      <c r="ECH6" s="53"/>
      <c r="ECI6" s="53"/>
      <c r="ECJ6" s="53"/>
      <c r="ECK6" s="53"/>
      <c r="ECL6" s="53"/>
      <c r="ECM6" s="53"/>
      <c r="ECN6" s="53"/>
      <c r="ECO6" s="53"/>
      <c r="ECP6" s="53"/>
      <c r="ECQ6" s="53"/>
      <c r="ECR6" s="53"/>
      <c r="ECS6" s="53"/>
      <c r="ECT6" s="53"/>
      <c r="ECU6" s="53"/>
      <c r="ECV6" s="53"/>
      <c r="ECW6" s="53"/>
      <c r="ECX6" s="53"/>
      <c r="ECY6" s="53"/>
      <c r="ECZ6" s="53"/>
      <c r="EDA6" s="53"/>
      <c r="EDB6" s="53"/>
      <c r="EDC6" s="53"/>
      <c r="EDD6" s="53"/>
      <c r="EDE6" s="53"/>
      <c r="EDF6" s="53"/>
      <c r="EDG6" s="53"/>
      <c r="EDH6" s="53"/>
      <c r="EDI6" s="53"/>
      <c r="EDJ6" s="53"/>
      <c r="EDK6" s="53"/>
      <c r="EDL6" s="53"/>
      <c r="EDM6" s="53"/>
      <c r="EDN6" s="53"/>
      <c r="EDO6" s="53"/>
      <c r="EDP6" s="53"/>
      <c r="EDQ6" s="53"/>
      <c r="EDR6" s="53"/>
      <c r="EDS6" s="53"/>
      <c r="EDT6" s="53"/>
      <c r="EDU6" s="53"/>
      <c r="EDV6" s="53"/>
      <c r="EDW6" s="53"/>
      <c r="EDX6" s="53"/>
      <c r="EDY6" s="53"/>
      <c r="EDZ6" s="53"/>
      <c r="EEA6" s="53"/>
      <c r="EEB6" s="53"/>
      <c r="EEC6" s="53"/>
      <c r="EED6" s="53"/>
      <c r="EEE6" s="53"/>
      <c r="EEF6" s="53"/>
      <c r="EEG6" s="53"/>
      <c r="EEH6" s="53"/>
      <c r="EEI6" s="53"/>
      <c r="EEJ6" s="53"/>
      <c r="EEK6" s="53"/>
      <c r="EEL6" s="53"/>
      <c r="EEM6" s="53"/>
      <c r="EEN6" s="53"/>
      <c r="EEO6" s="53"/>
      <c r="EEP6" s="53"/>
      <c r="EEQ6" s="53"/>
      <c r="EER6" s="53"/>
      <c r="EES6" s="53"/>
      <c r="EET6" s="53"/>
      <c r="EEU6" s="53"/>
      <c r="EEV6" s="53"/>
      <c r="EEW6" s="53"/>
      <c r="EEX6" s="53"/>
      <c r="EEY6" s="53"/>
      <c r="EEZ6" s="53"/>
      <c r="EFA6" s="53"/>
      <c r="EFB6" s="53"/>
      <c r="EFC6" s="53"/>
      <c r="EFD6" s="53"/>
      <c r="EFE6" s="53"/>
      <c r="EFF6" s="53"/>
      <c r="EFG6" s="53"/>
      <c r="EFH6" s="53"/>
      <c r="EFI6" s="53"/>
      <c r="EFJ6" s="53"/>
      <c r="EFK6" s="53"/>
      <c r="EFL6" s="53"/>
      <c r="EFM6" s="53"/>
      <c r="EFN6" s="53"/>
      <c r="EFO6" s="53"/>
      <c r="EFP6" s="53"/>
      <c r="EFQ6" s="53"/>
      <c r="EFR6" s="53"/>
      <c r="EFS6" s="53"/>
      <c r="EFT6" s="53"/>
      <c r="EFU6" s="53"/>
      <c r="EFV6" s="53"/>
      <c r="EFW6" s="53"/>
      <c r="EFX6" s="53"/>
      <c r="EFY6" s="53"/>
      <c r="EFZ6" s="53"/>
      <c r="EGA6" s="53"/>
      <c r="EGB6" s="53"/>
      <c r="EGC6" s="53"/>
      <c r="EGD6" s="53"/>
      <c r="EGE6" s="53"/>
      <c r="EGF6" s="53"/>
      <c r="EGG6" s="53"/>
      <c r="EGH6" s="53"/>
      <c r="EGI6" s="53"/>
      <c r="EGJ6" s="53"/>
      <c r="EGK6" s="53"/>
      <c r="EGL6" s="53"/>
      <c r="EGM6" s="53"/>
      <c r="EGN6" s="53"/>
      <c r="EGO6" s="53"/>
      <c r="EGP6" s="53"/>
      <c r="EGQ6" s="53"/>
      <c r="EGR6" s="53"/>
      <c r="EGS6" s="53"/>
      <c r="EGT6" s="53"/>
      <c r="EGU6" s="53"/>
      <c r="EGV6" s="53"/>
      <c r="EGW6" s="53"/>
      <c r="EGX6" s="53"/>
      <c r="EGY6" s="53"/>
      <c r="EGZ6" s="53"/>
      <c r="EHA6" s="53"/>
      <c r="EHB6" s="53"/>
      <c r="EHC6" s="53"/>
      <c r="EHD6" s="53"/>
      <c r="EHE6" s="53"/>
      <c r="EHF6" s="53"/>
      <c r="EHG6" s="53"/>
      <c r="EHH6" s="53"/>
      <c r="EHI6" s="53"/>
      <c r="EHJ6" s="53"/>
      <c r="EHK6" s="53"/>
      <c r="EHL6" s="53"/>
      <c r="EHM6" s="53"/>
      <c r="EHN6" s="53"/>
      <c r="EHO6" s="53"/>
      <c r="EHP6" s="53"/>
      <c r="EHQ6" s="53"/>
      <c r="EHR6" s="53"/>
      <c r="EHS6" s="53"/>
      <c r="EHT6" s="53"/>
      <c r="EHU6" s="53"/>
      <c r="EHV6" s="53"/>
      <c r="EHW6" s="53"/>
      <c r="EHX6" s="53"/>
      <c r="EHY6" s="53"/>
      <c r="EHZ6" s="53"/>
      <c r="EIA6" s="53"/>
      <c r="EIB6" s="53"/>
      <c r="EIC6" s="53"/>
      <c r="EID6" s="53"/>
      <c r="EIE6" s="53"/>
      <c r="EIF6" s="53"/>
      <c r="EIG6" s="53"/>
      <c r="EIH6" s="53"/>
      <c r="EII6" s="53"/>
      <c r="EIJ6" s="53"/>
      <c r="EIK6" s="53"/>
      <c r="EIL6" s="53"/>
      <c r="EIM6" s="53"/>
      <c r="EIN6" s="53"/>
      <c r="EIO6" s="53"/>
      <c r="EIP6" s="53"/>
      <c r="EIQ6" s="53"/>
      <c r="EIR6" s="53"/>
      <c r="EIS6" s="53"/>
      <c r="EIT6" s="53"/>
      <c r="EIU6" s="53"/>
      <c r="EIV6" s="53"/>
      <c r="EIW6" s="53"/>
      <c r="EIX6" s="53"/>
      <c r="EIY6" s="53"/>
      <c r="EIZ6" s="53"/>
      <c r="EJA6" s="53"/>
      <c r="EJB6" s="53"/>
      <c r="EJC6" s="53"/>
      <c r="EJD6" s="53"/>
      <c r="EJE6" s="53"/>
      <c r="EJF6" s="53"/>
      <c r="EJG6" s="53"/>
      <c r="EJH6" s="53"/>
      <c r="EJI6" s="53"/>
      <c r="EJJ6" s="53"/>
      <c r="EJK6" s="53"/>
      <c r="EJL6" s="53"/>
      <c r="EJM6" s="53"/>
      <c r="EJN6" s="53"/>
      <c r="EJO6" s="53"/>
      <c r="EJP6" s="53"/>
      <c r="EJQ6" s="53"/>
      <c r="EJR6" s="53"/>
      <c r="EJS6" s="53"/>
      <c r="EJT6" s="53"/>
      <c r="EJU6" s="53"/>
      <c r="EJV6" s="53"/>
      <c r="EJW6" s="53"/>
      <c r="EJX6" s="53"/>
      <c r="EJY6" s="53"/>
      <c r="EJZ6" s="53"/>
      <c r="EKA6" s="53"/>
      <c r="EKB6" s="53"/>
      <c r="EKC6" s="53"/>
      <c r="EKD6" s="53"/>
      <c r="EKE6" s="53"/>
      <c r="EKF6" s="53"/>
      <c r="EKG6" s="53"/>
      <c r="EKH6" s="53"/>
      <c r="EKI6" s="53"/>
      <c r="EKJ6" s="53"/>
      <c r="EKK6" s="53"/>
      <c r="EKL6" s="53"/>
      <c r="EKM6" s="53"/>
      <c r="EKN6" s="53"/>
      <c r="EKO6" s="53"/>
      <c r="EKP6" s="53"/>
      <c r="EKQ6" s="53"/>
      <c r="EKR6" s="53"/>
      <c r="EKS6" s="53"/>
      <c r="EKT6" s="53"/>
      <c r="EKU6" s="53"/>
      <c r="EKV6" s="53"/>
      <c r="EKW6" s="53"/>
      <c r="EKX6" s="53"/>
      <c r="EKY6" s="53"/>
      <c r="EKZ6" s="53"/>
      <c r="ELA6" s="53"/>
      <c r="ELB6" s="53"/>
      <c r="ELC6" s="53"/>
      <c r="ELD6" s="53"/>
      <c r="ELE6" s="53"/>
      <c r="ELF6" s="53"/>
      <c r="ELG6" s="53"/>
      <c r="ELH6" s="53"/>
      <c r="ELI6" s="53"/>
      <c r="ELJ6" s="53"/>
      <c r="ELK6" s="53"/>
      <c r="ELL6" s="53"/>
      <c r="ELM6" s="53"/>
      <c r="ELN6" s="53"/>
      <c r="ELO6" s="53"/>
      <c r="ELP6" s="53"/>
      <c r="ELQ6" s="53"/>
      <c r="ELR6" s="53"/>
      <c r="ELS6" s="53"/>
      <c r="ELT6" s="53"/>
      <c r="ELU6" s="53"/>
      <c r="ELV6" s="53"/>
      <c r="ELW6" s="53"/>
      <c r="ELX6" s="53"/>
      <c r="ELY6" s="53"/>
      <c r="ELZ6" s="53"/>
      <c r="EMA6" s="53"/>
      <c r="EMB6" s="53"/>
      <c r="EMC6" s="53"/>
      <c r="EMD6" s="53"/>
      <c r="EME6" s="53"/>
      <c r="EMF6" s="53"/>
      <c r="EMG6" s="53"/>
      <c r="EMH6" s="53"/>
      <c r="EMI6" s="53"/>
      <c r="EMJ6" s="53"/>
      <c r="EMK6" s="53"/>
      <c r="EML6" s="53"/>
      <c r="EMM6" s="53"/>
      <c r="EMN6" s="53"/>
      <c r="EMO6" s="53"/>
      <c r="EMP6" s="53"/>
      <c r="EMQ6" s="53"/>
      <c r="EMR6" s="53"/>
      <c r="EMS6" s="53"/>
      <c r="EMT6" s="53"/>
      <c r="EMU6" s="53"/>
      <c r="EMV6" s="53"/>
      <c r="EMW6" s="53"/>
      <c r="EMX6" s="53"/>
      <c r="EMY6" s="53"/>
      <c r="EMZ6" s="53"/>
      <c r="ENA6" s="53"/>
      <c r="ENB6" s="53"/>
      <c r="ENC6" s="53"/>
      <c r="END6" s="53"/>
      <c r="ENE6" s="53"/>
      <c r="ENF6" s="53"/>
      <c r="ENG6" s="53"/>
      <c r="ENH6" s="53"/>
      <c r="ENI6" s="53"/>
      <c r="ENJ6" s="53"/>
      <c r="ENK6" s="53"/>
      <c r="ENL6" s="53"/>
      <c r="ENM6" s="53"/>
      <c r="ENN6" s="53"/>
      <c r="ENO6" s="53"/>
      <c r="ENP6" s="53"/>
      <c r="ENQ6" s="53"/>
      <c r="ENR6" s="53"/>
      <c r="ENS6" s="53"/>
      <c r="ENT6" s="53"/>
      <c r="ENU6" s="53"/>
      <c r="ENV6" s="53"/>
      <c r="ENW6" s="53"/>
      <c r="ENX6" s="53"/>
      <c r="ENY6" s="53"/>
      <c r="ENZ6" s="53"/>
      <c r="EOA6" s="53"/>
      <c r="EOB6" s="53"/>
      <c r="EOC6" s="53"/>
      <c r="EOD6" s="53"/>
      <c r="EOE6" s="53"/>
      <c r="EOF6" s="53"/>
      <c r="EOG6" s="53"/>
      <c r="EOH6" s="53"/>
      <c r="EOI6" s="53"/>
      <c r="EOJ6" s="53"/>
      <c r="EOK6" s="53"/>
      <c r="EOL6" s="53"/>
      <c r="EOM6" s="53"/>
      <c r="EON6" s="53"/>
      <c r="EOO6" s="53"/>
      <c r="EOP6" s="53"/>
      <c r="EOQ6" s="53"/>
      <c r="EOR6" s="53"/>
      <c r="EOS6" s="53"/>
      <c r="EOT6" s="53"/>
      <c r="EOU6" s="53"/>
      <c r="EOV6" s="53"/>
      <c r="EOW6" s="53"/>
      <c r="EOX6" s="53"/>
      <c r="EOY6" s="53"/>
      <c r="EOZ6" s="53"/>
      <c r="EPA6" s="53"/>
      <c r="EPB6" s="53"/>
      <c r="EPC6" s="53"/>
      <c r="EPD6" s="53"/>
      <c r="EPE6" s="53"/>
      <c r="EPF6" s="53"/>
      <c r="EPG6" s="53"/>
      <c r="EPH6" s="53"/>
      <c r="EPI6" s="53"/>
      <c r="EPJ6" s="53"/>
      <c r="EPK6" s="53"/>
      <c r="EPL6" s="53"/>
      <c r="EPM6" s="53"/>
      <c r="EPN6" s="53"/>
      <c r="EPO6" s="53"/>
      <c r="EPP6" s="53"/>
      <c r="EPQ6" s="53"/>
      <c r="EPR6" s="53"/>
      <c r="EPS6" s="53"/>
      <c r="EPT6" s="53"/>
      <c r="EPU6" s="53"/>
      <c r="EPV6" s="53"/>
      <c r="EPW6" s="53"/>
      <c r="EPX6" s="53"/>
      <c r="EPY6" s="53"/>
      <c r="EPZ6" s="53"/>
      <c r="EQA6" s="53"/>
      <c r="EQB6" s="53"/>
      <c r="EQC6" s="53"/>
      <c r="EQD6" s="53"/>
      <c r="EQE6" s="53"/>
      <c r="EQF6" s="53"/>
      <c r="EQG6" s="53"/>
      <c r="EQH6" s="53"/>
      <c r="EQI6" s="53"/>
      <c r="EQJ6" s="53"/>
      <c r="EQK6" s="53"/>
      <c r="EQL6" s="53"/>
      <c r="EQM6" s="53"/>
      <c r="EQN6" s="53"/>
      <c r="EQO6" s="53"/>
      <c r="EQP6" s="53"/>
      <c r="EQQ6" s="53"/>
      <c r="EQR6" s="53"/>
      <c r="EQS6" s="53"/>
      <c r="EQT6" s="53"/>
      <c r="EQU6" s="53"/>
      <c r="EQV6" s="53"/>
      <c r="EQW6" s="53"/>
      <c r="EQX6" s="53"/>
      <c r="EQY6" s="53"/>
      <c r="EQZ6" s="53"/>
      <c r="ERA6" s="53"/>
      <c r="ERB6" s="53"/>
      <c r="ERC6" s="53"/>
      <c r="ERD6" s="53"/>
      <c r="ERE6" s="53"/>
      <c r="ERF6" s="53"/>
      <c r="ERG6" s="53"/>
      <c r="ERH6" s="53"/>
      <c r="ERI6" s="53"/>
      <c r="ERJ6" s="53"/>
      <c r="ERK6" s="53"/>
      <c r="ERL6" s="53"/>
      <c r="ERM6" s="53"/>
      <c r="ERN6" s="53"/>
      <c r="ERO6" s="53"/>
      <c r="ERP6" s="53"/>
      <c r="ERQ6" s="53"/>
      <c r="ERR6" s="53"/>
      <c r="ERS6" s="53"/>
      <c r="ERT6" s="53"/>
      <c r="ERU6" s="53"/>
      <c r="ERV6" s="53"/>
      <c r="ERW6" s="53"/>
      <c r="ERX6" s="53"/>
      <c r="ERY6" s="53"/>
      <c r="ERZ6" s="53"/>
      <c r="ESA6" s="53"/>
      <c r="ESB6" s="53"/>
      <c r="ESC6" s="53"/>
      <c r="ESD6" s="53"/>
      <c r="ESE6" s="53"/>
      <c r="ESF6" s="53"/>
      <c r="ESG6" s="53"/>
      <c r="ESH6" s="53"/>
      <c r="ESI6" s="53"/>
      <c r="ESJ6" s="53"/>
      <c r="ESK6" s="53"/>
      <c r="ESL6" s="53"/>
      <c r="ESM6" s="53"/>
      <c r="ESN6" s="53"/>
      <c r="ESO6" s="53"/>
      <c r="ESP6" s="53"/>
      <c r="ESQ6" s="53"/>
      <c r="ESR6" s="53"/>
      <c r="ESS6" s="53"/>
      <c r="EST6" s="53"/>
      <c r="ESU6" s="53"/>
      <c r="ESV6" s="53"/>
      <c r="ESW6" s="53"/>
      <c r="ESX6" s="53"/>
      <c r="ESY6" s="53"/>
      <c r="ESZ6" s="53"/>
      <c r="ETA6" s="53"/>
      <c r="ETB6" s="53"/>
      <c r="ETC6" s="53"/>
      <c r="ETD6" s="53"/>
      <c r="ETE6" s="53"/>
      <c r="ETF6" s="53"/>
      <c r="ETG6" s="53"/>
      <c r="ETH6" s="53"/>
      <c r="ETI6" s="53"/>
      <c r="ETJ6" s="53"/>
      <c r="ETK6" s="53"/>
      <c r="ETL6" s="53"/>
      <c r="ETM6" s="53"/>
      <c r="ETN6" s="53"/>
      <c r="ETO6" s="53"/>
      <c r="ETP6" s="53"/>
      <c r="ETQ6" s="53"/>
      <c r="ETR6" s="53"/>
      <c r="ETS6" s="53"/>
      <c r="ETT6" s="53"/>
      <c r="ETU6" s="53"/>
      <c r="ETV6" s="53"/>
      <c r="ETW6" s="53"/>
      <c r="ETX6" s="53"/>
      <c r="ETY6" s="53"/>
      <c r="ETZ6" s="53"/>
      <c r="EUA6" s="53"/>
      <c r="EUB6" s="53"/>
      <c r="EUC6" s="53"/>
      <c r="EUD6" s="53"/>
      <c r="EUE6" s="53"/>
      <c r="EUF6" s="53"/>
      <c r="EUG6" s="53"/>
      <c r="EUH6" s="53"/>
      <c r="EUI6" s="53"/>
      <c r="EUJ6" s="53"/>
      <c r="EUK6" s="53"/>
      <c r="EUL6" s="53"/>
      <c r="EUM6" s="53"/>
      <c r="EUN6" s="53"/>
      <c r="EUO6" s="53"/>
      <c r="EUP6" s="53"/>
      <c r="EUQ6" s="53"/>
      <c r="EUR6" s="53"/>
      <c r="EUS6" s="53"/>
      <c r="EUT6" s="53"/>
      <c r="EUU6" s="53"/>
      <c r="EUV6" s="53"/>
      <c r="EUW6" s="53"/>
      <c r="EUX6" s="53"/>
      <c r="EUY6" s="53"/>
      <c r="EUZ6" s="53"/>
      <c r="EVA6" s="53"/>
      <c r="EVB6" s="53"/>
      <c r="EVC6" s="53"/>
      <c r="EVD6" s="53"/>
      <c r="EVE6" s="53"/>
      <c r="EVF6" s="53"/>
      <c r="EVG6" s="53"/>
      <c r="EVH6" s="53"/>
      <c r="EVI6" s="53"/>
      <c r="EVJ6" s="53"/>
      <c r="EVK6" s="53"/>
      <c r="EVL6" s="53"/>
      <c r="EVM6" s="53"/>
      <c r="EVN6" s="53"/>
      <c r="EVO6" s="53"/>
      <c r="EVP6" s="53"/>
      <c r="EVQ6" s="53"/>
      <c r="EVR6" s="53"/>
      <c r="EVS6" s="53"/>
      <c r="EVT6" s="53"/>
      <c r="EVU6" s="53"/>
      <c r="EVV6" s="53"/>
      <c r="EVW6" s="53"/>
      <c r="EVX6" s="53"/>
      <c r="EVY6" s="53"/>
      <c r="EVZ6" s="53"/>
      <c r="EWA6" s="53"/>
      <c r="EWB6" s="53"/>
      <c r="EWC6" s="53"/>
      <c r="EWD6" s="53"/>
      <c r="EWE6" s="53"/>
      <c r="EWF6" s="53"/>
      <c r="EWG6" s="53"/>
      <c r="EWH6" s="53"/>
      <c r="EWI6" s="53"/>
      <c r="EWJ6" s="53"/>
      <c r="EWK6" s="53"/>
      <c r="EWL6" s="53"/>
      <c r="EWM6" s="53"/>
      <c r="EWN6" s="53"/>
      <c r="EWO6" s="53"/>
      <c r="EWP6" s="53"/>
      <c r="EWQ6" s="53"/>
      <c r="EWR6" s="53"/>
      <c r="EWS6" s="53"/>
      <c r="EWT6" s="53"/>
      <c r="EWU6" s="53"/>
      <c r="EWV6" s="53"/>
      <c r="EWW6" s="53"/>
      <c r="EWX6" s="53"/>
      <c r="EWY6" s="53"/>
      <c r="EWZ6" s="53"/>
      <c r="EXA6" s="53"/>
      <c r="EXB6" s="53"/>
      <c r="EXC6" s="53"/>
      <c r="EXD6" s="53"/>
      <c r="EXE6" s="53"/>
      <c r="EXF6" s="53"/>
      <c r="EXG6" s="53"/>
      <c r="EXH6" s="53"/>
      <c r="EXI6" s="53"/>
      <c r="EXJ6" s="53"/>
      <c r="EXK6" s="53"/>
      <c r="EXL6" s="53"/>
      <c r="EXM6" s="53"/>
      <c r="EXN6" s="53"/>
      <c r="EXO6" s="53"/>
      <c r="EXP6" s="53"/>
      <c r="EXQ6" s="53"/>
      <c r="EXR6" s="53"/>
      <c r="EXS6" s="53"/>
      <c r="EXT6" s="53"/>
      <c r="EXU6" s="53"/>
      <c r="EXV6" s="53"/>
      <c r="EXW6" s="53"/>
      <c r="EXX6" s="53"/>
      <c r="EXY6" s="53"/>
      <c r="EXZ6" s="53"/>
      <c r="EYA6" s="53"/>
      <c r="EYB6" s="53"/>
      <c r="EYC6" s="53"/>
      <c r="EYD6" s="53"/>
      <c r="EYE6" s="53"/>
      <c r="EYF6" s="53"/>
      <c r="EYG6" s="53"/>
      <c r="EYH6" s="53"/>
      <c r="EYI6" s="53"/>
      <c r="EYJ6" s="53"/>
      <c r="EYK6" s="53"/>
      <c r="EYL6" s="53"/>
      <c r="EYM6" s="53"/>
      <c r="EYN6" s="53"/>
      <c r="EYO6" s="53"/>
      <c r="EYP6" s="53"/>
      <c r="EYQ6" s="53"/>
      <c r="EYR6" s="53"/>
      <c r="EYS6" s="53"/>
      <c r="EYT6" s="53"/>
      <c r="EYU6" s="53"/>
      <c r="EYV6" s="53"/>
      <c r="EYW6" s="53"/>
      <c r="EYX6" s="53"/>
      <c r="EYY6" s="53"/>
      <c r="EYZ6" s="53"/>
      <c r="EZA6" s="53"/>
      <c r="EZB6" s="53"/>
      <c r="EZC6" s="53"/>
      <c r="EZD6" s="53"/>
      <c r="EZE6" s="53"/>
      <c r="EZF6" s="53"/>
      <c r="EZG6" s="53"/>
      <c r="EZH6" s="53"/>
      <c r="EZI6" s="53"/>
      <c r="EZJ6" s="53"/>
      <c r="EZK6" s="53"/>
      <c r="EZL6" s="53"/>
      <c r="EZM6" s="53"/>
      <c r="EZN6" s="53"/>
      <c r="EZO6" s="53"/>
      <c r="EZP6" s="53"/>
      <c r="EZQ6" s="53"/>
      <c r="EZR6" s="53"/>
      <c r="EZS6" s="53"/>
      <c r="EZT6" s="53"/>
      <c r="EZU6" s="53"/>
      <c r="EZV6" s="53"/>
      <c r="EZW6" s="53"/>
      <c r="EZX6" s="53"/>
      <c r="EZY6" s="53"/>
      <c r="EZZ6" s="53"/>
      <c r="FAA6" s="53"/>
      <c r="FAB6" s="53"/>
      <c r="FAC6" s="53"/>
      <c r="FAD6" s="53"/>
      <c r="FAE6" s="53"/>
      <c r="FAF6" s="53"/>
      <c r="FAG6" s="53"/>
      <c r="FAH6" s="53"/>
      <c r="FAI6" s="53"/>
      <c r="FAJ6" s="53"/>
      <c r="FAK6" s="53"/>
      <c r="FAL6" s="53"/>
      <c r="FAM6" s="53"/>
      <c r="FAN6" s="53"/>
      <c r="FAO6" s="53"/>
      <c r="FAP6" s="53"/>
      <c r="FAQ6" s="53"/>
      <c r="FAR6" s="53"/>
      <c r="FAS6" s="53"/>
      <c r="FAT6" s="53"/>
      <c r="FAU6" s="53"/>
      <c r="FAV6" s="53"/>
      <c r="FAW6" s="53"/>
      <c r="FAX6" s="53"/>
      <c r="FAY6" s="53"/>
      <c r="FAZ6" s="53"/>
      <c r="FBA6" s="53"/>
      <c r="FBB6" s="53"/>
      <c r="FBC6" s="53"/>
      <c r="FBD6" s="53"/>
      <c r="FBE6" s="53"/>
      <c r="FBF6" s="53"/>
      <c r="FBG6" s="53"/>
      <c r="FBH6" s="53"/>
      <c r="FBI6" s="53"/>
      <c r="FBJ6" s="53"/>
      <c r="FBK6" s="53"/>
      <c r="FBL6" s="53"/>
      <c r="FBM6" s="53"/>
      <c r="FBN6" s="53"/>
      <c r="FBO6" s="53"/>
      <c r="FBP6" s="53"/>
      <c r="FBQ6" s="53"/>
      <c r="FBR6" s="53"/>
      <c r="FBS6" s="53"/>
      <c r="FBT6" s="53"/>
      <c r="FBU6" s="53"/>
      <c r="FBV6" s="53"/>
      <c r="FBW6" s="53"/>
      <c r="FBX6" s="53"/>
      <c r="FBY6" s="53"/>
      <c r="FBZ6" s="53"/>
      <c r="FCA6" s="53"/>
      <c r="FCB6" s="53"/>
      <c r="FCC6" s="53"/>
      <c r="FCD6" s="53"/>
      <c r="FCE6" s="53"/>
      <c r="FCF6" s="53"/>
      <c r="FCG6" s="53"/>
      <c r="FCH6" s="53"/>
      <c r="FCI6" s="53"/>
      <c r="FCJ6" s="53"/>
      <c r="FCK6" s="53"/>
      <c r="FCL6" s="53"/>
      <c r="FCM6" s="53"/>
      <c r="FCN6" s="53"/>
      <c r="FCO6" s="53"/>
      <c r="FCP6" s="53"/>
      <c r="FCQ6" s="53"/>
      <c r="FCR6" s="53"/>
      <c r="FCS6" s="53"/>
      <c r="FCT6" s="53"/>
      <c r="FCU6" s="53"/>
      <c r="FCV6" s="53"/>
      <c r="FCW6" s="53"/>
      <c r="FCX6" s="53"/>
      <c r="FCY6" s="53"/>
      <c r="FCZ6" s="53"/>
      <c r="FDA6" s="53"/>
      <c r="FDB6" s="53"/>
      <c r="FDC6" s="53"/>
      <c r="FDD6" s="53"/>
      <c r="FDE6" s="53"/>
      <c r="FDF6" s="53"/>
      <c r="FDG6" s="53"/>
      <c r="FDH6" s="53"/>
      <c r="FDI6" s="53"/>
      <c r="FDJ6" s="53"/>
      <c r="FDK6" s="53"/>
      <c r="FDL6" s="53"/>
      <c r="FDM6" s="53"/>
      <c r="FDN6" s="53"/>
      <c r="FDO6" s="53"/>
      <c r="FDP6" s="53"/>
      <c r="FDQ6" s="53"/>
      <c r="FDR6" s="53"/>
      <c r="FDS6" s="53"/>
      <c r="FDT6" s="53"/>
      <c r="FDU6" s="53"/>
      <c r="FDV6" s="53"/>
      <c r="FDW6" s="53"/>
      <c r="FDX6" s="53"/>
      <c r="FDY6" s="53"/>
      <c r="FDZ6" s="53"/>
      <c r="FEA6" s="53"/>
      <c r="FEB6" s="53"/>
      <c r="FEC6" s="53"/>
      <c r="FED6" s="53"/>
      <c r="FEE6" s="53"/>
      <c r="FEF6" s="53"/>
      <c r="FEG6" s="53"/>
      <c r="FEH6" s="53"/>
      <c r="FEI6" s="53"/>
      <c r="FEJ6" s="53"/>
      <c r="FEK6" s="53"/>
      <c r="FEL6" s="53"/>
      <c r="FEM6" s="53"/>
      <c r="FEN6" s="53"/>
      <c r="FEO6" s="53"/>
      <c r="FEP6" s="53"/>
      <c r="FEQ6" s="53"/>
      <c r="FER6" s="53"/>
      <c r="FES6" s="53"/>
      <c r="FET6" s="53"/>
      <c r="FEU6" s="53"/>
      <c r="FEV6" s="53"/>
      <c r="FEW6" s="53"/>
      <c r="FEX6" s="53"/>
      <c r="FEY6" s="53"/>
      <c r="FEZ6" s="53"/>
      <c r="FFA6" s="53"/>
      <c r="FFB6" s="53"/>
      <c r="FFC6" s="53"/>
      <c r="FFD6" s="53"/>
      <c r="FFE6" s="53"/>
      <c r="FFF6" s="53"/>
      <c r="FFG6" s="53"/>
      <c r="FFH6" s="53"/>
      <c r="FFI6" s="53"/>
      <c r="FFJ6" s="53"/>
      <c r="FFK6" s="53"/>
      <c r="FFL6" s="53"/>
      <c r="FFM6" s="53"/>
      <c r="FFN6" s="53"/>
      <c r="FFO6" s="53"/>
      <c r="FFP6" s="53"/>
      <c r="FFQ6" s="53"/>
      <c r="FFR6" s="53"/>
      <c r="FFS6" s="53"/>
      <c r="FFT6" s="53"/>
      <c r="FFU6" s="53"/>
      <c r="FFV6" s="53"/>
      <c r="FFW6" s="53"/>
      <c r="FFX6" s="53"/>
      <c r="FFY6" s="53"/>
      <c r="FFZ6" s="53"/>
      <c r="FGA6" s="53"/>
      <c r="FGB6" s="53"/>
      <c r="FGC6" s="53"/>
      <c r="FGD6" s="53"/>
      <c r="FGE6" s="53"/>
      <c r="FGF6" s="53"/>
      <c r="FGG6" s="53"/>
      <c r="FGH6" s="53"/>
      <c r="FGI6" s="53"/>
      <c r="FGJ6" s="53"/>
      <c r="FGK6" s="53"/>
      <c r="FGL6" s="53"/>
      <c r="FGM6" s="53"/>
      <c r="FGN6" s="53"/>
      <c r="FGO6" s="53"/>
      <c r="FGP6" s="53"/>
      <c r="FGQ6" s="53"/>
      <c r="FGR6" s="53"/>
      <c r="FGS6" s="53"/>
      <c r="FGT6" s="53"/>
      <c r="FGU6" s="53"/>
      <c r="FGV6" s="53"/>
      <c r="FGW6" s="53"/>
      <c r="FGX6" s="53"/>
      <c r="FGY6" s="53"/>
      <c r="FGZ6" s="53"/>
      <c r="FHA6" s="53"/>
      <c r="FHB6" s="53"/>
      <c r="FHC6" s="53"/>
      <c r="FHD6" s="53"/>
      <c r="FHE6" s="53"/>
      <c r="FHF6" s="53"/>
      <c r="FHG6" s="53"/>
      <c r="FHH6" s="53"/>
      <c r="FHI6" s="53"/>
      <c r="FHJ6" s="53"/>
      <c r="FHK6" s="53"/>
      <c r="FHL6" s="53"/>
      <c r="FHM6" s="53"/>
      <c r="FHN6" s="53"/>
      <c r="FHO6" s="53"/>
      <c r="FHP6" s="53"/>
      <c r="FHQ6" s="53"/>
      <c r="FHR6" s="53"/>
      <c r="FHS6" s="53"/>
      <c r="FHT6" s="53"/>
      <c r="FHU6" s="53"/>
      <c r="FHV6" s="53"/>
      <c r="FHW6" s="53"/>
      <c r="FHX6" s="53"/>
      <c r="FHY6" s="53"/>
      <c r="FHZ6" s="53"/>
      <c r="FIA6" s="53"/>
      <c r="FIB6" s="53"/>
      <c r="FIC6" s="53"/>
      <c r="FID6" s="53"/>
      <c r="FIE6" s="53"/>
      <c r="FIF6" s="53"/>
      <c r="FIG6" s="53"/>
      <c r="FIH6" s="53"/>
      <c r="FII6" s="53"/>
      <c r="FIJ6" s="53"/>
      <c r="FIK6" s="53"/>
      <c r="FIL6" s="53"/>
      <c r="FIM6" s="53"/>
      <c r="FIN6" s="53"/>
      <c r="FIO6" s="53"/>
      <c r="FIP6" s="53"/>
      <c r="FIQ6" s="53"/>
      <c r="FIR6" s="53"/>
      <c r="FIS6" s="53"/>
      <c r="FIT6" s="53"/>
      <c r="FIU6" s="53"/>
      <c r="FIV6" s="53"/>
      <c r="FIW6" s="53"/>
      <c r="FIX6" s="53"/>
      <c r="FIY6" s="53"/>
      <c r="FIZ6" s="53"/>
      <c r="FJA6" s="53"/>
      <c r="FJB6" s="53"/>
      <c r="FJC6" s="53"/>
      <c r="FJD6" s="53"/>
      <c r="FJE6" s="53"/>
      <c r="FJF6" s="53"/>
      <c r="FJG6" s="53"/>
      <c r="FJH6" s="53"/>
      <c r="FJI6" s="53"/>
      <c r="FJJ6" s="53"/>
      <c r="FJK6" s="53"/>
      <c r="FJL6" s="53"/>
      <c r="FJM6" s="53"/>
      <c r="FJN6" s="53"/>
      <c r="FJO6" s="53"/>
      <c r="FJP6" s="53"/>
      <c r="FJQ6" s="53"/>
      <c r="FJR6" s="53"/>
      <c r="FJS6" s="53"/>
      <c r="FJT6" s="53"/>
      <c r="FJU6" s="53"/>
      <c r="FJV6" s="53"/>
      <c r="FJW6" s="53"/>
      <c r="FJX6" s="53"/>
      <c r="FJY6" s="53"/>
      <c r="FJZ6" s="53"/>
      <c r="FKA6" s="53"/>
      <c r="FKB6" s="53"/>
      <c r="FKC6" s="53"/>
      <c r="FKD6" s="53"/>
      <c r="FKE6" s="53"/>
      <c r="FKF6" s="53"/>
      <c r="FKG6" s="53"/>
      <c r="FKH6" s="53"/>
      <c r="FKI6" s="53"/>
      <c r="FKJ6" s="53"/>
      <c r="FKK6" s="53"/>
      <c r="FKL6" s="53"/>
      <c r="FKM6" s="53"/>
      <c r="FKN6" s="53"/>
      <c r="FKO6" s="53"/>
      <c r="FKP6" s="53"/>
      <c r="FKQ6" s="53"/>
      <c r="FKR6" s="53"/>
      <c r="FKS6" s="53"/>
      <c r="FKT6" s="53"/>
      <c r="FKU6" s="53"/>
      <c r="FKV6" s="53"/>
      <c r="FKW6" s="53"/>
      <c r="FKX6" s="53"/>
      <c r="FKY6" s="53"/>
      <c r="FKZ6" s="53"/>
      <c r="FLA6" s="53"/>
      <c r="FLB6" s="53"/>
      <c r="FLC6" s="53"/>
      <c r="FLD6" s="53"/>
      <c r="FLE6" s="53"/>
      <c r="FLF6" s="53"/>
      <c r="FLG6" s="53"/>
      <c r="FLH6" s="53"/>
      <c r="FLI6" s="53"/>
      <c r="FLJ6" s="53"/>
      <c r="FLK6" s="53"/>
      <c r="FLL6" s="53"/>
      <c r="FLM6" s="53"/>
      <c r="FLN6" s="53"/>
      <c r="FLO6" s="53"/>
      <c r="FLP6" s="53"/>
      <c r="FLQ6" s="53"/>
      <c r="FLR6" s="53"/>
      <c r="FLS6" s="53"/>
      <c r="FLT6" s="53"/>
      <c r="FLU6" s="53"/>
      <c r="FLV6" s="53"/>
      <c r="FLW6" s="53"/>
      <c r="FLX6" s="53"/>
      <c r="FLY6" s="53"/>
      <c r="FLZ6" s="53"/>
      <c r="FMA6" s="53"/>
      <c r="FMB6" s="53"/>
      <c r="FMC6" s="53"/>
      <c r="FMD6" s="53"/>
      <c r="FME6" s="53"/>
      <c r="FMF6" s="53"/>
      <c r="FMG6" s="53"/>
      <c r="FMH6" s="53"/>
      <c r="FMI6" s="53"/>
      <c r="FMJ6" s="53"/>
      <c r="FMK6" s="53"/>
      <c r="FML6" s="53"/>
      <c r="FMM6" s="53"/>
      <c r="FMN6" s="53"/>
      <c r="FMO6" s="53"/>
      <c r="FMP6" s="53"/>
      <c r="FMQ6" s="53"/>
      <c r="FMR6" s="53"/>
      <c r="FMS6" s="53"/>
      <c r="FMT6" s="53"/>
      <c r="FMU6" s="53"/>
      <c r="FMV6" s="53"/>
      <c r="FMW6" s="53"/>
      <c r="FMX6" s="53"/>
      <c r="FMY6" s="53"/>
      <c r="FMZ6" s="53"/>
      <c r="FNA6" s="53"/>
      <c r="FNB6" s="53"/>
      <c r="FNC6" s="53"/>
      <c r="FND6" s="53"/>
      <c r="FNE6" s="53"/>
      <c r="FNF6" s="53"/>
      <c r="FNG6" s="53"/>
      <c r="FNH6" s="53"/>
      <c r="FNI6" s="53"/>
      <c r="FNJ6" s="53"/>
      <c r="FNK6" s="53"/>
      <c r="FNL6" s="53"/>
      <c r="FNM6" s="53"/>
      <c r="FNN6" s="53"/>
      <c r="FNO6" s="53"/>
      <c r="FNP6" s="53"/>
      <c r="FNQ6" s="53"/>
      <c r="FNR6" s="53"/>
      <c r="FNS6" s="53"/>
      <c r="FNT6" s="53"/>
      <c r="FNU6" s="53"/>
      <c r="FNV6" s="53"/>
      <c r="FNW6" s="53"/>
      <c r="FNX6" s="53"/>
      <c r="FNY6" s="53"/>
      <c r="FNZ6" s="53"/>
      <c r="FOA6" s="53"/>
      <c r="FOB6" s="53"/>
      <c r="FOC6" s="53"/>
      <c r="FOD6" s="53"/>
      <c r="FOE6" s="53"/>
      <c r="FOF6" s="53"/>
      <c r="FOG6" s="53"/>
      <c r="FOH6" s="53"/>
      <c r="FOI6" s="53"/>
      <c r="FOJ6" s="53"/>
      <c r="FOK6" s="53"/>
      <c r="FOL6" s="53"/>
      <c r="FOM6" s="53"/>
      <c r="FON6" s="53"/>
      <c r="FOO6" s="53"/>
      <c r="FOP6" s="53"/>
      <c r="FOQ6" s="53"/>
      <c r="FOR6" s="53"/>
      <c r="FOS6" s="53"/>
      <c r="FOT6" s="53"/>
      <c r="FOU6" s="53"/>
      <c r="FOV6" s="53"/>
      <c r="FOW6" s="53"/>
      <c r="FOX6" s="53"/>
      <c r="FOY6" s="53"/>
      <c r="FOZ6" s="53"/>
      <c r="FPA6" s="53"/>
      <c r="FPB6" s="53"/>
      <c r="FPC6" s="53"/>
      <c r="FPD6" s="53"/>
      <c r="FPE6" s="53"/>
      <c r="FPF6" s="53"/>
      <c r="FPG6" s="53"/>
      <c r="FPH6" s="53"/>
      <c r="FPI6" s="53"/>
      <c r="FPJ6" s="53"/>
      <c r="FPK6" s="53"/>
      <c r="FPL6" s="53"/>
      <c r="FPM6" s="53"/>
      <c r="FPN6" s="53"/>
      <c r="FPO6" s="53"/>
      <c r="FPP6" s="53"/>
      <c r="FPQ6" s="53"/>
      <c r="FPR6" s="53"/>
      <c r="FPS6" s="53"/>
      <c r="FPT6" s="53"/>
      <c r="FPU6" s="53"/>
      <c r="FPV6" s="53"/>
      <c r="FPW6" s="53"/>
      <c r="FPX6" s="53"/>
      <c r="FPY6" s="53"/>
      <c r="FPZ6" s="53"/>
      <c r="FQA6" s="53"/>
      <c r="FQB6" s="53"/>
      <c r="FQC6" s="53"/>
      <c r="FQD6" s="53"/>
      <c r="FQE6" s="53"/>
      <c r="FQF6" s="53"/>
      <c r="FQG6" s="53"/>
      <c r="FQH6" s="53"/>
      <c r="FQI6" s="53"/>
      <c r="FQJ6" s="53"/>
      <c r="FQK6" s="53"/>
      <c r="FQL6" s="53"/>
      <c r="FQM6" s="53"/>
      <c r="FQN6" s="53"/>
      <c r="FQO6" s="53"/>
      <c r="FQP6" s="53"/>
      <c r="FQQ6" s="53"/>
      <c r="FQR6" s="53"/>
      <c r="FQS6" s="53"/>
      <c r="FQT6" s="53"/>
      <c r="FQU6" s="53"/>
      <c r="FQV6" s="53"/>
      <c r="FQW6" s="53"/>
      <c r="FQX6" s="53"/>
      <c r="FQY6" s="53"/>
      <c r="FQZ6" s="53"/>
      <c r="FRA6" s="53"/>
      <c r="FRB6" s="53"/>
      <c r="FRC6" s="53"/>
      <c r="FRD6" s="53"/>
      <c r="FRE6" s="53"/>
      <c r="FRF6" s="53"/>
      <c r="FRG6" s="53"/>
      <c r="FRH6" s="53"/>
      <c r="FRI6" s="53"/>
      <c r="FRJ6" s="53"/>
      <c r="FRK6" s="53"/>
      <c r="FRL6" s="53"/>
      <c r="FRM6" s="53"/>
      <c r="FRN6" s="53"/>
      <c r="FRO6" s="53"/>
      <c r="FRP6" s="53"/>
      <c r="FRQ6" s="53"/>
      <c r="FRR6" s="53"/>
      <c r="FRS6" s="53"/>
      <c r="FRT6" s="53"/>
      <c r="FRU6" s="53"/>
      <c r="FRV6" s="53"/>
      <c r="FRW6" s="53"/>
      <c r="FRX6" s="53"/>
      <c r="FRY6" s="53"/>
      <c r="FRZ6" s="53"/>
      <c r="FSA6" s="53"/>
      <c r="FSB6" s="53"/>
      <c r="FSC6" s="53"/>
      <c r="FSD6" s="53"/>
      <c r="FSE6" s="53"/>
      <c r="FSF6" s="53"/>
      <c r="FSG6" s="53"/>
      <c r="FSH6" s="53"/>
      <c r="FSI6" s="53"/>
      <c r="FSJ6" s="53"/>
      <c r="FSK6" s="53"/>
      <c r="FSL6" s="53"/>
      <c r="FSM6" s="53"/>
      <c r="FSN6" s="53"/>
      <c r="FSO6" s="53"/>
      <c r="FSP6" s="53"/>
      <c r="FSQ6" s="53"/>
      <c r="FSR6" s="53"/>
      <c r="FSS6" s="53"/>
      <c r="FST6" s="53"/>
      <c r="FSU6" s="53"/>
      <c r="FSV6" s="53"/>
      <c r="FSW6" s="53"/>
      <c r="FSX6" s="53"/>
      <c r="FSY6" s="53"/>
      <c r="FSZ6" s="53"/>
      <c r="FTA6" s="53"/>
      <c r="FTB6" s="53"/>
      <c r="FTC6" s="53"/>
      <c r="FTD6" s="53"/>
      <c r="FTE6" s="53"/>
      <c r="FTF6" s="53"/>
      <c r="FTG6" s="53"/>
      <c r="FTH6" s="53"/>
      <c r="FTI6" s="53"/>
      <c r="FTJ6" s="53"/>
      <c r="FTK6" s="53"/>
      <c r="FTL6" s="53"/>
      <c r="FTM6" s="53"/>
      <c r="FTN6" s="53"/>
      <c r="FTO6" s="53"/>
      <c r="FTP6" s="53"/>
      <c r="FTQ6" s="53"/>
      <c r="FTR6" s="53"/>
      <c r="FTS6" s="53"/>
      <c r="FTT6" s="53"/>
      <c r="FTU6" s="53"/>
      <c r="FTV6" s="53"/>
      <c r="FTW6" s="53"/>
      <c r="FTX6" s="53"/>
      <c r="FTY6" s="53"/>
      <c r="FTZ6" s="53"/>
      <c r="FUA6" s="53"/>
      <c r="FUB6" s="53"/>
      <c r="FUC6" s="53"/>
      <c r="FUD6" s="53"/>
      <c r="FUE6" s="53"/>
      <c r="FUF6" s="53"/>
      <c r="FUG6" s="53"/>
      <c r="FUH6" s="53"/>
      <c r="FUI6" s="53"/>
      <c r="FUJ6" s="53"/>
      <c r="FUK6" s="53"/>
      <c r="FUL6" s="53"/>
      <c r="FUM6" s="53"/>
      <c r="FUN6" s="53"/>
      <c r="FUO6" s="53"/>
      <c r="FUP6" s="53"/>
      <c r="FUQ6" s="53"/>
      <c r="FUR6" s="53"/>
      <c r="FUS6" s="53"/>
      <c r="FUT6" s="53"/>
      <c r="FUU6" s="53"/>
      <c r="FUV6" s="53"/>
      <c r="FUW6" s="53"/>
      <c r="FUX6" s="53"/>
      <c r="FUY6" s="53"/>
      <c r="FUZ6" s="53"/>
      <c r="FVA6" s="53"/>
      <c r="FVB6" s="53"/>
      <c r="FVC6" s="53"/>
      <c r="FVD6" s="53"/>
      <c r="FVE6" s="53"/>
      <c r="FVF6" s="53"/>
      <c r="FVG6" s="53"/>
      <c r="FVH6" s="53"/>
      <c r="FVI6" s="53"/>
      <c r="FVJ6" s="53"/>
      <c r="FVK6" s="53"/>
      <c r="FVL6" s="53"/>
      <c r="FVM6" s="53"/>
      <c r="FVN6" s="53"/>
      <c r="FVO6" s="53"/>
      <c r="FVP6" s="53"/>
      <c r="FVQ6" s="53"/>
      <c r="FVR6" s="53"/>
      <c r="FVS6" s="53"/>
      <c r="FVT6" s="53"/>
      <c r="FVU6" s="53"/>
      <c r="FVV6" s="53"/>
      <c r="FVW6" s="53"/>
      <c r="FVX6" s="53"/>
      <c r="FVY6" s="53"/>
      <c r="FVZ6" s="53"/>
      <c r="FWA6" s="53"/>
      <c r="FWB6" s="53"/>
      <c r="FWC6" s="53"/>
      <c r="FWD6" s="53"/>
      <c r="FWE6" s="53"/>
      <c r="FWF6" s="53"/>
      <c r="FWG6" s="53"/>
      <c r="FWH6" s="53"/>
      <c r="FWI6" s="53"/>
      <c r="FWJ6" s="53"/>
      <c r="FWK6" s="53"/>
      <c r="FWL6" s="53"/>
      <c r="FWM6" s="53"/>
      <c r="FWN6" s="53"/>
      <c r="FWO6" s="53"/>
      <c r="FWP6" s="53"/>
      <c r="FWQ6" s="53"/>
      <c r="FWR6" s="53"/>
      <c r="FWS6" s="53"/>
      <c r="FWT6" s="53"/>
      <c r="FWU6" s="53"/>
      <c r="FWV6" s="53"/>
      <c r="FWW6" s="53"/>
      <c r="FWX6" s="53"/>
      <c r="FWY6" s="53"/>
      <c r="FWZ6" s="53"/>
      <c r="FXA6" s="53"/>
      <c r="FXB6" s="53"/>
      <c r="FXC6" s="53"/>
      <c r="FXD6" s="53"/>
      <c r="FXE6" s="53"/>
      <c r="FXF6" s="53"/>
      <c r="FXG6" s="53"/>
      <c r="FXH6" s="53"/>
      <c r="FXI6" s="53"/>
      <c r="FXJ6" s="53"/>
      <c r="FXK6" s="53"/>
      <c r="FXL6" s="53"/>
      <c r="FXM6" s="53"/>
      <c r="FXN6" s="53"/>
      <c r="FXO6" s="53"/>
      <c r="FXP6" s="53"/>
      <c r="FXQ6" s="53"/>
      <c r="FXR6" s="53"/>
      <c r="FXS6" s="53"/>
      <c r="FXT6" s="53"/>
      <c r="FXU6" s="53"/>
      <c r="FXV6" s="53"/>
      <c r="FXW6" s="53"/>
      <c r="FXX6" s="53"/>
      <c r="FXY6" s="53"/>
      <c r="FXZ6" s="53"/>
      <c r="FYA6" s="53"/>
      <c r="FYB6" s="53"/>
      <c r="FYC6" s="53"/>
      <c r="FYD6" s="53"/>
      <c r="FYE6" s="53"/>
      <c r="FYF6" s="53"/>
      <c r="FYG6" s="53"/>
      <c r="FYH6" s="53"/>
      <c r="FYI6" s="53"/>
      <c r="FYJ6" s="53"/>
      <c r="FYK6" s="53"/>
      <c r="FYL6" s="53"/>
      <c r="FYM6" s="53"/>
      <c r="FYN6" s="53"/>
      <c r="FYO6" s="53"/>
      <c r="FYP6" s="53"/>
      <c r="FYQ6" s="53"/>
      <c r="FYR6" s="53"/>
      <c r="FYS6" s="53"/>
      <c r="FYT6" s="53"/>
      <c r="FYU6" s="53"/>
      <c r="FYV6" s="53"/>
      <c r="FYW6" s="53"/>
      <c r="FYX6" s="53"/>
      <c r="FYY6" s="53"/>
      <c r="FYZ6" s="53"/>
      <c r="FZA6" s="53"/>
      <c r="FZB6" s="53"/>
      <c r="FZC6" s="53"/>
      <c r="FZD6" s="53"/>
      <c r="FZE6" s="53"/>
      <c r="FZF6" s="53"/>
      <c r="FZG6" s="53"/>
      <c r="FZH6" s="53"/>
      <c r="FZI6" s="53"/>
      <c r="FZJ6" s="53"/>
      <c r="FZK6" s="53"/>
      <c r="FZL6" s="53"/>
      <c r="FZM6" s="53"/>
      <c r="FZN6" s="53"/>
      <c r="FZO6" s="53"/>
      <c r="FZP6" s="53"/>
      <c r="FZQ6" s="53"/>
      <c r="FZR6" s="53"/>
      <c r="FZS6" s="53"/>
      <c r="FZT6" s="53"/>
      <c r="FZU6" s="53"/>
      <c r="FZV6" s="53"/>
      <c r="FZW6" s="53"/>
      <c r="FZX6" s="53"/>
      <c r="FZY6" s="53"/>
      <c r="FZZ6" s="53"/>
      <c r="GAA6" s="53"/>
      <c r="GAB6" s="53"/>
      <c r="GAC6" s="53"/>
      <c r="GAD6" s="53"/>
      <c r="GAE6" s="53"/>
      <c r="GAF6" s="53"/>
      <c r="GAG6" s="53"/>
      <c r="GAH6" s="53"/>
      <c r="GAI6" s="53"/>
      <c r="GAJ6" s="53"/>
      <c r="GAK6" s="53"/>
      <c r="GAL6" s="53"/>
      <c r="GAM6" s="53"/>
      <c r="GAN6" s="53"/>
      <c r="GAO6" s="53"/>
      <c r="GAP6" s="53"/>
      <c r="GAQ6" s="53"/>
      <c r="GAR6" s="53"/>
      <c r="GAS6" s="53"/>
      <c r="GAT6" s="53"/>
      <c r="GAU6" s="53"/>
      <c r="GAV6" s="53"/>
      <c r="GAW6" s="53"/>
      <c r="GAX6" s="53"/>
      <c r="GAY6" s="53"/>
      <c r="GAZ6" s="53"/>
      <c r="GBA6" s="53"/>
      <c r="GBB6" s="53"/>
      <c r="GBC6" s="53"/>
      <c r="GBD6" s="53"/>
      <c r="GBE6" s="53"/>
      <c r="GBF6" s="53"/>
      <c r="GBG6" s="53"/>
      <c r="GBH6" s="53"/>
      <c r="GBI6" s="53"/>
      <c r="GBJ6" s="53"/>
      <c r="GBK6" s="53"/>
      <c r="GBL6" s="53"/>
      <c r="GBM6" s="53"/>
      <c r="GBN6" s="53"/>
      <c r="GBO6" s="53"/>
      <c r="GBP6" s="53"/>
      <c r="GBQ6" s="53"/>
      <c r="GBR6" s="53"/>
      <c r="GBS6" s="53"/>
      <c r="GBT6" s="53"/>
      <c r="GBU6" s="53"/>
      <c r="GBV6" s="53"/>
      <c r="GBW6" s="53"/>
      <c r="GBX6" s="53"/>
      <c r="GBY6" s="53"/>
      <c r="GBZ6" s="53"/>
      <c r="GCA6" s="53"/>
      <c r="GCB6" s="53"/>
      <c r="GCC6" s="53"/>
      <c r="GCD6" s="53"/>
      <c r="GCE6" s="53"/>
      <c r="GCF6" s="53"/>
      <c r="GCG6" s="53"/>
      <c r="GCH6" s="53"/>
      <c r="GCI6" s="53"/>
      <c r="GCJ6" s="53"/>
      <c r="GCK6" s="53"/>
      <c r="GCL6" s="53"/>
      <c r="GCM6" s="53"/>
      <c r="GCN6" s="53"/>
      <c r="GCO6" s="53"/>
      <c r="GCP6" s="53"/>
      <c r="GCQ6" s="53"/>
      <c r="GCR6" s="53"/>
      <c r="GCS6" s="53"/>
      <c r="GCT6" s="53"/>
      <c r="GCU6" s="53"/>
      <c r="GCV6" s="53"/>
      <c r="GCW6" s="53"/>
      <c r="GCX6" s="53"/>
      <c r="GCY6" s="53"/>
      <c r="GCZ6" s="53"/>
      <c r="GDA6" s="53"/>
      <c r="GDB6" s="53"/>
      <c r="GDC6" s="53"/>
      <c r="GDD6" s="53"/>
      <c r="GDE6" s="53"/>
      <c r="GDF6" s="53"/>
      <c r="GDG6" s="53"/>
      <c r="GDH6" s="53"/>
      <c r="GDI6" s="53"/>
      <c r="GDJ6" s="53"/>
      <c r="GDK6" s="53"/>
      <c r="GDL6" s="53"/>
      <c r="GDM6" s="53"/>
      <c r="GDN6" s="53"/>
      <c r="GDO6" s="53"/>
      <c r="GDP6" s="53"/>
      <c r="GDQ6" s="53"/>
      <c r="GDR6" s="53"/>
      <c r="GDS6" s="53"/>
      <c r="GDT6" s="53"/>
      <c r="GDU6" s="53"/>
      <c r="GDV6" s="53"/>
      <c r="GDW6" s="53"/>
      <c r="GDX6" s="53"/>
      <c r="GDY6" s="53"/>
      <c r="GDZ6" s="53"/>
      <c r="GEA6" s="53"/>
      <c r="GEB6" s="53"/>
      <c r="GEC6" s="53"/>
      <c r="GED6" s="53"/>
      <c r="GEE6" s="53"/>
      <c r="GEF6" s="53"/>
      <c r="GEG6" s="53"/>
      <c r="GEH6" s="53"/>
      <c r="GEI6" s="53"/>
      <c r="GEJ6" s="53"/>
      <c r="GEK6" s="53"/>
      <c r="GEL6" s="53"/>
      <c r="GEM6" s="53"/>
      <c r="GEN6" s="53"/>
      <c r="GEO6" s="53"/>
      <c r="GEP6" s="53"/>
      <c r="GEQ6" s="53"/>
      <c r="GER6" s="53"/>
      <c r="GES6" s="53"/>
      <c r="GET6" s="53"/>
      <c r="GEU6" s="53"/>
      <c r="GEV6" s="53"/>
      <c r="GEW6" s="53"/>
      <c r="GEX6" s="53"/>
      <c r="GEY6" s="53"/>
      <c r="GEZ6" s="53"/>
      <c r="GFA6" s="53"/>
      <c r="GFB6" s="53"/>
      <c r="GFC6" s="53"/>
      <c r="GFD6" s="53"/>
      <c r="GFE6" s="53"/>
      <c r="GFF6" s="53"/>
      <c r="GFG6" s="53"/>
      <c r="GFH6" s="53"/>
      <c r="GFI6" s="53"/>
      <c r="GFJ6" s="53"/>
      <c r="GFK6" s="53"/>
      <c r="GFL6" s="53"/>
      <c r="GFM6" s="53"/>
      <c r="GFN6" s="53"/>
      <c r="GFO6" s="53"/>
      <c r="GFP6" s="53"/>
      <c r="GFQ6" s="53"/>
      <c r="GFR6" s="53"/>
      <c r="GFS6" s="53"/>
      <c r="GFT6" s="53"/>
      <c r="GFU6" s="53"/>
      <c r="GFV6" s="53"/>
      <c r="GFW6" s="53"/>
      <c r="GFX6" s="53"/>
      <c r="GFY6" s="53"/>
      <c r="GFZ6" s="53"/>
      <c r="GGA6" s="53"/>
      <c r="GGB6" s="53"/>
      <c r="GGC6" s="53"/>
      <c r="GGD6" s="53"/>
      <c r="GGE6" s="53"/>
      <c r="GGF6" s="53"/>
      <c r="GGG6" s="53"/>
      <c r="GGH6" s="53"/>
      <c r="GGI6" s="53"/>
      <c r="GGJ6" s="53"/>
      <c r="GGK6" s="53"/>
      <c r="GGL6" s="53"/>
      <c r="GGM6" s="53"/>
      <c r="GGN6" s="53"/>
      <c r="GGO6" s="53"/>
      <c r="GGP6" s="53"/>
      <c r="GGQ6" s="53"/>
      <c r="GGR6" s="53"/>
      <c r="GGS6" s="53"/>
      <c r="GGT6" s="53"/>
      <c r="GGU6" s="53"/>
      <c r="GGV6" s="53"/>
      <c r="GGW6" s="53"/>
      <c r="GGX6" s="53"/>
      <c r="GGY6" s="53"/>
      <c r="GGZ6" s="53"/>
      <c r="GHA6" s="53"/>
      <c r="GHB6" s="53"/>
      <c r="GHC6" s="53"/>
      <c r="GHD6" s="53"/>
      <c r="GHE6" s="53"/>
      <c r="GHF6" s="53"/>
      <c r="GHG6" s="53"/>
      <c r="GHH6" s="53"/>
      <c r="GHI6" s="53"/>
      <c r="GHJ6" s="53"/>
      <c r="GHK6" s="53"/>
      <c r="GHL6" s="53"/>
      <c r="GHM6" s="53"/>
      <c r="GHN6" s="53"/>
      <c r="GHO6" s="53"/>
      <c r="GHP6" s="53"/>
      <c r="GHQ6" s="53"/>
      <c r="GHR6" s="53"/>
      <c r="GHS6" s="53"/>
      <c r="GHT6" s="53"/>
      <c r="GHU6" s="53"/>
      <c r="GHV6" s="53"/>
      <c r="GHW6" s="53"/>
      <c r="GHX6" s="53"/>
      <c r="GHY6" s="53"/>
      <c r="GHZ6" s="53"/>
      <c r="GIA6" s="53"/>
      <c r="GIB6" s="53"/>
      <c r="GIC6" s="53"/>
      <c r="GID6" s="53"/>
      <c r="GIE6" s="53"/>
      <c r="GIF6" s="53"/>
      <c r="GIG6" s="53"/>
      <c r="GIH6" s="53"/>
      <c r="GII6" s="53"/>
      <c r="GIJ6" s="53"/>
      <c r="GIK6" s="53"/>
      <c r="GIL6" s="53"/>
      <c r="GIM6" s="53"/>
      <c r="GIN6" s="53"/>
      <c r="GIO6" s="53"/>
      <c r="GIP6" s="53"/>
      <c r="GIQ6" s="53"/>
      <c r="GIR6" s="53"/>
      <c r="GIS6" s="53"/>
      <c r="GIT6" s="53"/>
      <c r="GIU6" s="53"/>
      <c r="GIV6" s="53"/>
      <c r="GIW6" s="53"/>
      <c r="GIX6" s="53"/>
      <c r="GIY6" s="53"/>
      <c r="GIZ6" s="53"/>
      <c r="GJA6" s="53"/>
      <c r="GJB6" s="53"/>
      <c r="GJC6" s="53"/>
      <c r="GJD6" s="53"/>
      <c r="GJE6" s="53"/>
      <c r="GJF6" s="53"/>
      <c r="GJG6" s="53"/>
      <c r="GJH6" s="53"/>
      <c r="GJI6" s="53"/>
      <c r="GJJ6" s="53"/>
      <c r="GJK6" s="53"/>
      <c r="GJL6" s="53"/>
      <c r="GJM6" s="53"/>
      <c r="GJN6" s="53"/>
      <c r="GJO6" s="53"/>
      <c r="GJP6" s="53"/>
      <c r="GJQ6" s="53"/>
      <c r="GJR6" s="53"/>
      <c r="GJS6" s="53"/>
      <c r="GJT6" s="53"/>
      <c r="GJU6" s="53"/>
      <c r="GJV6" s="53"/>
      <c r="GJW6" s="53"/>
      <c r="GJX6" s="53"/>
      <c r="GJY6" s="53"/>
      <c r="GJZ6" s="53"/>
      <c r="GKA6" s="53"/>
      <c r="GKB6" s="53"/>
      <c r="GKC6" s="53"/>
      <c r="GKD6" s="53"/>
      <c r="GKE6" s="53"/>
      <c r="GKF6" s="53"/>
      <c r="GKG6" s="53"/>
      <c r="GKH6" s="53"/>
      <c r="GKI6" s="53"/>
      <c r="GKJ6" s="53"/>
      <c r="GKK6" s="53"/>
      <c r="GKL6" s="53"/>
      <c r="GKM6" s="53"/>
      <c r="GKN6" s="53"/>
      <c r="GKO6" s="53"/>
      <c r="GKP6" s="53"/>
      <c r="GKQ6" s="53"/>
      <c r="GKR6" s="53"/>
      <c r="GKS6" s="53"/>
      <c r="GKT6" s="53"/>
      <c r="GKU6" s="53"/>
      <c r="GKV6" s="53"/>
      <c r="GKW6" s="53"/>
      <c r="GKX6" s="53"/>
      <c r="GKY6" s="53"/>
      <c r="GKZ6" s="53"/>
      <c r="GLA6" s="53"/>
      <c r="GLB6" s="53"/>
      <c r="GLC6" s="53"/>
      <c r="GLD6" s="53"/>
      <c r="GLE6" s="53"/>
      <c r="GLF6" s="53"/>
      <c r="GLG6" s="53"/>
      <c r="GLH6" s="53"/>
      <c r="GLI6" s="53"/>
      <c r="GLJ6" s="53"/>
      <c r="GLK6" s="53"/>
      <c r="GLL6" s="53"/>
      <c r="GLM6" s="53"/>
      <c r="GLN6" s="53"/>
      <c r="GLO6" s="53"/>
      <c r="GLP6" s="53"/>
      <c r="GLQ6" s="53"/>
      <c r="GLR6" s="53"/>
      <c r="GLS6" s="53"/>
      <c r="GLT6" s="53"/>
      <c r="GLU6" s="53"/>
      <c r="GLV6" s="53"/>
      <c r="GLW6" s="53"/>
      <c r="GLX6" s="53"/>
      <c r="GLY6" s="53"/>
      <c r="GLZ6" s="53"/>
      <c r="GMA6" s="53"/>
      <c r="GMB6" s="53"/>
      <c r="GMC6" s="53"/>
      <c r="GMD6" s="53"/>
      <c r="GME6" s="53"/>
      <c r="GMF6" s="53"/>
      <c r="GMG6" s="53"/>
      <c r="GMH6" s="53"/>
      <c r="GMI6" s="53"/>
      <c r="GMJ6" s="53"/>
      <c r="GMK6" s="53"/>
      <c r="GML6" s="53"/>
      <c r="GMM6" s="53"/>
      <c r="GMN6" s="53"/>
      <c r="GMO6" s="53"/>
      <c r="GMP6" s="53"/>
      <c r="GMQ6" s="53"/>
      <c r="GMR6" s="53"/>
      <c r="GMS6" s="53"/>
      <c r="GMT6" s="53"/>
      <c r="GMU6" s="53"/>
      <c r="GMV6" s="53"/>
      <c r="GMW6" s="53"/>
      <c r="GMX6" s="53"/>
      <c r="GMY6" s="53"/>
      <c r="GMZ6" s="53"/>
      <c r="GNA6" s="53"/>
      <c r="GNB6" s="53"/>
      <c r="GNC6" s="53"/>
      <c r="GND6" s="53"/>
      <c r="GNE6" s="53"/>
      <c r="GNF6" s="53"/>
      <c r="GNG6" s="53"/>
      <c r="GNH6" s="53"/>
      <c r="GNI6" s="53"/>
      <c r="GNJ6" s="53"/>
      <c r="GNK6" s="53"/>
      <c r="GNL6" s="53"/>
      <c r="GNM6" s="53"/>
      <c r="GNN6" s="53"/>
      <c r="GNO6" s="53"/>
      <c r="GNP6" s="53"/>
      <c r="GNQ6" s="53"/>
      <c r="GNR6" s="53"/>
      <c r="GNS6" s="53"/>
      <c r="GNT6" s="53"/>
      <c r="GNU6" s="53"/>
      <c r="GNV6" s="53"/>
      <c r="GNW6" s="53"/>
      <c r="GNX6" s="53"/>
      <c r="GNY6" s="53"/>
      <c r="GNZ6" s="53"/>
      <c r="GOA6" s="53"/>
      <c r="GOB6" s="53"/>
      <c r="GOC6" s="53"/>
      <c r="GOD6" s="53"/>
      <c r="GOE6" s="53"/>
      <c r="GOF6" s="53"/>
      <c r="GOG6" s="53"/>
      <c r="GOH6" s="53"/>
      <c r="GOI6" s="53"/>
      <c r="GOJ6" s="53"/>
      <c r="GOK6" s="53"/>
      <c r="GOL6" s="53"/>
      <c r="GOM6" s="53"/>
      <c r="GON6" s="53"/>
      <c r="GOO6" s="53"/>
      <c r="GOP6" s="53"/>
      <c r="GOQ6" s="53"/>
      <c r="GOR6" s="53"/>
      <c r="GOS6" s="53"/>
      <c r="GOT6" s="53"/>
      <c r="GOU6" s="53"/>
      <c r="GOV6" s="53"/>
      <c r="GOW6" s="53"/>
      <c r="GOX6" s="53"/>
      <c r="GOY6" s="53"/>
      <c r="GOZ6" s="53"/>
      <c r="GPA6" s="53"/>
      <c r="GPB6" s="53"/>
      <c r="GPC6" s="53"/>
      <c r="GPD6" s="53"/>
      <c r="GPE6" s="53"/>
      <c r="GPF6" s="53"/>
      <c r="GPG6" s="53"/>
      <c r="GPH6" s="53"/>
      <c r="GPI6" s="53"/>
      <c r="GPJ6" s="53"/>
      <c r="GPK6" s="53"/>
      <c r="GPL6" s="53"/>
      <c r="GPM6" s="53"/>
      <c r="GPN6" s="53"/>
      <c r="GPO6" s="53"/>
      <c r="GPP6" s="53"/>
      <c r="GPQ6" s="53"/>
      <c r="GPR6" s="53"/>
      <c r="GPS6" s="53"/>
      <c r="GPT6" s="53"/>
      <c r="GPU6" s="53"/>
      <c r="GPV6" s="53"/>
      <c r="GPW6" s="53"/>
      <c r="GPX6" s="53"/>
      <c r="GPY6" s="53"/>
      <c r="GPZ6" s="53"/>
      <c r="GQA6" s="53"/>
      <c r="GQB6" s="53"/>
      <c r="GQC6" s="53"/>
      <c r="GQD6" s="53"/>
      <c r="GQE6" s="53"/>
      <c r="GQF6" s="53"/>
      <c r="GQG6" s="53"/>
      <c r="GQH6" s="53"/>
      <c r="GQI6" s="53"/>
      <c r="GQJ6" s="53"/>
      <c r="GQK6" s="53"/>
      <c r="GQL6" s="53"/>
      <c r="GQM6" s="53"/>
      <c r="GQN6" s="53"/>
      <c r="GQO6" s="53"/>
      <c r="GQP6" s="53"/>
      <c r="GQQ6" s="53"/>
      <c r="GQR6" s="53"/>
      <c r="GQS6" s="53"/>
      <c r="GQT6" s="53"/>
      <c r="GQU6" s="53"/>
      <c r="GQV6" s="53"/>
      <c r="GQW6" s="53"/>
      <c r="GQX6" s="53"/>
      <c r="GQY6" s="53"/>
      <c r="GQZ6" s="53"/>
      <c r="GRA6" s="53"/>
      <c r="GRB6" s="53"/>
      <c r="GRC6" s="53"/>
      <c r="GRD6" s="53"/>
      <c r="GRE6" s="53"/>
      <c r="GRF6" s="53"/>
      <c r="GRG6" s="53"/>
      <c r="GRH6" s="53"/>
      <c r="GRI6" s="53"/>
      <c r="GRJ6" s="53"/>
      <c r="GRK6" s="53"/>
      <c r="GRL6" s="53"/>
      <c r="GRM6" s="53"/>
      <c r="GRN6" s="53"/>
      <c r="GRO6" s="53"/>
      <c r="GRP6" s="53"/>
      <c r="GRQ6" s="53"/>
      <c r="GRR6" s="53"/>
      <c r="GRS6" s="53"/>
      <c r="GRT6" s="53"/>
      <c r="GRU6" s="53"/>
      <c r="GRV6" s="53"/>
      <c r="GRW6" s="53"/>
      <c r="GRX6" s="53"/>
      <c r="GRY6" s="53"/>
      <c r="GRZ6" s="53"/>
      <c r="GSA6" s="53"/>
      <c r="GSB6" s="53"/>
      <c r="GSC6" s="53"/>
      <c r="GSD6" s="53"/>
      <c r="GSE6" s="53"/>
      <c r="GSF6" s="53"/>
      <c r="GSG6" s="53"/>
      <c r="GSH6" s="53"/>
      <c r="GSI6" s="53"/>
      <c r="GSJ6" s="53"/>
      <c r="GSK6" s="53"/>
      <c r="GSL6" s="53"/>
      <c r="GSM6" s="53"/>
      <c r="GSN6" s="53"/>
      <c r="GSO6" s="53"/>
      <c r="GSP6" s="53"/>
      <c r="GSQ6" s="53"/>
      <c r="GSR6" s="53"/>
      <c r="GSS6" s="53"/>
      <c r="GST6" s="53"/>
      <c r="GSU6" s="53"/>
      <c r="GSV6" s="53"/>
      <c r="GSW6" s="53"/>
      <c r="GSX6" s="53"/>
      <c r="GSY6" s="53"/>
      <c r="GSZ6" s="53"/>
      <c r="GTA6" s="53"/>
      <c r="GTB6" s="53"/>
      <c r="GTC6" s="53"/>
      <c r="GTD6" s="53"/>
      <c r="GTE6" s="53"/>
      <c r="GTF6" s="53"/>
      <c r="GTG6" s="53"/>
      <c r="GTH6" s="53"/>
      <c r="GTI6" s="53"/>
      <c r="GTJ6" s="53"/>
      <c r="GTK6" s="53"/>
      <c r="GTL6" s="53"/>
      <c r="GTM6" s="53"/>
      <c r="GTN6" s="53"/>
      <c r="GTO6" s="53"/>
      <c r="GTP6" s="53"/>
      <c r="GTQ6" s="53"/>
      <c r="GTR6" s="53"/>
      <c r="GTS6" s="53"/>
      <c r="GTT6" s="53"/>
      <c r="GTU6" s="53"/>
      <c r="GTV6" s="53"/>
      <c r="GTW6" s="53"/>
      <c r="GTX6" s="53"/>
      <c r="GTY6" s="53"/>
      <c r="GTZ6" s="53"/>
      <c r="GUA6" s="53"/>
      <c r="GUB6" s="53"/>
      <c r="GUC6" s="53"/>
      <c r="GUD6" s="53"/>
      <c r="GUE6" s="53"/>
      <c r="GUF6" s="53"/>
      <c r="GUG6" s="53"/>
      <c r="GUH6" s="53"/>
      <c r="GUI6" s="53"/>
      <c r="GUJ6" s="53"/>
      <c r="GUK6" s="53"/>
      <c r="GUL6" s="53"/>
      <c r="GUM6" s="53"/>
      <c r="GUN6" s="53"/>
      <c r="GUO6" s="53"/>
      <c r="GUP6" s="53"/>
      <c r="GUQ6" s="53"/>
      <c r="GUR6" s="53"/>
      <c r="GUS6" s="53"/>
      <c r="GUT6" s="53"/>
      <c r="GUU6" s="53"/>
      <c r="GUV6" s="53"/>
      <c r="GUW6" s="53"/>
      <c r="GUX6" s="53"/>
      <c r="GUY6" s="53"/>
      <c r="GUZ6" s="53"/>
      <c r="GVA6" s="53"/>
      <c r="GVB6" s="53"/>
      <c r="GVC6" s="53"/>
      <c r="GVD6" s="53"/>
      <c r="GVE6" s="53"/>
      <c r="GVF6" s="53"/>
      <c r="GVG6" s="53"/>
      <c r="GVH6" s="53"/>
      <c r="GVI6" s="53"/>
      <c r="GVJ6" s="53"/>
      <c r="GVK6" s="53"/>
      <c r="GVL6" s="53"/>
      <c r="GVM6" s="53"/>
      <c r="GVN6" s="53"/>
      <c r="GVO6" s="53"/>
      <c r="GVP6" s="53"/>
      <c r="GVQ6" s="53"/>
      <c r="GVR6" s="53"/>
      <c r="GVS6" s="53"/>
      <c r="GVT6" s="53"/>
      <c r="GVU6" s="53"/>
      <c r="GVV6" s="53"/>
      <c r="GVW6" s="53"/>
      <c r="GVX6" s="53"/>
      <c r="GVY6" s="53"/>
      <c r="GVZ6" s="53"/>
      <c r="GWA6" s="53"/>
      <c r="GWB6" s="53"/>
      <c r="GWC6" s="53"/>
      <c r="GWD6" s="53"/>
      <c r="GWE6" s="53"/>
      <c r="GWF6" s="53"/>
      <c r="GWG6" s="53"/>
      <c r="GWH6" s="53"/>
      <c r="GWI6" s="53"/>
      <c r="GWJ6" s="53"/>
      <c r="GWK6" s="53"/>
      <c r="GWL6" s="53"/>
      <c r="GWM6" s="53"/>
      <c r="GWN6" s="53"/>
      <c r="GWO6" s="53"/>
      <c r="GWP6" s="53"/>
      <c r="GWQ6" s="53"/>
      <c r="GWR6" s="53"/>
      <c r="GWS6" s="53"/>
      <c r="GWT6" s="53"/>
      <c r="GWU6" s="53"/>
      <c r="GWV6" s="53"/>
      <c r="GWW6" s="53"/>
      <c r="GWX6" s="53"/>
      <c r="GWY6" s="53"/>
      <c r="GWZ6" s="53"/>
      <c r="GXA6" s="53"/>
      <c r="GXB6" s="53"/>
      <c r="GXC6" s="53"/>
      <c r="GXD6" s="53"/>
      <c r="GXE6" s="53"/>
      <c r="GXF6" s="53"/>
      <c r="GXG6" s="53"/>
      <c r="GXH6" s="53"/>
      <c r="GXI6" s="53"/>
      <c r="GXJ6" s="53"/>
      <c r="GXK6" s="53"/>
      <c r="GXL6" s="53"/>
      <c r="GXM6" s="53"/>
      <c r="GXN6" s="53"/>
      <c r="GXO6" s="53"/>
      <c r="GXP6" s="53"/>
      <c r="GXQ6" s="53"/>
      <c r="GXR6" s="53"/>
      <c r="GXS6" s="53"/>
      <c r="GXT6" s="53"/>
      <c r="GXU6" s="53"/>
      <c r="GXV6" s="53"/>
      <c r="GXW6" s="53"/>
      <c r="GXX6" s="53"/>
      <c r="GXY6" s="53"/>
      <c r="GXZ6" s="53"/>
      <c r="GYA6" s="53"/>
      <c r="GYB6" s="53"/>
      <c r="GYC6" s="53"/>
      <c r="GYD6" s="53"/>
      <c r="GYE6" s="53"/>
      <c r="GYF6" s="53"/>
      <c r="GYG6" s="53"/>
      <c r="GYH6" s="53"/>
      <c r="GYI6" s="53"/>
      <c r="GYJ6" s="53"/>
      <c r="GYK6" s="53"/>
      <c r="GYL6" s="53"/>
      <c r="GYM6" s="53"/>
      <c r="GYN6" s="53"/>
      <c r="GYO6" s="53"/>
      <c r="GYP6" s="53"/>
      <c r="GYQ6" s="53"/>
      <c r="GYR6" s="53"/>
      <c r="GYS6" s="53"/>
      <c r="GYT6" s="53"/>
      <c r="GYU6" s="53"/>
      <c r="GYV6" s="53"/>
      <c r="GYW6" s="53"/>
      <c r="GYX6" s="53"/>
      <c r="GYY6" s="53"/>
      <c r="GYZ6" s="53"/>
      <c r="GZA6" s="53"/>
      <c r="GZB6" s="53"/>
      <c r="GZC6" s="53"/>
      <c r="GZD6" s="53"/>
      <c r="GZE6" s="53"/>
      <c r="GZF6" s="53"/>
      <c r="GZG6" s="53"/>
      <c r="GZH6" s="53"/>
      <c r="GZI6" s="53"/>
      <c r="GZJ6" s="53"/>
      <c r="GZK6" s="53"/>
      <c r="GZL6" s="53"/>
      <c r="GZM6" s="53"/>
      <c r="GZN6" s="53"/>
      <c r="GZO6" s="53"/>
      <c r="GZP6" s="53"/>
      <c r="GZQ6" s="53"/>
      <c r="GZR6" s="53"/>
      <c r="GZS6" s="53"/>
      <c r="GZT6" s="53"/>
      <c r="GZU6" s="53"/>
      <c r="GZV6" s="53"/>
      <c r="GZW6" s="53"/>
      <c r="GZX6" s="53"/>
      <c r="GZY6" s="53"/>
      <c r="GZZ6" s="53"/>
      <c r="HAA6" s="53"/>
      <c r="HAB6" s="53"/>
      <c r="HAC6" s="53"/>
      <c r="HAD6" s="53"/>
      <c r="HAE6" s="53"/>
      <c r="HAF6" s="53"/>
      <c r="HAG6" s="53"/>
      <c r="HAH6" s="53"/>
      <c r="HAI6" s="53"/>
      <c r="HAJ6" s="53"/>
      <c r="HAK6" s="53"/>
      <c r="HAL6" s="53"/>
      <c r="HAM6" s="53"/>
      <c r="HAN6" s="53"/>
      <c r="HAO6" s="53"/>
      <c r="HAP6" s="53"/>
      <c r="HAQ6" s="53"/>
      <c r="HAR6" s="53"/>
      <c r="HAS6" s="53"/>
      <c r="HAT6" s="53"/>
      <c r="HAU6" s="53"/>
      <c r="HAV6" s="53"/>
      <c r="HAW6" s="53"/>
      <c r="HAX6" s="53"/>
      <c r="HAY6" s="53"/>
      <c r="HAZ6" s="53"/>
      <c r="HBA6" s="53"/>
      <c r="HBB6" s="53"/>
      <c r="HBC6" s="53"/>
      <c r="HBD6" s="53"/>
      <c r="HBE6" s="53"/>
      <c r="HBF6" s="53"/>
      <c r="HBG6" s="53"/>
      <c r="HBH6" s="53"/>
      <c r="HBI6" s="53"/>
      <c r="HBJ6" s="53"/>
      <c r="HBK6" s="53"/>
      <c r="HBL6" s="53"/>
      <c r="HBM6" s="53"/>
      <c r="HBN6" s="53"/>
      <c r="HBO6" s="53"/>
      <c r="HBP6" s="53"/>
      <c r="HBQ6" s="53"/>
      <c r="HBR6" s="53"/>
      <c r="HBS6" s="53"/>
      <c r="HBT6" s="53"/>
      <c r="HBU6" s="53"/>
      <c r="HBV6" s="53"/>
      <c r="HBW6" s="53"/>
      <c r="HBX6" s="53"/>
      <c r="HBY6" s="53"/>
      <c r="HBZ6" s="53"/>
      <c r="HCA6" s="53"/>
      <c r="HCB6" s="53"/>
      <c r="HCC6" s="53"/>
      <c r="HCD6" s="53"/>
      <c r="HCE6" s="53"/>
      <c r="HCF6" s="53"/>
      <c r="HCG6" s="53"/>
      <c r="HCH6" s="53"/>
      <c r="HCI6" s="53"/>
      <c r="HCJ6" s="53"/>
      <c r="HCK6" s="53"/>
      <c r="HCL6" s="53"/>
      <c r="HCM6" s="53"/>
      <c r="HCN6" s="53"/>
      <c r="HCO6" s="53"/>
      <c r="HCP6" s="53"/>
      <c r="HCQ6" s="53"/>
      <c r="HCR6" s="53"/>
      <c r="HCS6" s="53"/>
      <c r="HCT6" s="53"/>
      <c r="HCU6" s="53"/>
      <c r="HCV6" s="53"/>
      <c r="HCW6" s="53"/>
      <c r="HCX6" s="53"/>
      <c r="HCY6" s="53"/>
      <c r="HCZ6" s="53"/>
      <c r="HDA6" s="53"/>
      <c r="HDB6" s="53"/>
      <c r="HDC6" s="53"/>
      <c r="HDD6" s="53"/>
      <c r="HDE6" s="53"/>
      <c r="HDF6" s="53"/>
      <c r="HDG6" s="53"/>
      <c r="HDH6" s="53"/>
      <c r="HDI6" s="53"/>
      <c r="HDJ6" s="53"/>
      <c r="HDK6" s="53"/>
      <c r="HDL6" s="53"/>
      <c r="HDM6" s="53"/>
      <c r="HDN6" s="53"/>
      <c r="HDO6" s="53"/>
      <c r="HDP6" s="53"/>
      <c r="HDQ6" s="53"/>
      <c r="HDR6" s="53"/>
      <c r="HDS6" s="53"/>
      <c r="HDT6" s="53"/>
      <c r="HDU6" s="53"/>
      <c r="HDV6" s="53"/>
      <c r="HDW6" s="53"/>
      <c r="HDX6" s="53"/>
      <c r="HDY6" s="53"/>
      <c r="HDZ6" s="53"/>
      <c r="HEA6" s="53"/>
      <c r="HEB6" s="53"/>
      <c r="HEC6" s="53"/>
      <c r="HED6" s="53"/>
      <c r="HEE6" s="53"/>
      <c r="HEF6" s="53"/>
      <c r="HEG6" s="53"/>
      <c r="HEH6" s="53"/>
      <c r="HEI6" s="53"/>
      <c r="HEJ6" s="53"/>
      <c r="HEK6" s="53"/>
      <c r="HEL6" s="53"/>
      <c r="HEM6" s="53"/>
      <c r="HEN6" s="53"/>
      <c r="HEO6" s="53"/>
      <c r="HEP6" s="53"/>
      <c r="HEQ6" s="53"/>
      <c r="HER6" s="53"/>
      <c r="HES6" s="53"/>
      <c r="HET6" s="53"/>
      <c r="HEU6" s="53"/>
      <c r="HEV6" s="53"/>
      <c r="HEW6" s="53"/>
      <c r="HEX6" s="53"/>
      <c r="HEY6" s="53"/>
      <c r="HEZ6" s="53"/>
      <c r="HFA6" s="53"/>
      <c r="HFB6" s="53"/>
      <c r="HFC6" s="53"/>
      <c r="HFD6" s="53"/>
      <c r="HFE6" s="53"/>
      <c r="HFF6" s="53"/>
      <c r="HFG6" s="53"/>
      <c r="HFH6" s="53"/>
      <c r="HFI6" s="53"/>
      <c r="HFJ6" s="53"/>
      <c r="HFK6" s="53"/>
      <c r="HFL6" s="53"/>
      <c r="HFM6" s="53"/>
      <c r="HFN6" s="53"/>
      <c r="HFO6" s="53"/>
      <c r="HFP6" s="53"/>
      <c r="HFQ6" s="53"/>
      <c r="HFR6" s="53"/>
      <c r="HFS6" s="53"/>
      <c r="HFT6" s="53"/>
      <c r="HFU6" s="53"/>
      <c r="HFV6" s="53"/>
      <c r="HFW6" s="53"/>
      <c r="HFX6" s="53"/>
      <c r="HFY6" s="53"/>
      <c r="HFZ6" s="53"/>
      <c r="HGA6" s="53"/>
      <c r="HGB6" s="53"/>
      <c r="HGC6" s="53"/>
      <c r="HGD6" s="53"/>
      <c r="HGE6" s="53"/>
      <c r="HGF6" s="53"/>
      <c r="HGG6" s="53"/>
      <c r="HGH6" s="53"/>
      <c r="HGI6" s="53"/>
      <c r="HGJ6" s="53"/>
      <c r="HGK6" s="53"/>
      <c r="HGL6" s="53"/>
      <c r="HGM6" s="53"/>
      <c r="HGN6" s="53"/>
      <c r="HGO6" s="53"/>
      <c r="HGP6" s="53"/>
      <c r="HGQ6" s="53"/>
      <c r="HGR6" s="53"/>
      <c r="HGS6" s="53"/>
      <c r="HGT6" s="53"/>
      <c r="HGU6" s="53"/>
      <c r="HGV6" s="53"/>
      <c r="HGW6" s="53"/>
      <c r="HGX6" s="53"/>
      <c r="HGY6" s="53"/>
      <c r="HGZ6" s="53"/>
      <c r="HHA6" s="53"/>
      <c r="HHB6" s="53"/>
      <c r="HHC6" s="53"/>
      <c r="HHD6" s="53"/>
      <c r="HHE6" s="53"/>
      <c r="HHF6" s="53"/>
      <c r="HHG6" s="53"/>
      <c r="HHH6" s="53"/>
      <c r="HHI6" s="53"/>
      <c r="HHJ6" s="53"/>
      <c r="HHK6" s="53"/>
      <c r="HHL6" s="53"/>
      <c r="HHM6" s="53"/>
      <c r="HHN6" s="53"/>
      <c r="HHO6" s="53"/>
      <c r="HHP6" s="53"/>
      <c r="HHQ6" s="53"/>
      <c r="HHR6" s="53"/>
      <c r="HHS6" s="53"/>
      <c r="HHT6" s="53"/>
      <c r="HHU6" s="53"/>
      <c r="HHV6" s="53"/>
      <c r="HHW6" s="53"/>
      <c r="HHX6" s="53"/>
      <c r="HHY6" s="53"/>
      <c r="HHZ6" s="53"/>
      <c r="HIA6" s="53"/>
      <c r="HIB6" s="53"/>
      <c r="HIC6" s="53"/>
      <c r="HID6" s="53"/>
      <c r="HIE6" s="53"/>
      <c r="HIF6" s="53"/>
      <c r="HIG6" s="53"/>
      <c r="HIH6" s="53"/>
      <c r="HII6" s="53"/>
      <c r="HIJ6" s="53"/>
      <c r="HIK6" s="53"/>
      <c r="HIL6" s="53"/>
      <c r="HIM6" s="53"/>
      <c r="HIN6" s="53"/>
      <c r="HIO6" s="53"/>
      <c r="HIP6" s="53"/>
      <c r="HIQ6" s="53"/>
      <c r="HIR6" s="53"/>
      <c r="HIS6" s="53"/>
      <c r="HIT6" s="53"/>
      <c r="HIU6" s="53"/>
      <c r="HIV6" s="53"/>
      <c r="HIW6" s="53"/>
      <c r="HIX6" s="53"/>
      <c r="HIY6" s="53"/>
      <c r="HIZ6" s="53"/>
      <c r="HJA6" s="53"/>
      <c r="HJB6" s="53"/>
      <c r="HJC6" s="53"/>
      <c r="HJD6" s="53"/>
      <c r="HJE6" s="53"/>
      <c r="HJF6" s="53"/>
      <c r="HJG6" s="53"/>
      <c r="HJH6" s="53"/>
      <c r="HJI6" s="53"/>
      <c r="HJJ6" s="53"/>
      <c r="HJK6" s="53"/>
      <c r="HJL6" s="53"/>
      <c r="HJM6" s="53"/>
      <c r="HJN6" s="53"/>
      <c r="HJO6" s="53"/>
      <c r="HJP6" s="53"/>
      <c r="HJQ6" s="53"/>
      <c r="HJR6" s="53"/>
      <c r="HJS6" s="53"/>
      <c r="HJT6" s="53"/>
      <c r="HJU6" s="53"/>
      <c r="HJV6" s="53"/>
      <c r="HJW6" s="53"/>
      <c r="HJX6" s="53"/>
      <c r="HJY6" s="53"/>
      <c r="HJZ6" s="53"/>
      <c r="HKA6" s="53"/>
      <c r="HKB6" s="53"/>
      <c r="HKC6" s="53"/>
      <c r="HKD6" s="53"/>
      <c r="HKE6" s="53"/>
      <c r="HKF6" s="53"/>
      <c r="HKG6" s="53"/>
      <c r="HKH6" s="53"/>
      <c r="HKI6" s="53"/>
      <c r="HKJ6" s="53"/>
      <c r="HKK6" s="53"/>
      <c r="HKL6" s="53"/>
      <c r="HKM6" s="53"/>
      <c r="HKN6" s="53"/>
      <c r="HKO6" s="53"/>
      <c r="HKP6" s="53"/>
      <c r="HKQ6" s="53"/>
      <c r="HKR6" s="53"/>
      <c r="HKS6" s="53"/>
      <c r="HKT6" s="53"/>
      <c r="HKU6" s="53"/>
      <c r="HKV6" s="53"/>
      <c r="HKW6" s="53"/>
      <c r="HKX6" s="53"/>
      <c r="HKY6" s="53"/>
      <c r="HKZ6" s="53"/>
      <c r="HLA6" s="53"/>
      <c r="HLB6" s="53"/>
      <c r="HLC6" s="53"/>
      <c r="HLD6" s="53"/>
      <c r="HLE6" s="53"/>
      <c r="HLF6" s="53"/>
      <c r="HLG6" s="53"/>
      <c r="HLH6" s="53"/>
      <c r="HLI6" s="53"/>
      <c r="HLJ6" s="53"/>
      <c r="HLK6" s="53"/>
      <c r="HLL6" s="53"/>
      <c r="HLM6" s="53"/>
      <c r="HLN6" s="53"/>
      <c r="HLO6" s="53"/>
      <c r="HLP6" s="53"/>
      <c r="HLQ6" s="53"/>
      <c r="HLR6" s="53"/>
      <c r="HLS6" s="53"/>
      <c r="HLT6" s="53"/>
      <c r="HLU6" s="53"/>
      <c r="HLV6" s="53"/>
      <c r="HLW6" s="53"/>
      <c r="HLX6" s="53"/>
      <c r="HLY6" s="53"/>
      <c r="HLZ6" s="53"/>
      <c r="HMA6" s="53"/>
      <c r="HMB6" s="53"/>
      <c r="HMC6" s="53"/>
      <c r="HMD6" s="53"/>
      <c r="HME6" s="53"/>
      <c r="HMF6" s="53"/>
      <c r="HMG6" s="53"/>
      <c r="HMH6" s="53"/>
      <c r="HMI6" s="53"/>
      <c r="HMJ6" s="53"/>
      <c r="HMK6" s="53"/>
      <c r="HML6" s="53"/>
      <c r="HMM6" s="53"/>
      <c r="HMN6" s="53"/>
      <c r="HMO6" s="53"/>
      <c r="HMP6" s="53"/>
      <c r="HMQ6" s="53"/>
      <c r="HMR6" s="53"/>
      <c r="HMS6" s="53"/>
      <c r="HMT6" s="53"/>
      <c r="HMU6" s="53"/>
      <c r="HMV6" s="53"/>
      <c r="HMW6" s="53"/>
      <c r="HMX6" s="53"/>
      <c r="HMY6" s="53"/>
      <c r="HMZ6" s="53"/>
      <c r="HNA6" s="53"/>
      <c r="HNB6" s="53"/>
      <c r="HNC6" s="53"/>
      <c r="HND6" s="53"/>
      <c r="HNE6" s="53"/>
      <c r="HNF6" s="53"/>
      <c r="HNG6" s="53"/>
      <c r="HNH6" s="53"/>
      <c r="HNI6" s="53"/>
      <c r="HNJ6" s="53"/>
      <c r="HNK6" s="53"/>
      <c r="HNL6" s="53"/>
      <c r="HNM6" s="53"/>
      <c r="HNN6" s="53"/>
      <c r="HNO6" s="53"/>
      <c r="HNP6" s="53"/>
      <c r="HNQ6" s="53"/>
      <c r="HNR6" s="53"/>
      <c r="HNS6" s="53"/>
      <c r="HNT6" s="53"/>
      <c r="HNU6" s="53"/>
      <c r="HNV6" s="53"/>
      <c r="HNW6" s="53"/>
      <c r="HNX6" s="53"/>
      <c r="HNY6" s="53"/>
      <c r="HNZ6" s="53"/>
      <c r="HOA6" s="53"/>
      <c r="HOB6" s="53"/>
      <c r="HOC6" s="53"/>
      <c r="HOD6" s="53"/>
      <c r="HOE6" s="53"/>
      <c r="HOF6" s="53"/>
      <c r="HOG6" s="53"/>
      <c r="HOH6" s="53"/>
      <c r="HOI6" s="53"/>
      <c r="HOJ6" s="53"/>
      <c r="HOK6" s="53"/>
      <c r="HOL6" s="53"/>
      <c r="HOM6" s="53"/>
      <c r="HON6" s="53"/>
      <c r="HOO6" s="53"/>
      <c r="HOP6" s="53"/>
      <c r="HOQ6" s="53"/>
      <c r="HOR6" s="53"/>
      <c r="HOS6" s="53"/>
      <c r="HOT6" s="53"/>
      <c r="HOU6" s="53"/>
      <c r="HOV6" s="53"/>
      <c r="HOW6" s="53"/>
      <c r="HOX6" s="53"/>
      <c r="HOY6" s="53"/>
      <c r="HOZ6" s="53"/>
      <c r="HPA6" s="53"/>
      <c r="HPB6" s="53"/>
      <c r="HPC6" s="53"/>
      <c r="HPD6" s="53"/>
      <c r="HPE6" s="53"/>
      <c r="HPF6" s="53"/>
      <c r="HPG6" s="53"/>
      <c r="HPH6" s="53"/>
      <c r="HPI6" s="53"/>
      <c r="HPJ6" s="53"/>
      <c r="HPK6" s="53"/>
      <c r="HPL6" s="53"/>
      <c r="HPM6" s="53"/>
      <c r="HPN6" s="53"/>
      <c r="HPO6" s="53"/>
      <c r="HPP6" s="53"/>
      <c r="HPQ6" s="53"/>
      <c r="HPR6" s="53"/>
      <c r="HPS6" s="53"/>
      <c r="HPT6" s="53"/>
      <c r="HPU6" s="53"/>
      <c r="HPV6" s="53"/>
      <c r="HPW6" s="53"/>
      <c r="HPX6" s="53"/>
      <c r="HPY6" s="53"/>
      <c r="HPZ6" s="53"/>
      <c r="HQA6" s="53"/>
      <c r="HQB6" s="53"/>
      <c r="HQC6" s="53"/>
      <c r="HQD6" s="53"/>
      <c r="HQE6" s="53"/>
      <c r="HQF6" s="53"/>
      <c r="HQG6" s="53"/>
      <c r="HQH6" s="53"/>
      <c r="HQI6" s="53"/>
      <c r="HQJ6" s="53"/>
      <c r="HQK6" s="53"/>
      <c r="HQL6" s="53"/>
      <c r="HQM6" s="53"/>
      <c r="HQN6" s="53"/>
      <c r="HQO6" s="53"/>
      <c r="HQP6" s="53"/>
      <c r="HQQ6" s="53"/>
      <c r="HQR6" s="53"/>
      <c r="HQS6" s="53"/>
      <c r="HQT6" s="53"/>
      <c r="HQU6" s="53"/>
      <c r="HQV6" s="53"/>
      <c r="HQW6" s="53"/>
      <c r="HQX6" s="53"/>
      <c r="HQY6" s="53"/>
      <c r="HQZ6" s="53"/>
      <c r="HRA6" s="53"/>
      <c r="HRB6" s="53"/>
      <c r="HRC6" s="53"/>
      <c r="HRD6" s="53"/>
      <c r="HRE6" s="53"/>
      <c r="HRF6" s="53"/>
      <c r="HRG6" s="53"/>
      <c r="HRH6" s="53"/>
      <c r="HRI6" s="53"/>
      <c r="HRJ6" s="53"/>
      <c r="HRK6" s="53"/>
      <c r="HRL6" s="53"/>
      <c r="HRM6" s="53"/>
      <c r="HRN6" s="53"/>
      <c r="HRO6" s="53"/>
      <c r="HRP6" s="53"/>
      <c r="HRQ6" s="53"/>
      <c r="HRR6" s="53"/>
      <c r="HRS6" s="53"/>
      <c r="HRT6" s="53"/>
      <c r="HRU6" s="53"/>
      <c r="HRV6" s="53"/>
      <c r="HRW6" s="53"/>
      <c r="HRX6" s="53"/>
      <c r="HRY6" s="53"/>
      <c r="HRZ6" s="53"/>
      <c r="HSA6" s="53"/>
      <c r="HSB6" s="53"/>
      <c r="HSC6" s="53"/>
      <c r="HSD6" s="53"/>
      <c r="HSE6" s="53"/>
      <c r="HSF6" s="53"/>
      <c r="HSG6" s="53"/>
      <c r="HSH6" s="53"/>
      <c r="HSI6" s="53"/>
      <c r="HSJ6" s="53"/>
      <c r="HSK6" s="53"/>
      <c r="HSL6" s="53"/>
      <c r="HSM6" s="53"/>
      <c r="HSN6" s="53"/>
      <c r="HSO6" s="53"/>
      <c r="HSP6" s="53"/>
      <c r="HSQ6" s="53"/>
      <c r="HSR6" s="53"/>
      <c r="HSS6" s="53"/>
      <c r="HST6" s="53"/>
      <c r="HSU6" s="53"/>
      <c r="HSV6" s="53"/>
      <c r="HSW6" s="53"/>
      <c r="HSX6" s="53"/>
      <c r="HSY6" s="53"/>
      <c r="HSZ6" s="53"/>
      <c r="HTA6" s="53"/>
      <c r="HTB6" s="53"/>
      <c r="HTC6" s="53"/>
      <c r="HTD6" s="53"/>
      <c r="HTE6" s="53"/>
      <c r="HTF6" s="53"/>
      <c r="HTG6" s="53"/>
      <c r="HTH6" s="53"/>
      <c r="HTI6" s="53"/>
      <c r="HTJ6" s="53"/>
      <c r="HTK6" s="53"/>
      <c r="HTL6" s="53"/>
      <c r="HTM6" s="53"/>
      <c r="HTN6" s="53"/>
      <c r="HTO6" s="53"/>
      <c r="HTP6" s="53"/>
      <c r="HTQ6" s="53"/>
      <c r="HTR6" s="53"/>
      <c r="HTS6" s="53"/>
      <c r="HTT6" s="53"/>
      <c r="HTU6" s="53"/>
      <c r="HTV6" s="53"/>
      <c r="HTW6" s="53"/>
      <c r="HTX6" s="53"/>
      <c r="HTY6" s="53"/>
      <c r="HTZ6" s="53"/>
      <c r="HUA6" s="53"/>
      <c r="HUB6" s="53"/>
      <c r="HUC6" s="53"/>
      <c r="HUD6" s="53"/>
      <c r="HUE6" s="53"/>
      <c r="HUF6" s="53"/>
      <c r="HUG6" s="53"/>
      <c r="HUH6" s="53"/>
      <c r="HUI6" s="53"/>
      <c r="HUJ6" s="53"/>
      <c r="HUK6" s="53"/>
      <c r="HUL6" s="53"/>
      <c r="HUM6" s="53"/>
      <c r="HUN6" s="53"/>
      <c r="HUO6" s="53"/>
      <c r="HUP6" s="53"/>
      <c r="HUQ6" s="53"/>
      <c r="HUR6" s="53"/>
      <c r="HUS6" s="53"/>
      <c r="HUT6" s="53"/>
      <c r="HUU6" s="53"/>
      <c r="HUV6" s="53"/>
      <c r="HUW6" s="53"/>
      <c r="HUX6" s="53"/>
      <c r="HUY6" s="53"/>
      <c r="HUZ6" s="53"/>
      <c r="HVA6" s="53"/>
      <c r="HVB6" s="53"/>
      <c r="HVC6" s="53"/>
      <c r="HVD6" s="53"/>
      <c r="HVE6" s="53"/>
      <c r="HVF6" s="53"/>
      <c r="HVG6" s="53"/>
      <c r="HVH6" s="53"/>
      <c r="HVI6" s="53"/>
      <c r="HVJ6" s="53"/>
      <c r="HVK6" s="53"/>
      <c r="HVL6" s="53"/>
      <c r="HVM6" s="53"/>
      <c r="HVN6" s="53"/>
      <c r="HVO6" s="53"/>
      <c r="HVP6" s="53"/>
      <c r="HVQ6" s="53"/>
      <c r="HVR6" s="53"/>
      <c r="HVS6" s="53"/>
      <c r="HVT6" s="53"/>
      <c r="HVU6" s="53"/>
      <c r="HVV6" s="53"/>
      <c r="HVW6" s="53"/>
      <c r="HVX6" s="53"/>
      <c r="HVY6" s="53"/>
      <c r="HVZ6" s="53"/>
      <c r="HWA6" s="53"/>
      <c r="HWB6" s="53"/>
      <c r="HWC6" s="53"/>
      <c r="HWD6" s="53"/>
      <c r="HWE6" s="53"/>
      <c r="HWF6" s="53"/>
      <c r="HWG6" s="53"/>
      <c r="HWH6" s="53"/>
      <c r="HWI6" s="53"/>
      <c r="HWJ6" s="53"/>
      <c r="HWK6" s="53"/>
      <c r="HWL6" s="53"/>
      <c r="HWM6" s="53"/>
      <c r="HWN6" s="53"/>
      <c r="HWO6" s="53"/>
      <c r="HWP6" s="53"/>
      <c r="HWQ6" s="53"/>
      <c r="HWR6" s="53"/>
      <c r="HWS6" s="53"/>
      <c r="HWT6" s="53"/>
      <c r="HWU6" s="53"/>
      <c r="HWV6" s="53"/>
      <c r="HWW6" s="53"/>
      <c r="HWX6" s="53"/>
      <c r="HWY6" s="53"/>
      <c r="HWZ6" s="53"/>
      <c r="HXA6" s="53"/>
      <c r="HXB6" s="53"/>
      <c r="HXC6" s="53"/>
      <c r="HXD6" s="53"/>
      <c r="HXE6" s="53"/>
      <c r="HXF6" s="53"/>
      <c r="HXG6" s="53"/>
      <c r="HXH6" s="53"/>
      <c r="HXI6" s="53"/>
      <c r="HXJ6" s="53"/>
      <c r="HXK6" s="53"/>
      <c r="HXL6" s="53"/>
      <c r="HXM6" s="53"/>
      <c r="HXN6" s="53"/>
      <c r="HXO6" s="53"/>
      <c r="HXP6" s="53"/>
      <c r="HXQ6" s="53"/>
      <c r="HXR6" s="53"/>
      <c r="HXS6" s="53"/>
      <c r="HXT6" s="53"/>
      <c r="HXU6" s="53"/>
      <c r="HXV6" s="53"/>
      <c r="HXW6" s="53"/>
      <c r="HXX6" s="53"/>
      <c r="HXY6" s="53"/>
      <c r="HXZ6" s="53"/>
      <c r="HYA6" s="53"/>
      <c r="HYB6" s="53"/>
      <c r="HYC6" s="53"/>
      <c r="HYD6" s="53"/>
      <c r="HYE6" s="53"/>
      <c r="HYF6" s="53"/>
      <c r="HYG6" s="53"/>
      <c r="HYH6" s="53"/>
      <c r="HYI6" s="53"/>
      <c r="HYJ6" s="53"/>
      <c r="HYK6" s="53"/>
      <c r="HYL6" s="53"/>
      <c r="HYM6" s="53"/>
      <c r="HYN6" s="53"/>
      <c r="HYO6" s="53"/>
      <c r="HYP6" s="53"/>
      <c r="HYQ6" s="53"/>
      <c r="HYR6" s="53"/>
      <c r="HYS6" s="53"/>
      <c r="HYT6" s="53"/>
      <c r="HYU6" s="53"/>
      <c r="HYV6" s="53"/>
      <c r="HYW6" s="53"/>
      <c r="HYX6" s="53"/>
      <c r="HYY6" s="53"/>
      <c r="HYZ6" s="53"/>
      <c r="HZA6" s="53"/>
      <c r="HZB6" s="53"/>
      <c r="HZC6" s="53"/>
      <c r="HZD6" s="53"/>
      <c r="HZE6" s="53"/>
      <c r="HZF6" s="53"/>
      <c r="HZG6" s="53"/>
      <c r="HZH6" s="53"/>
      <c r="HZI6" s="53"/>
      <c r="HZJ6" s="53"/>
      <c r="HZK6" s="53"/>
      <c r="HZL6" s="53"/>
      <c r="HZM6" s="53"/>
      <c r="HZN6" s="53"/>
      <c r="HZO6" s="53"/>
      <c r="HZP6" s="53"/>
      <c r="HZQ6" s="53"/>
      <c r="HZR6" s="53"/>
      <c r="HZS6" s="53"/>
      <c r="HZT6" s="53"/>
      <c r="HZU6" s="53"/>
      <c r="HZV6" s="53"/>
      <c r="HZW6" s="53"/>
      <c r="HZX6" s="53"/>
      <c r="HZY6" s="53"/>
      <c r="HZZ6" s="53"/>
      <c r="IAA6" s="53"/>
      <c r="IAB6" s="53"/>
      <c r="IAC6" s="53"/>
      <c r="IAD6" s="53"/>
      <c r="IAE6" s="53"/>
      <c r="IAF6" s="53"/>
      <c r="IAG6" s="53"/>
      <c r="IAH6" s="53"/>
      <c r="IAI6" s="53"/>
      <c r="IAJ6" s="53"/>
      <c r="IAK6" s="53"/>
      <c r="IAL6" s="53"/>
      <c r="IAM6" s="53"/>
      <c r="IAN6" s="53"/>
      <c r="IAO6" s="53"/>
      <c r="IAP6" s="53"/>
      <c r="IAQ6" s="53"/>
      <c r="IAR6" s="53"/>
      <c r="IAS6" s="53"/>
      <c r="IAT6" s="53"/>
      <c r="IAU6" s="53"/>
      <c r="IAV6" s="53"/>
      <c r="IAW6" s="53"/>
      <c r="IAX6" s="53"/>
      <c r="IAY6" s="53"/>
      <c r="IAZ6" s="53"/>
      <c r="IBA6" s="53"/>
      <c r="IBB6" s="53"/>
      <c r="IBC6" s="53"/>
      <c r="IBD6" s="53"/>
      <c r="IBE6" s="53"/>
      <c r="IBF6" s="53"/>
      <c r="IBG6" s="53"/>
      <c r="IBH6" s="53"/>
      <c r="IBI6" s="53"/>
      <c r="IBJ6" s="53"/>
      <c r="IBK6" s="53"/>
      <c r="IBL6" s="53"/>
      <c r="IBM6" s="53"/>
      <c r="IBN6" s="53"/>
      <c r="IBO6" s="53"/>
      <c r="IBP6" s="53"/>
      <c r="IBQ6" s="53"/>
      <c r="IBR6" s="53"/>
      <c r="IBS6" s="53"/>
      <c r="IBT6" s="53"/>
      <c r="IBU6" s="53"/>
      <c r="IBV6" s="53"/>
      <c r="IBW6" s="53"/>
      <c r="IBX6" s="53"/>
      <c r="IBY6" s="53"/>
      <c r="IBZ6" s="53"/>
      <c r="ICA6" s="53"/>
      <c r="ICB6" s="53"/>
      <c r="ICC6" s="53"/>
      <c r="ICD6" s="53"/>
      <c r="ICE6" s="53"/>
      <c r="ICF6" s="53"/>
      <c r="ICG6" s="53"/>
      <c r="ICH6" s="53"/>
      <c r="ICI6" s="53"/>
      <c r="ICJ6" s="53"/>
      <c r="ICK6" s="53"/>
      <c r="ICL6" s="53"/>
      <c r="ICM6" s="53"/>
      <c r="ICN6" s="53"/>
      <c r="ICO6" s="53"/>
      <c r="ICP6" s="53"/>
      <c r="ICQ6" s="53"/>
      <c r="ICR6" s="53"/>
      <c r="ICS6" s="53"/>
      <c r="ICT6" s="53"/>
      <c r="ICU6" s="53"/>
      <c r="ICV6" s="53"/>
      <c r="ICW6" s="53"/>
      <c r="ICX6" s="53"/>
      <c r="ICY6" s="53"/>
      <c r="ICZ6" s="53"/>
      <c r="IDA6" s="53"/>
      <c r="IDB6" s="53"/>
      <c r="IDC6" s="53"/>
      <c r="IDD6" s="53"/>
      <c r="IDE6" s="53"/>
      <c r="IDF6" s="53"/>
      <c r="IDG6" s="53"/>
      <c r="IDH6" s="53"/>
      <c r="IDI6" s="53"/>
      <c r="IDJ6" s="53"/>
      <c r="IDK6" s="53"/>
      <c r="IDL6" s="53"/>
      <c r="IDM6" s="53"/>
      <c r="IDN6" s="53"/>
      <c r="IDO6" s="53"/>
      <c r="IDP6" s="53"/>
      <c r="IDQ6" s="53"/>
      <c r="IDR6" s="53"/>
      <c r="IDS6" s="53"/>
      <c r="IDT6" s="53"/>
      <c r="IDU6" s="53"/>
      <c r="IDV6" s="53"/>
      <c r="IDW6" s="53"/>
      <c r="IDX6" s="53"/>
      <c r="IDY6" s="53"/>
      <c r="IDZ6" s="53"/>
      <c r="IEA6" s="53"/>
      <c r="IEB6" s="53"/>
      <c r="IEC6" s="53"/>
      <c r="IED6" s="53"/>
      <c r="IEE6" s="53"/>
      <c r="IEF6" s="53"/>
      <c r="IEG6" s="53"/>
      <c r="IEH6" s="53"/>
      <c r="IEI6" s="53"/>
      <c r="IEJ6" s="53"/>
      <c r="IEK6" s="53"/>
      <c r="IEL6" s="53"/>
      <c r="IEM6" s="53"/>
      <c r="IEN6" s="53"/>
      <c r="IEO6" s="53"/>
      <c r="IEP6" s="53"/>
      <c r="IEQ6" s="53"/>
      <c r="IER6" s="53"/>
      <c r="IES6" s="53"/>
      <c r="IET6" s="53"/>
      <c r="IEU6" s="53"/>
      <c r="IEV6" s="53"/>
      <c r="IEW6" s="53"/>
      <c r="IEX6" s="53"/>
      <c r="IEY6" s="53"/>
      <c r="IEZ6" s="53"/>
      <c r="IFA6" s="53"/>
      <c r="IFB6" s="53"/>
      <c r="IFC6" s="53"/>
      <c r="IFD6" s="53"/>
      <c r="IFE6" s="53"/>
      <c r="IFF6" s="53"/>
      <c r="IFG6" s="53"/>
      <c r="IFH6" s="53"/>
      <c r="IFI6" s="53"/>
      <c r="IFJ6" s="53"/>
      <c r="IFK6" s="53"/>
      <c r="IFL6" s="53"/>
      <c r="IFM6" s="53"/>
      <c r="IFN6" s="53"/>
      <c r="IFO6" s="53"/>
      <c r="IFP6" s="53"/>
      <c r="IFQ6" s="53"/>
      <c r="IFR6" s="53"/>
      <c r="IFS6" s="53"/>
      <c r="IFT6" s="53"/>
      <c r="IFU6" s="53"/>
      <c r="IFV6" s="53"/>
      <c r="IFW6" s="53"/>
      <c r="IFX6" s="53"/>
      <c r="IFY6" s="53"/>
      <c r="IFZ6" s="53"/>
      <c r="IGA6" s="53"/>
      <c r="IGB6" s="53"/>
      <c r="IGC6" s="53"/>
      <c r="IGD6" s="53"/>
      <c r="IGE6" s="53"/>
      <c r="IGF6" s="53"/>
      <c r="IGG6" s="53"/>
      <c r="IGH6" s="53"/>
      <c r="IGI6" s="53"/>
      <c r="IGJ6" s="53"/>
      <c r="IGK6" s="53"/>
      <c r="IGL6" s="53"/>
      <c r="IGM6" s="53"/>
      <c r="IGN6" s="53"/>
      <c r="IGO6" s="53"/>
      <c r="IGP6" s="53"/>
      <c r="IGQ6" s="53"/>
      <c r="IGR6" s="53"/>
      <c r="IGS6" s="53"/>
      <c r="IGT6" s="53"/>
      <c r="IGU6" s="53"/>
      <c r="IGV6" s="53"/>
      <c r="IGW6" s="53"/>
      <c r="IGX6" s="53"/>
      <c r="IGY6" s="53"/>
      <c r="IGZ6" s="53"/>
      <c r="IHA6" s="53"/>
      <c r="IHB6" s="53"/>
      <c r="IHC6" s="53"/>
      <c r="IHD6" s="53"/>
      <c r="IHE6" s="53"/>
      <c r="IHF6" s="53"/>
      <c r="IHG6" s="53"/>
      <c r="IHH6" s="53"/>
      <c r="IHI6" s="53"/>
      <c r="IHJ6" s="53"/>
      <c r="IHK6" s="53"/>
      <c r="IHL6" s="53"/>
      <c r="IHM6" s="53"/>
      <c r="IHN6" s="53"/>
      <c r="IHO6" s="53"/>
      <c r="IHP6" s="53"/>
      <c r="IHQ6" s="53"/>
      <c r="IHR6" s="53"/>
      <c r="IHS6" s="53"/>
      <c r="IHT6" s="53"/>
      <c r="IHU6" s="53"/>
      <c r="IHV6" s="53"/>
      <c r="IHW6" s="53"/>
      <c r="IHX6" s="53"/>
      <c r="IHY6" s="53"/>
      <c r="IHZ6" s="53"/>
      <c r="IIA6" s="53"/>
      <c r="IIB6" s="53"/>
      <c r="IIC6" s="53"/>
      <c r="IID6" s="53"/>
      <c r="IIE6" s="53"/>
      <c r="IIF6" s="53"/>
      <c r="IIG6" s="53"/>
      <c r="IIH6" s="53"/>
      <c r="III6" s="53"/>
      <c r="IIJ6" s="53"/>
      <c r="IIK6" s="53"/>
      <c r="IIL6" s="53"/>
      <c r="IIM6" s="53"/>
      <c r="IIN6" s="53"/>
      <c r="IIO6" s="53"/>
      <c r="IIP6" s="53"/>
      <c r="IIQ6" s="53"/>
      <c r="IIR6" s="53"/>
      <c r="IIS6" s="53"/>
      <c r="IIT6" s="53"/>
      <c r="IIU6" s="53"/>
      <c r="IIV6" s="53"/>
      <c r="IIW6" s="53"/>
      <c r="IIX6" s="53"/>
      <c r="IIY6" s="53"/>
      <c r="IIZ6" s="53"/>
      <c r="IJA6" s="53"/>
      <c r="IJB6" s="53"/>
      <c r="IJC6" s="53"/>
      <c r="IJD6" s="53"/>
      <c r="IJE6" s="53"/>
      <c r="IJF6" s="53"/>
      <c r="IJG6" s="53"/>
      <c r="IJH6" s="53"/>
      <c r="IJI6" s="53"/>
      <c r="IJJ6" s="53"/>
      <c r="IJK6" s="53"/>
      <c r="IJL6" s="53"/>
      <c r="IJM6" s="53"/>
      <c r="IJN6" s="53"/>
      <c r="IJO6" s="53"/>
      <c r="IJP6" s="53"/>
      <c r="IJQ6" s="53"/>
      <c r="IJR6" s="53"/>
      <c r="IJS6" s="53"/>
      <c r="IJT6" s="53"/>
      <c r="IJU6" s="53"/>
      <c r="IJV6" s="53"/>
      <c r="IJW6" s="53"/>
      <c r="IJX6" s="53"/>
      <c r="IJY6" s="53"/>
      <c r="IJZ6" s="53"/>
      <c r="IKA6" s="53"/>
      <c r="IKB6" s="53"/>
      <c r="IKC6" s="53"/>
      <c r="IKD6" s="53"/>
      <c r="IKE6" s="53"/>
      <c r="IKF6" s="53"/>
      <c r="IKG6" s="53"/>
      <c r="IKH6" s="53"/>
      <c r="IKI6" s="53"/>
      <c r="IKJ6" s="53"/>
      <c r="IKK6" s="53"/>
      <c r="IKL6" s="53"/>
      <c r="IKM6" s="53"/>
      <c r="IKN6" s="53"/>
      <c r="IKO6" s="53"/>
      <c r="IKP6" s="53"/>
      <c r="IKQ6" s="53"/>
      <c r="IKR6" s="53"/>
      <c r="IKS6" s="53"/>
      <c r="IKT6" s="53"/>
      <c r="IKU6" s="53"/>
      <c r="IKV6" s="53"/>
      <c r="IKW6" s="53"/>
      <c r="IKX6" s="53"/>
      <c r="IKY6" s="53"/>
      <c r="IKZ6" s="53"/>
      <c r="ILA6" s="53"/>
      <c r="ILB6" s="53"/>
      <c r="ILC6" s="53"/>
      <c r="ILD6" s="53"/>
      <c r="ILE6" s="53"/>
      <c r="ILF6" s="53"/>
      <c r="ILG6" s="53"/>
      <c r="ILH6" s="53"/>
      <c r="ILI6" s="53"/>
      <c r="ILJ6" s="53"/>
      <c r="ILK6" s="53"/>
      <c r="ILL6" s="53"/>
      <c r="ILM6" s="53"/>
      <c r="ILN6" s="53"/>
      <c r="ILO6" s="53"/>
      <c r="ILP6" s="53"/>
      <c r="ILQ6" s="53"/>
      <c r="ILR6" s="53"/>
      <c r="ILS6" s="53"/>
      <c r="ILT6" s="53"/>
      <c r="ILU6" s="53"/>
      <c r="ILV6" s="53"/>
      <c r="ILW6" s="53"/>
      <c r="ILX6" s="53"/>
      <c r="ILY6" s="53"/>
      <c r="ILZ6" s="53"/>
      <c r="IMA6" s="53"/>
      <c r="IMB6" s="53"/>
      <c r="IMC6" s="53"/>
      <c r="IMD6" s="53"/>
      <c r="IME6" s="53"/>
      <c r="IMF6" s="53"/>
      <c r="IMG6" s="53"/>
      <c r="IMH6" s="53"/>
      <c r="IMI6" s="53"/>
      <c r="IMJ6" s="53"/>
      <c r="IMK6" s="53"/>
      <c r="IML6" s="53"/>
      <c r="IMM6" s="53"/>
      <c r="IMN6" s="53"/>
      <c r="IMO6" s="53"/>
      <c r="IMP6" s="53"/>
      <c r="IMQ6" s="53"/>
      <c r="IMR6" s="53"/>
      <c r="IMS6" s="53"/>
      <c r="IMT6" s="53"/>
      <c r="IMU6" s="53"/>
      <c r="IMV6" s="53"/>
      <c r="IMW6" s="53"/>
      <c r="IMX6" s="53"/>
      <c r="IMY6" s="53"/>
      <c r="IMZ6" s="53"/>
      <c r="INA6" s="53"/>
      <c r="INB6" s="53"/>
      <c r="INC6" s="53"/>
      <c r="IND6" s="53"/>
      <c r="INE6" s="53"/>
      <c r="INF6" s="53"/>
      <c r="ING6" s="53"/>
      <c r="INH6" s="53"/>
      <c r="INI6" s="53"/>
      <c r="INJ6" s="53"/>
      <c r="INK6" s="53"/>
      <c r="INL6" s="53"/>
      <c r="INM6" s="53"/>
      <c r="INN6" s="53"/>
      <c r="INO6" s="53"/>
      <c r="INP6" s="53"/>
      <c r="INQ6" s="53"/>
      <c r="INR6" s="53"/>
      <c r="INS6" s="53"/>
      <c r="INT6" s="53"/>
      <c r="INU6" s="53"/>
      <c r="INV6" s="53"/>
      <c r="INW6" s="53"/>
      <c r="INX6" s="53"/>
      <c r="INY6" s="53"/>
      <c r="INZ6" s="53"/>
      <c r="IOA6" s="53"/>
      <c r="IOB6" s="53"/>
      <c r="IOC6" s="53"/>
      <c r="IOD6" s="53"/>
      <c r="IOE6" s="53"/>
      <c r="IOF6" s="53"/>
      <c r="IOG6" s="53"/>
      <c r="IOH6" s="53"/>
      <c r="IOI6" s="53"/>
      <c r="IOJ6" s="53"/>
      <c r="IOK6" s="53"/>
      <c r="IOL6" s="53"/>
      <c r="IOM6" s="53"/>
      <c r="ION6" s="53"/>
      <c r="IOO6" s="53"/>
      <c r="IOP6" s="53"/>
      <c r="IOQ6" s="53"/>
      <c r="IOR6" s="53"/>
      <c r="IOS6" s="53"/>
      <c r="IOT6" s="53"/>
      <c r="IOU6" s="53"/>
      <c r="IOV6" s="53"/>
      <c r="IOW6" s="53"/>
      <c r="IOX6" s="53"/>
      <c r="IOY6" s="53"/>
      <c r="IOZ6" s="53"/>
      <c r="IPA6" s="53"/>
      <c r="IPB6" s="53"/>
      <c r="IPC6" s="53"/>
      <c r="IPD6" s="53"/>
      <c r="IPE6" s="53"/>
      <c r="IPF6" s="53"/>
      <c r="IPG6" s="53"/>
      <c r="IPH6" s="53"/>
      <c r="IPI6" s="53"/>
      <c r="IPJ6" s="53"/>
      <c r="IPK6" s="53"/>
      <c r="IPL6" s="53"/>
      <c r="IPM6" s="53"/>
      <c r="IPN6" s="53"/>
      <c r="IPO6" s="53"/>
      <c r="IPP6" s="53"/>
      <c r="IPQ6" s="53"/>
      <c r="IPR6" s="53"/>
      <c r="IPS6" s="53"/>
      <c r="IPT6" s="53"/>
      <c r="IPU6" s="53"/>
      <c r="IPV6" s="53"/>
      <c r="IPW6" s="53"/>
      <c r="IPX6" s="53"/>
      <c r="IPY6" s="53"/>
      <c r="IPZ6" s="53"/>
      <c r="IQA6" s="53"/>
      <c r="IQB6" s="53"/>
      <c r="IQC6" s="53"/>
      <c r="IQD6" s="53"/>
      <c r="IQE6" s="53"/>
      <c r="IQF6" s="53"/>
      <c r="IQG6" s="53"/>
      <c r="IQH6" s="53"/>
      <c r="IQI6" s="53"/>
      <c r="IQJ6" s="53"/>
      <c r="IQK6" s="53"/>
      <c r="IQL6" s="53"/>
      <c r="IQM6" s="53"/>
      <c r="IQN6" s="53"/>
      <c r="IQO6" s="53"/>
      <c r="IQP6" s="53"/>
      <c r="IQQ6" s="53"/>
      <c r="IQR6" s="53"/>
      <c r="IQS6" s="53"/>
      <c r="IQT6" s="53"/>
      <c r="IQU6" s="53"/>
      <c r="IQV6" s="53"/>
      <c r="IQW6" s="53"/>
      <c r="IQX6" s="53"/>
      <c r="IQY6" s="53"/>
      <c r="IQZ6" s="53"/>
      <c r="IRA6" s="53"/>
      <c r="IRB6" s="53"/>
      <c r="IRC6" s="53"/>
      <c r="IRD6" s="53"/>
      <c r="IRE6" s="53"/>
      <c r="IRF6" s="53"/>
      <c r="IRG6" s="53"/>
      <c r="IRH6" s="53"/>
      <c r="IRI6" s="53"/>
      <c r="IRJ6" s="53"/>
      <c r="IRK6" s="53"/>
      <c r="IRL6" s="53"/>
      <c r="IRM6" s="53"/>
      <c r="IRN6" s="53"/>
      <c r="IRO6" s="53"/>
      <c r="IRP6" s="53"/>
      <c r="IRQ6" s="53"/>
      <c r="IRR6" s="53"/>
      <c r="IRS6" s="53"/>
      <c r="IRT6" s="53"/>
      <c r="IRU6" s="53"/>
      <c r="IRV6" s="53"/>
      <c r="IRW6" s="53"/>
      <c r="IRX6" s="53"/>
      <c r="IRY6" s="53"/>
      <c r="IRZ6" s="53"/>
      <c r="ISA6" s="53"/>
      <c r="ISB6" s="53"/>
      <c r="ISC6" s="53"/>
      <c r="ISD6" s="53"/>
      <c r="ISE6" s="53"/>
      <c r="ISF6" s="53"/>
      <c r="ISG6" s="53"/>
      <c r="ISH6" s="53"/>
      <c r="ISI6" s="53"/>
      <c r="ISJ6" s="53"/>
      <c r="ISK6" s="53"/>
      <c r="ISL6" s="53"/>
      <c r="ISM6" s="53"/>
      <c r="ISN6" s="53"/>
      <c r="ISO6" s="53"/>
      <c r="ISP6" s="53"/>
      <c r="ISQ6" s="53"/>
      <c r="ISR6" s="53"/>
      <c r="ISS6" s="53"/>
      <c r="IST6" s="53"/>
      <c r="ISU6" s="53"/>
      <c r="ISV6" s="53"/>
      <c r="ISW6" s="53"/>
      <c r="ISX6" s="53"/>
      <c r="ISY6" s="53"/>
      <c r="ISZ6" s="53"/>
      <c r="ITA6" s="53"/>
      <c r="ITB6" s="53"/>
      <c r="ITC6" s="53"/>
      <c r="ITD6" s="53"/>
      <c r="ITE6" s="53"/>
      <c r="ITF6" s="53"/>
      <c r="ITG6" s="53"/>
      <c r="ITH6" s="53"/>
      <c r="ITI6" s="53"/>
      <c r="ITJ6" s="53"/>
      <c r="ITK6" s="53"/>
      <c r="ITL6" s="53"/>
      <c r="ITM6" s="53"/>
      <c r="ITN6" s="53"/>
      <c r="ITO6" s="53"/>
      <c r="ITP6" s="53"/>
      <c r="ITQ6" s="53"/>
      <c r="ITR6" s="53"/>
      <c r="ITS6" s="53"/>
      <c r="ITT6" s="53"/>
      <c r="ITU6" s="53"/>
      <c r="ITV6" s="53"/>
      <c r="ITW6" s="53"/>
      <c r="ITX6" s="53"/>
      <c r="ITY6" s="53"/>
      <c r="ITZ6" s="53"/>
      <c r="IUA6" s="53"/>
      <c r="IUB6" s="53"/>
      <c r="IUC6" s="53"/>
      <c r="IUD6" s="53"/>
      <c r="IUE6" s="53"/>
      <c r="IUF6" s="53"/>
      <c r="IUG6" s="53"/>
      <c r="IUH6" s="53"/>
      <c r="IUI6" s="53"/>
      <c r="IUJ6" s="53"/>
      <c r="IUK6" s="53"/>
      <c r="IUL6" s="53"/>
      <c r="IUM6" s="53"/>
      <c r="IUN6" s="53"/>
      <c r="IUO6" s="53"/>
      <c r="IUP6" s="53"/>
      <c r="IUQ6" s="53"/>
      <c r="IUR6" s="53"/>
      <c r="IUS6" s="53"/>
      <c r="IUT6" s="53"/>
      <c r="IUU6" s="53"/>
      <c r="IUV6" s="53"/>
      <c r="IUW6" s="53"/>
      <c r="IUX6" s="53"/>
      <c r="IUY6" s="53"/>
      <c r="IUZ6" s="53"/>
      <c r="IVA6" s="53"/>
      <c r="IVB6" s="53"/>
      <c r="IVC6" s="53"/>
      <c r="IVD6" s="53"/>
      <c r="IVE6" s="53"/>
      <c r="IVF6" s="53"/>
      <c r="IVG6" s="53"/>
      <c r="IVH6" s="53"/>
      <c r="IVI6" s="53"/>
      <c r="IVJ6" s="53"/>
      <c r="IVK6" s="53"/>
      <c r="IVL6" s="53"/>
      <c r="IVM6" s="53"/>
      <c r="IVN6" s="53"/>
      <c r="IVO6" s="53"/>
      <c r="IVP6" s="53"/>
      <c r="IVQ6" s="53"/>
      <c r="IVR6" s="53"/>
      <c r="IVS6" s="53"/>
      <c r="IVT6" s="53"/>
      <c r="IVU6" s="53"/>
      <c r="IVV6" s="53"/>
      <c r="IVW6" s="53"/>
      <c r="IVX6" s="53"/>
      <c r="IVY6" s="53"/>
      <c r="IVZ6" s="53"/>
      <c r="IWA6" s="53"/>
      <c r="IWB6" s="53"/>
      <c r="IWC6" s="53"/>
      <c r="IWD6" s="53"/>
      <c r="IWE6" s="53"/>
      <c r="IWF6" s="53"/>
      <c r="IWG6" s="53"/>
      <c r="IWH6" s="53"/>
      <c r="IWI6" s="53"/>
      <c r="IWJ6" s="53"/>
      <c r="IWK6" s="53"/>
      <c r="IWL6" s="53"/>
      <c r="IWM6" s="53"/>
      <c r="IWN6" s="53"/>
      <c r="IWO6" s="53"/>
      <c r="IWP6" s="53"/>
      <c r="IWQ6" s="53"/>
      <c r="IWR6" s="53"/>
      <c r="IWS6" s="53"/>
      <c r="IWT6" s="53"/>
      <c r="IWU6" s="53"/>
      <c r="IWV6" s="53"/>
      <c r="IWW6" s="53"/>
      <c r="IWX6" s="53"/>
      <c r="IWY6" s="53"/>
      <c r="IWZ6" s="53"/>
      <c r="IXA6" s="53"/>
      <c r="IXB6" s="53"/>
      <c r="IXC6" s="53"/>
      <c r="IXD6" s="53"/>
      <c r="IXE6" s="53"/>
      <c r="IXF6" s="53"/>
      <c r="IXG6" s="53"/>
      <c r="IXH6" s="53"/>
      <c r="IXI6" s="53"/>
      <c r="IXJ6" s="53"/>
      <c r="IXK6" s="53"/>
      <c r="IXL6" s="53"/>
      <c r="IXM6" s="53"/>
      <c r="IXN6" s="53"/>
      <c r="IXO6" s="53"/>
      <c r="IXP6" s="53"/>
      <c r="IXQ6" s="53"/>
      <c r="IXR6" s="53"/>
      <c r="IXS6" s="53"/>
      <c r="IXT6" s="53"/>
      <c r="IXU6" s="53"/>
      <c r="IXV6" s="53"/>
      <c r="IXW6" s="53"/>
      <c r="IXX6" s="53"/>
      <c r="IXY6" s="53"/>
      <c r="IXZ6" s="53"/>
      <c r="IYA6" s="53"/>
      <c r="IYB6" s="53"/>
      <c r="IYC6" s="53"/>
      <c r="IYD6" s="53"/>
      <c r="IYE6" s="53"/>
      <c r="IYF6" s="53"/>
      <c r="IYG6" s="53"/>
      <c r="IYH6" s="53"/>
      <c r="IYI6" s="53"/>
      <c r="IYJ6" s="53"/>
      <c r="IYK6" s="53"/>
      <c r="IYL6" s="53"/>
      <c r="IYM6" s="53"/>
      <c r="IYN6" s="53"/>
      <c r="IYO6" s="53"/>
      <c r="IYP6" s="53"/>
      <c r="IYQ6" s="53"/>
      <c r="IYR6" s="53"/>
      <c r="IYS6" s="53"/>
      <c r="IYT6" s="53"/>
      <c r="IYU6" s="53"/>
      <c r="IYV6" s="53"/>
      <c r="IYW6" s="53"/>
      <c r="IYX6" s="53"/>
      <c r="IYY6" s="53"/>
      <c r="IYZ6" s="53"/>
      <c r="IZA6" s="53"/>
      <c r="IZB6" s="53"/>
      <c r="IZC6" s="53"/>
      <c r="IZD6" s="53"/>
      <c r="IZE6" s="53"/>
      <c r="IZF6" s="53"/>
      <c r="IZG6" s="53"/>
      <c r="IZH6" s="53"/>
      <c r="IZI6" s="53"/>
      <c r="IZJ6" s="53"/>
      <c r="IZK6" s="53"/>
      <c r="IZL6" s="53"/>
      <c r="IZM6" s="53"/>
      <c r="IZN6" s="53"/>
      <c r="IZO6" s="53"/>
      <c r="IZP6" s="53"/>
      <c r="IZQ6" s="53"/>
      <c r="IZR6" s="53"/>
      <c r="IZS6" s="53"/>
      <c r="IZT6" s="53"/>
      <c r="IZU6" s="53"/>
      <c r="IZV6" s="53"/>
      <c r="IZW6" s="53"/>
      <c r="IZX6" s="53"/>
      <c r="IZY6" s="53"/>
      <c r="IZZ6" s="53"/>
      <c r="JAA6" s="53"/>
      <c r="JAB6" s="53"/>
      <c r="JAC6" s="53"/>
      <c r="JAD6" s="53"/>
      <c r="JAE6" s="53"/>
      <c r="JAF6" s="53"/>
      <c r="JAG6" s="53"/>
      <c r="JAH6" s="53"/>
      <c r="JAI6" s="53"/>
      <c r="JAJ6" s="53"/>
      <c r="JAK6" s="53"/>
      <c r="JAL6" s="53"/>
      <c r="JAM6" s="53"/>
      <c r="JAN6" s="53"/>
      <c r="JAO6" s="53"/>
      <c r="JAP6" s="53"/>
      <c r="JAQ6" s="53"/>
      <c r="JAR6" s="53"/>
      <c r="JAS6" s="53"/>
      <c r="JAT6" s="53"/>
      <c r="JAU6" s="53"/>
      <c r="JAV6" s="53"/>
      <c r="JAW6" s="53"/>
      <c r="JAX6" s="53"/>
      <c r="JAY6" s="53"/>
      <c r="JAZ6" s="53"/>
      <c r="JBA6" s="53"/>
      <c r="JBB6" s="53"/>
      <c r="JBC6" s="53"/>
      <c r="JBD6" s="53"/>
      <c r="JBE6" s="53"/>
      <c r="JBF6" s="53"/>
      <c r="JBG6" s="53"/>
      <c r="JBH6" s="53"/>
      <c r="JBI6" s="53"/>
      <c r="JBJ6" s="53"/>
      <c r="JBK6" s="53"/>
      <c r="JBL6" s="53"/>
      <c r="JBM6" s="53"/>
      <c r="JBN6" s="53"/>
      <c r="JBO6" s="53"/>
      <c r="JBP6" s="53"/>
      <c r="JBQ6" s="53"/>
      <c r="JBR6" s="53"/>
      <c r="JBS6" s="53"/>
      <c r="JBT6" s="53"/>
      <c r="JBU6" s="53"/>
      <c r="JBV6" s="53"/>
      <c r="JBW6" s="53"/>
      <c r="JBX6" s="53"/>
      <c r="JBY6" s="53"/>
      <c r="JBZ6" s="53"/>
      <c r="JCA6" s="53"/>
      <c r="JCB6" s="53"/>
      <c r="JCC6" s="53"/>
      <c r="JCD6" s="53"/>
      <c r="JCE6" s="53"/>
      <c r="JCF6" s="53"/>
      <c r="JCG6" s="53"/>
      <c r="JCH6" s="53"/>
      <c r="JCI6" s="53"/>
      <c r="JCJ6" s="53"/>
      <c r="JCK6" s="53"/>
      <c r="JCL6" s="53"/>
      <c r="JCM6" s="53"/>
      <c r="JCN6" s="53"/>
      <c r="JCO6" s="53"/>
      <c r="JCP6" s="53"/>
      <c r="JCQ6" s="53"/>
      <c r="JCR6" s="53"/>
      <c r="JCS6" s="53"/>
      <c r="JCT6" s="53"/>
      <c r="JCU6" s="53"/>
      <c r="JCV6" s="53"/>
      <c r="JCW6" s="53"/>
      <c r="JCX6" s="53"/>
      <c r="JCY6" s="53"/>
      <c r="JCZ6" s="53"/>
      <c r="JDA6" s="53"/>
      <c r="JDB6" s="53"/>
      <c r="JDC6" s="53"/>
      <c r="JDD6" s="53"/>
      <c r="JDE6" s="53"/>
      <c r="JDF6" s="53"/>
      <c r="JDG6" s="53"/>
      <c r="JDH6" s="53"/>
      <c r="JDI6" s="53"/>
      <c r="JDJ6" s="53"/>
      <c r="JDK6" s="53"/>
      <c r="JDL6" s="53"/>
      <c r="JDM6" s="53"/>
      <c r="JDN6" s="53"/>
      <c r="JDO6" s="53"/>
      <c r="JDP6" s="53"/>
      <c r="JDQ6" s="53"/>
      <c r="JDR6" s="53"/>
      <c r="JDS6" s="53"/>
      <c r="JDT6" s="53"/>
      <c r="JDU6" s="53"/>
      <c r="JDV6" s="53"/>
      <c r="JDW6" s="53"/>
      <c r="JDX6" s="53"/>
      <c r="JDY6" s="53"/>
      <c r="JDZ6" s="53"/>
      <c r="JEA6" s="53"/>
      <c r="JEB6" s="53"/>
      <c r="JEC6" s="53"/>
      <c r="JED6" s="53"/>
      <c r="JEE6" s="53"/>
      <c r="JEF6" s="53"/>
      <c r="JEG6" s="53"/>
      <c r="JEH6" s="53"/>
      <c r="JEI6" s="53"/>
      <c r="JEJ6" s="53"/>
      <c r="JEK6" s="53"/>
      <c r="JEL6" s="53"/>
      <c r="JEM6" s="53"/>
      <c r="JEN6" s="53"/>
      <c r="JEO6" s="53"/>
      <c r="JEP6" s="53"/>
      <c r="JEQ6" s="53"/>
      <c r="JER6" s="53"/>
      <c r="JES6" s="53"/>
      <c r="JET6" s="53"/>
      <c r="JEU6" s="53"/>
      <c r="JEV6" s="53"/>
      <c r="JEW6" s="53"/>
      <c r="JEX6" s="53"/>
      <c r="JEY6" s="53"/>
      <c r="JEZ6" s="53"/>
      <c r="JFA6" s="53"/>
      <c r="JFB6" s="53"/>
      <c r="JFC6" s="53"/>
      <c r="JFD6" s="53"/>
      <c r="JFE6" s="53"/>
      <c r="JFF6" s="53"/>
      <c r="JFG6" s="53"/>
      <c r="JFH6" s="53"/>
      <c r="JFI6" s="53"/>
      <c r="JFJ6" s="53"/>
      <c r="JFK6" s="53"/>
      <c r="JFL6" s="53"/>
      <c r="JFM6" s="53"/>
      <c r="JFN6" s="53"/>
      <c r="JFO6" s="53"/>
      <c r="JFP6" s="53"/>
      <c r="JFQ6" s="53"/>
      <c r="JFR6" s="53"/>
      <c r="JFS6" s="53"/>
      <c r="JFT6" s="53"/>
      <c r="JFU6" s="53"/>
      <c r="JFV6" s="53"/>
      <c r="JFW6" s="53"/>
      <c r="JFX6" s="53"/>
      <c r="JFY6" s="53"/>
      <c r="JFZ6" s="53"/>
      <c r="JGA6" s="53"/>
      <c r="JGB6" s="53"/>
      <c r="JGC6" s="53"/>
      <c r="JGD6" s="53"/>
      <c r="JGE6" s="53"/>
      <c r="JGF6" s="53"/>
      <c r="JGG6" s="53"/>
      <c r="JGH6" s="53"/>
      <c r="JGI6" s="53"/>
      <c r="JGJ6" s="53"/>
      <c r="JGK6" s="53"/>
      <c r="JGL6" s="53"/>
      <c r="JGM6" s="53"/>
      <c r="JGN6" s="53"/>
      <c r="JGO6" s="53"/>
      <c r="JGP6" s="53"/>
      <c r="JGQ6" s="53"/>
      <c r="JGR6" s="53"/>
      <c r="JGS6" s="53"/>
      <c r="JGT6" s="53"/>
      <c r="JGU6" s="53"/>
      <c r="JGV6" s="53"/>
      <c r="JGW6" s="53"/>
      <c r="JGX6" s="53"/>
      <c r="JGY6" s="53"/>
      <c r="JGZ6" s="53"/>
      <c r="JHA6" s="53"/>
      <c r="JHB6" s="53"/>
      <c r="JHC6" s="53"/>
      <c r="JHD6" s="53"/>
      <c r="JHE6" s="53"/>
      <c r="JHF6" s="53"/>
      <c r="JHG6" s="53"/>
      <c r="JHH6" s="53"/>
      <c r="JHI6" s="53"/>
      <c r="JHJ6" s="53"/>
      <c r="JHK6" s="53"/>
      <c r="JHL6" s="53"/>
      <c r="JHM6" s="53"/>
      <c r="JHN6" s="53"/>
      <c r="JHO6" s="53"/>
      <c r="JHP6" s="53"/>
      <c r="JHQ6" s="53"/>
      <c r="JHR6" s="53"/>
      <c r="JHS6" s="53"/>
      <c r="JHT6" s="53"/>
      <c r="JHU6" s="53"/>
      <c r="JHV6" s="53"/>
      <c r="JHW6" s="53"/>
      <c r="JHX6" s="53"/>
      <c r="JHY6" s="53"/>
      <c r="JHZ6" s="53"/>
      <c r="JIA6" s="53"/>
      <c r="JIB6" s="53"/>
      <c r="JIC6" s="53"/>
      <c r="JID6" s="53"/>
      <c r="JIE6" s="53"/>
      <c r="JIF6" s="53"/>
      <c r="JIG6" s="53"/>
      <c r="JIH6" s="53"/>
      <c r="JII6" s="53"/>
      <c r="JIJ6" s="53"/>
      <c r="JIK6" s="53"/>
      <c r="JIL6" s="53"/>
      <c r="JIM6" s="53"/>
      <c r="JIN6" s="53"/>
      <c r="JIO6" s="53"/>
      <c r="JIP6" s="53"/>
      <c r="JIQ6" s="53"/>
      <c r="JIR6" s="53"/>
      <c r="JIS6" s="53"/>
      <c r="JIT6" s="53"/>
      <c r="JIU6" s="53"/>
      <c r="JIV6" s="53"/>
      <c r="JIW6" s="53"/>
      <c r="JIX6" s="53"/>
      <c r="JIY6" s="53"/>
      <c r="JIZ6" s="53"/>
      <c r="JJA6" s="53"/>
      <c r="JJB6" s="53"/>
      <c r="JJC6" s="53"/>
      <c r="JJD6" s="53"/>
      <c r="JJE6" s="53"/>
      <c r="JJF6" s="53"/>
      <c r="JJG6" s="53"/>
      <c r="JJH6" s="53"/>
      <c r="JJI6" s="53"/>
      <c r="JJJ6" s="53"/>
      <c r="JJK6" s="53"/>
      <c r="JJL6" s="53"/>
      <c r="JJM6" s="53"/>
      <c r="JJN6" s="53"/>
      <c r="JJO6" s="53"/>
      <c r="JJP6" s="53"/>
      <c r="JJQ6" s="53"/>
      <c r="JJR6" s="53"/>
      <c r="JJS6" s="53"/>
      <c r="JJT6" s="53"/>
      <c r="JJU6" s="53"/>
      <c r="JJV6" s="53"/>
      <c r="JJW6" s="53"/>
      <c r="JJX6" s="53"/>
      <c r="JJY6" s="53"/>
      <c r="JJZ6" s="53"/>
      <c r="JKA6" s="53"/>
      <c r="JKB6" s="53"/>
      <c r="JKC6" s="53"/>
      <c r="JKD6" s="53"/>
      <c r="JKE6" s="53"/>
      <c r="JKF6" s="53"/>
      <c r="JKG6" s="53"/>
      <c r="JKH6" s="53"/>
      <c r="JKI6" s="53"/>
      <c r="JKJ6" s="53"/>
      <c r="JKK6" s="53"/>
      <c r="JKL6" s="53"/>
      <c r="JKM6" s="53"/>
      <c r="JKN6" s="53"/>
      <c r="JKO6" s="53"/>
      <c r="JKP6" s="53"/>
      <c r="JKQ6" s="53"/>
      <c r="JKR6" s="53"/>
      <c r="JKS6" s="53"/>
      <c r="JKT6" s="53"/>
      <c r="JKU6" s="53"/>
      <c r="JKV6" s="53"/>
      <c r="JKW6" s="53"/>
      <c r="JKX6" s="53"/>
      <c r="JKY6" s="53"/>
      <c r="JKZ6" s="53"/>
      <c r="JLA6" s="53"/>
      <c r="JLB6" s="53"/>
      <c r="JLC6" s="53"/>
      <c r="JLD6" s="53"/>
      <c r="JLE6" s="53"/>
      <c r="JLF6" s="53"/>
      <c r="JLG6" s="53"/>
      <c r="JLH6" s="53"/>
      <c r="JLI6" s="53"/>
      <c r="JLJ6" s="53"/>
      <c r="JLK6" s="53"/>
      <c r="JLL6" s="53"/>
      <c r="JLM6" s="53"/>
      <c r="JLN6" s="53"/>
      <c r="JLO6" s="53"/>
      <c r="JLP6" s="53"/>
      <c r="JLQ6" s="53"/>
      <c r="JLR6" s="53"/>
      <c r="JLS6" s="53"/>
      <c r="JLT6" s="53"/>
      <c r="JLU6" s="53"/>
      <c r="JLV6" s="53"/>
      <c r="JLW6" s="53"/>
      <c r="JLX6" s="53"/>
      <c r="JLY6" s="53"/>
      <c r="JLZ6" s="53"/>
      <c r="JMA6" s="53"/>
      <c r="JMB6" s="53"/>
      <c r="JMC6" s="53"/>
      <c r="JMD6" s="53"/>
      <c r="JME6" s="53"/>
      <c r="JMF6" s="53"/>
      <c r="JMG6" s="53"/>
      <c r="JMH6" s="53"/>
      <c r="JMI6" s="53"/>
      <c r="JMJ6" s="53"/>
      <c r="JMK6" s="53"/>
      <c r="JML6" s="53"/>
      <c r="JMM6" s="53"/>
      <c r="JMN6" s="53"/>
      <c r="JMO6" s="53"/>
      <c r="JMP6" s="53"/>
      <c r="JMQ6" s="53"/>
      <c r="JMR6" s="53"/>
      <c r="JMS6" s="53"/>
      <c r="JMT6" s="53"/>
      <c r="JMU6" s="53"/>
      <c r="JMV6" s="53"/>
      <c r="JMW6" s="53"/>
      <c r="JMX6" s="53"/>
      <c r="JMY6" s="53"/>
      <c r="JMZ6" s="53"/>
      <c r="JNA6" s="53"/>
      <c r="JNB6" s="53"/>
      <c r="JNC6" s="53"/>
      <c r="JND6" s="53"/>
      <c r="JNE6" s="53"/>
      <c r="JNF6" s="53"/>
      <c r="JNG6" s="53"/>
      <c r="JNH6" s="53"/>
      <c r="JNI6" s="53"/>
      <c r="JNJ6" s="53"/>
      <c r="JNK6" s="53"/>
      <c r="JNL6" s="53"/>
      <c r="JNM6" s="53"/>
      <c r="JNN6" s="53"/>
      <c r="JNO6" s="53"/>
      <c r="JNP6" s="53"/>
      <c r="JNQ6" s="53"/>
      <c r="JNR6" s="53"/>
      <c r="JNS6" s="53"/>
      <c r="JNT6" s="53"/>
      <c r="JNU6" s="53"/>
      <c r="JNV6" s="53"/>
      <c r="JNW6" s="53"/>
      <c r="JNX6" s="53"/>
      <c r="JNY6" s="53"/>
      <c r="JNZ6" s="53"/>
      <c r="JOA6" s="53"/>
      <c r="JOB6" s="53"/>
      <c r="JOC6" s="53"/>
      <c r="JOD6" s="53"/>
      <c r="JOE6" s="53"/>
      <c r="JOF6" s="53"/>
      <c r="JOG6" s="53"/>
      <c r="JOH6" s="53"/>
      <c r="JOI6" s="53"/>
      <c r="JOJ6" s="53"/>
      <c r="JOK6" s="53"/>
      <c r="JOL6" s="53"/>
      <c r="JOM6" s="53"/>
      <c r="JON6" s="53"/>
      <c r="JOO6" s="53"/>
      <c r="JOP6" s="53"/>
      <c r="JOQ6" s="53"/>
      <c r="JOR6" s="53"/>
      <c r="JOS6" s="53"/>
      <c r="JOT6" s="53"/>
      <c r="JOU6" s="53"/>
      <c r="JOV6" s="53"/>
      <c r="JOW6" s="53"/>
      <c r="JOX6" s="53"/>
      <c r="JOY6" s="53"/>
      <c r="JOZ6" s="53"/>
      <c r="JPA6" s="53"/>
      <c r="JPB6" s="53"/>
      <c r="JPC6" s="53"/>
      <c r="JPD6" s="53"/>
      <c r="JPE6" s="53"/>
      <c r="JPF6" s="53"/>
      <c r="JPG6" s="53"/>
      <c r="JPH6" s="53"/>
      <c r="JPI6" s="53"/>
      <c r="JPJ6" s="53"/>
      <c r="JPK6" s="53"/>
      <c r="JPL6" s="53"/>
      <c r="JPM6" s="53"/>
      <c r="JPN6" s="53"/>
      <c r="JPO6" s="53"/>
      <c r="JPP6" s="53"/>
      <c r="JPQ6" s="53"/>
      <c r="JPR6" s="53"/>
      <c r="JPS6" s="53"/>
      <c r="JPT6" s="53"/>
      <c r="JPU6" s="53"/>
      <c r="JPV6" s="53"/>
      <c r="JPW6" s="53"/>
      <c r="JPX6" s="53"/>
      <c r="JPY6" s="53"/>
      <c r="JPZ6" s="53"/>
      <c r="JQA6" s="53"/>
      <c r="JQB6" s="53"/>
      <c r="JQC6" s="53"/>
      <c r="JQD6" s="53"/>
      <c r="JQE6" s="53"/>
      <c r="JQF6" s="53"/>
      <c r="JQG6" s="53"/>
      <c r="JQH6" s="53"/>
      <c r="JQI6" s="53"/>
      <c r="JQJ6" s="53"/>
      <c r="JQK6" s="53"/>
      <c r="JQL6" s="53"/>
      <c r="JQM6" s="53"/>
      <c r="JQN6" s="53"/>
      <c r="JQO6" s="53"/>
      <c r="JQP6" s="53"/>
      <c r="JQQ6" s="53"/>
      <c r="JQR6" s="53"/>
      <c r="JQS6" s="53"/>
      <c r="JQT6" s="53"/>
      <c r="JQU6" s="53"/>
      <c r="JQV6" s="53"/>
      <c r="JQW6" s="53"/>
      <c r="JQX6" s="53"/>
      <c r="JQY6" s="53"/>
      <c r="JQZ6" s="53"/>
      <c r="JRA6" s="53"/>
      <c r="JRB6" s="53"/>
      <c r="JRC6" s="53"/>
      <c r="JRD6" s="53"/>
      <c r="JRE6" s="53"/>
      <c r="JRF6" s="53"/>
      <c r="JRG6" s="53"/>
      <c r="JRH6" s="53"/>
      <c r="JRI6" s="53"/>
      <c r="JRJ6" s="53"/>
      <c r="JRK6" s="53"/>
      <c r="JRL6" s="53"/>
      <c r="JRM6" s="53"/>
      <c r="JRN6" s="53"/>
      <c r="JRO6" s="53"/>
      <c r="JRP6" s="53"/>
      <c r="JRQ6" s="53"/>
      <c r="JRR6" s="53"/>
      <c r="JRS6" s="53"/>
      <c r="JRT6" s="53"/>
      <c r="JRU6" s="53"/>
      <c r="JRV6" s="53"/>
      <c r="JRW6" s="53"/>
      <c r="JRX6" s="53"/>
      <c r="JRY6" s="53"/>
      <c r="JRZ6" s="53"/>
      <c r="JSA6" s="53"/>
      <c r="JSB6" s="53"/>
      <c r="JSC6" s="53"/>
      <c r="JSD6" s="53"/>
      <c r="JSE6" s="53"/>
      <c r="JSF6" s="53"/>
      <c r="JSG6" s="53"/>
      <c r="JSH6" s="53"/>
      <c r="JSI6" s="53"/>
      <c r="JSJ6" s="53"/>
      <c r="JSK6" s="53"/>
      <c r="JSL6" s="53"/>
      <c r="JSM6" s="53"/>
      <c r="JSN6" s="53"/>
      <c r="JSO6" s="53"/>
      <c r="JSP6" s="53"/>
      <c r="JSQ6" s="53"/>
      <c r="JSR6" s="53"/>
      <c r="JSS6" s="53"/>
      <c r="JST6" s="53"/>
      <c r="JSU6" s="53"/>
      <c r="JSV6" s="53"/>
      <c r="JSW6" s="53"/>
      <c r="JSX6" s="53"/>
      <c r="JSY6" s="53"/>
      <c r="JSZ6" s="53"/>
      <c r="JTA6" s="53"/>
      <c r="JTB6" s="53"/>
      <c r="JTC6" s="53"/>
      <c r="JTD6" s="53"/>
      <c r="JTE6" s="53"/>
      <c r="JTF6" s="53"/>
      <c r="JTG6" s="53"/>
      <c r="JTH6" s="53"/>
      <c r="JTI6" s="53"/>
      <c r="JTJ6" s="53"/>
      <c r="JTK6" s="53"/>
      <c r="JTL6" s="53"/>
      <c r="JTM6" s="53"/>
      <c r="JTN6" s="53"/>
      <c r="JTO6" s="53"/>
      <c r="JTP6" s="53"/>
      <c r="JTQ6" s="53"/>
      <c r="JTR6" s="53"/>
      <c r="JTS6" s="53"/>
      <c r="JTT6" s="53"/>
      <c r="JTU6" s="53"/>
      <c r="JTV6" s="53"/>
      <c r="JTW6" s="53"/>
      <c r="JTX6" s="53"/>
      <c r="JTY6" s="53"/>
      <c r="JTZ6" s="53"/>
      <c r="JUA6" s="53"/>
      <c r="JUB6" s="53"/>
      <c r="JUC6" s="53"/>
      <c r="JUD6" s="53"/>
      <c r="JUE6" s="53"/>
      <c r="JUF6" s="53"/>
      <c r="JUG6" s="53"/>
      <c r="JUH6" s="53"/>
      <c r="JUI6" s="53"/>
      <c r="JUJ6" s="53"/>
      <c r="JUK6" s="53"/>
      <c r="JUL6" s="53"/>
      <c r="JUM6" s="53"/>
      <c r="JUN6" s="53"/>
      <c r="JUO6" s="53"/>
      <c r="JUP6" s="53"/>
      <c r="JUQ6" s="53"/>
      <c r="JUR6" s="53"/>
      <c r="JUS6" s="53"/>
      <c r="JUT6" s="53"/>
      <c r="JUU6" s="53"/>
      <c r="JUV6" s="53"/>
      <c r="JUW6" s="53"/>
      <c r="JUX6" s="53"/>
      <c r="JUY6" s="53"/>
      <c r="JUZ6" s="53"/>
      <c r="JVA6" s="53"/>
      <c r="JVB6" s="53"/>
      <c r="JVC6" s="53"/>
      <c r="JVD6" s="53"/>
      <c r="JVE6" s="53"/>
      <c r="JVF6" s="53"/>
      <c r="JVG6" s="53"/>
      <c r="JVH6" s="53"/>
      <c r="JVI6" s="53"/>
      <c r="JVJ6" s="53"/>
      <c r="JVK6" s="53"/>
      <c r="JVL6" s="53"/>
      <c r="JVM6" s="53"/>
      <c r="JVN6" s="53"/>
      <c r="JVO6" s="53"/>
      <c r="JVP6" s="53"/>
      <c r="JVQ6" s="53"/>
      <c r="JVR6" s="53"/>
      <c r="JVS6" s="53"/>
      <c r="JVT6" s="53"/>
      <c r="JVU6" s="53"/>
      <c r="JVV6" s="53"/>
      <c r="JVW6" s="53"/>
      <c r="JVX6" s="53"/>
      <c r="JVY6" s="53"/>
      <c r="JVZ6" s="53"/>
      <c r="JWA6" s="53"/>
      <c r="JWB6" s="53"/>
      <c r="JWC6" s="53"/>
      <c r="JWD6" s="53"/>
      <c r="JWE6" s="53"/>
      <c r="JWF6" s="53"/>
      <c r="JWG6" s="53"/>
      <c r="JWH6" s="53"/>
      <c r="JWI6" s="53"/>
      <c r="JWJ6" s="53"/>
      <c r="JWK6" s="53"/>
      <c r="JWL6" s="53"/>
      <c r="JWM6" s="53"/>
      <c r="JWN6" s="53"/>
      <c r="JWO6" s="53"/>
      <c r="JWP6" s="53"/>
      <c r="JWQ6" s="53"/>
      <c r="JWR6" s="53"/>
      <c r="JWS6" s="53"/>
      <c r="JWT6" s="53"/>
      <c r="JWU6" s="53"/>
      <c r="JWV6" s="53"/>
      <c r="JWW6" s="53"/>
      <c r="JWX6" s="53"/>
      <c r="JWY6" s="53"/>
      <c r="JWZ6" s="53"/>
      <c r="JXA6" s="53"/>
      <c r="JXB6" s="53"/>
      <c r="JXC6" s="53"/>
      <c r="JXD6" s="53"/>
      <c r="JXE6" s="53"/>
      <c r="JXF6" s="53"/>
      <c r="JXG6" s="53"/>
      <c r="JXH6" s="53"/>
      <c r="JXI6" s="53"/>
      <c r="JXJ6" s="53"/>
      <c r="JXK6" s="53"/>
      <c r="JXL6" s="53"/>
      <c r="JXM6" s="53"/>
      <c r="JXN6" s="53"/>
      <c r="JXO6" s="53"/>
      <c r="JXP6" s="53"/>
      <c r="JXQ6" s="53"/>
      <c r="JXR6" s="53"/>
      <c r="JXS6" s="53"/>
      <c r="JXT6" s="53"/>
      <c r="JXU6" s="53"/>
      <c r="JXV6" s="53"/>
      <c r="JXW6" s="53"/>
      <c r="JXX6" s="53"/>
      <c r="JXY6" s="53"/>
      <c r="JXZ6" s="53"/>
      <c r="JYA6" s="53"/>
      <c r="JYB6" s="53"/>
      <c r="JYC6" s="53"/>
      <c r="JYD6" s="53"/>
      <c r="JYE6" s="53"/>
      <c r="JYF6" s="53"/>
      <c r="JYG6" s="53"/>
      <c r="JYH6" s="53"/>
      <c r="JYI6" s="53"/>
      <c r="JYJ6" s="53"/>
      <c r="JYK6" s="53"/>
      <c r="JYL6" s="53"/>
      <c r="JYM6" s="53"/>
      <c r="JYN6" s="53"/>
      <c r="JYO6" s="53"/>
      <c r="JYP6" s="53"/>
      <c r="JYQ6" s="53"/>
      <c r="JYR6" s="53"/>
      <c r="JYS6" s="53"/>
      <c r="JYT6" s="53"/>
      <c r="JYU6" s="53"/>
      <c r="JYV6" s="53"/>
      <c r="JYW6" s="53"/>
      <c r="JYX6" s="53"/>
      <c r="JYY6" s="53"/>
      <c r="JYZ6" s="53"/>
      <c r="JZA6" s="53"/>
      <c r="JZB6" s="53"/>
      <c r="JZC6" s="53"/>
      <c r="JZD6" s="53"/>
      <c r="JZE6" s="53"/>
      <c r="JZF6" s="53"/>
      <c r="JZG6" s="53"/>
      <c r="JZH6" s="53"/>
      <c r="JZI6" s="53"/>
      <c r="JZJ6" s="53"/>
      <c r="JZK6" s="53"/>
      <c r="JZL6" s="53"/>
      <c r="JZM6" s="53"/>
      <c r="JZN6" s="53"/>
      <c r="JZO6" s="53"/>
      <c r="JZP6" s="53"/>
      <c r="JZQ6" s="53"/>
      <c r="JZR6" s="53"/>
      <c r="JZS6" s="53"/>
      <c r="JZT6" s="53"/>
      <c r="JZU6" s="53"/>
      <c r="JZV6" s="53"/>
      <c r="JZW6" s="53"/>
      <c r="JZX6" s="53"/>
      <c r="JZY6" s="53"/>
      <c r="JZZ6" s="53"/>
      <c r="KAA6" s="53"/>
      <c r="KAB6" s="53"/>
      <c r="KAC6" s="53"/>
      <c r="KAD6" s="53"/>
      <c r="KAE6" s="53"/>
      <c r="KAF6" s="53"/>
      <c r="KAG6" s="53"/>
      <c r="KAH6" s="53"/>
      <c r="KAI6" s="53"/>
      <c r="KAJ6" s="53"/>
      <c r="KAK6" s="53"/>
      <c r="KAL6" s="53"/>
      <c r="KAM6" s="53"/>
      <c r="KAN6" s="53"/>
      <c r="KAO6" s="53"/>
      <c r="KAP6" s="53"/>
      <c r="KAQ6" s="53"/>
      <c r="KAR6" s="53"/>
      <c r="KAS6" s="53"/>
      <c r="KAT6" s="53"/>
      <c r="KAU6" s="53"/>
      <c r="KAV6" s="53"/>
      <c r="KAW6" s="53"/>
      <c r="KAX6" s="53"/>
      <c r="KAY6" s="53"/>
      <c r="KAZ6" s="53"/>
      <c r="KBA6" s="53"/>
      <c r="KBB6" s="53"/>
      <c r="KBC6" s="53"/>
      <c r="KBD6" s="53"/>
      <c r="KBE6" s="53"/>
      <c r="KBF6" s="53"/>
      <c r="KBG6" s="53"/>
      <c r="KBH6" s="53"/>
      <c r="KBI6" s="53"/>
      <c r="KBJ6" s="53"/>
      <c r="KBK6" s="53"/>
      <c r="KBL6" s="53"/>
      <c r="KBM6" s="53"/>
      <c r="KBN6" s="53"/>
      <c r="KBO6" s="53"/>
      <c r="KBP6" s="53"/>
      <c r="KBQ6" s="53"/>
      <c r="KBR6" s="53"/>
      <c r="KBS6" s="53"/>
      <c r="KBT6" s="53"/>
      <c r="KBU6" s="53"/>
      <c r="KBV6" s="53"/>
      <c r="KBW6" s="53"/>
      <c r="KBX6" s="53"/>
      <c r="KBY6" s="53"/>
      <c r="KBZ6" s="53"/>
      <c r="KCA6" s="53"/>
      <c r="KCB6" s="53"/>
      <c r="KCC6" s="53"/>
      <c r="KCD6" s="53"/>
      <c r="KCE6" s="53"/>
      <c r="KCF6" s="53"/>
      <c r="KCG6" s="53"/>
      <c r="KCH6" s="53"/>
      <c r="KCI6" s="53"/>
      <c r="KCJ6" s="53"/>
      <c r="KCK6" s="53"/>
      <c r="KCL6" s="53"/>
      <c r="KCM6" s="53"/>
      <c r="KCN6" s="53"/>
      <c r="KCO6" s="53"/>
      <c r="KCP6" s="53"/>
      <c r="KCQ6" s="53"/>
      <c r="KCR6" s="53"/>
      <c r="KCS6" s="53"/>
      <c r="KCT6" s="53"/>
      <c r="KCU6" s="53"/>
      <c r="KCV6" s="53"/>
      <c r="KCW6" s="53"/>
      <c r="KCX6" s="53"/>
      <c r="KCY6" s="53"/>
      <c r="KCZ6" s="53"/>
      <c r="KDA6" s="53"/>
      <c r="KDB6" s="53"/>
      <c r="KDC6" s="53"/>
      <c r="KDD6" s="53"/>
      <c r="KDE6" s="53"/>
      <c r="KDF6" s="53"/>
      <c r="KDG6" s="53"/>
      <c r="KDH6" s="53"/>
      <c r="KDI6" s="53"/>
      <c r="KDJ6" s="53"/>
      <c r="KDK6" s="53"/>
      <c r="KDL6" s="53"/>
      <c r="KDM6" s="53"/>
      <c r="KDN6" s="53"/>
      <c r="KDO6" s="53"/>
      <c r="KDP6" s="53"/>
      <c r="KDQ6" s="53"/>
      <c r="KDR6" s="53"/>
      <c r="KDS6" s="53"/>
      <c r="KDT6" s="53"/>
      <c r="KDU6" s="53"/>
      <c r="KDV6" s="53"/>
      <c r="KDW6" s="53"/>
      <c r="KDX6" s="53"/>
      <c r="KDY6" s="53"/>
      <c r="KDZ6" s="53"/>
      <c r="KEA6" s="53"/>
      <c r="KEB6" s="53"/>
      <c r="KEC6" s="53"/>
      <c r="KED6" s="53"/>
      <c r="KEE6" s="53"/>
      <c r="KEF6" s="53"/>
      <c r="KEG6" s="53"/>
      <c r="KEH6" s="53"/>
      <c r="KEI6" s="53"/>
      <c r="KEJ6" s="53"/>
      <c r="KEK6" s="53"/>
      <c r="KEL6" s="53"/>
      <c r="KEM6" s="53"/>
      <c r="KEN6" s="53"/>
      <c r="KEO6" s="53"/>
      <c r="KEP6" s="53"/>
      <c r="KEQ6" s="53"/>
      <c r="KER6" s="53"/>
      <c r="KES6" s="53"/>
      <c r="KET6" s="53"/>
      <c r="KEU6" s="53"/>
      <c r="KEV6" s="53"/>
      <c r="KEW6" s="53"/>
      <c r="KEX6" s="53"/>
      <c r="KEY6" s="53"/>
      <c r="KEZ6" s="53"/>
      <c r="KFA6" s="53"/>
      <c r="KFB6" s="53"/>
      <c r="KFC6" s="53"/>
      <c r="KFD6" s="53"/>
      <c r="KFE6" s="53"/>
      <c r="KFF6" s="53"/>
      <c r="KFG6" s="53"/>
      <c r="KFH6" s="53"/>
      <c r="KFI6" s="53"/>
      <c r="KFJ6" s="53"/>
      <c r="KFK6" s="53"/>
      <c r="KFL6" s="53"/>
      <c r="KFM6" s="53"/>
      <c r="KFN6" s="53"/>
      <c r="KFO6" s="53"/>
      <c r="KFP6" s="53"/>
      <c r="KFQ6" s="53"/>
      <c r="KFR6" s="53"/>
      <c r="KFS6" s="53"/>
      <c r="KFT6" s="53"/>
      <c r="KFU6" s="53"/>
      <c r="KFV6" s="53"/>
      <c r="KFW6" s="53"/>
      <c r="KFX6" s="53"/>
      <c r="KFY6" s="53"/>
      <c r="KFZ6" s="53"/>
      <c r="KGA6" s="53"/>
      <c r="KGB6" s="53"/>
      <c r="KGC6" s="53"/>
      <c r="KGD6" s="53"/>
      <c r="KGE6" s="53"/>
      <c r="KGF6" s="53"/>
      <c r="KGG6" s="53"/>
      <c r="KGH6" s="53"/>
      <c r="KGI6" s="53"/>
      <c r="KGJ6" s="53"/>
      <c r="KGK6" s="53"/>
      <c r="KGL6" s="53"/>
      <c r="KGM6" s="53"/>
      <c r="KGN6" s="53"/>
      <c r="KGO6" s="53"/>
      <c r="KGP6" s="53"/>
      <c r="KGQ6" s="53"/>
      <c r="KGR6" s="53"/>
      <c r="KGS6" s="53"/>
      <c r="KGT6" s="53"/>
      <c r="KGU6" s="53"/>
      <c r="KGV6" s="53"/>
      <c r="KGW6" s="53"/>
      <c r="KGX6" s="53"/>
      <c r="KGY6" s="53"/>
      <c r="KGZ6" s="53"/>
      <c r="KHA6" s="53"/>
      <c r="KHB6" s="53"/>
      <c r="KHC6" s="53"/>
      <c r="KHD6" s="53"/>
      <c r="KHE6" s="53"/>
      <c r="KHF6" s="53"/>
      <c r="KHG6" s="53"/>
      <c r="KHH6" s="53"/>
      <c r="KHI6" s="53"/>
      <c r="KHJ6" s="53"/>
      <c r="KHK6" s="53"/>
      <c r="KHL6" s="53"/>
      <c r="KHM6" s="53"/>
      <c r="KHN6" s="53"/>
      <c r="KHO6" s="53"/>
      <c r="KHP6" s="53"/>
      <c r="KHQ6" s="53"/>
      <c r="KHR6" s="53"/>
      <c r="KHS6" s="53"/>
      <c r="KHT6" s="53"/>
      <c r="KHU6" s="53"/>
      <c r="KHV6" s="53"/>
      <c r="KHW6" s="53"/>
      <c r="KHX6" s="53"/>
      <c r="KHY6" s="53"/>
      <c r="KHZ6" s="53"/>
      <c r="KIA6" s="53"/>
      <c r="KIB6" s="53"/>
      <c r="KIC6" s="53"/>
      <c r="KID6" s="53"/>
      <c r="KIE6" s="53"/>
      <c r="KIF6" s="53"/>
      <c r="KIG6" s="53"/>
      <c r="KIH6" s="53"/>
      <c r="KII6" s="53"/>
      <c r="KIJ6" s="53"/>
      <c r="KIK6" s="53"/>
      <c r="KIL6" s="53"/>
      <c r="KIM6" s="53"/>
      <c r="KIN6" s="53"/>
      <c r="KIO6" s="53"/>
      <c r="KIP6" s="53"/>
      <c r="KIQ6" s="53"/>
      <c r="KIR6" s="53"/>
      <c r="KIS6" s="53"/>
      <c r="KIT6" s="53"/>
      <c r="KIU6" s="53"/>
      <c r="KIV6" s="53"/>
      <c r="KIW6" s="53"/>
      <c r="KIX6" s="53"/>
      <c r="KIY6" s="53"/>
      <c r="KIZ6" s="53"/>
      <c r="KJA6" s="53"/>
      <c r="KJB6" s="53"/>
      <c r="KJC6" s="53"/>
      <c r="KJD6" s="53"/>
      <c r="KJE6" s="53"/>
      <c r="KJF6" s="53"/>
      <c r="KJG6" s="53"/>
      <c r="KJH6" s="53"/>
      <c r="KJI6" s="53"/>
      <c r="KJJ6" s="53"/>
      <c r="KJK6" s="53"/>
      <c r="KJL6" s="53"/>
      <c r="KJM6" s="53"/>
      <c r="KJN6" s="53"/>
      <c r="KJO6" s="53"/>
      <c r="KJP6" s="53"/>
      <c r="KJQ6" s="53"/>
      <c r="KJR6" s="53"/>
      <c r="KJS6" s="53"/>
      <c r="KJT6" s="53"/>
      <c r="KJU6" s="53"/>
      <c r="KJV6" s="53"/>
      <c r="KJW6" s="53"/>
      <c r="KJX6" s="53"/>
      <c r="KJY6" s="53"/>
      <c r="KJZ6" s="53"/>
      <c r="KKA6" s="53"/>
      <c r="KKB6" s="53"/>
      <c r="KKC6" s="53"/>
      <c r="KKD6" s="53"/>
      <c r="KKE6" s="53"/>
      <c r="KKF6" s="53"/>
      <c r="KKG6" s="53"/>
      <c r="KKH6" s="53"/>
      <c r="KKI6" s="53"/>
      <c r="KKJ6" s="53"/>
      <c r="KKK6" s="53"/>
      <c r="KKL6" s="53"/>
      <c r="KKM6" s="53"/>
      <c r="KKN6" s="53"/>
      <c r="KKO6" s="53"/>
      <c r="KKP6" s="53"/>
      <c r="KKQ6" s="53"/>
      <c r="KKR6" s="53"/>
      <c r="KKS6" s="53"/>
      <c r="KKT6" s="53"/>
      <c r="KKU6" s="53"/>
      <c r="KKV6" s="53"/>
      <c r="KKW6" s="53"/>
      <c r="KKX6" s="53"/>
      <c r="KKY6" s="53"/>
      <c r="KKZ6" s="53"/>
      <c r="KLA6" s="53"/>
      <c r="KLB6" s="53"/>
      <c r="KLC6" s="53"/>
      <c r="KLD6" s="53"/>
      <c r="KLE6" s="53"/>
      <c r="KLF6" s="53"/>
      <c r="KLG6" s="53"/>
      <c r="KLH6" s="53"/>
      <c r="KLI6" s="53"/>
      <c r="KLJ6" s="53"/>
      <c r="KLK6" s="53"/>
      <c r="KLL6" s="53"/>
      <c r="KLM6" s="53"/>
      <c r="KLN6" s="53"/>
      <c r="KLO6" s="53"/>
      <c r="KLP6" s="53"/>
      <c r="KLQ6" s="53"/>
      <c r="KLR6" s="53"/>
      <c r="KLS6" s="53"/>
      <c r="KLT6" s="53"/>
      <c r="KLU6" s="53"/>
      <c r="KLV6" s="53"/>
      <c r="KLW6" s="53"/>
      <c r="KLX6" s="53"/>
      <c r="KLY6" s="53"/>
      <c r="KLZ6" s="53"/>
      <c r="KMA6" s="53"/>
      <c r="KMB6" s="53"/>
      <c r="KMC6" s="53"/>
      <c r="KMD6" s="53"/>
      <c r="KME6" s="53"/>
      <c r="KMF6" s="53"/>
      <c r="KMG6" s="53"/>
      <c r="KMH6" s="53"/>
      <c r="KMI6" s="53"/>
      <c r="KMJ6" s="53"/>
      <c r="KMK6" s="53"/>
      <c r="KML6" s="53"/>
      <c r="KMM6" s="53"/>
      <c r="KMN6" s="53"/>
      <c r="KMO6" s="53"/>
      <c r="KMP6" s="53"/>
      <c r="KMQ6" s="53"/>
      <c r="KMR6" s="53"/>
      <c r="KMS6" s="53"/>
      <c r="KMT6" s="53"/>
      <c r="KMU6" s="53"/>
      <c r="KMV6" s="53"/>
      <c r="KMW6" s="53"/>
      <c r="KMX6" s="53"/>
      <c r="KMY6" s="53"/>
      <c r="KMZ6" s="53"/>
      <c r="KNA6" s="53"/>
      <c r="KNB6" s="53"/>
      <c r="KNC6" s="53"/>
      <c r="KND6" s="53"/>
      <c r="KNE6" s="53"/>
      <c r="KNF6" s="53"/>
      <c r="KNG6" s="53"/>
      <c r="KNH6" s="53"/>
      <c r="KNI6" s="53"/>
      <c r="KNJ6" s="53"/>
      <c r="KNK6" s="53"/>
      <c r="KNL6" s="53"/>
      <c r="KNM6" s="53"/>
      <c r="KNN6" s="53"/>
      <c r="KNO6" s="53"/>
      <c r="KNP6" s="53"/>
      <c r="KNQ6" s="53"/>
      <c r="KNR6" s="53"/>
      <c r="KNS6" s="53"/>
      <c r="KNT6" s="53"/>
      <c r="KNU6" s="53"/>
      <c r="KNV6" s="53"/>
      <c r="KNW6" s="53"/>
      <c r="KNX6" s="53"/>
      <c r="KNY6" s="53"/>
      <c r="KNZ6" s="53"/>
      <c r="KOA6" s="53"/>
      <c r="KOB6" s="53"/>
      <c r="KOC6" s="53"/>
      <c r="KOD6" s="53"/>
      <c r="KOE6" s="53"/>
      <c r="KOF6" s="53"/>
      <c r="KOG6" s="53"/>
      <c r="KOH6" s="53"/>
      <c r="KOI6" s="53"/>
      <c r="KOJ6" s="53"/>
      <c r="KOK6" s="53"/>
      <c r="KOL6" s="53"/>
      <c r="KOM6" s="53"/>
      <c r="KON6" s="53"/>
      <c r="KOO6" s="53"/>
      <c r="KOP6" s="53"/>
      <c r="KOQ6" s="53"/>
      <c r="KOR6" s="53"/>
      <c r="KOS6" s="53"/>
      <c r="KOT6" s="53"/>
      <c r="KOU6" s="53"/>
      <c r="KOV6" s="53"/>
      <c r="KOW6" s="53"/>
      <c r="KOX6" s="53"/>
      <c r="KOY6" s="53"/>
      <c r="KOZ6" s="53"/>
      <c r="KPA6" s="53"/>
      <c r="KPB6" s="53"/>
      <c r="KPC6" s="53"/>
      <c r="KPD6" s="53"/>
      <c r="KPE6" s="53"/>
      <c r="KPF6" s="53"/>
      <c r="KPG6" s="53"/>
      <c r="KPH6" s="53"/>
      <c r="KPI6" s="53"/>
      <c r="KPJ6" s="53"/>
      <c r="KPK6" s="53"/>
      <c r="KPL6" s="53"/>
      <c r="KPM6" s="53"/>
      <c r="KPN6" s="53"/>
      <c r="KPO6" s="53"/>
      <c r="KPP6" s="53"/>
      <c r="KPQ6" s="53"/>
      <c r="KPR6" s="53"/>
      <c r="KPS6" s="53"/>
      <c r="KPT6" s="53"/>
      <c r="KPU6" s="53"/>
      <c r="KPV6" s="53"/>
      <c r="KPW6" s="53"/>
      <c r="KPX6" s="53"/>
      <c r="KPY6" s="53"/>
      <c r="KPZ6" s="53"/>
      <c r="KQA6" s="53"/>
      <c r="KQB6" s="53"/>
      <c r="KQC6" s="53"/>
      <c r="KQD6" s="53"/>
      <c r="KQE6" s="53"/>
      <c r="KQF6" s="53"/>
      <c r="KQG6" s="53"/>
      <c r="KQH6" s="53"/>
      <c r="KQI6" s="53"/>
      <c r="KQJ6" s="53"/>
      <c r="KQK6" s="53"/>
      <c r="KQL6" s="53"/>
      <c r="KQM6" s="53"/>
      <c r="KQN6" s="53"/>
      <c r="KQO6" s="53"/>
      <c r="KQP6" s="53"/>
      <c r="KQQ6" s="53"/>
      <c r="KQR6" s="53"/>
      <c r="KQS6" s="53"/>
      <c r="KQT6" s="53"/>
      <c r="KQU6" s="53"/>
      <c r="KQV6" s="53"/>
      <c r="KQW6" s="53"/>
      <c r="KQX6" s="53"/>
      <c r="KQY6" s="53"/>
      <c r="KQZ6" s="53"/>
      <c r="KRA6" s="53"/>
      <c r="KRB6" s="53"/>
      <c r="KRC6" s="53"/>
      <c r="KRD6" s="53"/>
      <c r="KRE6" s="53"/>
      <c r="KRF6" s="53"/>
      <c r="KRG6" s="53"/>
      <c r="KRH6" s="53"/>
      <c r="KRI6" s="53"/>
      <c r="KRJ6" s="53"/>
      <c r="KRK6" s="53"/>
      <c r="KRL6" s="53"/>
      <c r="KRM6" s="53"/>
      <c r="KRN6" s="53"/>
      <c r="KRO6" s="53"/>
      <c r="KRP6" s="53"/>
      <c r="KRQ6" s="53"/>
      <c r="KRR6" s="53"/>
      <c r="KRS6" s="53"/>
      <c r="KRT6" s="53"/>
      <c r="KRU6" s="53"/>
      <c r="KRV6" s="53"/>
      <c r="KRW6" s="53"/>
      <c r="KRX6" s="53"/>
      <c r="KRY6" s="53"/>
      <c r="KRZ6" s="53"/>
      <c r="KSA6" s="53"/>
      <c r="KSB6" s="53"/>
      <c r="KSC6" s="53"/>
      <c r="KSD6" s="53"/>
      <c r="KSE6" s="53"/>
      <c r="KSF6" s="53"/>
      <c r="KSG6" s="53"/>
      <c r="KSH6" s="53"/>
      <c r="KSI6" s="53"/>
      <c r="KSJ6" s="53"/>
      <c r="KSK6" s="53"/>
      <c r="KSL6" s="53"/>
      <c r="KSM6" s="53"/>
      <c r="KSN6" s="53"/>
      <c r="KSO6" s="53"/>
      <c r="KSP6" s="53"/>
      <c r="KSQ6" s="53"/>
      <c r="KSR6" s="53"/>
      <c r="KSS6" s="53"/>
      <c r="KST6" s="53"/>
      <c r="KSU6" s="53"/>
      <c r="KSV6" s="53"/>
      <c r="KSW6" s="53"/>
      <c r="KSX6" s="53"/>
      <c r="KSY6" s="53"/>
      <c r="KSZ6" s="53"/>
      <c r="KTA6" s="53"/>
      <c r="KTB6" s="53"/>
      <c r="KTC6" s="53"/>
      <c r="KTD6" s="53"/>
      <c r="KTE6" s="53"/>
      <c r="KTF6" s="53"/>
      <c r="KTG6" s="53"/>
      <c r="KTH6" s="53"/>
      <c r="KTI6" s="53"/>
      <c r="KTJ6" s="53"/>
      <c r="KTK6" s="53"/>
      <c r="KTL6" s="53"/>
      <c r="KTM6" s="53"/>
      <c r="KTN6" s="53"/>
      <c r="KTO6" s="53"/>
      <c r="KTP6" s="53"/>
      <c r="KTQ6" s="53"/>
      <c r="KTR6" s="53"/>
      <c r="KTS6" s="53"/>
      <c r="KTT6" s="53"/>
      <c r="KTU6" s="53"/>
      <c r="KTV6" s="53"/>
      <c r="KTW6" s="53"/>
      <c r="KTX6" s="53"/>
      <c r="KTY6" s="53"/>
      <c r="KTZ6" s="53"/>
      <c r="KUA6" s="53"/>
      <c r="KUB6" s="53"/>
      <c r="KUC6" s="53"/>
      <c r="KUD6" s="53"/>
      <c r="KUE6" s="53"/>
      <c r="KUF6" s="53"/>
      <c r="KUG6" s="53"/>
      <c r="KUH6" s="53"/>
      <c r="KUI6" s="53"/>
      <c r="KUJ6" s="53"/>
      <c r="KUK6" s="53"/>
      <c r="KUL6" s="53"/>
      <c r="KUM6" s="53"/>
      <c r="KUN6" s="53"/>
      <c r="KUO6" s="53"/>
      <c r="KUP6" s="53"/>
      <c r="KUQ6" s="53"/>
      <c r="KUR6" s="53"/>
      <c r="KUS6" s="53"/>
      <c r="KUT6" s="53"/>
      <c r="KUU6" s="53"/>
      <c r="KUV6" s="53"/>
      <c r="KUW6" s="53"/>
      <c r="KUX6" s="53"/>
      <c r="KUY6" s="53"/>
      <c r="KUZ6" s="53"/>
      <c r="KVA6" s="53"/>
      <c r="KVB6" s="53"/>
      <c r="KVC6" s="53"/>
      <c r="KVD6" s="53"/>
      <c r="KVE6" s="53"/>
      <c r="KVF6" s="53"/>
      <c r="KVG6" s="53"/>
      <c r="KVH6" s="53"/>
      <c r="KVI6" s="53"/>
      <c r="KVJ6" s="53"/>
      <c r="KVK6" s="53"/>
      <c r="KVL6" s="53"/>
      <c r="KVM6" s="53"/>
      <c r="KVN6" s="53"/>
      <c r="KVO6" s="53"/>
      <c r="KVP6" s="53"/>
      <c r="KVQ6" s="53"/>
      <c r="KVR6" s="53"/>
      <c r="KVS6" s="53"/>
      <c r="KVT6" s="53"/>
      <c r="KVU6" s="53"/>
      <c r="KVV6" s="53"/>
      <c r="KVW6" s="53"/>
      <c r="KVX6" s="53"/>
      <c r="KVY6" s="53"/>
      <c r="KVZ6" s="53"/>
      <c r="KWA6" s="53"/>
      <c r="KWB6" s="53"/>
      <c r="KWC6" s="53"/>
      <c r="KWD6" s="53"/>
      <c r="KWE6" s="53"/>
      <c r="KWF6" s="53"/>
      <c r="KWG6" s="53"/>
      <c r="KWH6" s="53"/>
      <c r="KWI6" s="53"/>
      <c r="KWJ6" s="53"/>
      <c r="KWK6" s="53"/>
      <c r="KWL6" s="53"/>
      <c r="KWM6" s="53"/>
      <c r="KWN6" s="53"/>
      <c r="KWO6" s="53"/>
      <c r="KWP6" s="53"/>
      <c r="KWQ6" s="53"/>
      <c r="KWR6" s="53"/>
      <c r="KWS6" s="53"/>
      <c r="KWT6" s="53"/>
      <c r="KWU6" s="53"/>
      <c r="KWV6" s="53"/>
      <c r="KWW6" s="53"/>
      <c r="KWX6" s="53"/>
      <c r="KWY6" s="53"/>
      <c r="KWZ6" s="53"/>
      <c r="KXA6" s="53"/>
      <c r="KXB6" s="53"/>
      <c r="KXC6" s="53"/>
      <c r="KXD6" s="53"/>
      <c r="KXE6" s="53"/>
      <c r="KXF6" s="53"/>
      <c r="KXG6" s="53"/>
      <c r="KXH6" s="53"/>
      <c r="KXI6" s="53"/>
      <c r="KXJ6" s="53"/>
      <c r="KXK6" s="53"/>
      <c r="KXL6" s="53"/>
      <c r="KXM6" s="53"/>
      <c r="KXN6" s="53"/>
      <c r="KXO6" s="53"/>
      <c r="KXP6" s="53"/>
      <c r="KXQ6" s="53"/>
      <c r="KXR6" s="53"/>
      <c r="KXS6" s="53"/>
      <c r="KXT6" s="53"/>
      <c r="KXU6" s="53"/>
      <c r="KXV6" s="53"/>
      <c r="KXW6" s="53"/>
      <c r="KXX6" s="53"/>
      <c r="KXY6" s="53"/>
      <c r="KXZ6" s="53"/>
      <c r="KYA6" s="53"/>
      <c r="KYB6" s="53"/>
      <c r="KYC6" s="53"/>
      <c r="KYD6" s="53"/>
      <c r="KYE6" s="53"/>
      <c r="KYF6" s="53"/>
      <c r="KYG6" s="53"/>
      <c r="KYH6" s="53"/>
      <c r="KYI6" s="53"/>
      <c r="KYJ6" s="53"/>
      <c r="KYK6" s="53"/>
      <c r="KYL6" s="53"/>
      <c r="KYM6" s="53"/>
      <c r="KYN6" s="53"/>
      <c r="KYO6" s="53"/>
      <c r="KYP6" s="53"/>
      <c r="KYQ6" s="53"/>
      <c r="KYR6" s="53"/>
      <c r="KYS6" s="53"/>
      <c r="KYT6" s="53"/>
      <c r="KYU6" s="53"/>
      <c r="KYV6" s="53"/>
      <c r="KYW6" s="53"/>
      <c r="KYX6" s="53"/>
      <c r="KYY6" s="53"/>
      <c r="KYZ6" s="53"/>
      <c r="KZA6" s="53"/>
      <c r="KZB6" s="53"/>
      <c r="KZC6" s="53"/>
      <c r="KZD6" s="53"/>
      <c r="KZE6" s="53"/>
      <c r="KZF6" s="53"/>
      <c r="KZG6" s="53"/>
      <c r="KZH6" s="53"/>
      <c r="KZI6" s="53"/>
      <c r="KZJ6" s="53"/>
      <c r="KZK6" s="53"/>
      <c r="KZL6" s="53"/>
      <c r="KZM6" s="53"/>
      <c r="KZN6" s="53"/>
      <c r="KZO6" s="53"/>
      <c r="KZP6" s="53"/>
      <c r="KZQ6" s="53"/>
      <c r="KZR6" s="53"/>
      <c r="KZS6" s="53"/>
      <c r="KZT6" s="53"/>
      <c r="KZU6" s="53"/>
      <c r="KZV6" s="53"/>
      <c r="KZW6" s="53"/>
      <c r="KZX6" s="53"/>
      <c r="KZY6" s="53"/>
      <c r="KZZ6" s="53"/>
      <c r="LAA6" s="53"/>
      <c r="LAB6" s="53"/>
      <c r="LAC6" s="53"/>
      <c r="LAD6" s="53"/>
      <c r="LAE6" s="53"/>
      <c r="LAF6" s="53"/>
      <c r="LAG6" s="53"/>
      <c r="LAH6" s="53"/>
      <c r="LAI6" s="53"/>
      <c r="LAJ6" s="53"/>
      <c r="LAK6" s="53"/>
      <c r="LAL6" s="53"/>
      <c r="LAM6" s="53"/>
      <c r="LAN6" s="53"/>
      <c r="LAO6" s="53"/>
      <c r="LAP6" s="53"/>
      <c r="LAQ6" s="53"/>
      <c r="LAR6" s="53"/>
      <c r="LAS6" s="53"/>
      <c r="LAT6" s="53"/>
      <c r="LAU6" s="53"/>
      <c r="LAV6" s="53"/>
      <c r="LAW6" s="53"/>
      <c r="LAX6" s="53"/>
      <c r="LAY6" s="53"/>
      <c r="LAZ6" s="53"/>
      <c r="LBA6" s="53"/>
      <c r="LBB6" s="53"/>
      <c r="LBC6" s="53"/>
      <c r="LBD6" s="53"/>
      <c r="LBE6" s="53"/>
      <c r="LBF6" s="53"/>
      <c r="LBG6" s="53"/>
      <c r="LBH6" s="53"/>
      <c r="LBI6" s="53"/>
      <c r="LBJ6" s="53"/>
      <c r="LBK6" s="53"/>
      <c r="LBL6" s="53"/>
      <c r="LBM6" s="53"/>
      <c r="LBN6" s="53"/>
      <c r="LBO6" s="53"/>
      <c r="LBP6" s="53"/>
      <c r="LBQ6" s="53"/>
      <c r="LBR6" s="53"/>
      <c r="LBS6" s="53"/>
      <c r="LBT6" s="53"/>
      <c r="LBU6" s="53"/>
      <c r="LBV6" s="53"/>
      <c r="LBW6" s="53"/>
      <c r="LBX6" s="53"/>
      <c r="LBY6" s="53"/>
      <c r="LBZ6" s="53"/>
      <c r="LCA6" s="53"/>
      <c r="LCB6" s="53"/>
      <c r="LCC6" s="53"/>
      <c r="LCD6" s="53"/>
      <c r="LCE6" s="53"/>
      <c r="LCF6" s="53"/>
      <c r="LCG6" s="53"/>
      <c r="LCH6" s="53"/>
      <c r="LCI6" s="53"/>
      <c r="LCJ6" s="53"/>
      <c r="LCK6" s="53"/>
      <c r="LCL6" s="53"/>
      <c r="LCM6" s="53"/>
      <c r="LCN6" s="53"/>
      <c r="LCO6" s="53"/>
      <c r="LCP6" s="53"/>
      <c r="LCQ6" s="53"/>
      <c r="LCR6" s="53"/>
      <c r="LCS6" s="53"/>
      <c r="LCT6" s="53"/>
      <c r="LCU6" s="53"/>
      <c r="LCV6" s="53"/>
      <c r="LCW6" s="53"/>
      <c r="LCX6" s="53"/>
      <c r="LCY6" s="53"/>
      <c r="LCZ6" s="53"/>
      <c r="LDA6" s="53"/>
      <c r="LDB6" s="53"/>
      <c r="LDC6" s="53"/>
      <c r="LDD6" s="53"/>
      <c r="LDE6" s="53"/>
      <c r="LDF6" s="53"/>
      <c r="LDG6" s="53"/>
      <c r="LDH6" s="53"/>
      <c r="LDI6" s="53"/>
      <c r="LDJ6" s="53"/>
      <c r="LDK6" s="53"/>
      <c r="LDL6" s="53"/>
      <c r="LDM6" s="53"/>
      <c r="LDN6" s="53"/>
      <c r="LDO6" s="53"/>
      <c r="LDP6" s="53"/>
      <c r="LDQ6" s="53"/>
      <c r="LDR6" s="53"/>
      <c r="LDS6" s="53"/>
      <c r="LDT6" s="53"/>
      <c r="LDU6" s="53"/>
      <c r="LDV6" s="53"/>
      <c r="LDW6" s="53"/>
      <c r="LDX6" s="53"/>
      <c r="LDY6" s="53"/>
      <c r="LDZ6" s="53"/>
      <c r="LEA6" s="53"/>
      <c r="LEB6" s="53"/>
      <c r="LEC6" s="53"/>
      <c r="LED6" s="53"/>
      <c r="LEE6" s="53"/>
      <c r="LEF6" s="53"/>
      <c r="LEG6" s="53"/>
      <c r="LEH6" s="53"/>
      <c r="LEI6" s="53"/>
      <c r="LEJ6" s="53"/>
      <c r="LEK6" s="53"/>
      <c r="LEL6" s="53"/>
      <c r="LEM6" s="53"/>
      <c r="LEN6" s="53"/>
      <c r="LEO6" s="53"/>
      <c r="LEP6" s="53"/>
      <c r="LEQ6" s="53"/>
      <c r="LER6" s="53"/>
      <c r="LES6" s="53"/>
      <c r="LET6" s="53"/>
      <c r="LEU6" s="53"/>
      <c r="LEV6" s="53"/>
      <c r="LEW6" s="53"/>
      <c r="LEX6" s="53"/>
      <c r="LEY6" s="53"/>
      <c r="LEZ6" s="53"/>
      <c r="LFA6" s="53"/>
      <c r="LFB6" s="53"/>
      <c r="LFC6" s="53"/>
      <c r="LFD6" s="53"/>
      <c r="LFE6" s="53"/>
      <c r="LFF6" s="53"/>
      <c r="LFG6" s="53"/>
      <c r="LFH6" s="53"/>
      <c r="LFI6" s="53"/>
      <c r="LFJ6" s="53"/>
      <c r="LFK6" s="53"/>
      <c r="LFL6" s="53"/>
      <c r="LFM6" s="53"/>
      <c r="LFN6" s="53"/>
      <c r="LFO6" s="53"/>
      <c r="LFP6" s="53"/>
      <c r="LFQ6" s="53"/>
      <c r="LFR6" s="53"/>
      <c r="LFS6" s="53"/>
      <c r="LFT6" s="53"/>
      <c r="LFU6" s="53"/>
      <c r="LFV6" s="53"/>
      <c r="LFW6" s="53"/>
      <c r="LFX6" s="53"/>
      <c r="LFY6" s="53"/>
      <c r="LFZ6" s="53"/>
      <c r="LGA6" s="53"/>
      <c r="LGB6" s="53"/>
      <c r="LGC6" s="53"/>
      <c r="LGD6" s="53"/>
      <c r="LGE6" s="53"/>
      <c r="LGF6" s="53"/>
      <c r="LGG6" s="53"/>
      <c r="LGH6" s="53"/>
      <c r="LGI6" s="53"/>
      <c r="LGJ6" s="53"/>
      <c r="LGK6" s="53"/>
      <c r="LGL6" s="53"/>
      <c r="LGM6" s="53"/>
      <c r="LGN6" s="53"/>
      <c r="LGO6" s="53"/>
      <c r="LGP6" s="53"/>
      <c r="LGQ6" s="53"/>
      <c r="LGR6" s="53"/>
      <c r="LGS6" s="53"/>
      <c r="LGT6" s="53"/>
      <c r="LGU6" s="53"/>
      <c r="LGV6" s="53"/>
      <c r="LGW6" s="53"/>
      <c r="LGX6" s="53"/>
      <c r="LGY6" s="53"/>
      <c r="LGZ6" s="53"/>
      <c r="LHA6" s="53"/>
      <c r="LHB6" s="53"/>
      <c r="LHC6" s="53"/>
      <c r="LHD6" s="53"/>
      <c r="LHE6" s="53"/>
      <c r="LHF6" s="53"/>
      <c r="LHG6" s="53"/>
      <c r="LHH6" s="53"/>
      <c r="LHI6" s="53"/>
      <c r="LHJ6" s="53"/>
      <c r="LHK6" s="53"/>
      <c r="LHL6" s="53"/>
      <c r="LHM6" s="53"/>
      <c r="LHN6" s="53"/>
      <c r="LHO6" s="53"/>
      <c r="LHP6" s="53"/>
      <c r="LHQ6" s="53"/>
      <c r="LHR6" s="53"/>
      <c r="LHS6" s="53"/>
      <c r="LHT6" s="53"/>
      <c r="LHU6" s="53"/>
      <c r="LHV6" s="53"/>
      <c r="LHW6" s="53"/>
      <c r="LHX6" s="53"/>
      <c r="LHY6" s="53"/>
      <c r="LHZ6" s="53"/>
      <c r="LIA6" s="53"/>
      <c r="LIB6" s="53"/>
      <c r="LIC6" s="53"/>
      <c r="LID6" s="53"/>
      <c r="LIE6" s="53"/>
      <c r="LIF6" s="53"/>
      <c r="LIG6" s="53"/>
      <c r="LIH6" s="53"/>
      <c r="LII6" s="53"/>
      <c r="LIJ6" s="53"/>
      <c r="LIK6" s="53"/>
      <c r="LIL6" s="53"/>
      <c r="LIM6" s="53"/>
      <c r="LIN6" s="53"/>
      <c r="LIO6" s="53"/>
      <c r="LIP6" s="53"/>
      <c r="LIQ6" s="53"/>
      <c r="LIR6" s="53"/>
      <c r="LIS6" s="53"/>
      <c r="LIT6" s="53"/>
      <c r="LIU6" s="53"/>
      <c r="LIV6" s="53"/>
      <c r="LIW6" s="53"/>
      <c r="LIX6" s="53"/>
      <c r="LIY6" s="53"/>
      <c r="LIZ6" s="53"/>
      <c r="LJA6" s="53"/>
      <c r="LJB6" s="53"/>
      <c r="LJC6" s="53"/>
      <c r="LJD6" s="53"/>
      <c r="LJE6" s="53"/>
      <c r="LJF6" s="53"/>
      <c r="LJG6" s="53"/>
      <c r="LJH6" s="53"/>
      <c r="LJI6" s="53"/>
      <c r="LJJ6" s="53"/>
      <c r="LJK6" s="53"/>
      <c r="LJL6" s="53"/>
      <c r="LJM6" s="53"/>
      <c r="LJN6" s="53"/>
      <c r="LJO6" s="53"/>
      <c r="LJP6" s="53"/>
      <c r="LJQ6" s="53"/>
      <c r="LJR6" s="53"/>
      <c r="LJS6" s="53"/>
      <c r="LJT6" s="53"/>
      <c r="LJU6" s="53"/>
      <c r="LJV6" s="53"/>
      <c r="LJW6" s="53"/>
      <c r="LJX6" s="53"/>
      <c r="LJY6" s="53"/>
      <c r="LJZ6" s="53"/>
      <c r="LKA6" s="53"/>
      <c r="LKB6" s="53"/>
      <c r="LKC6" s="53"/>
      <c r="LKD6" s="53"/>
      <c r="LKE6" s="53"/>
      <c r="LKF6" s="53"/>
      <c r="LKG6" s="53"/>
      <c r="LKH6" s="53"/>
      <c r="LKI6" s="53"/>
      <c r="LKJ6" s="53"/>
      <c r="LKK6" s="53"/>
      <c r="LKL6" s="53"/>
      <c r="LKM6" s="53"/>
      <c r="LKN6" s="53"/>
      <c r="LKO6" s="53"/>
      <c r="LKP6" s="53"/>
      <c r="LKQ6" s="53"/>
      <c r="LKR6" s="53"/>
      <c r="LKS6" s="53"/>
      <c r="LKT6" s="53"/>
      <c r="LKU6" s="53"/>
      <c r="LKV6" s="53"/>
      <c r="LKW6" s="53"/>
      <c r="LKX6" s="53"/>
      <c r="LKY6" s="53"/>
      <c r="LKZ6" s="53"/>
      <c r="LLA6" s="53"/>
      <c r="LLB6" s="53"/>
      <c r="LLC6" s="53"/>
      <c r="LLD6" s="53"/>
      <c r="LLE6" s="53"/>
      <c r="LLF6" s="53"/>
      <c r="LLG6" s="53"/>
      <c r="LLH6" s="53"/>
      <c r="LLI6" s="53"/>
      <c r="LLJ6" s="53"/>
      <c r="LLK6" s="53"/>
      <c r="LLL6" s="53"/>
      <c r="LLM6" s="53"/>
      <c r="LLN6" s="53"/>
      <c r="LLO6" s="53"/>
      <c r="LLP6" s="53"/>
      <c r="LLQ6" s="53"/>
      <c r="LLR6" s="53"/>
      <c r="LLS6" s="53"/>
      <c r="LLT6" s="53"/>
      <c r="LLU6" s="53"/>
      <c r="LLV6" s="53"/>
      <c r="LLW6" s="53"/>
      <c r="LLX6" s="53"/>
      <c r="LLY6" s="53"/>
      <c r="LLZ6" s="53"/>
      <c r="LMA6" s="53"/>
      <c r="LMB6" s="53"/>
      <c r="LMC6" s="53"/>
      <c r="LMD6" s="53"/>
      <c r="LME6" s="53"/>
      <c r="LMF6" s="53"/>
      <c r="LMG6" s="53"/>
      <c r="LMH6" s="53"/>
      <c r="LMI6" s="53"/>
      <c r="LMJ6" s="53"/>
      <c r="LMK6" s="53"/>
      <c r="LML6" s="53"/>
      <c r="LMM6" s="53"/>
      <c r="LMN6" s="53"/>
      <c r="LMO6" s="53"/>
      <c r="LMP6" s="53"/>
      <c r="LMQ6" s="53"/>
      <c r="LMR6" s="53"/>
      <c r="LMS6" s="53"/>
      <c r="LMT6" s="53"/>
      <c r="LMU6" s="53"/>
      <c r="LMV6" s="53"/>
      <c r="LMW6" s="53"/>
      <c r="LMX6" s="53"/>
      <c r="LMY6" s="53"/>
      <c r="LMZ6" s="53"/>
      <c r="LNA6" s="53"/>
      <c r="LNB6" s="53"/>
      <c r="LNC6" s="53"/>
      <c r="LND6" s="53"/>
      <c r="LNE6" s="53"/>
      <c r="LNF6" s="53"/>
      <c r="LNG6" s="53"/>
      <c r="LNH6" s="53"/>
      <c r="LNI6" s="53"/>
      <c r="LNJ6" s="53"/>
      <c r="LNK6" s="53"/>
      <c r="LNL6" s="53"/>
      <c r="LNM6" s="53"/>
      <c r="LNN6" s="53"/>
      <c r="LNO6" s="53"/>
      <c r="LNP6" s="53"/>
      <c r="LNQ6" s="53"/>
      <c r="LNR6" s="53"/>
      <c r="LNS6" s="53"/>
      <c r="LNT6" s="53"/>
      <c r="LNU6" s="53"/>
      <c r="LNV6" s="53"/>
      <c r="LNW6" s="53"/>
      <c r="LNX6" s="53"/>
      <c r="LNY6" s="53"/>
      <c r="LNZ6" s="53"/>
      <c r="LOA6" s="53"/>
      <c r="LOB6" s="53"/>
      <c r="LOC6" s="53"/>
      <c r="LOD6" s="53"/>
      <c r="LOE6" s="53"/>
      <c r="LOF6" s="53"/>
      <c r="LOG6" s="53"/>
      <c r="LOH6" s="53"/>
      <c r="LOI6" s="53"/>
      <c r="LOJ6" s="53"/>
      <c r="LOK6" s="53"/>
      <c r="LOL6" s="53"/>
      <c r="LOM6" s="53"/>
      <c r="LON6" s="53"/>
      <c r="LOO6" s="53"/>
      <c r="LOP6" s="53"/>
      <c r="LOQ6" s="53"/>
      <c r="LOR6" s="53"/>
      <c r="LOS6" s="53"/>
      <c r="LOT6" s="53"/>
      <c r="LOU6" s="53"/>
      <c r="LOV6" s="53"/>
      <c r="LOW6" s="53"/>
      <c r="LOX6" s="53"/>
      <c r="LOY6" s="53"/>
      <c r="LOZ6" s="53"/>
      <c r="LPA6" s="53"/>
      <c r="LPB6" s="53"/>
      <c r="LPC6" s="53"/>
      <c r="LPD6" s="53"/>
      <c r="LPE6" s="53"/>
      <c r="LPF6" s="53"/>
      <c r="LPG6" s="53"/>
      <c r="LPH6" s="53"/>
      <c r="LPI6" s="53"/>
      <c r="LPJ6" s="53"/>
      <c r="LPK6" s="53"/>
      <c r="LPL6" s="53"/>
      <c r="LPM6" s="53"/>
      <c r="LPN6" s="53"/>
      <c r="LPO6" s="53"/>
      <c r="LPP6" s="53"/>
      <c r="LPQ6" s="53"/>
      <c r="LPR6" s="53"/>
      <c r="LPS6" s="53"/>
      <c r="LPT6" s="53"/>
      <c r="LPU6" s="53"/>
      <c r="LPV6" s="53"/>
      <c r="LPW6" s="53"/>
      <c r="LPX6" s="53"/>
      <c r="LPY6" s="53"/>
      <c r="LPZ6" s="53"/>
      <c r="LQA6" s="53"/>
      <c r="LQB6" s="53"/>
      <c r="LQC6" s="53"/>
      <c r="LQD6" s="53"/>
      <c r="LQE6" s="53"/>
      <c r="LQF6" s="53"/>
      <c r="LQG6" s="53"/>
      <c r="LQH6" s="53"/>
      <c r="LQI6" s="53"/>
      <c r="LQJ6" s="53"/>
      <c r="LQK6" s="53"/>
      <c r="LQL6" s="53"/>
      <c r="LQM6" s="53"/>
      <c r="LQN6" s="53"/>
      <c r="LQO6" s="53"/>
      <c r="LQP6" s="53"/>
      <c r="LQQ6" s="53"/>
      <c r="LQR6" s="53"/>
      <c r="LQS6" s="53"/>
      <c r="LQT6" s="53"/>
      <c r="LQU6" s="53"/>
      <c r="LQV6" s="53"/>
      <c r="LQW6" s="53"/>
      <c r="LQX6" s="53"/>
      <c r="LQY6" s="53"/>
      <c r="LQZ6" s="53"/>
      <c r="LRA6" s="53"/>
      <c r="LRB6" s="53"/>
      <c r="LRC6" s="53"/>
      <c r="LRD6" s="53"/>
      <c r="LRE6" s="53"/>
      <c r="LRF6" s="53"/>
      <c r="LRG6" s="53"/>
      <c r="LRH6" s="53"/>
      <c r="LRI6" s="53"/>
      <c r="LRJ6" s="53"/>
      <c r="LRK6" s="53"/>
      <c r="LRL6" s="53"/>
      <c r="LRM6" s="53"/>
      <c r="LRN6" s="53"/>
      <c r="LRO6" s="53"/>
      <c r="LRP6" s="53"/>
      <c r="LRQ6" s="53"/>
      <c r="LRR6" s="53"/>
      <c r="LRS6" s="53"/>
      <c r="LRT6" s="53"/>
      <c r="LRU6" s="53"/>
      <c r="LRV6" s="53"/>
      <c r="LRW6" s="53"/>
      <c r="LRX6" s="53"/>
      <c r="LRY6" s="53"/>
      <c r="LRZ6" s="53"/>
      <c r="LSA6" s="53"/>
      <c r="LSB6" s="53"/>
      <c r="LSC6" s="53"/>
      <c r="LSD6" s="53"/>
      <c r="LSE6" s="53"/>
      <c r="LSF6" s="53"/>
      <c r="LSG6" s="53"/>
      <c r="LSH6" s="53"/>
      <c r="LSI6" s="53"/>
      <c r="LSJ6" s="53"/>
      <c r="LSK6" s="53"/>
      <c r="LSL6" s="53"/>
      <c r="LSM6" s="53"/>
      <c r="LSN6" s="53"/>
      <c r="LSO6" s="53"/>
      <c r="LSP6" s="53"/>
      <c r="LSQ6" s="53"/>
      <c r="LSR6" s="53"/>
      <c r="LSS6" s="53"/>
      <c r="LST6" s="53"/>
      <c r="LSU6" s="53"/>
      <c r="LSV6" s="53"/>
      <c r="LSW6" s="53"/>
      <c r="LSX6" s="53"/>
      <c r="LSY6" s="53"/>
      <c r="LSZ6" s="53"/>
      <c r="LTA6" s="53"/>
      <c r="LTB6" s="53"/>
      <c r="LTC6" s="53"/>
      <c r="LTD6" s="53"/>
      <c r="LTE6" s="53"/>
      <c r="LTF6" s="53"/>
      <c r="LTG6" s="53"/>
      <c r="LTH6" s="53"/>
      <c r="LTI6" s="53"/>
      <c r="LTJ6" s="53"/>
      <c r="LTK6" s="53"/>
      <c r="LTL6" s="53"/>
      <c r="LTM6" s="53"/>
      <c r="LTN6" s="53"/>
      <c r="LTO6" s="53"/>
      <c r="LTP6" s="53"/>
      <c r="LTQ6" s="53"/>
      <c r="LTR6" s="53"/>
      <c r="LTS6" s="53"/>
      <c r="LTT6" s="53"/>
      <c r="LTU6" s="53"/>
      <c r="LTV6" s="53"/>
      <c r="LTW6" s="53"/>
      <c r="LTX6" s="53"/>
      <c r="LTY6" s="53"/>
      <c r="LTZ6" s="53"/>
      <c r="LUA6" s="53"/>
      <c r="LUB6" s="53"/>
      <c r="LUC6" s="53"/>
      <c r="LUD6" s="53"/>
      <c r="LUE6" s="53"/>
      <c r="LUF6" s="53"/>
      <c r="LUG6" s="53"/>
      <c r="LUH6" s="53"/>
      <c r="LUI6" s="53"/>
      <c r="LUJ6" s="53"/>
      <c r="LUK6" s="53"/>
      <c r="LUL6" s="53"/>
      <c r="LUM6" s="53"/>
      <c r="LUN6" s="53"/>
      <c r="LUO6" s="53"/>
      <c r="LUP6" s="53"/>
      <c r="LUQ6" s="53"/>
      <c r="LUR6" s="53"/>
      <c r="LUS6" s="53"/>
      <c r="LUT6" s="53"/>
      <c r="LUU6" s="53"/>
      <c r="LUV6" s="53"/>
      <c r="LUW6" s="53"/>
      <c r="LUX6" s="53"/>
      <c r="LUY6" s="53"/>
      <c r="LUZ6" s="53"/>
      <c r="LVA6" s="53"/>
      <c r="LVB6" s="53"/>
      <c r="LVC6" s="53"/>
      <c r="LVD6" s="53"/>
      <c r="LVE6" s="53"/>
      <c r="LVF6" s="53"/>
      <c r="LVG6" s="53"/>
      <c r="LVH6" s="53"/>
      <c r="LVI6" s="53"/>
      <c r="LVJ6" s="53"/>
      <c r="LVK6" s="53"/>
      <c r="LVL6" s="53"/>
      <c r="LVM6" s="53"/>
      <c r="LVN6" s="53"/>
      <c r="LVO6" s="53"/>
      <c r="LVP6" s="53"/>
      <c r="LVQ6" s="53"/>
      <c r="LVR6" s="53"/>
      <c r="LVS6" s="53"/>
      <c r="LVT6" s="53"/>
      <c r="LVU6" s="53"/>
      <c r="LVV6" s="53"/>
      <c r="LVW6" s="53"/>
      <c r="LVX6" s="53"/>
      <c r="LVY6" s="53"/>
      <c r="LVZ6" s="53"/>
      <c r="LWA6" s="53"/>
      <c r="LWB6" s="53"/>
      <c r="LWC6" s="53"/>
      <c r="LWD6" s="53"/>
      <c r="LWE6" s="53"/>
      <c r="LWF6" s="53"/>
      <c r="LWG6" s="53"/>
      <c r="LWH6" s="53"/>
      <c r="LWI6" s="53"/>
      <c r="LWJ6" s="53"/>
      <c r="LWK6" s="53"/>
      <c r="LWL6" s="53"/>
      <c r="LWM6" s="53"/>
      <c r="LWN6" s="53"/>
      <c r="LWO6" s="53"/>
      <c r="LWP6" s="53"/>
      <c r="LWQ6" s="53"/>
      <c r="LWR6" s="53"/>
      <c r="LWS6" s="53"/>
      <c r="LWT6" s="53"/>
      <c r="LWU6" s="53"/>
      <c r="LWV6" s="53"/>
      <c r="LWW6" s="53"/>
      <c r="LWX6" s="53"/>
      <c r="LWY6" s="53"/>
      <c r="LWZ6" s="53"/>
      <c r="LXA6" s="53"/>
      <c r="LXB6" s="53"/>
      <c r="LXC6" s="53"/>
      <c r="LXD6" s="53"/>
      <c r="LXE6" s="53"/>
      <c r="LXF6" s="53"/>
      <c r="LXG6" s="53"/>
      <c r="LXH6" s="53"/>
      <c r="LXI6" s="53"/>
      <c r="LXJ6" s="53"/>
      <c r="LXK6" s="53"/>
      <c r="LXL6" s="53"/>
      <c r="LXM6" s="53"/>
      <c r="LXN6" s="53"/>
      <c r="LXO6" s="53"/>
      <c r="LXP6" s="53"/>
      <c r="LXQ6" s="53"/>
      <c r="LXR6" s="53"/>
      <c r="LXS6" s="53"/>
      <c r="LXT6" s="53"/>
      <c r="LXU6" s="53"/>
      <c r="LXV6" s="53"/>
      <c r="LXW6" s="53"/>
      <c r="LXX6" s="53"/>
      <c r="LXY6" s="53"/>
      <c r="LXZ6" s="53"/>
      <c r="LYA6" s="53"/>
      <c r="LYB6" s="53"/>
      <c r="LYC6" s="53"/>
      <c r="LYD6" s="53"/>
      <c r="LYE6" s="53"/>
      <c r="LYF6" s="53"/>
      <c r="LYG6" s="53"/>
      <c r="LYH6" s="53"/>
      <c r="LYI6" s="53"/>
      <c r="LYJ6" s="53"/>
      <c r="LYK6" s="53"/>
      <c r="LYL6" s="53"/>
      <c r="LYM6" s="53"/>
      <c r="LYN6" s="53"/>
      <c r="LYO6" s="53"/>
      <c r="LYP6" s="53"/>
      <c r="LYQ6" s="53"/>
      <c r="LYR6" s="53"/>
      <c r="LYS6" s="53"/>
      <c r="LYT6" s="53"/>
      <c r="LYU6" s="53"/>
      <c r="LYV6" s="53"/>
      <c r="LYW6" s="53"/>
      <c r="LYX6" s="53"/>
      <c r="LYY6" s="53"/>
      <c r="LYZ6" s="53"/>
      <c r="LZA6" s="53"/>
      <c r="LZB6" s="53"/>
      <c r="LZC6" s="53"/>
      <c r="LZD6" s="53"/>
      <c r="LZE6" s="53"/>
      <c r="LZF6" s="53"/>
      <c r="LZG6" s="53"/>
      <c r="LZH6" s="53"/>
      <c r="LZI6" s="53"/>
      <c r="LZJ6" s="53"/>
      <c r="LZK6" s="53"/>
      <c r="LZL6" s="53"/>
      <c r="LZM6" s="53"/>
      <c r="LZN6" s="53"/>
      <c r="LZO6" s="53"/>
      <c r="LZP6" s="53"/>
      <c r="LZQ6" s="53"/>
      <c r="LZR6" s="53"/>
      <c r="LZS6" s="53"/>
      <c r="LZT6" s="53"/>
      <c r="LZU6" s="53"/>
      <c r="LZV6" s="53"/>
      <c r="LZW6" s="53"/>
      <c r="LZX6" s="53"/>
      <c r="LZY6" s="53"/>
      <c r="LZZ6" s="53"/>
      <c r="MAA6" s="53"/>
      <c r="MAB6" s="53"/>
      <c r="MAC6" s="53"/>
      <c r="MAD6" s="53"/>
      <c r="MAE6" s="53"/>
      <c r="MAF6" s="53"/>
      <c r="MAG6" s="53"/>
      <c r="MAH6" s="53"/>
      <c r="MAI6" s="53"/>
      <c r="MAJ6" s="53"/>
      <c r="MAK6" s="53"/>
      <c r="MAL6" s="53"/>
      <c r="MAM6" s="53"/>
      <c r="MAN6" s="53"/>
      <c r="MAO6" s="53"/>
      <c r="MAP6" s="53"/>
      <c r="MAQ6" s="53"/>
      <c r="MAR6" s="53"/>
      <c r="MAS6" s="53"/>
      <c r="MAT6" s="53"/>
      <c r="MAU6" s="53"/>
      <c r="MAV6" s="53"/>
      <c r="MAW6" s="53"/>
      <c r="MAX6" s="53"/>
      <c r="MAY6" s="53"/>
      <c r="MAZ6" s="53"/>
      <c r="MBA6" s="53"/>
      <c r="MBB6" s="53"/>
      <c r="MBC6" s="53"/>
      <c r="MBD6" s="53"/>
      <c r="MBE6" s="53"/>
      <c r="MBF6" s="53"/>
      <c r="MBG6" s="53"/>
      <c r="MBH6" s="53"/>
      <c r="MBI6" s="53"/>
      <c r="MBJ6" s="53"/>
      <c r="MBK6" s="53"/>
      <c r="MBL6" s="53"/>
      <c r="MBM6" s="53"/>
      <c r="MBN6" s="53"/>
      <c r="MBO6" s="53"/>
      <c r="MBP6" s="53"/>
      <c r="MBQ6" s="53"/>
      <c r="MBR6" s="53"/>
      <c r="MBS6" s="53"/>
      <c r="MBT6" s="53"/>
      <c r="MBU6" s="53"/>
      <c r="MBV6" s="53"/>
      <c r="MBW6" s="53"/>
      <c r="MBX6" s="53"/>
      <c r="MBY6" s="53"/>
      <c r="MBZ6" s="53"/>
      <c r="MCA6" s="53"/>
      <c r="MCB6" s="53"/>
      <c r="MCC6" s="53"/>
      <c r="MCD6" s="53"/>
      <c r="MCE6" s="53"/>
      <c r="MCF6" s="53"/>
      <c r="MCG6" s="53"/>
      <c r="MCH6" s="53"/>
      <c r="MCI6" s="53"/>
      <c r="MCJ6" s="53"/>
      <c r="MCK6" s="53"/>
      <c r="MCL6" s="53"/>
      <c r="MCM6" s="53"/>
      <c r="MCN6" s="53"/>
      <c r="MCO6" s="53"/>
      <c r="MCP6" s="53"/>
      <c r="MCQ6" s="53"/>
      <c r="MCR6" s="53"/>
      <c r="MCS6" s="53"/>
      <c r="MCT6" s="53"/>
      <c r="MCU6" s="53"/>
      <c r="MCV6" s="53"/>
      <c r="MCW6" s="53"/>
      <c r="MCX6" s="53"/>
      <c r="MCY6" s="53"/>
      <c r="MCZ6" s="53"/>
      <c r="MDA6" s="53"/>
      <c r="MDB6" s="53"/>
      <c r="MDC6" s="53"/>
      <c r="MDD6" s="53"/>
      <c r="MDE6" s="53"/>
      <c r="MDF6" s="53"/>
      <c r="MDG6" s="53"/>
      <c r="MDH6" s="53"/>
      <c r="MDI6" s="53"/>
      <c r="MDJ6" s="53"/>
      <c r="MDK6" s="53"/>
      <c r="MDL6" s="53"/>
      <c r="MDM6" s="53"/>
      <c r="MDN6" s="53"/>
      <c r="MDO6" s="53"/>
      <c r="MDP6" s="53"/>
      <c r="MDQ6" s="53"/>
      <c r="MDR6" s="53"/>
      <c r="MDS6" s="53"/>
      <c r="MDT6" s="53"/>
      <c r="MDU6" s="53"/>
      <c r="MDV6" s="53"/>
      <c r="MDW6" s="53"/>
      <c r="MDX6" s="53"/>
      <c r="MDY6" s="53"/>
      <c r="MDZ6" s="53"/>
      <c r="MEA6" s="53"/>
      <c r="MEB6" s="53"/>
      <c r="MEC6" s="53"/>
      <c r="MED6" s="53"/>
      <c r="MEE6" s="53"/>
      <c r="MEF6" s="53"/>
      <c r="MEG6" s="53"/>
      <c r="MEH6" s="53"/>
      <c r="MEI6" s="53"/>
      <c r="MEJ6" s="53"/>
      <c r="MEK6" s="53"/>
      <c r="MEL6" s="53"/>
      <c r="MEM6" s="53"/>
      <c r="MEN6" s="53"/>
      <c r="MEO6" s="53"/>
      <c r="MEP6" s="53"/>
      <c r="MEQ6" s="53"/>
      <c r="MER6" s="53"/>
      <c r="MES6" s="53"/>
      <c r="MET6" s="53"/>
      <c r="MEU6" s="53"/>
      <c r="MEV6" s="53"/>
      <c r="MEW6" s="53"/>
      <c r="MEX6" s="53"/>
      <c r="MEY6" s="53"/>
      <c r="MEZ6" s="53"/>
      <c r="MFA6" s="53"/>
      <c r="MFB6" s="53"/>
      <c r="MFC6" s="53"/>
      <c r="MFD6" s="53"/>
      <c r="MFE6" s="53"/>
      <c r="MFF6" s="53"/>
      <c r="MFG6" s="53"/>
      <c r="MFH6" s="53"/>
      <c r="MFI6" s="53"/>
      <c r="MFJ6" s="53"/>
      <c r="MFK6" s="53"/>
      <c r="MFL6" s="53"/>
      <c r="MFM6" s="53"/>
      <c r="MFN6" s="53"/>
      <c r="MFO6" s="53"/>
      <c r="MFP6" s="53"/>
      <c r="MFQ6" s="53"/>
      <c r="MFR6" s="53"/>
      <c r="MFS6" s="53"/>
      <c r="MFT6" s="53"/>
      <c r="MFU6" s="53"/>
      <c r="MFV6" s="53"/>
      <c r="MFW6" s="53"/>
      <c r="MFX6" s="53"/>
      <c r="MFY6" s="53"/>
      <c r="MFZ6" s="53"/>
      <c r="MGA6" s="53"/>
      <c r="MGB6" s="53"/>
      <c r="MGC6" s="53"/>
      <c r="MGD6" s="53"/>
      <c r="MGE6" s="53"/>
      <c r="MGF6" s="53"/>
      <c r="MGG6" s="53"/>
      <c r="MGH6" s="53"/>
      <c r="MGI6" s="53"/>
      <c r="MGJ6" s="53"/>
      <c r="MGK6" s="53"/>
      <c r="MGL6" s="53"/>
      <c r="MGM6" s="53"/>
      <c r="MGN6" s="53"/>
      <c r="MGO6" s="53"/>
      <c r="MGP6" s="53"/>
      <c r="MGQ6" s="53"/>
      <c r="MGR6" s="53"/>
      <c r="MGS6" s="53"/>
      <c r="MGT6" s="53"/>
      <c r="MGU6" s="53"/>
      <c r="MGV6" s="53"/>
      <c r="MGW6" s="53"/>
      <c r="MGX6" s="53"/>
      <c r="MGY6" s="53"/>
      <c r="MGZ6" s="53"/>
      <c r="MHA6" s="53"/>
      <c r="MHB6" s="53"/>
      <c r="MHC6" s="53"/>
      <c r="MHD6" s="53"/>
      <c r="MHE6" s="53"/>
      <c r="MHF6" s="53"/>
      <c r="MHG6" s="53"/>
      <c r="MHH6" s="53"/>
      <c r="MHI6" s="53"/>
      <c r="MHJ6" s="53"/>
      <c r="MHK6" s="53"/>
      <c r="MHL6" s="53"/>
      <c r="MHM6" s="53"/>
      <c r="MHN6" s="53"/>
      <c r="MHO6" s="53"/>
      <c r="MHP6" s="53"/>
      <c r="MHQ6" s="53"/>
      <c r="MHR6" s="53"/>
      <c r="MHS6" s="53"/>
      <c r="MHT6" s="53"/>
      <c r="MHU6" s="53"/>
      <c r="MHV6" s="53"/>
      <c r="MHW6" s="53"/>
      <c r="MHX6" s="53"/>
      <c r="MHY6" s="53"/>
      <c r="MHZ6" s="53"/>
      <c r="MIA6" s="53"/>
      <c r="MIB6" s="53"/>
      <c r="MIC6" s="53"/>
      <c r="MID6" s="53"/>
      <c r="MIE6" s="53"/>
      <c r="MIF6" s="53"/>
      <c r="MIG6" s="53"/>
      <c r="MIH6" s="53"/>
      <c r="MII6" s="53"/>
      <c r="MIJ6" s="53"/>
      <c r="MIK6" s="53"/>
      <c r="MIL6" s="53"/>
      <c r="MIM6" s="53"/>
      <c r="MIN6" s="53"/>
      <c r="MIO6" s="53"/>
      <c r="MIP6" s="53"/>
      <c r="MIQ6" s="53"/>
      <c r="MIR6" s="53"/>
      <c r="MIS6" s="53"/>
      <c r="MIT6" s="53"/>
      <c r="MIU6" s="53"/>
      <c r="MIV6" s="53"/>
      <c r="MIW6" s="53"/>
      <c r="MIX6" s="53"/>
      <c r="MIY6" s="53"/>
      <c r="MIZ6" s="53"/>
      <c r="MJA6" s="53"/>
      <c r="MJB6" s="53"/>
      <c r="MJC6" s="53"/>
      <c r="MJD6" s="53"/>
      <c r="MJE6" s="53"/>
      <c r="MJF6" s="53"/>
      <c r="MJG6" s="53"/>
      <c r="MJH6" s="53"/>
      <c r="MJI6" s="53"/>
      <c r="MJJ6" s="53"/>
      <c r="MJK6" s="53"/>
      <c r="MJL6" s="53"/>
      <c r="MJM6" s="53"/>
      <c r="MJN6" s="53"/>
      <c r="MJO6" s="53"/>
      <c r="MJP6" s="53"/>
      <c r="MJQ6" s="53"/>
      <c r="MJR6" s="53"/>
      <c r="MJS6" s="53"/>
      <c r="MJT6" s="53"/>
      <c r="MJU6" s="53"/>
      <c r="MJV6" s="53"/>
      <c r="MJW6" s="53"/>
      <c r="MJX6" s="53"/>
      <c r="MJY6" s="53"/>
      <c r="MJZ6" s="53"/>
      <c r="MKA6" s="53"/>
      <c r="MKB6" s="53"/>
      <c r="MKC6" s="53"/>
      <c r="MKD6" s="53"/>
      <c r="MKE6" s="53"/>
      <c r="MKF6" s="53"/>
      <c r="MKG6" s="53"/>
      <c r="MKH6" s="53"/>
      <c r="MKI6" s="53"/>
      <c r="MKJ6" s="53"/>
      <c r="MKK6" s="53"/>
      <c r="MKL6" s="53"/>
      <c r="MKM6" s="53"/>
      <c r="MKN6" s="53"/>
      <c r="MKO6" s="53"/>
      <c r="MKP6" s="53"/>
      <c r="MKQ6" s="53"/>
      <c r="MKR6" s="53"/>
      <c r="MKS6" s="53"/>
      <c r="MKT6" s="53"/>
      <c r="MKU6" s="53"/>
      <c r="MKV6" s="53"/>
      <c r="MKW6" s="53"/>
      <c r="MKX6" s="53"/>
      <c r="MKY6" s="53"/>
      <c r="MKZ6" s="53"/>
      <c r="MLA6" s="53"/>
      <c r="MLB6" s="53"/>
      <c r="MLC6" s="53"/>
      <c r="MLD6" s="53"/>
      <c r="MLE6" s="53"/>
      <c r="MLF6" s="53"/>
      <c r="MLG6" s="53"/>
      <c r="MLH6" s="53"/>
      <c r="MLI6" s="53"/>
      <c r="MLJ6" s="53"/>
      <c r="MLK6" s="53"/>
      <c r="MLL6" s="53"/>
      <c r="MLM6" s="53"/>
      <c r="MLN6" s="53"/>
      <c r="MLO6" s="53"/>
      <c r="MLP6" s="53"/>
      <c r="MLQ6" s="53"/>
      <c r="MLR6" s="53"/>
      <c r="MLS6" s="53"/>
      <c r="MLT6" s="53"/>
      <c r="MLU6" s="53"/>
      <c r="MLV6" s="53"/>
      <c r="MLW6" s="53"/>
      <c r="MLX6" s="53"/>
      <c r="MLY6" s="53"/>
      <c r="MLZ6" s="53"/>
      <c r="MMA6" s="53"/>
      <c r="MMB6" s="53"/>
      <c r="MMC6" s="53"/>
      <c r="MMD6" s="53"/>
      <c r="MME6" s="53"/>
      <c r="MMF6" s="53"/>
      <c r="MMG6" s="53"/>
      <c r="MMH6" s="53"/>
      <c r="MMI6" s="53"/>
      <c r="MMJ6" s="53"/>
      <c r="MMK6" s="53"/>
      <c r="MML6" s="53"/>
      <c r="MMM6" s="53"/>
      <c r="MMN6" s="53"/>
      <c r="MMO6" s="53"/>
      <c r="MMP6" s="53"/>
      <c r="MMQ6" s="53"/>
      <c r="MMR6" s="53"/>
      <c r="MMS6" s="53"/>
      <c r="MMT6" s="53"/>
      <c r="MMU6" s="53"/>
      <c r="MMV6" s="53"/>
      <c r="MMW6" s="53"/>
      <c r="MMX6" s="53"/>
      <c r="MMY6" s="53"/>
      <c r="MMZ6" s="53"/>
      <c r="MNA6" s="53"/>
      <c r="MNB6" s="53"/>
      <c r="MNC6" s="53"/>
      <c r="MND6" s="53"/>
      <c r="MNE6" s="53"/>
      <c r="MNF6" s="53"/>
      <c r="MNG6" s="53"/>
      <c r="MNH6" s="53"/>
      <c r="MNI6" s="53"/>
      <c r="MNJ6" s="53"/>
      <c r="MNK6" s="53"/>
      <c r="MNL6" s="53"/>
      <c r="MNM6" s="53"/>
      <c r="MNN6" s="53"/>
      <c r="MNO6" s="53"/>
      <c r="MNP6" s="53"/>
      <c r="MNQ6" s="53"/>
      <c r="MNR6" s="53"/>
      <c r="MNS6" s="53"/>
      <c r="MNT6" s="53"/>
      <c r="MNU6" s="53"/>
      <c r="MNV6" s="53"/>
      <c r="MNW6" s="53"/>
      <c r="MNX6" s="53"/>
      <c r="MNY6" s="53"/>
      <c r="MNZ6" s="53"/>
      <c r="MOA6" s="53"/>
      <c r="MOB6" s="53"/>
      <c r="MOC6" s="53"/>
      <c r="MOD6" s="53"/>
      <c r="MOE6" s="53"/>
      <c r="MOF6" s="53"/>
      <c r="MOG6" s="53"/>
      <c r="MOH6" s="53"/>
      <c r="MOI6" s="53"/>
      <c r="MOJ6" s="53"/>
      <c r="MOK6" s="53"/>
      <c r="MOL6" s="53"/>
      <c r="MOM6" s="53"/>
      <c r="MON6" s="53"/>
      <c r="MOO6" s="53"/>
      <c r="MOP6" s="53"/>
      <c r="MOQ6" s="53"/>
      <c r="MOR6" s="53"/>
      <c r="MOS6" s="53"/>
      <c r="MOT6" s="53"/>
      <c r="MOU6" s="53"/>
      <c r="MOV6" s="53"/>
      <c r="MOW6" s="53"/>
      <c r="MOX6" s="53"/>
      <c r="MOY6" s="53"/>
      <c r="MOZ6" s="53"/>
      <c r="MPA6" s="53"/>
      <c r="MPB6" s="53"/>
      <c r="MPC6" s="53"/>
      <c r="MPD6" s="53"/>
      <c r="MPE6" s="53"/>
      <c r="MPF6" s="53"/>
      <c r="MPG6" s="53"/>
      <c r="MPH6" s="53"/>
      <c r="MPI6" s="53"/>
      <c r="MPJ6" s="53"/>
      <c r="MPK6" s="53"/>
      <c r="MPL6" s="53"/>
      <c r="MPM6" s="53"/>
      <c r="MPN6" s="53"/>
      <c r="MPO6" s="53"/>
      <c r="MPP6" s="53"/>
      <c r="MPQ6" s="53"/>
      <c r="MPR6" s="53"/>
      <c r="MPS6" s="53"/>
      <c r="MPT6" s="53"/>
      <c r="MPU6" s="53"/>
      <c r="MPV6" s="53"/>
      <c r="MPW6" s="53"/>
      <c r="MPX6" s="53"/>
      <c r="MPY6" s="53"/>
      <c r="MPZ6" s="53"/>
      <c r="MQA6" s="53"/>
      <c r="MQB6" s="53"/>
      <c r="MQC6" s="53"/>
      <c r="MQD6" s="53"/>
      <c r="MQE6" s="53"/>
      <c r="MQF6" s="53"/>
      <c r="MQG6" s="53"/>
      <c r="MQH6" s="53"/>
      <c r="MQI6" s="53"/>
      <c r="MQJ6" s="53"/>
      <c r="MQK6" s="53"/>
      <c r="MQL6" s="53"/>
      <c r="MQM6" s="53"/>
      <c r="MQN6" s="53"/>
      <c r="MQO6" s="53"/>
      <c r="MQP6" s="53"/>
      <c r="MQQ6" s="53"/>
      <c r="MQR6" s="53"/>
      <c r="MQS6" s="53"/>
      <c r="MQT6" s="53"/>
      <c r="MQU6" s="53"/>
      <c r="MQV6" s="53"/>
      <c r="MQW6" s="53"/>
      <c r="MQX6" s="53"/>
      <c r="MQY6" s="53"/>
      <c r="MQZ6" s="53"/>
      <c r="MRA6" s="53"/>
      <c r="MRB6" s="53"/>
      <c r="MRC6" s="53"/>
      <c r="MRD6" s="53"/>
      <c r="MRE6" s="53"/>
      <c r="MRF6" s="53"/>
      <c r="MRG6" s="53"/>
      <c r="MRH6" s="53"/>
      <c r="MRI6" s="53"/>
      <c r="MRJ6" s="53"/>
      <c r="MRK6" s="53"/>
      <c r="MRL6" s="53"/>
      <c r="MRM6" s="53"/>
      <c r="MRN6" s="53"/>
      <c r="MRO6" s="53"/>
      <c r="MRP6" s="53"/>
      <c r="MRQ6" s="53"/>
      <c r="MRR6" s="53"/>
      <c r="MRS6" s="53"/>
      <c r="MRT6" s="53"/>
      <c r="MRU6" s="53"/>
      <c r="MRV6" s="53"/>
      <c r="MRW6" s="53"/>
      <c r="MRX6" s="53"/>
      <c r="MRY6" s="53"/>
      <c r="MRZ6" s="53"/>
      <c r="MSA6" s="53"/>
      <c r="MSB6" s="53"/>
      <c r="MSC6" s="53"/>
      <c r="MSD6" s="53"/>
      <c r="MSE6" s="53"/>
      <c r="MSF6" s="53"/>
      <c r="MSG6" s="53"/>
      <c r="MSH6" s="53"/>
      <c r="MSI6" s="53"/>
      <c r="MSJ6" s="53"/>
      <c r="MSK6" s="53"/>
      <c r="MSL6" s="53"/>
      <c r="MSM6" s="53"/>
      <c r="MSN6" s="53"/>
      <c r="MSO6" s="53"/>
      <c r="MSP6" s="53"/>
      <c r="MSQ6" s="53"/>
      <c r="MSR6" s="53"/>
      <c r="MSS6" s="53"/>
      <c r="MST6" s="53"/>
      <c r="MSU6" s="53"/>
      <c r="MSV6" s="53"/>
      <c r="MSW6" s="53"/>
      <c r="MSX6" s="53"/>
      <c r="MSY6" s="53"/>
      <c r="MSZ6" s="53"/>
      <c r="MTA6" s="53"/>
      <c r="MTB6" s="53"/>
      <c r="MTC6" s="53"/>
      <c r="MTD6" s="53"/>
      <c r="MTE6" s="53"/>
      <c r="MTF6" s="53"/>
      <c r="MTG6" s="53"/>
      <c r="MTH6" s="53"/>
      <c r="MTI6" s="53"/>
      <c r="MTJ6" s="53"/>
      <c r="MTK6" s="53"/>
      <c r="MTL6" s="53"/>
      <c r="MTM6" s="53"/>
      <c r="MTN6" s="53"/>
      <c r="MTO6" s="53"/>
      <c r="MTP6" s="53"/>
      <c r="MTQ6" s="53"/>
      <c r="MTR6" s="53"/>
      <c r="MTS6" s="53"/>
      <c r="MTT6" s="53"/>
      <c r="MTU6" s="53"/>
      <c r="MTV6" s="53"/>
      <c r="MTW6" s="53"/>
      <c r="MTX6" s="53"/>
      <c r="MTY6" s="53"/>
      <c r="MTZ6" s="53"/>
      <c r="MUA6" s="53"/>
      <c r="MUB6" s="53"/>
      <c r="MUC6" s="53"/>
      <c r="MUD6" s="53"/>
      <c r="MUE6" s="53"/>
      <c r="MUF6" s="53"/>
      <c r="MUG6" s="53"/>
      <c r="MUH6" s="53"/>
      <c r="MUI6" s="53"/>
      <c r="MUJ6" s="53"/>
      <c r="MUK6" s="53"/>
      <c r="MUL6" s="53"/>
      <c r="MUM6" s="53"/>
      <c r="MUN6" s="53"/>
      <c r="MUO6" s="53"/>
      <c r="MUP6" s="53"/>
      <c r="MUQ6" s="53"/>
      <c r="MUR6" s="53"/>
      <c r="MUS6" s="53"/>
      <c r="MUT6" s="53"/>
      <c r="MUU6" s="53"/>
      <c r="MUV6" s="53"/>
      <c r="MUW6" s="53"/>
      <c r="MUX6" s="53"/>
      <c r="MUY6" s="53"/>
      <c r="MUZ6" s="53"/>
      <c r="MVA6" s="53"/>
      <c r="MVB6" s="53"/>
      <c r="MVC6" s="53"/>
      <c r="MVD6" s="53"/>
      <c r="MVE6" s="53"/>
      <c r="MVF6" s="53"/>
      <c r="MVG6" s="53"/>
      <c r="MVH6" s="53"/>
      <c r="MVI6" s="53"/>
      <c r="MVJ6" s="53"/>
      <c r="MVK6" s="53"/>
      <c r="MVL6" s="53"/>
      <c r="MVM6" s="53"/>
      <c r="MVN6" s="53"/>
      <c r="MVO6" s="53"/>
      <c r="MVP6" s="53"/>
      <c r="MVQ6" s="53"/>
      <c r="MVR6" s="53"/>
      <c r="MVS6" s="53"/>
      <c r="MVT6" s="53"/>
      <c r="MVU6" s="53"/>
      <c r="MVV6" s="53"/>
      <c r="MVW6" s="53"/>
      <c r="MVX6" s="53"/>
      <c r="MVY6" s="53"/>
      <c r="MVZ6" s="53"/>
      <c r="MWA6" s="53"/>
      <c r="MWB6" s="53"/>
      <c r="MWC6" s="53"/>
      <c r="MWD6" s="53"/>
      <c r="MWE6" s="53"/>
      <c r="MWF6" s="53"/>
      <c r="MWG6" s="53"/>
      <c r="MWH6" s="53"/>
      <c r="MWI6" s="53"/>
      <c r="MWJ6" s="53"/>
      <c r="MWK6" s="53"/>
      <c r="MWL6" s="53"/>
      <c r="MWM6" s="53"/>
      <c r="MWN6" s="53"/>
      <c r="MWO6" s="53"/>
      <c r="MWP6" s="53"/>
      <c r="MWQ6" s="53"/>
      <c r="MWR6" s="53"/>
      <c r="MWS6" s="53"/>
      <c r="MWT6" s="53"/>
      <c r="MWU6" s="53"/>
      <c r="MWV6" s="53"/>
      <c r="MWW6" s="53"/>
      <c r="MWX6" s="53"/>
      <c r="MWY6" s="53"/>
      <c r="MWZ6" s="53"/>
      <c r="MXA6" s="53"/>
      <c r="MXB6" s="53"/>
      <c r="MXC6" s="53"/>
      <c r="MXD6" s="53"/>
      <c r="MXE6" s="53"/>
      <c r="MXF6" s="53"/>
      <c r="MXG6" s="53"/>
      <c r="MXH6" s="53"/>
      <c r="MXI6" s="53"/>
      <c r="MXJ6" s="53"/>
      <c r="MXK6" s="53"/>
      <c r="MXL6" s="53"/>
      <c r="MXM6" s="53"/>
      <c r="MXN6" s="53"/>
      <c r="MXO6" s="53"/>
      <c r="MXP6" s="53"/>
      <c r="MXQ6" s="53"/>
      <c r="MXR6" s="53"/>
      <c r="MXS6" s="53"/>
      <c r="MXT6" s="53"/>
      <c r="MXU6" s="53"/>
      <c r="MXV6" s="53"/>
      <c r="MXW6" s="53"/>
      <c r="MXX6" s="53"/>
      <c r="MXY6" s="53"/>
      <c r="MXZ6" s="53"/>
      <c r="MYA6" s="53"/>
      <c r="MYB6" s="53"/>
      <c r="MYC6" s="53"/>
      <c r="MYD6" s="53"/>
      <c r="MYE6" s="53"/>
      <c r="MYF6" s="53"/>
      <c r="MYG6" s="53"/>
      <c r="MYH6" s="53"/>
      <c r="MYI6" s="53"/>
      <c r="MYJ6" s="53"/>
      <c r="MYK6" s="53"/>
      <c r="MYL6" s="53"/>
      <c r="MYM6" s="53"/>
      <c r="MYN6" s="53"/>
      <c r="MYO6" s="53"/>
      <c r="MYP6" s="53"/>
      <c r="MYQ6" s="53"/>
      <c r="MYR6" s="53"/>
      <c r="MYS6" s="53"/>
      <c r="MYT6" s="53"/>
      <c r="MYU6" s="53"/>
      <c r="MYV6" s="53"/>
      <c r="MYW6" s="53"/>
      <c r="MYX6" s="53"/>
      <c r="MYY6" s="53"/>
      <c r="MYZ6" s="53"/>
      <c r="MZA6" s="53"/>
      <c r="MZB6" s="53"/>
      <c r="MZC6" s="53"/>
      <c r="MZD6" s="53"/>
      <c r="MZE6" s="53"/>
      <c r="MZF6" s="53"/>
      <c r="MZG6" s="53"/>
      <c r="MZH6" s="53"/>
      <c r="MZI6" s="53"/>
      <c r="MZJ6" s="53"/>
      <c r="MZK6" s="53"/>
      <c r="MZL6" s="53"/>
      <c r="MZM6" s="53"/>
      <c r="MZN6" s="53"/>
      <c r="MZO6" s="53"/>
      <c r="MZP6" s="53"/>
      <c r="MZQ6" s="53"/>
      <c r="MZR6" s="53"/>
      <c r="MZS6" s="53"/>
      <c r="MZT6" s="53"/>
      <c r="MZU6" s="53"/>
      <c r="MZV6" s="53"/>
      <c r="MZW6" s="53"/>
      <c r="MZX6" s="53"/>
      <c r="MZY6" s="53"/>
      <c r="MZZ6" s="53"/>
      <c r="NAA6" s="53"/>
      <c r="NAB6" s="53"/>
      <c r="NAC6" s="53"/>
      <c r="NAD6" s="53"/>
      <c r="NAE6" s="53"/>
      <c r="NAF6" s="53"/>
      <c r="NAG6" s="53"/>
      <c r="NAH6" s="53"/>
      <c r="NAI6" s="53"/>
      <c r="NAJ6" s="53"/>
      <c r="NAK6" s="53"/>
      <c r="NAL6" s="53"/>
      <c r="NAM6" s="53"/>
      <c r="NAN6" s="53"/>
      <c r="NAO6" s="53"/>
      <c r="NAP6" s="53"/>
      <c r="NAQ6" s="53"/>
      <c r="NAR6" s="53"/>
      <c r="NAS6" s="53"/>
      <c r="NAT6" s="53"/>
      <c r="NAU6" s="53"/>
      <c r="NAV6" s="53"/>
      <c r="NAW6" s="53"/>
      <c r="NAX6" s="53"/>
      <c r="NAY6" s="53"/>
      <c r="NAZ6" s="53"/>
      <c r="NBA6" s="53"/>
      <c r="NBB6" s="53"/>
      <c r="NBC6" s="53"/>
      <c r="NBD6" s="53"/>
      <c r="NBE6" s="53"/>
      <c r="NBF6" s="53"/>
      <c r="NBG6" s="53"/>
      <c r="NBH6" s="53"/>
      <c r="NBI6" s="53"/>
      <c r="NBJ6" s="53"/>
      <c r="NBK6" s="53"/>
      <c r="NBL6" s="53"/>
      <c r="NBM6" s="53"/>
      <c r="NBN6" s="53"/>
      <c r="NBO6" s="53"/>
      <c r="NBP6" s="53"/>
      <c r="NBQ6" s="53"/>
      <c r="NBR6" s="53"/>
      <c r="NBS6" s="53"/>
      <c r="NBT6" s="53"/>
      <c r="NBU6" s="53"/>
      <c r="NBV6" s="53"/>
      <c r="NBW6" s="53"/>
      <c r="NBX6" s="53"/>
      <c r="NBY6" s="53"/>
      <c r="NBZ6" s="53"/>
      <c r="NCA6" s="53"/>
      <c r="NCB6" s="53"/>
      <c r="NCC6" s="53"/>
      <c r="NCD6" s="53"/>
      <c r="NCE6" s="53"/>
      <c r="NCF6" s="53"/>
      <c r="NCG6" s="53"/>
      <c r="NCH6" s="53"/>
      <c r="NCI6" s="53"/>
      <c r="NCJ6" s="53"/>
      <c r="NCK6" s="53"/>
      <c r="NCL6" s="53"/>
      <c r="NCM6" s="53"/>
      <c r="NCN6" s="53"/>
      <c r="NCO6" s="53"/>
      <c r="NCP6" s="53"/>
      <c r="NCQ6" s="53"/>
      <c r="NCR6" s="53"/>
      <c r="NCS6" s="53"/>
      <c r="NCT6" s="53"/>
      <c r="NCU6" s="53"/>
      <c r="NCV6" s="53"/>
      <c r="NCW6" s="53"/>
      <c r="NCX6" s="53"/>
      <c r="NCY6" s="53"/>
      <c r="NCZ6" s="53"/>
      <c r="NDA6" s="53"/>
      <c r="NDB6" s="53"/>
      <c r="NDC6" s="53"/>
      <c r="NDD6" s="53"/>
      <c r="NDE6" s="53"/>
      <c r="NDF6" s="53"/>
      <c r="NDG6" s="53"/>
      <c r="NDH6" s="53"/>
      <c r="NDI6" s="53"/>
      <c r="NDJ6" s="53"/>
      <c r="NDK6" s="53"/>
      <c r="NDL6" s="53"/>
      <c r="NDM6" s="53"/>
      <c r="NDN6" s="53"/>
      <c r="NDO6" s="53"/>
      <c r="NDP6" s="53"/>
      <c r="NDQ6" s="53"/>
      <c r="NDR6" s="53"/>
      <c r="NDS6" s="53"/>
      <c r="NDT6" s="53"/>
      <c r="NDU6" s="53"/>
      <c r="NDV6" s="53"/>
      <c r="NDW6" s="53"/>
      <c r="NDX6" s="53"/>
      <c r="NDY6" s="53"/>
      <c r="NDZ6" s="53"/>
      <c r="NEA6" s="53"/>
      <c r="NEB6" s="53"/>
      <c r="NEC6" s="53"/>
      <c r="NED6" s="53"/>
      <c r="NEE6" s="53"/>
      <c r="NEF6" s="53"/>
      <c r="NEG6" s="53"/>
      <c r="NEH6" s="53"/>
      <c r="NEI6" s="53"/>
      <c r="NEJ6" s="53"/>
      <c r="NEK6" s="53"/>
      <c r="NEL6" s="53"/>
      <c r="NEM6" s="53"/>
      <c r="NEN6" s="53"/>
      <c r="NEO6" s="53"/>
      <c r="NEP6" s="53"/>
      <c r="NEQ6" s="53"/>
      <c r="NER6" s="53"/>
      <c r="NES6" s="53"/>
      <c r="NET6" s="53"/>
      <c r="NEU6" s="53"/>
      <c r="NEV6" s="53"/>
      <c r="NEW6" s="53"/>
      <c r="NEX6" s="53"/>
      <c r="NEY6" s="53"/>
      <c r="NEZ6" s="53"/>
      <c r="NFA6" s="53"/>
      <c r="NFB6" s="53"/>
      <c r="NFC6" s="53"/>
      <c r="NFD6" s="53"/>
      <c r="NFE6" s="53"/>
      <c r="NFF6" s="53"/>
      <c r="NFG6" s="53"/>
      <c r="NFH6" s="53"/>
      <c r="NFI6" s="53"/>
      <c r="NFJ6" s="53"/>
      <c r="NFK6" s="53"/>
      <c r="NFL6" s="53"/>
      <c r="NFM6" s="53"/>
      <c r="NFN6" s="53"/>
      <c r="NFO6" s="53"/>
      <c r="NFP6" s="53"/>
      <c r="NFQ6" s="53"/>
      <c r="NFR6" s="53"/>
      <c r="NFS6" s="53"/>
      <c r="NFT6" s="53"/>
      <c r="NFU6" s="53"/>
      <c r="NFV6" s="53"/>
      <c r="NFW6" s="53"/>
      <c r="NFX6" s="53"/>
      <c r="NFY6" s="53"/>
      <c r="NFZ6" s="53"/>
      <c r="NGA6" s="53"/>
      <c r="NGB6" s="53"/>
      <c r="NGC6" s="53"/>
      <c r="NGD6" s="53"/>
      <c r="NGE6" s="53"/>
      <c r="NGF6" s="53"/>
      <c r="NGG6" s="53"/>
      <c r="NGH6" s="53"/>
      <c r="NGI6" s="53"/>
      <c r="NGJ6" s="53"/>
      <c r="NGK6" s="53"/>
      <c r="NGL6" s="53"/>
      <c r="NGM6" s="53"/>
      <c r="NGN6" s="53"/>
      <c r="NGO6" s="53"/>
      <c r="NGP6" s="53"/>
      <c r="NGQ6" s="53"/>
      <c r="NGR6" s="53"/>
      <c r="NGS6" s="53"/>
      <c r="NGT6" s="53"/>
      <c r="NGU6" s="53"/>
      <c r="NGV6" s="53"/>
      <c r="NGW6" s="53"/>
      <c r="NGX6" s="53"/>
      <c r="NGY6" s="53"/>
      <c r="NGZ6" s="53"/>
      <c r="NHA6" s="53"/>
      <c r="NHB6" s="53"/>
      <c r="NHC6" s="53"/>
      <c r="NHD6" s="53"/>
      <c r="NHE6" s="53"/>
      <c r="NHF6" s="53"/>
      <c r="NHG6" s="53"/>
      <c r="NHH6" s="53"/>
      <c r="NHI6" s="53"/>
      <c r="NHJ6" s="53"/>
      <c r="NHK6" s="53"/>
      <c r="NHL6" s="53"/>
      <c r="NHM6" s="53"/>
      <c r="NHN6" s="53"/>
      <c r="NHO6" s="53"/>
      <c r="NHP6" s="53"/>
      <c r="NHQ6" s="53"/>
      <c r="NHR6" s="53"/>
      <c r="NHS6" s="53"/>
      <c r="NHT6" s="53"/>
      <c r="NHU6" s="53"/>
      <c r="NHV6" s="53"/>
      <c r="NHW6" s="53"/>
      <c r="NHX6" s="53"/>
      <c r="NHY6" s="53"/>
      <c r="NHZ6" s="53"/>
      <c r="NIA6" s="53"/>
      <c r="NIB6" s="53"/>
      <c r="NIC6" s="53"/>
      <c r="NID6" s="53"/>
      <c r="NIE6" s="53"/>
      <c r="NIF6" s="53"/>
      <c r="NIG6" s="53"/>
      <c r="NIH6" s="53"/>
      <c r="NII6" s="53"/>
      <c r="NIJ6" s="53"/>
      <c r="NIK6" s="53"/>
      <c r="NIL6" s="53"/>
      <c r="NIM6" s="53"/>
      <c r="NIN6" s="53"/>
      <c r="NIO6" s="53"/>
      <c r="NIP6" s="53"/>
      <c r="NIQ6" s="53"/>
      <c r="NIR6" s="53"/>
      <c r="NIS6" s="53"/>
      <c r="NIT6" s="53"/>
      <c r="NIU6" s="53"/>
      <c r="NIV6" s="53"/>
      <c r="NIW6" s="53"/>
      <c r="NIX6" s="53"/>
      <c r="NIY6" s="53"/>
      <c r="NIZ6" s="53"/>
      <c r="NJA6" s="53"/>
      <c r="NJB6" s="53"/>
      <c r="NJC6" s="53"/>
      <c r="NJD6" s="53"/>
      <c r="NJE6" s="53"/>
      <c r="NJF6" s="53"/>
      <c r="NJG6" s="53"/>
      <c r="NJH6" s="53"/>
      <c r="NJI6" s="53"/>
      <c r="NJJ6" s="53"/>
      <c r="NJK6" s="53"/>
      <c r="NJL6" s="53"/>
      <c r="NJM6" s="53"/>
      <c r="NJN6" s="53"/>
      <c r="NJO6" s="53"/>
      <c r="NJP6" s="53"/>
      <c r="NJQ6" s="53"/>
      <c r="NJR6" s="53"/>
      <c r="NJS6" s="53"/>
      <c r="NJT6" s="53"/>
      <c r="NJU6" s="53"/>
      <c r="NJV6" s="53"/>
      <c r="NJW6" s="53"/>
      <c r="NJX6" s="53"/>
      <c r="NJY6" s="53"/>
      <c r="NJZ6" s="53"/>
      <c r="NKA6" s="53"/>
      <c r="NKB6" s="53"/>
      <c r="NKC6" s="53"/>
      <c r="NKD6" s="53"/>
      <c r="NKE6" s="53"/>
      <c r="NKF6" s="53"/>
      <c r="NKG6" s="53"/>
      <c r="NKH6" s="53"/>
      <c r="NKI6" s="53"/>
      <c r="NKJ6" s="53"/>
      <c r="NKK6" s="53"/>
      <c r="NKL6" s="53"/>
      <c r="NKM6" s="53"/>
      <c r="NKN6" s="53"/>
      <c r="NKO6" s="53"/>
      <c r="NKP6" s="53"/>
      <c r="NKQ6" s="53"/>
      <c r="NKR6" s="53"/>
      <c r="NKS6" s="53"/>
      <c r="NKT6" s="53"/>
      <c r="NKU6" s="53"/>
      <c r="NKV6" s="53"/>
      <c r="NKW6" s="53"/>
      <c r="NKX6" s="53"/>
      <c r="NKY6" s="53"/>
      <c r="NKZ6" s="53"/>
      <c r="NLA6" s="53"/>
      <c r="NLB6" s="53"/>
      <c r="NLC6" s="53"/>
      <c r="NLD6" s="53"/>
      <c r="NLE6" s="53"/>
      <c r="NLF6" s="53"/>
      <c r="NLG6" s="53"/>
      <c r="NLH6" s="53"/>
      <c r="NLI6" s="53"/>
      <c r="NLJ6" s="53"/>
      <c r="NLK6" s="53"/>
      <c r="NLL6" s="53"/>
      <c r="NLM6" s="53"/>
      <c r="NLN6" s="53"/>
      <c r="NLO6" s="53"/>
      <c r="NLP6" s="53"/>
      <c r="NLQ6" s="53"/>
      <c r="NLR6" s="53"/>
      <c r="NLS6" s="53"/>
      <c r="NLT6" s="53"/>
      <c r="NLU6" s="53"/>
      <c r="NLV6" s="53"/>
      <c r="NLW6" s="53"/>
      <c r="NLX6" s="53"/>
      <c r="NLY6" s="53"/>
      <c r="NLZ6" s="53"/>
      <c r="NMA6" s="53"/>
      <c r="NMB6" s="53"/>
      <c r="NMC6" s="53"/>
      <c r="NMD6" s="53"/>
      <c r="NME6" s="53"/>
      <c r="NMF6" s="53"/>
      <c r="NMG6" s="53"/>
      <c r="NMH6" s="53"/>
      <c r="NMI6" s="53"/>
      <c r="NMJ6" s="53"/>
      <c r="NMK6" s="53"/>
      <c r="NML6" s="53"/>
      <c r="NMM6" s="53"/>
      <c r="NMN6" s="53"/>
      <c r="NMO6" s="53"/>
      <c r="NMP6" s="53"/>
      <c r="NMQ6" s="53"/>
      <c r="NMR6" s="53"/>
      <c r="NMS6" s="53"/>
      <c r="NMT6" s="53"/>
      <c r="NMU6" s="53"/>
      <c r="NMV6" s="53"/>
      <c r="NMW6" s="53"/>
      <c r="NMX6" s="53"/>
      <c r="NMY6" s="53"/>
      <c r="NMZ6" s="53"/>
      <c r="NNA6" s="53"/>
      <c r="NNB6" s="53"/>
      <c r="NNC6" s="53"/>
      <c r="NND6" s="53"/>
      <c r="NNE6" s="53"/>
      <c r="NNF6" s="53"/>
      <c r="NNG6" s="53"/>
      <c r="NNH6" s="53"/>
      <c r="NNI6" s="53"/>
      <c r="NNJ6" s="53"/>
      <c r="NNK6" s="53"/>
      <c r="NNL6" s="53"/>
      <c r="NNM6" s="53"/>
      <c r="NNN6" s="53"/>
      <c r="NNO6" s="53"/>
      <c r="NNP6" s="53"/>
      <c r="NNQ6" s="53"/>
      <c r="NNR6" s="53"/>
      <c r="NNS6" s="53"/>
      <c r="NNT6" s="53"/>
      <c r="NNU6" s="53"/>
      <c r="NNV6" s="53"/>
      <c r="NNW6" s="53"/>
      <c r="NNX6" s="53"/>
      <c r="NNY6" s="53"/>
      <c r="NNZ6" s="53"/>
      <c r="NOA6" s="53"/>
      <c r="NOB6" s="53"/>
      <c r="NOC6" s="53"/>
      <c r="NOD6" s="53"/>
      <c r="NOE6" s="53"/>
      <c r="NOF6" s="53"/>
      <c r="NOG6" s="53"/>
      <c r="NOH6" s="53"/>
      <c r="NOI6" s="53"/>
      <c r="NOJ6" s="53"/>
      <c r="NOK6" s="53"/>
      <c r="NOL6" s="53"/>
      <c r="NOM6" s="53"/>
      <c r="NON6" s="53"/>
      <c r="NOO6" s="53"/>
      <c r="NOP6" s="53"/>
      <c r="NOQ6" s="53"/>
      <c r="NOR6" s="53"/>
      <c r="NOS6" s="53"/>
      <c r="NOT6" s="53"/>
      <c r="NOU6" s="53"/>
      <c r="NOV6" s="53"/>
      <c r="NOW6" s="53"/>
      <c r="NOX6" s="53"/>
      <c r="NOY6" s="53"/>
      <c r="NOZ6" s="53"/>
      <c r="NPA6" s="53"/>
      <c r="NPB6" s="53"/>
      <c r="NPC6" s="53"/>
      <c r="NPD6" s="53"/>
      <c r="NPE6" s="53"/>
      <c r="NPF6" s="53"/>
      <c r="NPG6" s="53"/>
      <c r="NPH6" s="53"/>
      <c r="NPI6" s="53"/>
      <c r="NPJ6" s="53"/>
      <c r="NPK6" s="53"/>
      <c r="NPL6" s="53"/>
      <c r="NPM6" s="53"/>
      <c r="NPN6" s="53"/>
      <c r="NPO6" s="53"/>
      <c r="NPP6" s="53"/>
      <c r="NPQ6" s="53"/>
      <c r="NPR6" s="53"/>
      <c r="NPS6" s="53"/>
      <c r="NPT6" s="53"/>
      <c r="NPU6" s="53"/>
      <c r="NPV6" s="53"/>
      <c r="NPW6" s="53"/>
      <c r="NPX6" s="53"/>
      <c r="NPY6" s="53"/>
      <c r="NPZ6" s="53"/>
      <c r="NQA6" s="53"/>
      <c r="NQB6" s="53"/>
      <c r="NQC6" s="53"/>
      <c r="NQD6" s="53"/>
      <c r="NQE6" s="53"/>
      <c r="NQF6" s="53"/>
      <c r="NQG6" s="53"/>
      <c r="NQH6" s="53"/>
      <c r="NQI6" s="53"/>
      <c r="NQJ6" s="53"/>
      <c r="NQK6" s="53"/>
      <c r="NQL6" s="53"/>
      <c r="NQM6" s="53"/>
      <c r="NQN6" s="53"/>
      <c r="NQO6" s="53"/>
      <c r="NQP6" s="53"/>
      <c r="NQQ6" s="53"/>
      <c r="NQR6" s="53"/>
      <c r="NQS6" s="53"/>
      <c r="NQT6" s="53"/>
      <c r="NQU6" s="53"/>
      <c r="NQV6" s="53"/>
      <c r="NQW6" s="53"/>
      <c r="NQX6" s="53"/>
      <c r="NQY6" s="53"/>
      <c r="NQZ6" s="53"/>
      <c r="NRA6" s="53"/>
      <c r="NRB6" s="53"/>
      <c r="NRC6" s="53"/>
      <c r="NRD6" s="53"/>
      <c r="NRE6" s="53"/>
      <c r="NRF6" s="53"/>
      <c r="NRG6" s="53"/>
      <c r="NRH6" s="53"/>
      <c r="NRI6" s="53"/>
      <c r="NRJ6" s="53"/>
      <c r="NRK6" s="53"/>
      <c r="NRL6" s="53"/>
      <c r="NRM6" s="53"/>
      <c r="NRN6" s="53"/>
      <c r="NRO6" s="53"/>
      <c r="NRP6" s="53"/>
      <c r="NRQ6" s="53"/>
      <c r="NRR6" s="53"/>
      <c r="NRS6" s="53"/>
      <c r="NRT6" s="53"/>
      <c r="NRU6" s="53"/>
      <c r="NRV6" s="53"/>
      <c r="NRW6" s="53"/>
      <c r="NRX6" s="53"/>
      <c r="NRY6" s="53"/>
      <c r="NRZ6" s="53"/>
      <c r="NSA6" s="53"/>
      <c r="NSB6" s="53"/>
      <c r="NSC6" s="53"/>
      <c r="NSD6" s="53"/>
      <c r="NSE6" s="53"/>
      <c r="NSF6" s="53"/>
      <c r="NSG6" s="53"/>
      <c r="NSH6" s="53"/>
      <c r="NSI6" s="53"/>
      <c r="NSJ6" s="53"/>
      <c r="NSK6" s="53"/>
      <c r="NSL6" s="53"/>
      <c r="NSM6" s="53"/>
      <c r="NSN6" s="53"/>
      <c r="NSO6" s="53"/>
      <c r="NSP6" s="53"/>
      <c r="NSQ6" s="53"/>
      <c r="NSR6" s="53"/>
      <c r="NSS6" s="53"/>
      <c r="NST6" s="53"/>
      <c r="NSU6" s="53"/>
      <c r="NSV6" s="53"/>
      <c r="NSW6" s="53"/>
      <c r="NSX6" s="53"/>
      <c r="NSY6" s="53"/>
      <c r="NSZ6" s="53"/>
      <c r="NTA6" s="53"/>
      <c r="NTB6" s="53"/>
      <c r="NTC6" s="53"/>
      <c r="NTD6" s="53"/>
      <c r="NTE6" s="53"/>
      <c r="NTF6" s="53"/>
      <c r="NTG6" s="53"/>
      <c r="NTH6" s="53"/>
      <c r="NTI6" s="53"/>
      <c r="NTJ6" s="53"/>
      <c r="NTK6" s="53"/>
      <c r="NTL6" s="53"/>
      <c r="NTM6" s="53"/>
      <c r="NTN6" s="53"/>
      <c r="NTO6" s="53"/>
      <c r="NTP6" s="53"/>
      <c r="NTQ6" s="53"/>
      <c r="NTR6" s="53"/>
      <c r="NTS6" s="53"/>
      <c r="NTT6" s="53"/>
      <c r="NTU6" s="53"/>
      <c r="NTV6" s="53"/>
      <c r="NTW6" s="53"/>
      <c r="NTX6" s="53"/>
      <c r="NTY6" s="53"/>
      <c r="NTZ6" s="53"/>
      <c r="NUA6" s="53"/>
      <c r="NUB6" s="53"/>
      <c r="NUC6" s="53"/>
      <c r="NUD6" s="53"/>
      <c r="NUE6" s="53"/>
      <c r="NUF6" s="53"/>
      <c r="NUG6" s="53"/>
      <c r="NUH6" s="53"/>
      <c r="NUI6" s="53"/>
      <c r="NUJ6" s="53"/>
      <c r="NUK6" s="53"/>
      <c r="NUL6" s="53"/>
      <c r="NUM6" s="53"/>
      <c r="NUN6" s="53"/>
      <c r="NUO6" s="53"/>
      <c r="NUP6" s="53"/>
      <c r="NUQ6" s="53"/>
      <c r="NUR6" s="53"/>
      <c r="NUS6" s="53"/>
      <c r="NUT6" s="53"/>
      <c r="NUU6" s="53"/>
      <c r="NUV6" s="53"/>
      <c r="NUW6" s="53"/>
      <c r="NUX6" s="53"/>
      <c r="NUY6" s="53"/>
      <c r="NUZ6" s="53"/>
      <c r="NVA6" s="53"/>
      <c r="NVB6" s="53"/>
      <c r="NVC6" s="53"/>
      <c r="NVD6" s="53"/>
      <c r="NVE6" s="53"/>
      <c r="NVF6" s="53"/>
      <c r="NVG6" s="53"/>
      <c r="NVH6" s="53"/>
      <c r="NVI6" s="53"/>
      <c r="NVJ6" s="53"/>
      <c r="NVK6" s="53"/>
      <c r="NVL6" s="53"/>
      <c r="NVM6" s="53"/>
      <c r="NVN6" s="53"/>
      <c r="NVO6" s="53"/>
      <c r="NVP6" s="53"/>
      <c r="NVQ6" s="53"/>
      <c r="NVR6" s="53"/>
      <c r="NVS6" s="53"/>
      <c r="NVT6" s="53"/>
      <c r="NVU6" s="53"/>
      <c r="NVV6" s="53"/>
      <c r="NVW6" s="53"/>
      <c r="NVX6" s="53"/>
      <c r="NVY6" s="53"/>
      <c r="NVZ6" s="53"/>
      <c r="NWA6" s="53"/>
      <c r="NWB6" s="53"/>
      <c r="NWC6" s="53"/>
      <c r="NWD6" s="53"/>
      <c r="NWE6" s="53"/>
      <c r="NWF6" s="53"/>
      <c r="NWG6" s="53"/>
      <c r="NWH6" s="53"/>
      <c r="NWI6" s="53"/>
      <c r="NWJ6" s="53"/>
      <c r="NWK6" s="53"/>
      <c r="NWL6" s="53"/>
      <c r="NWM6" s="53"/>
      <c r="NWN6" s="53"/>
      <c r="NWO6" s="53"/>
      <c r="NWP6" s="53"/>
      <c r="NWQ6" s="53"/>
      <c r="NWR6" s="53"/>
      <c r="NWS6" s="53"/>
      <c r="NWT6" s="53"/>
      <c r="NWU6" s="53"/>
      <c r="NWV6" s="53"/>
      <c r="NWW6" s="53"/>
      <c r="NWX6" s="53"/>
      <c r="NWY6" s="53"/>
      <c r="NWZ6" s="53"/>
      <c r="NXA6" s="53"/>
      <c r="NXB6" s="53"/>
      <c r="NXC6" s="53"/>
      <c r="NXD6" s="53"/>
      <c r="NXE6" s="53"/>
      <c r="NXF6" s="53"/>
      <c r="NXG6" s="53"/>
      <c r="NXH6" s="53"/>
      <c r="NXI6" s="53"/>
      <c r="NXJ6" s="53"/>
      <c r="NXK6" s="53"/>
      <c r="NXL6" s="53"/>
      <c r="NXM6" s="53"/>
      <c r="NXN6" s="53"/>
      <c r="NXO6" s="53"/>
      <c r="NXP6" s="53"/>
      <c r="NXQ6" s="53"/>
      <c r="NXR6" s="53"/>
      <c r="NXS6" s="53"/>
      <c r="NXT6" s="53"/>
      <c r="NXU6" s="53"/>
      <c r="NXV6" s="53"/>
      <c r="NXW6" s="53"/>
      <c r="NXX6" s="53"/>
      <c r="NXY6" s="53"/>
      <c r="NXZ6" s="53"/>
      <c r="NYA6" s="53"/>
      <c r="NYB6" s="53"/>
      <c r="NYC6" s="53"/>
      <c r="NYD6" s="53"/>
      <c r="NYE6" s="53"/>
      <c r="NYF6" s="53"/>
      <c r="NYG6" s="53"/>
      <c r="NYH6" s="53"/>
      <c r="NYI6" s="53"/>
      <c r="NYJ6" s="53"/>
      <c r="NYK6" s="53"/>
      <c r="NYL6" s="53"/>
      <c r="NYM6" s="53"/>
      <c r="NYN6" s="53"/>
      <c r="NYO6" s="53"/>
      <c r="NYP6" s="53"/>
      <c r="NYQ6" s="53"/>
      <c r="NYR6" s="53"/>
      <c r="NYS6" s="53"/>
      <c r="NYT6" s="53"/>
      <c r="NYU6" s="53"/>
      <c r="NYV6" s="53"/>
      <c r="NYW6" s="53"/>
      <c r="NYX6" s="53"/>
      <c r="NYY6" s="53"/>
      <c r="NYZ6" s="53"/>
      <c r="NZA6" s="53"/>
      <c r="NZB6" s="53"/>
      <c r="NZC6" s="53"/>
      <c r="NZD6" s="53"/>
      <c r="NZE6" s="53"/>
      <c r="NZF6" s="53"/>
      <c r="NZG6" s="53"/>
      <c r="NZH6" s="53"/>
      <c r="NZI6" s="53"/>
      <c r="NZJ6" s="53"/>
      <c r="NZK6" s="53"/>
      <c r="NZL6" s="53"/>
      <c r="NZM6" s="53"/>
      <c r="NZN6" s="53"/>
      <c r="NZO6" s="53"/>
      <c r="NZP6" s="53"/>
      <c r="NZQ6" s="53"/>
      <c r="NZR6" s="53"/>
      <c r="NZS6" s="53"/>
      <c r="NZT6" s="53"/>
      <c r="NZU6" s="53"/>
      <c r="NZV6" s="53"/>
      <c r="NZW6" s="53"/>
      <c r="NZX6" s="53"/>
      <c r="NZY6" s="53"/>
      <c r="NZZ6" s="53"/>
      <c r="OAA6" s="53"/>
      <c r="OAB6" s="53"/>
      <c r="OAC6" s="53"/>
      <c r="OAD6" s="53"/>
      <c r="OAE6" s="53"/>
      <c r="OAF6" s="53"/>
      <c r="OAG6" s="53"/>
      <c r="OAH6" s="53"/>
      <c r="OAI6" s="53"/>
      <c r="OAJ6" s="53"/>
      <c r="OAK6" s="53"/>
      <c r="OAL6" s="53"/>
      <c r="OAM6" s="53"/>
      <c r="OAN6" s="53"/>
      <c r="OAO6" s="53"/>
      <c r="OAP6" s="53"/>
      <c r="OAQ6" s="53"/>
      <c r="OAR6" s="53"/>
      <c r="OAS6" s="53"/>
      <c r="OAT6" s="53"/>
      <c r="OAU6" s="53"/>
      <c r="OAV6" s="53"/>
      <c r="OAW6" s="53"/>
      <c r="OAX6" s="53"/>
      <c r="OAY6" s="53"/>
      <c r="OAZ6" s="53"/>
      <c r="OBA6" s="53"/>
      <c r="OBB6" s="53"/>
      <c r="OBC6" s="53"/>
      <c r="OBD6" s="53"/>
      <c r="OBE6" s="53"/>
      <c r="OBF6" s="53"/>
      <c r="OBG6" s="53"/>
      <c r="OBH6" s="53"/>
      <c r="OBI6" s="53"/>
      <c r="OBJ6" s="53"/>
      <c r="OBK6" s="53"/>
      <c r="OBL6" s="53"/>
      <c r="OBM6" s="53"/>
      <c r="OBN6" s="53"/>
      <c r="OBO6" s="53"/>
      <c r="OBP6" s="53"/>
      <c r="OBQ6" s="53"/>
      <c r="OBR6" s="53"/>
      <c r="OBS6" s="53"/>
      <c r="OBT6" s="53"/>
      <c r="OBU6" s="53"/>
      <c r="OBV6" s="53"/>
      <c r="OBW6" s="53"/>
      <c r="OBX6" s="53"/>
      <c r="OBY6" s="53"/>
      <c r="OBZ6" s="53"/>
      <c r="OCA6" s="53"/>
      <c r="OCB6" s="53"/>
      <c r="OCC6" s="53"/>
      <c r="OCD6" s="53"/>
      <c r="OCE6" s="53"/>
      <c r="OCF6" s="53"/>
      <c r="OCG6" s="53"/>
      <c r="OCH6" s="53"/>
      <c r="OCI6" s="53"/>
      <c r="OCJ6" s="53"/>
      <c r="OCK6" s="53"/>
      <c r="OCL6" s="53"/>
      <c r="OCM6" s="53"/>
      <c r="OCN6" s="53"/>
      <c r="OCO6" s="53"/>
      <c r="OCP6" s="53"/>
      <c r="OCQ6" s="53"/>
      <c r="OCR6" s="53"/>
      <c r="OCS6" s="53"/>
      <c r="OCT6" s="53"/>
      <c r="OCU6" s="53"/>
      <c r="OCV6" s="53"/>
      <c r="OCW6" s="53"/>
      <c r="OCX6" s="53"/>
      <c r="OCY6" s="53"/>
      <c r="OCZ6" s="53"/>
      <c r="ODA6" s="53"/>
      <c r="ODB6" s="53"/>
      <c r="ODC6" s="53"/>
      <c r="ODD6" s="53"/>
      <c r="ODE6" s="53"/>
      <c r="ODF6" s="53"/>
      <c r="ODG6" s="53"/>
      <c r="ODH6" s="53"/>
      <c r="ODI6" s="53"/>
      <c r="ODJ6" s="53"/>
      <c r="ODK6" s="53"/>
      <c r="ODL6" s="53"/>
      <c r="ODM6" s="53"/>
      <c r="ODN6" s="53"/>
      <c r="ODO6" s="53"/>
      <c r="ODP6" s="53"/>
      <c r="ODQ6" s="53"/>
      <c r="ODR6" s="53"/>
      <c r="ODS6" s="53"/>
      <c r="ODT6" s="53"/>
      <c r="ODU6" s="53"/>
      <c r="ODV6" s="53"/>
      <c r="ODW6" s="53"/>
      <c r="ODX6" s="53"/>
      <c r="ODY6" s="53"/>
      <c r="ODZ6" s="53"/>
      <c r="OEA6" s="53"/>
      <c r="OEB6" s="53"/>
      <c r="OEC6" s="53"/>
      <c r="OED6" s="53"/>
      <c r="OEE6" s="53"/>
      <c r="OEF6" s="53"/>
      <c r="OEG6" s="53"/>
      <c r="OEH6" s="53"/>
      <c r="OEI6" s="53"/>
      <c r="OEJ6" s="53"/>
      <c r="OEK6" s="53"/>
      <c r="OEL6" s="53"/>
      <c r="OEM6" s="53"/>
      <c r="OEN6" s="53"/>
      <c r="OEO6" s="53"/>
      <c r="OEP6" s="53"/>
      <c r="OEQ6" s="53"/>
      <c r="OER6" s="53"/>
      <c r="OES6" s="53"/>
      <c r="OET6" s="53"/>
      <c r="OEU6" s="53"/>
      <c r="OEV6" s="53"/>
      <c r="OEW6" s="53"/>
      <c r="OEX6" s="53"/>
      <c r="OEY6" s="53"/>
      <c r="OEZ6" s="53"/>
      <c r="OFA6" s="53"/>
      <c r="OFB6" s="53"/>
      <c r="OFC6" s="53"/>
      <c r="OFD6" s="53"/>
      <c r="OFE6" s="53"/>
      <c r="OFF6" s="53"/>
      <c r="OFG6" s="53"/>
      <c r="OFH6" s="53"/>
      <c r="OFI6" s="53"/>
      <c r="OFJ6" s="53"/>
      <c r="OFK6" s="53"/>
      <c r="OFL6" s="53"/>
      <c r="OFM6" s="53"/>
      <c r="OFN6" s="53"/>
      <c r="OFO6" s="53"/>
      <c r="OFP6" s="53"/>
      <c r="OFQ6" s="53"/>
      <c r="OFR6" s="53"/>
      <c r="OFS6" s="53"/>
      <c r="OFT6" s="53"/>
      <c r="OFU6" s="53"/>
      <c r="OFV6" s="53"/>
      <c r="OFW6" s="53"/>
      <c r="OFX6" s="53"/>
      <c r="OFY6" s="53"/>
      <c r="OFZ6" s="53"/>
      <c r="OGA6" s="53"/>
      <c r="OGB6" s="53"/>
      <c r="OGC6" s="53"/>
      <c r="OGD6" s="53"/>
      <c r="OGE6" s="53"/>
      <c r="OGF6" s="53"/>
      <c r="OGG6" s="53"/>
      <c r="OGH6" s="53"/>
      <c r="OGI6" s="53"/>
      <c r="OGJ6" s="53"/>
      <c r="OGK6" s="53"/>
      <c r="OGL6" s="53"/>
      <c r="OGM6" s="53"/>
      <c r="OGN6" s="53"/>
      <c r="OGO6" s="53"/>
      <c r="OGP6" s="53"/>
      <c r="OGQ6" s="53"/>
      <c r="OGR6" s="53"/>
      <c r="OGS6" s="53"/>
      <c r="OGT6" s="53"/>
      <c r="OGU6" s="53"/>
      <c r="OGV6" s="53"/>
      <c r="OGW6" s="53"/>
      <c r="OGX6" s="53"/>
      <c r="OGY6" s="53"/>
      <c r="OGZ6" s="53"/>
      <c r="OHA6" s="53"/>
      <c r="OHB6" s="53"/>
      <c r="OHC6" s="53"/>
      <c r="OHD6" s="53"/>
      <c r="OHE6" s="53"/>
      <c r="OHF6" s="53"/>
      <c r="OHG6" s="53"/>
      <c r="OHH6" s="53"/>
      <c r="OHI6" s="53"/>
      <c r="OHJ6" s="53"/>
      <c r="OHK6" s="53"/>
      <c r="OHL6" s="53"/>
      <c r="OHM6" s="53"/>
      <c r="OHN6" s="53"/>
      <c r="OHO6" s="53"/>
      <c r="OHP6" s="53"/>
      <c r="OHQ6" s="53"/>
      <c r="OHR6" s="53"/>
      <c r="OHS6" s="53"/>
      <c r="OHT6" s="53"/>
      <c r="OHU6" s="53"/>
      <c r="OHV6" s="53"/>
      <c r="OHW6" s="53"/>
      <c r="OHX6" s="53"/>
      <c r="OHY6" s="53"/>
      <c r="OHZ6" s="53"/>
      <c r="OIA6" s="53"/>
      <c r="OIB6" s="53"/>
      <c r="OIC6" s="53"/>
      <c r="OID6" s="53"/>
      <c r="OIE6" s="53"/>
      <c r="OIF6" s="53"/>
      <c r="OIG6" s="53"/>
      <c r="OIH6" s="53"/>
      <c r="OII6" s="53"/>
      <c r="OIJ6" s="53"/>
      <c r="OIK6" s="53"/>
      <c r="OIL6" s="53"/>
      <c r="OIM6" s="53"/>
      <c r="OIN6" s="53"/>
      <c r="OIO6" s="53"/>
      <c r="OIP6" s="53"/>
      <c r="OIQ6" s="53"/>
      <c r="OIR6" s="53"/>
      <c r="OIS6" s="53"/>
      <c r="OIT6" s="53"/>
      <c r="OIU6" s="53"/>
      <c r="OIV6" s="53"/>
      <c r="OIW6" s="53"/>
      <c r="OIX6" s="53"/>
      <c r="OIY6" s="53"/>
      <c r="OIZ6" s="53"/>
      <c r="OJA6" s="53"/>
      <c r="OJB6" s="53"/>
      <c r="OJC6" s="53"/>
      <c r="OJD6" s="53"/>
      <c r="OJE6" s="53"/>
      <c r="OJF6" s="53"/>
      <c r="OJG6" s="53"/>
      <c r="OJH6" s="53"/>
      <c r="OJI6" s="53"/>
      <c r="OJJ6" s="53"/>
      <c r="OJK6" s="53"/>
      <c r="OJL6" s="53"/>
      <c r="OJM6" s="53"/>
      <c r="OJN6" s="53"/>
      <c r="OJO6" s="53"/>
      <c r="OJP6" s="53"/>
      <c r="OJQ6" s="53"/>
      <c r="OJR6" s="53"/>
      <c r="OJS6" s="53"/>
      <c r="OJT6" s="53"/>
      <c r="OJU6" s="53"/>
      <c r="OJV6" s="53"/>
      <c r="OJW6" s="53"/>
      <c r="OJX6" s="53"/>
      <c r="OJY6" s="53"/>
      <c r="OJZ6" s="53"/>
      <c r="OKA6" s="53"/>
      <c r="OKB6" s="53"/>
      <c r="OKC6" s="53"/>
      <c r="OKD6" s="53"/>
      <c r="OKE6" s="53"/>
      <c r="OKF6" s="53"/>
      <c r="OKG6" s="53"/>
      <c r="OKH6" s="53"/>
      <c r="OKI6" s="53"/>
      <c r="OKJ6" s="53"/>
      <c r="OKK6" s="53"/>
      <c r="OKL6" s="53"/>
      <c r="OKM6" s="53"/>
      <c r="OKN6" s="53"/>
      <c r="OKO6" s="53"/>
      <c r="OKP6" s="53"/>
      <c r="OKQ6" s="53"/>
      <c r="OKR6" s="53"/>
      <c r="OKS6" s="53"/>
      <c r="OKT6" s="53"/>
      <c r="OKU6" s="53"/>
      <c r="OKV6" s="53"/>
      <c r="OKW6" s="53"/>
      <c r="OKX6" s="53"/>
      <c r="OKY6" s="53"/>
      <c r="OKZ6" s="53"/>
      <c r="OLA6" s="53"/>
      <c r="OLB6" s="53"/>
      <c r="OLC6" s="53"/>
      <c r="OLD6" s="53"/>
      <c r="OLE6" s="53"/>
      <c r="OLF6" s="53"/>
      <c r="OLG6" s="53"/>
      <c r="OLH6" s="53"/>
      <c r="OLI6" s="53"/>
      <c r="OLJ6" s="53"/>
      <c r="OLK6" s="53"/>
      <c r="OLL6" s="53"/>
      <c r="OLM6" s="53"/>
      <c r="OLN6" s="53"/>
      <c r="OLO6" s="53"/>
      <c r="OLP6" s="53"/>
      <c r="OLQ6" s="53"/>
      <c r="OLR6" s="53"/>
      <c r="OLS6" s="53"/>
      <c r="OLT6" s="53"/>
      <c r="OLU6" s="53"/>
      <c r="OLV6" s="53"/>
      <c r="OLW6" s="53"/>
      <c r="OLX6" s="53"/>
      <c r="OLY6" s="53"/>
      <c r="OLZ6" s="53"/>
      <c r="OMA6" s="53"/>
      <c r="OMB6" s="53"/>
      <c r="OMC6" s="53"/>
      <c r="OMD6" s="53"/>
      <c r="OME6" s="53"/>
      <c r="OMF6" s="53"/>
      <c r="OMG6" s="53"/>
      <c r="OMH6" s="53"/>
      <c r="OMI6" s="53"/>
      <c r="OMJ6" s="53"/>
      <c r="OMK6" s="53"/>
      <c r="OML6" s="53"/>
      <c r="OMM6" s="53"/>
      <c r="OMN6" s="53"/>
      <c r="OMO6" s="53"/>
      <c r="OMP6" s="53"/>
      <c r="OMQ6" s="53"/>
      <c r="OMR6" s="53"/>
      <c r="OMS6" s="53"/>
      <c r="OMT6" s="53"/>
      <c r="OMU6" s="53"/>
      <c r="OMV6" s="53"/>
      <c r="OMW6" s="53"/>
      <c r="OMX6" s="53"/>
      <c r="OMY6" s="53"/>
      <c r="OMZ6" s="53"/>
      <c r="ONA6" s="53"/>
      <c r="ONB6" s="53"/>
      <c r="ONC6" s="53"/>
      <c r="OND6" s="53"/>
      <c r="ONE6" s="53"/>
      <c r="ONF6" s="53"/>
      <c r="ONG6" s="53"/>
      <c r="ONH6" s="53"/>
      <c r="ONI6" s="53"/>
      <c r="ONJ6" s="53"/>
      <c r="ONK6" s="53"/>
      <c r="ONL6" s="53"/>
      <c r="ONM6" s="53"/>
      <c r="ONN6" s="53"/>
      <c r="ONO6" s="53"/>
      <c r="ONP6" s="53"/>
      <c r="ONQ6" s="53"/>
      <c r="ONR6" s="53"/>
      <c r="ONS6" s="53"/>
      <c r="ONT6" s="53"/>
      <c r="ONU6" s="53"/>
      <c r="ONV6" s="53"/>
      <c r="ONW6" s="53"/>
      <c r="ONX6" s="53"/>
      <c r="ONY6" s="53"/>
      <c r="ONZ6" s="53"/>
      <c r="OOA6" s="53"/>
      <c r="OOB6" s="53"/>
      <c r="OOC6" s="53"/>
      <c r="OOD6" s="53"/>
      <c r="OOE6" s="53"/>
      <c r="OOF6" s="53"/>
      <c r="OOG6" s="53"/>
      <c r="OOH6" s="53"/>
      <c r="OOI6" s="53"/>
      <c r="OOJ6" s="53"/>
      <c r="OOK6" s="53"/>
      <c r="OOL6" s="53"/>
      <c r="OOM6" s="53"/>
      <c r="OON6" s="53"/>
      <c r="OOO6" s="53"/>
      <c r="OOP6" s="53"/>
      <c r="OOQ6" s="53"/>
      <c r="OOR6" s="53"/>
      <c r="OOS6" s="53"/>
      <c r="OOT6" s="53"/>
      <c r="OOU6" s="53"/>
      <c r="OOV6" s="53"/>
      <c r="OOW6" s="53"/>
      <c r="OOX6" s="53"/>
      <c r="OOY6" s="53"/>
      <c r="OOZ6" s="53"/>
      <c r="OPA6" s="53"/>
      <c r="OPB6" s="53"/>
      <c r="OPC6" s="53"/>
      <c r="OPD6" s="53"/>
      <c r="OPE6" s="53"/>
      <c r="OPF6" s="53"/>
      <c r="OPG6" s="53"/>
      <c r="OPH6" s="53"/>
      <c r="OPI6" s="53"/>
      <c r="OPJ6" s="53"/>
      <c r="OPK6" s="53"/>
      <c r="OPL6" s="53"/>
      <c r="OPM6" s="53"/>
      <c r="OPN6" s="53"/>
      <c r="OPO6" s="53"/>
      <c r="OPP6" s="53"/>
      <c r="OPQ6" s="53"/>
      <c r="OPR6" s="53"/>
      <c r="OPS6" s="53"/>
      <c r="OPT6" s="53"/>
      <c r="OPU6" s="53"/>
      <c r="OPV6" s="53"/>
      <c r="OPW6" s="53"/>
      <c r="OPX6" s="53"/>
      <c r="OPY6" s="53"/>
      <c r="OPZ6" s="53"/>
      <c r="OQA6" s="53"/>
      <c r="OQB6" s="53"/>
      <c r="OQC6" s="53"/>
      <c r="OQD6" s="53"/>
      <c r="OQE6" s="53"/>
      <c r="OQF6" s="53"/>
      <c r="OQG6" s="53"/>
      <c r="OQH6" s="53"/>
      <c r="OQI6" s="53"/>
      <c r="OQJ6" s="53"/>
      <c r="OQK6" s="53"/>
      <c r="OQL6" s="53"/>
      <c r="OQM6" s="53"/>
      <c r="OQN6" s="53"/>
      <c r="OQO6" s="53"/>
      <c r="OQP6" s="53"/>
      <c r="OQQ6" s="53"/>
      <c r="OQR6" s="53"/>
      <c r="OQS6" s="53"/>
      <c r="OQT6" s="53"/>
      <c r="OQU6" s="53"/>
      <c r="OQV6" s="53"/>
      <c r="OQW6" s="53"/>
      <c r="OQX6" s="53"/>
      <c r="OQY6" s="53"/>
      <c r="OQZ6" s="53"/>
      <c r="ORA6" s="53"/>
      <c r="ORB6" s="53"/>
      <c r="ORC6" s="53"/>
      <c r="ORD6" s="53"/>
      <c r="ORE6" s="53"/>
      <c r="ORF6" s="53"/>
      <c r="ORG6" s="53"/>
      <c r="ORH6" s="53"/>
      <c r="ORI6" s="53"/>
      <c r="ORJ6" s="53"/>
      <c r="ORK6" s="53"/>
      <c r="ORL6" s="53"/>
      <c r="ORM6" s="53"/>
      <c r="ORN6" s="53"/>
      <c r="ORO6" s="53"/>
      <c r="ORP6" s="53"/>
      <c r="ORQ6" s="53"/>
      <c r="ORR6" s="53"/>
      <c r="ORS6" s="53"/>
      <c r="ORT6" s="53"/>
      <c r="ORU6" s="53"/>
      <c r="ORV6" s="53"/>
      <c r="ORW6" s="53"/>
      <c r="ORX6" s="53"/>
      <c r="ORY6" s="53"/>
      <c r="ORZ6" s="53"/>
      <c r="OSA6" s="53"/>
      <c r="OSB6" s="53"/>
      <c r="OSC6" s="53"/>
      <c r="OSD6" s="53"/>
      <c r="OSE6" s="53"/>
      <c r="OSF6" s="53"/>
      <c r="OSG6" s="53"/>
      <c r="OSH6" s="53"/>
      <c r="OSI6" s="53"/>
      <c r="OSJ6" s="53"/>
      <c r="OSK6" s="53"/>
      <c r="OSL6" s="53"/>
      <c r="OSM6" s="53"/>
      <c r="OSN6" s="53"/>
      <c r="OSO6" s="53"/>
      <c r="OSP6" s="53"/>
      <c r="OSQ6" s="53"/>
      <c r="OSR6" s="53"/>
      <c r="OSS6" s="53"/>
      <c r="OST6" s="53"/>
      <c r="OSU6" s="53"/>
      <c r="OSV6" s="53"/>
      <c r="OSW6" s="53"/>
      <c r="OSX6" s="53"/>
      <c r="OSY6" s="53"/>
      <c r="OSZ6" s="53"/>
      <c r="OTA6" s="53"/>
      <c r="OTB6" s="53"/>
      <c r="OTC6" s="53"/>
      <c r="OTD6" s="53"/>
      <c r="OTE6" s="53"/>
      <c r="OTF6" s="53"/>
      <c r="OTG6" s="53"/>
      <c r="OTH6" s="53"/>
      <c r="OTI6" s="53"/>
      <c r="OTJ6" s="53"/>
      <c r="OTK6" s="53"/>
      <c r="OTL6" s="53"/>
      <c r="OTM6" s="53"/>
      <c r="OTN6" s="53"/>
      <c r="OTO6" s="53"/>
      <c r="OTP6" s="53"/>
      <c r="OTQ6" s="53"/>
      <c r="OTR6" s="53"/>
      <c r="OTS6" s="53"/>
      <c r="OTT6" s="53"/>
      <c r="OTU6" s="53"/>
      <c r="OTV6" s="53"/>
      <c r="OTW6" s="53"/>
      <c r="OTX6" s="53"/>
      <c r="OTY6" s="53"/>
      <c r="OTZ6" s="53"/>
      <c r="OUA6" s="53"/>
      <c r="OUB6" s="53"/>
      <c r="OUC6" s="53"/>
      <c r="OUD6" s="53"/>
      <c r="OUE6" s="53"/>
      <c r="OUF6" s="53"/>
      <c r="OUG6" s="53"/>
      <c r="OUH6" s="53"/>
      <c r="OUI6" s="53"/>
      <c r="OUJ6" s="53"/>
      <c r="OUK6" s="53"/>
      <c r="OUL6" s="53"/>
      <c r="OUM6" s="53"/>
      <c r="OUN6" s="53"/>
      <c r="OUO6" s="53"/>
      <c r="OUP6" s="53"/>
      <c r="OUQ6" s="53"/>
      <c r="OUR6" s="53"/>
      <c r="OUS6" s="53"/>
      <c r="OUT6" s="53"/>
      <c r="OUU6" s="53"/>
      <c r="OUV6" s="53"/>
      <c r="OUW6" s="53"/>
      <c r="OUX6" s="53"/>
      <c r="OUY6" s="53"/>
      <c r="OUZ6" s="53"/>
      <c r="OVA6" s="53"/>
      <c r="OVB6" s="53"/>
      <c r="OVC6" s="53"/>
      <c r="OVD6" s="53"/>
      <c r="OVE6" s="53"/>
      <c r="OVF6" s="53"/>
      <c r="OVG6" s="53"/>
      <c r="OVH6" s="53"/>
      <c r="OVI6" s="53"/>
      <c r="OVJ6" s="53"/>
      <c r="OVK6" s="53"/>
      <c r="OVL6" s="53"/>
      <c r="OVM6" s="53"/>
      <c r="OVN6" s="53"/>
      <c r="OVO6" s="53"/>
      <c r="OVP6" s="53"/>
      <c r="OVQ6" s="53"/>
      <c r="OVR6" s="53"/>
      <c r="OVS6" s="53"/>
      <c r="OVT6" s="53"/>
      <c r="OVU6" s="53"/>
      <c r="OVV6" s="53"/>
      <c r="OVW6" s="53"/>
      <c r="OVX6" s="53"/>
      <c r="OVY6" s="53"/>
      <c r="OVZ6" s="53"/>
      <c r="OWA6" s="53"/>
      <c r="OWB6" s="53"/>
      <c r="OWC6" s="53"/>
      <c r="OWD6" s="53"/>
      <c r="OWE6" s="53"/>
      <c r="OWF6" s="53"/>
      <c r="OWG6" s="53"/>
      <c r="OWH6" s="53"/>
      <c r="OWI6" s="53"/>
      <c r="OWJ6" s="53"/>
      <c r="OWK6" s="53"/>
      <c r="OWL6" s="53"/>
      <c r="OWM6" s="53"/>
      <c r="OWN6" s="53"/>
      <c r="OWO6" s="53"/>
      <c r="OWP6" s="53"/>
      <c r="OWQ6" s="53"/>
      <c r="OWR6" s="53"/>
      <c r="OWS6" s="53"/>
      <c r="OWT6" s="53"/>
      <c r="OWU6" s="53"/>
      <c r="OWV6" s="53"/>
      <c r="OWW6" s="53"/>
      <c r="OWX6" s="53"/>
      <c r="OWY6" s="53"/>
      <c r="OWZ6" s="53"/>
      <c r="OXA6" s="53"/>
      <c r="OXB6" s="53"/>
      <c r="OXC6" s="53"/>
      <c r="OXD6" s="53"/>
      <c r="OXE6" s="53"/>
      <c r="OXF6" s="53"/>
      <c r="OXG6" s="53"/>
      <c r="OXH6" s="53"/>
      <c r="OXI6" s="53"/>
      <c r="OXJ6" s="53"/>
      <c r="OXK6" s="53"/>
      <c r="OXL6" s="53"/>
      <c r="OXM6" s="53"/>
      <c r="OXN6" s="53"/>
      <c r="OXO6" s="53"/>
      <c r="OXP6" s="53"/>
      <c r="OXQ6" s="53"/>
      <c r="OXR6" s="53"/>
      <c r="OXS6" s="53"/>
      <c r="OXT6" s="53"/>
      <c r="OXU6" s="53"/>
      <c r="OXV6" s="53"/>
      <c r="OXW6" s="53"/>
      <c r="OXX6" s="53"/>
      <c r="OXY6" s="53"/>
      <c r="OXZ6" s="53"/>
      <c r="OYA6" s="53"/>
      <c r="OYB6" s="53"/>
      <c r="OYC6" s="53"/>
      <c r="OYD6" s="53"/>
      <c r="OYE6" s="53"/>
      <c r="OYF6" s="53"/>
      <c r="OYG6" s="53"/>
      <c r="OYH6" s="53"/>
      <c r="OYI6" s="53"/>
      <c r="OYJ6" s="53"/>
      <c r="OYK6" s="53"/>
      <c r="OYL6" s="53"/>
      <c r="OYM6" s="53"/>
      <c r="OYN6" s="53"/>
      <c r="OYO6" s="53"/>
      <c r="OYP6" s="53"/>
      <c r="OYQ6" s="53"/>
      <c r="OYR6" s="53"/>
      <c r="OYS6" s="53"/>
      <c r="OYT6" s="53"/>
      <c r="OYU6" s="53"/>
      <c r="OYV6" s="53"/>
      <c r="OYW6" s="53"/>
      <c r="OYX6" s="53"/>
      <c r="OYY6" s="53"/>
      <c r="OYZ6" s="53"/>
      <c r="OZA6" s="53"/>
      <c r="OZB6" s="53"/>
      <c r="OZC6" s="53"/>
      <c r="OZD6" s="53"/>
      <c r="OZE6" s="53"/>
      <c r="OZF6" s="53"/>
      <c r="OZG6" s="53"/>
      <c r="OZH6" s="53"/>
      <c r="OZI6" s="53"/>
      <c r="OZJ6" s="53"/>
      <c r="OZK6" s="53"/>
      <c r="OZL6" s="53"/>
      <c r="OZM6" s="53"/>
      <c r="OZN6" s="53"/>
      <c r="OZO6" s="53"/>
      <c r="OZP6" s="53"/>
      <c r="OZQ6" s="53"/>
      <c r="OZR6" s="53"/>
      <c r="OZS6" s="53"/>
      <c r="OZT6" s="53"/>
      <c r="OZU6" s="53"/>
      <c r="OZV6" s="53"/>
      <c r="OZW6" s="53"/>
      <c r="OZX6" s="53"/>
      <c r="OZY6" s="53"/>
      <c r="OZZ6" s="53"/>
      <c r="PAA6" s="53"/>
      <c r="PAB6" s="53"/>
      <c r="PAC6" s="53"/>
      <c r="PAD6" s="53"/>
      <c r="PAE6" s="53"/>
      <c r="PAF6" s="53"/>
      <c r="PAG6" s="53"/>
      <c r="PAH6" s="53"/>
      <c r="PAI6" s="53"/>
      <c r="PAJ6" s="53"/>
      <c r="PAK6" s="53"/>
      <c r="PAL6" s="53"/>
      <c r="PAM6" s="53"/>
      <c r="PAN6" s="53"/>
      <c r="PAO6" s="53"/>
      <c r="PAP6" s="53"/>
      <c r="PAQ6" s="53"/>
      <c r="PAR6" s="53"/>
      <c r="PAS6" s="53"/>
      <c r="PAT6" s="53"/>
      <c r="PAU6" s="53"/>
      <c r="PAV6" s="53"/>
      <c r="PAW6" s="53"/>
      <c r="PAX6" s="53"/>
      <c r="PAY6" s="53"/>
      <c r="PAZ6" s="53"/>
      <c r="PBA6" s="53"/>
      <c r="PBB6" s="53"/>
      <c r="PBC6" s="53"/>
      <c r="PBD6" s="53"/>
      <c r="PBE6" s="53"/>
      <c r="PBF6" s="53"/>
      <c r="PBG6" s="53"/>
      <c r="PBH6" s="53"/>
      <c r="PBI6" s="53"/>
      <c r="PBJ6" s="53"/>
      <c r="PBK6" s="53"/>
      <c r="PBL6" s="53"/>
      <c r="PBM6" s="53"/>
      <c r="PBN6" s="53"/>
      <c r="PBO6" s="53"/>
      <c r="PBP6" s="53"/>
      <c r="PBQ6" s="53"/>
      <c r="PBR6" s="53"/>
      <c r="PBS6" s="53"/>
      <c r="PBT6" s="53"/>
      <c r="PBU6" s="53"/>
      <c r="PBV6" s="53"/>
      <c r="PBW6" s="53"/>
      <c r="PBX6" s="53"/>
      <c r="PBY6" s="53"/>
      <c r="PBZ6" s="53"/>
      <c r="PCA6" s="53"/>
      <c r="PCB6" s="53"/>
      <c r="PCC6" s="53"/>
      <c r="PCD6" s="53"/>
      <c r="PCE6" s="53"/>
      <c r="PCF6" s="53"/>
      <c r="PCG6" s="53"/>
      <c r="PCH6" s="53"/>
      <c r="PCI6" s="53"/>
      <c r="PCJ6" s="53"/>
      <c r="PCK6" s="53"/>
      <c r="PCL6" s="53"/>
      <c r="PCM6" s="53"/>
      <c r="PCN6" s="53"/>
      <c r="PCO6" s="53"/>
      <c r="PCP6" s="53"/>
      <c r="PCQ6" s="53"/>
      <c r="PCR6" s="53"/>
      <c r="PCS6" s="53"/>
      <c r="PCT6" s="53"/>
      <c r="PCU6" s="53"/>
      <c r="PCV6" s="53"/>
      <c r="PCW6" s="53"/>
      <c r="PCX6" s="53"/>
      <c r="PCY6" s="53"/>
      <c r="PCZ6" s="53"/>
      <c r="PDA6" s="53"/>
      <c r="PDB6" s="53"/>
      <c r="PDC6" s="53"/>
      <c r="PDD6" s="53"/>
      <c r="PDE6" s="53"/>
      <c r="PDF6" s="53"/>
      <c r="PDG6" s="53"/>
      <c r="PDH6" s="53"/>
      <c r="PDI6" s="53"/>
      <c r="PDJ6" s="53"/>
      <c r="PDK6" s="53"/>
      <c r="PDL6" s="53"/>
      <c r="PDM6" s="53"/>
      <c r="PDN6" s="53"/>
      <c r="PDO6" s="53"/>
      <c r="PDP6" s="53"/>
      <c r="PDQ6" s="53"/>
      <c r="PDR6" s="53"/>
      <c r="PDS6" s="53"/>
      <c r="PDT6" s="53"/>
      <c r="PDU6" s="53"/>
      <c r="PDV6" s="53"/>
      <c r="PDW6" s="53"/>
      <c r="PDX6" s="53"/>
      <c r="PDY6" s="53"/>
      <c r="PDZ6" s="53"/>
      <c r="PEA6" s="53"/>
      <c r="PEB6" s="53"/>
      <c r="PEC6" s="53"/>
      <c r="PED6" s="53"/>
      <c r="PEE6" s="53"/>
      <c r="PEF6" s="53"/>
      <c r="PEG6" s="53"/>
      <c r="PEH6" s="53"/>
      <c r="PEI6" s="53"/>
      <c r="PEJ6" s="53"/>
      <c r="PEK6" s="53"/>
      <c r="PEL6" s="53"/>
      <c r="PEM6" s="53"/>
      <c r="PEN6" s="53"/>
      <c r="PEO6" s="53"/>
      <c r="PEP6" s="53"/>
      <c r="PEQ6" s="53"/>
      <c r="PER6" s="53"/>
      <c r="PES6" s="53"/>
      <c r="PET6" s="53"/>
      <c r="PEU6" s="53"/>
      <c r="PEV6" s="53"/>
      <c r="PEW6" s="53"/>
      <c r="PEX6" s="53"/>
      <c r="PEY6" s="53"/>
      <c r="PEZ6" s="53"/>
      <c r="PFA6" s="53"/>
      <c r="PFB6" s="53"/>
      <c r="PFC6" s="53"/>
      <c r="PFD6" s="53"/>
      <c r="PFE6" s="53"/>
      <c r="PFF6" s="53"/>
      <c r="PFG6" s="53"/>
      <c r="PFH6" s="53"/>
      <c r="PFI6" s="53"/>
      <c r="PFJ6" s="53"/>
      <c r="PFK6" s="53"/>
      <c r="PFL6" s="53"/>
      <c r="PFM6" s="53"/>
      <c r="PFN6" s="53"/>
      <c r="PFO6" s="53"/>
      <c r="PFP6" s="53"/>
      <c r="PFQ6" s="53"/>
      <c r="PFR6" s="53"/>
      <c r="PFS6" s="53"/>
      <c r="PFT6" s="53"/>
      <c r="PFU6" s="53"/>
      <c r="PFV6" s="53"/>
      <c r="PFW6" s="53"/>
      <c r="PFX6" s="53"/>
      <c r="PFY6" s="53"/>
      <c r="PFZ6" s="53"/>
      <c r="PGA6" s="53"/>
      <c r="PGB6" s="53"/>
      <c r="PGC6" s="53"/>
      <c r="PGD6" s="53"/>
      <c r="PGE6" s="53"/>
      <c r="PGF6" s="53"/>
      <c r="PGG6" s="53"/>
      <c r="PGH6" s="53"/>
      <c r="PGI6" s="53"/>
      <c r="PGJ6" s="53"/>
      <c r="PGK6" s="53"/>
      <c r="PGL6" s="53"/>
      <c r="PGM6" s="53"/>
      <c r="PGN6" s="53"/>
      <c r="PGO6" s="53"/>
      <c r="PGP6" s="53"/>
      <c r="PGQ6" s="53"/>
      <c r="PGR6" s="53"/>
      <c r="PGS6" s="53"/>
      <c r="PGT6" s="53"/>
      <c r="PGU6" s="53"/>
      <c r="PGV6" s="53"/>
      <c r="PGW6" s="53"/>
      <c r="PGX6" s="53"/>
      <c r="PGY6" s="53"/>
      <c r="PGZ6" s="53"/>
      <c r="PHA6" s="53"/>
      <c r="PHB6" s="53"/>
      <c r="PHC6" s="53"/>
      <c r="PHD6" s="53"/>
      <c r="PHE6" s="53"/>
      <c r="PHF6" s="53"/>
      <c r="PHG6" s="53"/>
      <c r="PHH6" s="53"/>
      <c r="PHI6" s="53"/>
      <c r="PHJ6" s="53"/>
      <c r="PHK6" s="53"/>
      <c r="PHL6" s="53"/>
      <c r="PHM6" s="53"/>
      <c r="PHN6" s="53"/>
      <c r="PHO6" s="53"/>
      <c r="PHP6" s="53"/>
      <c r="PHQ6" s="53"/>
      <c r="PHR6" s="53"/>
      <c r="PHS6" s="53"/>
      <c r="PHT6" s="53"/>
      <c r="PHU6" s="53"/>
      <c r="PHV6" s="53"/>
      <c r="PHW6" s="53"/>
      <c r="PHX6" s="53"/>
      <c r="PHY6" s="53"/>
      <c r="PHZ6" s="53"/>
      <c r="PIA6" s="53"/>
      <c r="PIB6" s="53"/>
      <c r="PIC6" s="53"/>
      <c r="PID6" s="53"/>
      <c r="PIE6" s="53"/>
      <c r="PIF6" s="53"/>
      <c r="PIG6" s="53"/>
      <c r="PIH6" s="53"/>
      <c r="PII6" s="53"/>
      <c r="PIJ6" s="53"/>
      <c r="PIK6" s="53"/>
      <c r="PIL6" s="53"/>
      <c r="PIM6" s="53"/>
      <c r="PIN6" s="53"/>
      <c r="PIO6" s="53"/>
      <c r="PIP6" s="53"/>
      <c r="PIQ6" s="53"/>
      <c r="PIR6" s="53"/>
      <c r="PIS6" s="53"/>
      <c r="PIT6" s="53"/>
      <c r="PIU6" s="53"/>
      <c r="PIV6" s="53"/>
      <c r="PIW6" s="53"/>
      <c r="PIX6" s="53"/>
      <c r="PIY6" s="53"/>
      <c r="PIZ6" s="53"/>
      <c r="PJA6" s="53"/>
      <c r="PJB6" s="53"/>
      <c r="PJC6" s="53"/>
      <c r="PJD6" s="53"/>
      <c r="PJE6" s="53"/>
      <c r="PJF6" s="53"/>
      <c r="PJG6" s="53"/>
      <c r="PJH6" s="53"/>
      <c r="PJI6" s="53"/>
      <c r="PJJ6" s="53"/>
      <c r="PJK6" s="53"/>
      <c r="PJL6" s="53"/>
      <c r="PJM6" s="53"/>
      <c r="PJN6" s="53"/>
      <c r="PJO6" s="53"/>
      <c r="PJP6" s="53"/>
      <c r="PJQ6" s="53"/>
      <c r="PJR6" s="53"/>
      <c r="PJS6" s="53"/>
      <c r="PJT6" s="53"/>
      <c r="PJU6" s="53"/>
      <c r="PJV6" s="53"/>
      <c r="PJW6" s="53"/>
      <c r="PJX6" s="53"/>
      <c r="PJY6" s="53"/>
      <c r="PJZ6" s="53"/>
      <c r="PKA6" s="53"/>
      <c r="PKB6" s="53"/>
      <c r="PKC6" s="53"/>
      <c r="PKD6" s="53"/>
      <c r="PKE6" s="53"/>
      <c r="PKF6" s="53"/>
      <c r="PKG6" s="53"/>
      <c r="PKH6" s="53"/>
      <c r="PKI6" s="53"/>
      <c r="PKJ6" s="53"/>
      <c r="PKK6" s="53"/>
      <c r="PKL6" s="53"/>
      <c r="PKM6" s="53"/>
      <c r="PKN6" s="53"/>
      <c r="PKO6" s="53"/>
      <c r="PKP6" s="53"/>
      <c r="PKQ6" s="53"/>
      <c r="PKR6" s="53"/>
      <c r="PKS6" s="53"/>
      <c r="PKT6" s="53"/>
      <c r="PKU6" s="53"/>
      <c r="PKV6" s="53"/>
      <c r="PKW6" s="53"/>
      <c r="PKX6" s="53"/>
      <c r="PKY6" s="53"/>
      <c r="PKZ6" s="53"/>
      <c r="PLA6" s="53"/>
      <c r="PLB6" s="53"/>
      <c r="PLC6" s="53"/>
      <c r="PLD6" s="53"/>
      <c r="PLE6" s="53"/>
      <c r="PLF6" s="53"/>
      <c r="PLG6" s="53"/>
      <c r="PLH6" s="53"/>
      <c r="PLI6" s="53"/>
      <c r="PLJ6" s="53"/>
      <c r="PLK6" s="53"/>
      <c r="PLL6" s="53"/>
      <c r="PLM6" s="53"/>
      <c r="PLN6" s="53"/>
      <c r="PLO6" s="53"/>
      <c r="PLP6" s="53"/>
      <c r="PLQ6" s="53"/>
      <c r="PLR6" s="53"/>
      <c r="PLS6" s="53"/>
      <c r="PLT6" s="53"/>
      <c r="PLU6" s="53"/>
      <c r="PLV6" s="53"/>
      <c r="PLW6" s="53"/>
      <c r="PLX6" s="53"/>
      <c r="PLY6" s="53"/>
      <c r="PLZ6" s="53"/>
      <c r="PMA6" s="53"/>
      <c r="PMB6" s="53"/>
      <c r="PMC6" s="53"/>
      <c r="PMD6" s="53"/>
      <c r="PME6" s="53"/>
      <c r="PMF6" s="53"/>
      <c r="PMG6" s="53"/>
      <c r="PMH6" s="53"/>
      <c r="PMI6" s="53"/>
      <c r="PMJ6" s="53"/>
      <c r="PMK6" s="53"/>
      <c r="PML6" s="53"/>
      <c r="PMM6" s="53"/>
      <c r="PMN6" s="53"/>
      <c r="PMO6" s="53"/>
      <c r="PMP6" s="53"/>
      <c r="PMQ6" s="53"/>
      <c r="PMR6" s="53"/>
      <c r="PMS6" s="53"/>
      <c r="PMT6" s="53"/>
      <c r="PMU6" s="53"/>
      <c r="PMV6" s="53"/>
      <c r="PMW6" s="53"/>
      <c r="PMX6" s="53"/>
      <c r="PMY6" s="53"/>
      <c r="PMZ6" s="53"/>
      <c r="PNA6" s="53"/>
      <c r="PNB6" s="53"/>
      <c r="PNC6" s="53"/>
      <c r="PND6" s="53"/>
      <c r="PNE6" s="53"/>
      <c r="PNF6" s="53"/>
      <c r="PNG6" s="53"/>
      <c r="PNH6" s="53"/>
      <c r="PNI6" s="53"/>
      <c r="PNJ6" s="53"/>
      <c r="PNK6" s="53"/>
      <c r="PNL6" s="53"/>
      <c r="PNM6" s="53"/>
      <c r="PNN6" s="53"/>
      <c r="PNO6" s="53"/>
      <c r="PNP6" s="53"/>
      <c r="PNQ6" s="53"/>
      <c r="PNR6" s="53"/>
      <c r="PNS6" s="53"/>
      <c r="PNT6" s="53"/>
      <c r="PNU6" s="53"/>
      <c r="PNV6" s="53"/>
      <c r="PNW6" s="53"/>
      <c r="PNX6" s="53"/>
      <c r="PNY6" s="53"/>
      <c r="PNZ6" s="53"/>
      <c r="POA6" s="53"/>
      <c r="POB6" s="53"/>
      <c r="POC6" s="53"/>
      <c r="POD6" s="53"/>
      <c r="POE6" s="53"/>
      <c r="POF6" s="53"/>
      <c r="POG6" s="53"/>
      <c r="POH6" s="53"/>
      <c r="POI6" s="53"/>
      <c r="POJ6" s="53"/>
      <c r="POK6" s="53"/>
      <c r="POL6" s="53"/>
      <c r="POM6" s="53"/>
      <c r="PON6" s="53"/>
      <c r="POO6" s="53"/>
      <c r="POP6" s="53"/>
      <c r="POQ6" s="53"/>
      <c r="POR6" s="53"/>
      <c r="POS6" s="53"/>
      <c r="POT6" s="53"/>
      <c r="POU6" s="53"/>
      <c r="POV6" s="53"/>
      <c r="POW6" s="53"/>
      <c r="POX6" s="53"/>
      <c r="POY6" s="53"/>
      <c r="POZ6" s="53"/>
      <c r="PPA6" s="53"/>
      <c r="PPB6" s="53"/>
      <c r="PPC6" s="53"/>
      <c r="PPD6" s="53"/>
      <c r="PPE6" s="53"/>
      <c r="PPF6" s="53"/>
      <c r="PPG6" s="53"/>
      <c r="PPH6" s="53"/>
      <c r="PPI6" s="53"/>
      <c r="PPJ6" s="53"/>
      <c r="PPK6" s="53"/>
      <c r="PPL6" s="53"/>
      <c r="PPM6" s="53"/>
      <c r="PPN6" s="53"/>
      <c r="PPO6" s="53"/>
      <c r="PPP6" s="53"/>
      <c r="PPQ6" s="53"/>
      <c r="PPR6" s="53"/>
      <c r="PPS6" s="53"/>
      <c r="PPT6" s="53"/>
      <c r="PPU6" s="53"/>
      <c r="PPV6" s="53"/>
      <c r="PPW6" s="53"/>
      <c r="PPX6" s="53"/>
      <c r="PPY6" s="53"/>
      <c r="PPZ6" s="53"/>
      <c r="PQA6" s="53"/>
      <c r="PQB6" s="53"/>
      <c r="PQC6" s="53"/>
      <c r="PQD6" s="53"/>
      <c r="PQE6" s="53"/>
      <c r="PQF6" s="53"/>
      <c r="PQG6" s="53"/>
      <c r="PQH6" s="53"/>
      <c r="PQI6" s="53"/>
      <c r="PQJ6" s="53"/>
      <c r="PQK6" s="53"/>
      <c r="PQL6" s="53"/>
      <c r="PQM6" s="53"/>
      <c r="PQN6" s="53"/>
      <c r="PQO6" s="53"/>
      <c r="PQP6" s="53"/>
      <c r="PQQ6" s="53"/>
      <c r="PQR6" s="53"/>
      <c r="PQS6" s="53"/>
      <c r="PQT6" s="53"/>
      <c r="PQU6" s="53"/>
      <c r="PQV6" s="53"/>
      <c r="PQW6" s="53"/>
      <c r="PQX6" s="53"/>
      <c r="PQY6" s="53"/>
      <c r="PQZ6" s="53"/>
      <c r="PRA6" s="53"/>
      <c r="PRB6" s="53"/>
      <c r="PRC6" s="53"/>
      <c r="PRD6" s="53"/>
      <c r="PRE6" s="53"/>
      <c r="PRF6" s="53"/>
      <c r="PRG6" s="53"/>
      <c r="PRH6" s="53"/>
      <c r="PRI6" s="53"/>
      <c r="PRJ6" s="53"/>
      <c r="PRK6" s="53"/>
      <c r="PRL6" s="53"/>
      <c r="PRM6" s="53"/>
      <c r="PRN6" s="53"/>
      <c r="PRO6" s="53"/>
      <c r="PRP6" s="53"/>
      <c r="PRQ6" s="53"/>
      <c r="PRR6" s="53"/>
      <c r="PRS6" s="53"/>
      <c r="PRT6" s="53"/>
      <c r="PRU6" s="53"/>
      <c r="PRV6" s="53"/>
      <c r="PRW6" s="53"/>
      <c r="PRX6" s="53"/>
      <c r="PRY6" s="53"/>
      <c r="PRZ6" s="53"/>
      <c r="PSA6" s="53"/>
      <c r="PSB6" s="53"/>
      <c r="PSC6" s="53"/>
      <c r="PSD6" s="53"/>
      <c r="PSE6" s="53"/>
      <c r="PSF6" s="53"/>
      <c r="PSG6" s="53"/>
      <c r="PSH6" s="53"/>
      <c r="PSI6" s="53"/>
      <c r="PSJ6" s="53"/>
      <c r="PSK6" s="53"/>
      <c r="PSL6" s="53"/>
      <c r="PSM6" s="53"/>
      <c r="PSN6" s="53"/>
      <c r="PSO6" s="53"/>
      <c r="PSP6" s="53"/>
      <c r="PSQ6" s="53"/>
      <c r="PSR6" s="53"/>
      <c r="PSS6" s="53"/>
      <c r="PST6" s="53"/>
      <c r="PSU6" s="53"/>
      <c r="PSV6" s="53"/>
      <c r="PSW6" s="53"/>
      <c r="PSX6" s="53"/>
      <c r="PSY6" s="53"/>
      <c r="PSZ6" s="53"/>
      <c r="PTA6" s="53"/>
      <c r="PTB6" s="53"/>
      <c r="PTC6" s="53"/>
      <c r="PTD6" s="53"/>
      <c r="PTE6" s="53"/>
      <c r="PTF6" s="53"/>
      <c r="PTG6" s="53"/>
      <c r="PTH6" s="53"/>
      <c r="PTI6" s="53"/>
      <c r="PTJ6" s="53"/>
      <c r="PTK6" s="53"/>
      <c r="PTL6" s="53"/>
      <c r="PTM6" s="53"/>
      <c r="PTN6" s="53"/>
      <c r="PTO6" s="53"/>
      <c r="PTP6" s="53"/>
      <c r="PTQ6" s="53"/>
      <c r="PTR6" s="53"/>
      <c r="PTS6" s="53"/>
      <c r="PTT6" s="53"/>
      <c r="PTU6" s="53"/>
      <c r="PTV6" s="53"/>
      <c r="PTW6" s="53"/>
      <c r="PTX6" s="53"/>
      <c r="PTY6" s="53"/>
      <c r="PTZ6" s="53"/>
      <c r="PUA6" s="53"/>
      <c r="PUB6" s="53"/>
      <c r="PUC6" s="53"/>
      <c r="PUD6" s="53"/>
      <c r="PUE6" s="53"/>
      <c r="PUF6" s="53"/>
      <c r="PUG6" s="53"/>
      <c r="PUH6" s="53"/>
      <c r="PUI6" s="53"/>
      <c r="PUJ6" s="53"/>
      <c r="PUK6" s="53"/>
      <c r="PUL6" s="53"/>
      <c r="PUM6" s="53"/>
      <c r="PUN6" s="53"/>
      <c r="PUO6" s="53"/>
      <c r="PUP6" s="53"/>
      <c r="PUQ6" s="53"/>
      <c r="PUR6" s="53"/>
      <c r="PUS6" s="53"/>
      <c r="PUT6" s="53"/>
      <c r="PUU6" s="53"/>
      <c r="PUV6" s="53"/>
      <c r="PUW6" s="53"/>
      <c r="PUX6" s="53"/>
      <c r="PUY6" s="53"/>
      <c r="PUZ6" s="53"/>
      <c r="PVA6" s="53"/>
      <c r="PVB6" s="53"/>
      <c r="PVC6" s="53"/>
      <c r="PVD6" s="53"/>
      <c r="PVE6" s="53"/>
      <c r="PVF6" s="53"/>
      <c r="PVG6" s="53"/>
      <c r="PVH6" s="53"/>
      <c r="PVI6" s="53"/>
      <c r="PVJ6" s="53"/>
      <c r="PVK6" s="53"/>
      <c r="PVL6" s="53"/>
      <c r="PVM6" s="53"/>
      <c r="PVN6" s="53"/>
      <c r="PVO6" s="53"/>
      <c r="PVP6" s="53"/>
      <c r="PVQ6" s="53"/>
      <c r="PVR6" s="53"/>
      <c r="PVS6" s="53"/>
      <c r="PVT6" s="53"/>
      <c r="PVU6" s="53"/>
      <c r="PVV6" s="53"/>
      <c r="PVW6" s="53"/>
      <c r="PVX6" s="53"/>
      <c r="PVY6" s="53"/>
      <c r="PVZ6" s="53"/>
      <c r="PWA6" s="53"/>
      <c r="PWB6" s="53"/>
      <c r="PWC6" s="53"/>
      <c r="PWD6" s="53"/>
      <c r="PWE6" s="53"/>
      <c r="PWF6" s="53"/>
      <c r="PWG6" s="53"/>
      <c r="PWH6" s="53"/>
      <c r="PWI6" s="53"/>
      <c r="PWJ6" s="53"/>
      <c r="PWK6" s="53"/>
      <c r="PWL6" s="53"/>
      <c r="PWM6" s="53"/>
      <c r="PWN6" s="53"/>
      <c r="PWO6" s="53"/>
      <c r="PWP6" s="53"/>
      <c r="PWQ6" s="53"/>
      <c r="PWR6" s="53"/>
      <c r="PWS6" s="53"/>
      <c r="PWT6" s="53"/>
      <c r="PWU6" s="53"/>
      <c r="PWV6" s="53"/>
      <c r="PWW6" s="53"/>
      <c r="PWX6" s="53"/>
      <c r="PWY6" s="53"/>
      <c r="PWZ6" s="53"/>
      <c r="PXA6" s="53"/>
      <c r="PXB6" s="53"/>
      <c r="PXC6" s="53"/>
      <c r="PXD6" s="53"/>
      <c r="PXE6" s="53"/>
      <c r="PXF6" s="53"/>
      <c r="PXG6" s="53"/>
      <c r="PXH6" s="53"/>
      <c r="PXI6" s="53"/>
      <c r="PXJ6" s="53"/>
      <c r="PXK6" s="53"/>
      <c r="PXL6" s="53"/>
      <c r="PXM6" s="53"/>
      <c r="PXN6" s="53"/>
      <c r="PXO6" s="53"/>
      <c r="PXP6" s="53"/>
      <c r="PXQ6" s="53"/>
      <c r="PXR6" s="53"/>
      <c r="PXS6" s="53"/>
      <c r="PXT6" s="53"/>
      <c r="PXU6" s="53"/>
      <c r="PXV6" s="53"/>
      <c r="PXW6" s="53"/>
      <c r="PXX6" s="53"/>
      <c r="PXY6" s="53"/>
      <c r="PXZ6" s="53"/>
      <c r="PYA6" s="53"/>
      <c r="PYB6" s="53"/>
      <c r="PYC6" s="53"/>
      <c r="PYD6" s="53"/>
      <c r="PYE6" s="53"/>
      <c r="PYF6" s="53"/>
      <c r="PYG6" s="53"/>
      <c r="PYH6" s="53"/>
      <c r="PYI6" s="53"/>
      <c r="PYJ6" s="53"/>
      <c r="PYK6" s="53"/>
      <c r="PYL6" s="53"/>
      <c r="PYM6" s="53"/>
      <c r="PYN6" s="53"/>
      <c r="PYO6" s="53"/>
      <c r="PYP6" s="53"/>
      <c r="PYQ6" s="53"/>
      <c r="PYR6" s="53"/>
      <c r="PYS6" s="53"/>
      <c r="PYT6" s="53"/>
      <c r="PYU6" s="53"/>
      <c r="PYV6" s="53"/>
      <c r="PYW6" s="53"/>
      <c r="PYX6" s="53"/>
      <c r="PYY6" s="53"/>
      <c r="PYZ6" s="53"/>
      <c r="PZA6" s="53"/>
      <c r="PZB6" s="53"/>
      <c r="PZC6" s="53"/>
      <c r="PZD6" s="53"/>
      <c r="PZE6" s="53"/>
      <c r="PZF6" s="53"/>
      <c r="PZG6" s="53"/>
      <c r="PZH6" s="53"/>
      <c r="PZI6" s="53"/>
      <c r="PZJ6" s="53"/>
      <c r="PZK6" s="53"/>
      <c r="PZL6" s="53"/>
      <c r="PZM6" s="53"/>
      <c r="PZN6" s="53"/>
      <c r="PZO6" s="53"/>
      <c r="PZP6" s="53"/>
      <c r="PZQ6" s="53"/>
      <c r="PZR6" s="53"/>
      <c r="PZS6" s="53"/>
      <c r="PZT6" s="53"/>
      <c r="PZU6" s="53"/>
      <c r="PZV6" s="53"/>
      <c r="PZW6" s="53"/>
      <c r="PZX6" s="53"/>
      <c r="PZY6" s="53"/>
      <c r="PZZ6" s="53"/>
      <c r="QAA6" s="53"/>
      <c r="QAB6" s="53"/>
      <c r="QAC6" s="53"/>
      <c r="QAD6" s="53"/>
      <c r="QAE6" s="53"/>
      <c r="QAF6" s="53"/>
      <c r="QAG6" s="53"/>
      <c r="QAH6" s="53"/>
      <c r="QAI6" s="53"/>
      <c r="QAJ6" s="53"/>
      <c r="QAK6" s="53"/>
      <c r="QAL6" s="53"/>
      <c r="QAM6" s="53"/>
      <c r="QAN6" s="53"/>
      <c r="QAO6" s="53"/>
      <c r="QAP6" s="53"/>
      <c r="QAQ6" s="53"/>
      <c r="QAR6" s="53"/>
      <c r="QAS6" s="53"/>
      <c r="QAT6" s="53"/>
      <c r="QAU6" s="53"/>
      <c r="QAV6" s="53"/>
      <c r="QAW6" s="53"/>
      <c r="QAX6" s="53"/>
      <c r="QAY6" s="53"/>
      <c r="QAZ6" s="53"/>
      <c r="QBA6" s="53"/>
      <c r="QBB6" s="53"/>
      <c r="QBC6" s="53"/>
      <c r="QBD6" s="53"/>
      <c r="QBE6" s="53"/>
      <c r="QBF6" s="53"/>
      <c r="QBG6" s="53"/>
      <c r="QBH6" s="53"/>
      <c r="QBI6" s="53"/>
      <c r="QBJ6" s="53"/>
      <c r="QBK6" s="53"/>
      <c r="QBL6" s="53"/>
      <c r="QBM6" s="53"/>
      <c r="QBN6" s="53"/>
      <c r="QBO6" s="53"/>
      <c r="QBP6" s="53"/>
      <c r="QBQ6" s="53"/>
      <c r="QBR6" s="53"/>
      <c r="QBS6" s="53"/>
      <c r="QBT6" s="53"/>
      <c r="QBU6" s="53"/>
      <c r="QBV6" s="53"/>
      <c r="QBW6" s="53"/>
      <c r="QBX6" s="53"/>
      <c r="QBY6" s="53"/>
      <c r="QBZ6" s="53"/>
      <c r="QCA6" s="53"/>
      <c r="QCB6" s="53"/>
      <c r="QCC6" s="53"/>
      <c r="QCD6" s="53"/>
      <c r="QCE6" s="53"/>
      <c r="QCF6" s="53"/>
      <c r="QCG6" s="53"/>
      <c r="QCH6" s="53"/>
      <c r="QCI6" s="53"/>
      <c r="QCJ6" s="53"/>
      <c r="QCK6" s="53"/>
      <c r="QCL6" s="53"/>
      <c r="QCM6" s="53"/>
      <c r="QCN6" s="53"/>
      <c r="QCO6" s="53"/>
      <c r="QCP6" s="53"/>
      <c r="QCQ6" s="53"/>
      <c r="QCR6" s="53"/>
      <c r="QCS6" s="53"/>
      <c r="QCT6" s="53"/>
      <c r="QCU6" s="53"/>
      <c r="QCV6" s="53"/>
      <c r="QCW6" s="53"/>
      <c r="QCX6" s="53"/>
      <c r="QCY6" s="53"/>
      <c r="QCZ6" s="53"/>
      <c r="QDA6" s="53"/>
      <c r="QDB6" s="53"/>
      <c r="QDC6" s="53"/>
      <c r="QDD6" s="53"/>
      <c r="QDE6" s="53"/>
      <c r="QDF6" s="53"/>
      <c r="QDG6" s="53"/>
      <c r="QDH6" s="53"/>
      <c r="QDI6" s="53"/>
      <c r="QDJ6" s="53"/>
      <c r="QDK6" s="53"/>
      <c r="QDL6" s="53"/>
      <c r="QDM6" s="53"/>
      <c r="QDN6" s="53"/>
      <c r="QDO6" s="53"/>
      <c r="QDP6" s="53"/>
      <c r="QDQ6" s="53"/>
      <c r="QDR6" s="53"/>
      <c r="QDS6" s="53"/>
      <c r="QDT6" s="53"/>
      <c r="QDU6" s="53"/>
      <c r="QDV6" s="53"/>
      <c r="QDW6" s="53"/>
      <c r="QDX6" s="53"/>
      <c r="QDY6" s="53"/>
      <c r="QDZ6" s="53"/>
      <c r="QEA6" s="53"/>
      <c r="QEB6" s="53"/>
      <c r="QEC6" s="53"/>
      <c r="QED6" s="53"/>
      <c r="QEE6" s="53"/>
      <c r="QEF6" s="53"/>
      <c r="QEG6" s="53"/>
      <c r="QEH6" s="53"/>
      <c r="QEI6" s="53"/>
      <c r="QEJ6" s="53"/>
      <c r="QEK6" s="53"/>
      <c r="QEL6" s="53"/>
      <c r="QEM6" s="53"/>
      <c r="QEN6" s="53"/>
      <c r="QEO6" s="53"/>
      <c r="QEP6" s="53"/>
      <c r="QEQ6" s="53"/>
      <c r="QER6" s="53"/>
      <c r="QES6" s="53"/>
      <c r="QET6" s="53"/>
      <c r="QEU6" s="53"/>
      <c r="QEV6" s="53"/>
      <c r="QEW6" s="53"/>
      <c r="QEX6" s="53"/>
      <c r="QEY6" s="53"/>
      <c r="QEZ6" s="53"/>
      <c r="QFA6" s="53"/>
      <c r="QFB6" s="53"/>
      <c r="QFC6" s="53"/>
      <c r="QFD6" s="53"/>
      <c r="QFE6" s="53"/>
      <c r="QFF6" s="53"/>
      <c r="QFG6" s="53"/>
      <c r="QFH6" s="53"/>
      <c r="QFI6" s="53"/>
      <c r="QFJ6" s="53"/>
      <c r="QFK6" s="53"/>
      <c r="QFL6" s="53"/>
      <c r="QFM6" s="53"/>
      <c r="QFN6" s="53"/>
      <c r="QFO6" s="53"/>
      <c r="QFP6" s="53"/>
      <c r="QFQ6" s="53"/>
      <c r="QFR6" s="53"/>
      <c r="QFS6" s="53"/>
      <c r="QFT6" s="53"/>
      <c r="QFU6" s="53"/>
      <c r="QFV6" s="53"/>
      <c r="QFW6" s="53"/>
      <c r="QFX6" s="53"/>
      <c r="QFY6" s="53"/>
      <c r="QFZ6" s="53"/>
      <c r="QGA6" s="53"/>
      <c r="QGB6" s="53"/>
      <c r="QGC6" s="53"/>
      <c r="QGD6" s="53"/>
      <c r="QGE6" s="53"/>
      <c r="QGF6" s="53"/>
      <c r="QGG6" s="53"/>
      <c r="QGH6" s="53"/>
      <c r="QGI6" s="53"/>
      <c r="QGJ6" s="53"/>
      <c r="QGK6" s="53"/>
      <c r="QGL6" s="53"/>
      <c r="QGM6" s="53"/>
      <c r="QGN6" s="53"/>
      <c r="QGO6" s="53"/>
      <c r="QGP6" s="53"/>
      <c r="QGQ6" s="53"/>
      <c r="QGR6" s="53"/>
      <c r="QGS6" s="53"/>
      <c r="QGT6" s="53"/>
      <c r="QGU6" s="53"/>
      <c r="QGV6" s="53"/>
      <c r="QGW6" s="53"/>
      <c r="QGX6" s="53"/>
      <c r="QGY6" s="53"/>
      <c r="QGZ6" s="53"/>
      <c r="QHA6" s="53"/>
      <c r="QHB6" s="53"/>
      <c r="QHC6" s="53"/>
      <c r="QHD6" s="53"/>
      <c r="QHE6" s="53"/>
      <c r="QHF6" s="53"/>
      <c r="QHG6" s="53"/>
      <c r="QHH6" s="53"/>
      <c r="QHI6" s="53"/>
      <c r="QHJ6" s="53"/>
      <c r="QHK6" s="53"/>
      <c r="QHL6" s="53"/>
      <c r="QHM6" s="53"/>
      <c r="QHN6" s="53"/>
      <c r="QHO6" s="53"/>
      <c r="QHP6" s="53"/>
      <c r="QHQ6" s="53"/>
      <c r="QHR6" s="53"/>
      <c r="QHS6" s="53"/>
      <c r="QHT6" s="53"/>
      <c r="QHU6" s="53"/>
      <c r="QHV6" s="53"/>
      <c r="QHW6" s="53"/>
      <c r="QHX6" s="53"/>
      <c r="QHY6" s="53"/>
      <c r="QHZ6" s="53"/>
      <c r="QIA6" s="53"/>
      <c r="QIB6" s="53"/>
      <c r="QIC6" s="53"/>
      <c r="QID6" s="53"/>
      <c r="QIE6" s="53"/>
      <c r="QIF6" s="53"/>
      <c r="QIG6" s="53"/>
      <c r="QIH6" s="53"/>
      <c r="QII6" s="53"/>
      <c r="QIJ6" s="53"/>
      <c r="QIK6" s="53"/>
      <c r="QIL6" s="53"/>
      <c r="QIM6" s="53"/>
      <c r="QIN6" s="53"/>
      <c r="QIO6" s="53"/>
      <c r="QIP6" s="53"/>
      <c r="QIQ6" s="53"/>
      <c r="QIR6" s="53"/>
      <c r="QIS6" s="53"/>
      <c r="QIT6" s="53"/>
      <c r="QIU6" s="53"/>
      <c r="QIV6" s="53"/>
      <c r="QIW6" s="53"/>
      <c r="QIX6" s="53"/>
      <c r="QIY6" s="53"/>
      <c r="QIZ6" s="53"/>
      <c r="QJA6" s="53"/>
      <c r="QJB6" s="53"/>
      <c r="QJC6" s="53"/>
      <c r="QJD6" s="53"/>
      <c r="QJE6" s="53"/>
      <c r="QJF6" s="53"/>
      <c r="QJG6" s="53"/>
      <c r="QJH6" s="53"/>
      <c r="QJI6" s="53"/>
      <c r="QJJ6" s="53"/>
      <c r="QJK6" s="53"/>
      <c r="QJL6" s="53"/>
      <c r="QJM6" s="53"/>
      <c r="QJN6" s="53"/>
      <c r="QJO6" s="53"/>
      <c r="QJP6" s="53"/>
      <c r="QJQ6" s="53"/>
      <c r="QJR6" s="53"/>
      <c r="QJS6" s="53"/>
      <c r="QJT6" s="53"/>
      <c r="QJU6" s="53"/>
      <c r="QJV6" s="53"/>
      <c r="QJW6" s="53"/>
      <c r="QJX6" s="53"/>
      <c r="QJY6" s="53"/>
      <c r="QJZ6" s="53"/>
      <c r="QKA6" s="53"/>
      <c r="QKB6" s="53"/>
      <c r="QKC6" s="53"/>
      <c r="QKD6" s="53"/>
      <c r="QKE6" s="53"/>
      <c r="QKF6" s="53"/>
      <c r="QKG6" s="53"/>
      <c r="QKH6" s="53"/>
      <c r="QKI6" s="53"/>
      <c r="QKJ6" s="53"/>
      <c r="QKK6" s="53"/>
      <c r="QKL6" s="53"/>
      <c r="QKM6" s="53"/>
      <c r="QKN6" s="53"/>
      <c r="QKO6" s="53"/>
      <c r="QKP6" s="53"/>
      <c r="QKQ6" s="53"/>
      <c r="QKR6" s="53"/>
      <c r="QKS6" s="53"/>
      <c r="QKT6" s="53"/>
      <c r="QKU6" s="53"/>
      <c r="QKV6" s="53"/>
      <c r="QKW6" s="53"/>
      <c r="QKX6" s="53"/>
      <c r="QKY6" s="53"/>
      <c r="QKZ6" s="53"/>
      <c r="QLA6" s="53"/>
      <c r="QLB6" s="53"/>
      <c r="QLC6" s="53"/>
      <c r="QLD6" s="53"/>
      <c r="QLE6" s="53"/>
      <c r="QLF6" s="53"/>
      <c r="QLG6" s="53"/>
      <c r="QLH6" s="53"/>
      <c r="QLI6" s="53"/>
      <c r="QLJ6" s="53"/>
      <c r="QLK6" s="53"/>
      <c r="QLL6" s="53"/>
      <c r="QLM6" s="53"/>
      <c r="QLN6" s="53"/>
      <c r="QLO6" s="53"/>
      <c r="QLP6" s="53"/>
      <c r="QLQ6" s="53"/>
      <c r="QLR6" s="53"/>
      <c r="QLS6" s="53"/>
      <c r="QLT6" s="53"/>
      <c r="QLU6" s="53"/>
      <c r="QLV6" s="53"/>
      <c r="QLW6" s="53"/>
      <c r="QLX6" s="53"/>
      <c r="QLY6" s="53"/>
      <c r="QLZ6" s="53"/>
      <c r="QMA6" s="53"/>
      <c r="QMB6" s="53"/>
      <c r="QMC6" s="53"/>
      <c r="QMD6" s="53"/>
      <c r="QME6" s="53"/>
      <c r="QMF6" s="53"/>
      <c r="QMG6" s="53"/>
      <c r="QMH6" s="53"/>
      <c r="QMI6" s="53"/>
      <c r="QMJ6" s="53"/>
      <c r="QMK6" s="53"/>
      <c r="QML6" s="53"/>
      <c r="QMM6" s="53"/>
      <c r="QMN6" s="53"/>
      <c r="QMO6" s="53"/>
      <c r="QMP6" s="53"/>
      <c r="QMQ6" s="53"/>
      <c r="QMR6" s="53"/>
      <c r="QMS6" s="53"/>
      <c r="QMT6" s="53"/>
      <c r="QMU6" s="53"/>
      <c r="QMV6" s="53"/>
      <c r="QMW6" s="53"/>
      <c r="QMX6" s="53"/>
      <c r="QMY6" s="53"/>
      <c r="QMZ6" s="53"/>
      <c r="QNA6" s="53"/>
      <c r="QNB6" s="53"/>
      <c r="QNC6" s="53"/>
      <c r="QND6" s="53"/>
      <c r="QNE6" s="53"/>
      <c r="QNF6" s="53"/>
      <c r="QNG6" s="53"/>
      <c r="QNH6" s="53"/>
      <c r="QNI6" s="53"/>
      <c r="QNJ6" s="53"/>
      <c r="QNK6" s="53"/>
      <c r="QNL6" s="53"/>
      <c r="QNM6" s="53"/>
      <c r="QNN6" s="53"/>
      <c r="QNO6" s="53"/>
      <c r="QNP6" s="53"/>
      <c r="QNQ6" s="53"/>
      <c r="QNR6" s="53"/>
      <c r="QNS6" s="53"/>
      <c r="QNT6" s="53"/>
      <c r="QNU6" s="53"/>
      <c r="QNV6" s="53"/>
      <c r="QNW6" s="53"/>
      <c r="QNX6" s="53"/>
      <c r="QNY6" s="53"/>
      <c r="QNZ6" s="53"/>
      <c r="QOA6" s="53"/>
      <c r="QOB6" s="53"/>
      <c r="QOC6" s="53"/>
      <c r="QOD6" s="53"/>
      <c r="QOE6" s="53"/>
      <c r="QOF6" s="53"/>
      <c r="QOG6" s="53"/>
      <c r="QOH6" s="53"/>
      <c r="QOI6" s="53"/>
      <c r="QOJ6" s="53"/>
      <c r="QOK6" s="53"/>
      <c r="QOL6" s="53"/>
      <c r="QOM6" s="53"/>
      <c r="QON6" s="53"/>
      <c r="QOO6" s="53"/>
      <c r="QOP6" s="53"/>
      <c r="QOQ6" s="53"/>
      <c r="QOR6" s="53"/>
      <c r="QOS6" s="53"/>
      <c r="QOT6" s="53"/>
      <c r="QOU6" s="53"/>
      <c r="QOV6" s="53"/>
      <c r="QOW6" s="53"/>
      <c r="QOX6" s="53"/>
      <c r="QOY6" s="53"/>
      <c r="QOZ6" s="53"/>
      <c r="QPA6" s="53"/>
      <c r="QPB6" s="53"/>
      <c r="QPC6" s="53"/>
      <c r="QPD6" s="53"/>
      <c r="QPE6" s="53"/>
      <c r="QPF6" s="53"/>
      <c r="QPG6" s="53"/>
      <c r="QPH6" s="53"/>
      <c r="QPI6" s="53"/>
      <c r="QPJ6" s="53"/>
      <c r="QPK6" s="53"/>
      <c r="QPL6" s="53"/>
      <c r="QPM6" s="53"/>
      <c r="QPN6" s="53"/>
      <c r="QPO6" s="53"/>
      <c r="QPP6" s="53"/>
      <c r="QPQ6" s="53"/>
      <c r="QPR6" s="53"/>
      <c r="QPS6" s="53"/>
      <c r="QPT6" s="53"/>
      <c r="QPU6" s="53"/>
      <c r="QPV6" s="53"/>
      <c r="QPW6" s="53"/>
      <c r="QPX6" s="53"/>
      <c r="QPY6" s="53"/>
      <c r="QPZ6" s="53"/>
      <c r="QQA6" s="53"/>
      <c r="QQB6" s="53"/>
      <c r="QQC6" s="53"/>
      <c r="QQD6" s="53"/>
      <c r="QQE6" s="53"/>
      <c r="QQF6" s="53"/>
      <c r="QQG6" s="53"/>
      <c r="QQH6" s="53"/>
      <c r="QQI6" s="53"/>
      <c r="QQJ6" s="53"/>
      <c r="QQK6" s="53"/>
      <c r="QQL6" s="53"/>
      <c r="QQM6" s="53"/>
      <c r="QQN6" s="53"/>
      <c r="QQO6" s="53"/>
      <c r="QQP6" s="53"/>
      <c r="QQQ6" s="53"/>
      <c r="QQR6" s="53"/>
      <c r="QQS6" s="53"/>
      <c r="QQT6" s="53"/>
      <c r="QQU6" s="53"/>
      <c r="QQV6" s="53"/>
      <c r="QQW6" s="53"/>
      <c r="QQX6" s="53"/>
      <c r="QQY6" s="53"/>
      <c r="QQZ6" s="53"/>
      <c r="QRA6" s="53"/>
      <c r="QRB6" s="53"/>
      <c r="QRC6" s="53"/>
      <c r="QRD6" s="53"/>
      <c r="QRE6" s="53"/>
      <c r="QRF6" s="53"/>
      <c r="QRG6" s="53"/>
      <c r="QRH6" s="53"/>
      <c r="QRI6" s="53"/>
      <c r="QRJ6" s="53"/>
      <c r="QRK6" s="53"/>
      <c r="QRL6" s="53"/>
      <c r="QRM6" s="53"/>
      <c r="QRN6" s="53"/>
      <c r="QRO6" s="53"/>
      <c r="QRP6" s="53"/>
      <c r="QRQ6" s="53"/>
      <c r="QRR6" s="53"/>
      <c r="QRS6" s="53"/>
      <c r="QRT6" s="53"/>
      <c r="QRU6" s="53"/>
      <c r="QRV6" s="53"/>
      <c r="QRW6" s="53"/>
      <c r="QRX6" s="53"/>
      <c r="QRY6" s="53"/>
      <c r="QRZ6" s="53"/>
      <c r="QSA6" s="53"/>
      <c r="QSB6" s="53"/>
      <c r="QSC6" s="53"/>
      <c r="QSD6" s="53"/>
      <c r="QSE6" s="53"/>
      <c r="QSF6" s="53"/>
      <c r="QSG6" s="53"/>
      <c r="QSH6" s="53"/>
      <c r="QSI6" s="53"/>
      <c r="QSJ6" s="53"/>
      <c r="QSK6" s="53"/>
      <c r="QSL6" s="53"/>
      <c r="QSM6" s="53"/>
      <c r="QSN6" s="53"/>
      <c r="QSO6" s="53"/>
      <c r="QSP6" s="53"/>
      <c r="QSQ6" s="53"/>
      <c r="QSR6" s="53"/>
      <c r="QSS6" s="53"/>
      <c r="QST6" s="53"/>
      <c r="QSU6" s="53"/>
      <c r="QSV6" s="53"/>
      <c r="QSW6" s="53"/>
      <c r="QSX6" s="53"/>
      <c r="QSY6" s="53"/>
      <c r="QSZ6" s="53"/>
      <c r="QTA6" s="53"/>
      <c r="QTB6" s="53"/>
      <c r="QTC6" s="53"/>
      <c r="QTD6" s="53"/>
      <c r="QTE6" s="53"/>
      <c r="QTF6" s="53"/>
      <c r="QTG6" s="53"/>
      <c r="QTH6" s="53"/>
      <c r="QTI6" s="53"/>
      <c r="QTJ6" s="53"/>
      <c r="QTK6" s="53"/>
      <c r="QTL6" s="53"/>
      <c r="QTM6" s="53"/>
      <c r="QTN6" s="53"/>
      <c r="QTO6" s="53"/>
      <c r="QTP6" s="53"/>
      <c r="QTQ6" s="53"/>
      <c r="QTR6" s="53"/>
      <c r="QTS6" s="53"/>
      <c r="QTT6" s="53"/>
      <c r="QTU6" s="53"/>
      <c r="QTV6" s="53"/>
      <c r="QTW6" s="53"/>
      <c r="QTX6" s="53"/>
      <c r="QTY6" s="53"/>
      <c r="QTZ6" s="53"/>
      <c r="QUA6" s="53"/>
      <c r="QUB6" s="53"/>
      <c r="QUC6" s="53"/>
      <c r="QUD6" s="53"/>
      <c r="QUE6" s="53"/>
      <c r="QUF6" s="53"/>
      <c r="QUG6" s="53"/>
      <c r="QUH6" s="53"/>
      <c r="QUI6" s="53"/>
      <c r="QUJ6" s="53"/>
      <c r="QUK6" s="53"/>
      <c r="QUL6" s="53"/>
      <c r="QUM6" s="53"/>
      <c r="QUN6" s="53"/>
      <c r="QUO6" s="53"/>
      <c r="QUP6" s="53"/>
      <c r="QUQ6" s="53"/>
      <c r="QUR6" s="53"/>
      <c r="QUS6" s="53"/>
      <c r="QUT6" s="53"/>
      <c r="QUU6" s="53"/>
      <c r="QUV6" s="53"/>
      <c r="QUW6" s="53"/>
      <c r="QUX6" s="53"/>
      <c r="QUY6" s="53"/>
      <c r="QUZ6" s="53"/>
      <c r="QVA6" s="53"/>
      <c r="QVB6" s="53"/>
      <c r="QVC6" s="53"/>
      <c r="QVD6" s="53"/>
      <c r="QVE6" s="53"/>
      <c r="QVF6" s="53"/>
      <c r="QVG6" s="53"/>
      <c r="QVH6" s="53"/>
      <c r="QVI6" s="53"/>
      <c r="QVJ6" s="53"/>
      <c r="QVK6" s="53"/>
      <c r="QVL6" s="53"/>
      <c r="QVM6" s="53"/>
      <c r="QVN6" s="53"/>
      <c r="QVO6" s="53"/>
      <c r="QVP6" s="53"/>
      <c r="QVQ6" s="53"/>
      <c r="QVR6" s="53"/>
      <c r="QVS6" s="53"/>
      <c r="QVT6" s="53"/>
      <c r="QVU6" s="53"/>
      <c r="QVV6" s="53"/>
      <c r="QVW6" s="53"/>
      <c r="QVX6" s="53"/>
      <c r="QVY6" s="53"/>
      <c r="QVZ6" s="53"/>
      <c r="QWA6" s="53"/>
      <c r="QWB6" s="53"/>
      <c r="QWC6" s="53"/>
      <c r="QWD6" s="53"/>
      <c r="QWE6" s="53"/>
      <c r="QWF6" s="53"/>
      <c r="QWG6" s="53"/>
      <c r="QWH6" s="53"/>
      <c r="QWI6" s="53"/>
      <c r="QWJ6" s="53"/>
      <c r="QWK6" s="53"/>
      <c r="QWL6" s="53"/>
      <c r="QWM6" s="53"/>
      <c r="QWN6" s="53"/>
      <c r="QWO6" s="53"/>
      <c r="QWP6" s="53"/>
      <c r="QWQ6" s="53"/>
      <c r="QWR6" s="53"/>
      <c r="QWS6" s="53"/>
      <c r="QWT6" s="53"/>
      <c r="QWU6" s="53"/>
      <c r="QWV6" s="53"/>
      <c r="QWW6" s="53"/>
      <c r="QWX6" s="53"/>
      <c r="QWY6" s="53"/>
      <c r="QWZ6" s="53"/>
      <c r="QXA6" s="53"/>
      <c r="QXB6" s="53"/>
      <c r="QXC6" s="53"/>
      <c r="QXD6" s="53"/>
      <c r="QXE6" s="53"/>
      <c r="QXF6" s="53"/>
      <c r="QXG6" s="53"/>
      <c r="QXH6" s="53"/>
      <c r="QXI6" s="53"/>
      <c r="QXJ6" s="53"/>
      <c r="QXK6" s="53"/>
      <c r="QXL6" s="53"/>
      <c r="QXM6" s="53"/>
      <c r="QXN6" s="53"/>
      <c r="QXO6" s="53"/>
      <c r="QXP6" s="53"/>
      <c r="QXQ6" s="53"/>
      <c r="QXR6" s="53"/>
      <c r="QXS6" s="53"/>
      <c r="QXT6" s="53"/>
      <c r="QXU6" s="53"/>
      <c r="QXV6" s="53"/>
      <c r="QXW6" s="53"/>
      <c r="QXX6" s="53"/>
      <c r="QXY6" s="53"/>
      <c r="QXZ6" s="53"/>
      <c r="QYA6" s="53"/>
      <c r="QYB6" s="53"/>
      <c r="QYC6" s="53"/>
      <c r="QYD6" s="53"/>
      <c r="QYE6" s="53"/>
      <c r="QYF6" s="53"/>
      <c r="QYG6" s="53"/>
      <c r="QYH6" s="53"/>
      <c r="QYI6" s="53"/>
      <c r="QYJ6" s="53"/>
      <c r="QYK6" s="53"/>
      <c r="QYL6" s="53"/>
      <c r="QYM6" s="53"/>
      <c r="QYN6" s="53"/>
      <c r="QYO6" s="53"/>
      <c r="QYP6" s="53"/>
      <c r="QYQ6" s="53"/>
      <c r="QYR6" s="53"/>
      <c r="QYS6" s="53"/>
      <c r="QYT6" s="53"/>
      <c r="QYU6" s="53"/>
      <c r="QYV6" s="53"/>
      <c r="QYW6" s="53"/>
      <c r="QYX6" s="53"/>
      <c r="QYY6" s="53"/>
      <c r="QYZ6" s="53"/>
      <c r="QZA6" s="53"/>
      <c r="QZB6" s="53"/>
      <c r="QZC6" s="53"/>
      <c r="QZD6" s="53"/>
      <c r="QZE6" s="53"/>
      <c r="QZF6" s="53"/>
      <c r="QZG6" s="53"/>
      <c r="QZH6" s="53"/>
      <c r="QZI6" s="53"/>
      <c r="QZJ6" s="53"/>
      <c r="QZK6" s="53"/>
      <c r="QZL6" s="53"/>
      <c r="QZM6" s="53"/>
      <c r="QZN6" s="53"/>
      <c r="QZO6" s="53"/>
      <c r="QZP6" s="53"/>
      <c r="QZQ6" s="53"/>
      <c r="QZR6" s="53"/>
      <c r="QZS6" s="53"/>
      <c r="QZT6" s="53"/>
      <c r="QZU6" s="53"/>
      <c r="QZV6" s="53"/>
      <c r="QZW6" s="53"/>
      <c r="QZX6" s="53"/>
      <c r="QZY6" s="53"/>
      <c r="QZZ6" s="53"/>
      <c r="RAA6" s="53"/>
      <c r="RAB6" s="53"/>
      <c r="RAC6" s="53"/>
      <c r="RAD6" s="53"/>
      <c r="RAE6" s="53"/>
      <c r="RAF6" s="53"/>
      <c r="RAG6" s="53"/>
      <c r="RAH6" s="53"/>
      <c r="RAI6" s="53"/>
      <c r="RAJ6" s="53"/>
      <c r="RAK6" s="53"/>
      <c r="RAL6" s="53"/>
      <c r="RAM6" s="53"/>
      <c r="RAN6" s="53"/>
      <c r="RAO6" s="53"/>
      <c r="RAP6" s="53"/>
      <c r="RAQ6" s="53"/>
      <c r="RAR6" s="53"/>
      <c r="RAS6" s="53"/>
      <c r="RAT6" s="53"/>
      <c r="RAU6" s="53"/>
      <c r="RAV6" s="53"/>
      <c r="RAW6" s="53"/>
      <c r="RAX6" s="53"/>
      <c r="RAY6" s="53"/>
      <c r="RAZ6" s="53"/>
      <c r="RBA6" s="53"/>
      <c r="RBB6" s="53"/>
      <c r="RBC6" s="53"/>
      <c r="RBD6" s="53"/>
      <c r="RBE6" s="53"/>
      <c r="RBF6" s="53"/>
      <c r="RBG6" s="53"/>
      <c r="RBH6" s="53"/>
      <c r="RBI6" s="53"/>
      <c r="RBJ6" s="53"/>
      <c r="RBK6" s="53"/>
      <c r="RBL6" s="53"/>
      <c r="RBM6" s="53"/>
      <c r="RBN6" s="53"/>
      <c r="RBO6" s="53"/>
      <c r="RBP6" s="53"/>
      <c r="RBQ6" s="53"/>
      <c r="RBR6" s="53"/>
      <c r="RBS6" s="53"/>
      <c r="RBT6" s="53"/>
      <c r="RBU6" s="53"/>
      <c r="RBV6" s="53"/>
      <c r="RBW6" s="53"/>
      <c r="RBX6" s="53"/>
      <c r="RBY6" s="53"/>
      <c r="RBZ6" s="53"/>
      <c r="RCA6" s="53"/>
      <c r="RCB6" s="53"/>
      <c r="RCC6" s="53"/>
      <c r="RCD6" s="53"/>
      <c r="RCE6" s="53"/>
      <c r="RCF6" s="53"/>
      <c r="RCG6" s="53"/>
      <c r="RCH6" s="53"/>
      <c r="RCI6" s="53"/>
      <c r="RCJ6" s="53"/>
      <c r="RCK6" s="53"/>
      <c r="RCL6" s="53"/>
      <c r="RCM6" s="53"/>
      <c r="RCN6" s="53"/>
      <c r="RCO6" s="53"/>
      <c r="RCP6" s="53"/>
      <c r="RCQ6" s="53"/>
      <c r="RCR6" s="53"/>
      <c r="RCS6" s="53"/>
      <c r="RCT6" s="53"/>
      <c r="RCU6" s="53"/>
      <c r="RCV6" s="53"/>
      <c r="RCW6" s="53"/>
      <c r="RCX6" s="53"/>
      <c r="RCY6" s="53"/>
      <c r="RCZ6" s="53"/>
      <c r="RDA6" s="53"/>
      <c r="RDB6" s="53"/>
      <c r="RDC6" s="53"/>
      <c r="RDD6" s="53"/>
      <c r="RDE6" s="53"/>
      <c r="RDF6" s="53"/>
      <c r="RDG6" s="53"/>
      <c r="RDH6" s="53"/>
      <c r="RDI6" s="53"/>
      <c r="RDJ6" s="53"/>
      <c r="RDK6" s="53"/>
      <c r="RDL6" s="53"/>
      <c r="RDM6" s="53"/>
      <c r="RDN6" s="53"/>
      <c r="RDO6" s="53"/>
      <c r="RDP6" s="53"/>
      <c r="RDQ6" s="53"/>
      <c r="RDR6" s="53"/>
      <c r="RDS6" s="53"/>
      <c r="RDT6" s="53"/>
      <c r="RDU6" s="53"/>
      <c r="RDV6" s="53"/>
      <c r="RDW6" s="53"/>
      <c r="RDX6" s="53"/>
      <c r="RDY6" s="53"/>
      <c r="RDZ6" s="53"/>
      <c r="REA6" s="53"/>
      <c r="REB6" s="53"/>
      <c r="REC6" s="53"/>
      <c r="RED6" s="53"/>
      <c r="REE6" s="53"/>
      <c r="REF6" s="53"/>
      <c r="REG6" s="53"/>
      <c r="REH6" s="53"/>
      <c r="REI6" s="53"/>
      <c r="REJ6" s="53"/>
      <c r="REK6" s="53"/>
      <c r="REL6" s="53"/>
      <c r="REM6" s="53"/>
      <c r="REN6" s="53"/>
      <c r="REO6" s="53"/>
      <c r="REP6" s="53"/>
      <c r="REQ6" s="53"/>
      <c r="RER6" s="53"/>
      <c r="RES6" s="53"/>
      <c r="RET6" s="53"/>
      <c r="REU6" s="53"/>
      <c r="REV6" s="53"/>
      <c r="REW6" s="53"/>
      <c r="REX6" s="53"/>
      <c r="REY6" s="53"/>
      <c r="REZ6" s="53"/>
      <c r="RFA6" s="53"/>
      <c r="RFB6" s="53"/>
      <c r="RFC6" s="53"/>
      <c r="RFD6" s="53"/>
      <c r="RFE6" s="53"/>
      <c r="RFF6" s="53"/>
      <c r="RFG6" s="53"/>
      <c r="RFH6" s="53"/>
      <c r="RFI6" s="53"/>
      <c r="RFJ6" s="53"/>
      <c r="RFK6" s="53"/>
      <c r="RFL6" s="53"/>
      <c r="RFM6" s="53"/>
      <c r="RFN6" s="53"/>
      <c r="RFO6" s="53"/>
      <c r="RFP6" s="53"/>
      <c r="RFQ6" s="53"/>
      <c r="RFR6" s="53"/>
      <c r="RFS6" s="53"/>
      <c r="RFT6" s="53"/>
      <c r="RFU6" s="53"/>
      <c r="RFV6" s="53"/>
      <c r="RFW6" s="53"/>
      <c r="RFX6" s="53"/>
      <c r="RFY6" s="53"/>
      <c r="RFZ6" s="53"/>
      <c r="RGA6" s="53"/>
      <c r="RGB6" s="53"/>
      <c r="RGC6" s="53"/>
      <c r="RGD6" s="53"/>
      <c r="RGE6" s="53"/>
      <c r="RGF6" s="53"/>
      <c r="RGG6" s="53"/>
      <c r="RGH6" s="53"/>
      <c r="RGI6" s="53"/>
      <c r="RGJ6" s="53"/>
      <c r="RGK6" s="53"/>
      <c r="RGL6" s="53"/>
      <c r="RGM6" s="53"/>
      <c r="RGN6" s="53"/>
      <c r="RGO6" s="53"/>
      <c r="RGP6" s="53"/>
      <c r="RGQ6" s="53"/>
      <c r="RGR6" s="53"/>
      <c r="RGS6" s="53"/>
      <c r="RGT6" s="53"/>
      <c r="RGU6" s="53"/>
      <c r="RGV6" s="53"/>
      <c r="RGW6" s="53"/>
      <c r="RGX6" s="53"/>
      <c r="RGY6" s="53"/>
      <c r="RGZ6" s="53"/>
      <c r="RHA6" s="53"/>
      <c r="RHB6" s="53"/>
      <c r="RHC6" s="53"/>
      <c r="RHD6" s="53"/>
      <c r="RHE6" s="53"/>
      <c r="RHF6" s="53"/>
      <c r="RHG6" s="53"/>
      <c r="RHH6" s="53"/>
      <c r="RHI6" s="53"/>
      <c r="RHJ6" s="53"/>
      <c r="RHK6" s="53"/>
      <c r="RHL6" s="53"/>
      <c r="RHM6" s="53"/>
      <c r="RHN6" s="53"/>
      <c r="RHO6" s="53"/>
      <c r="RHP6" s="53"/>
      <c r="RHQ6" s="53"/>
      <c r="RHR6" s="53"/>
      <c r="RHS6" s="53"/>
      <c r="RHT6" s="53"/>
      <c r="RHU6" s="53"/>
      <c r="RHV6" s="53"/>
      <c r="RHW6" s="53"/>
      <c r="RHX6" s="53"/>
      <c r="RHY6" s="53"/>
      <c r="RHZ6" s="53"/>
      <c r="RIA6" s="53"/>
      <c r="RIB6" s="53"/>
      <c r="RIC6" s="53"/>
      <c r="RID6" s="53"/>
      <c r="RIE6" s="53"/>
      <c r="RIF6" s="53"/>
      <c r="RIG6" s="53"/>
      <c r="RIH6" s="53"/>
      <c r="RII6" s="53"/>
      <c r="RIJ6" s="53"/>
      <c r="RIK6" s="53"/>
      <c r="RIL6" s="53"/>
      <c r="RIM6" s="53"/>
      <c r="RIN6" s="53"/>
      <c r="RIO6" s="53"/>
      <c r="RIP6" s="53"/>
      <c r="RIQ6" s="53"/>
      <c r="RIR6" s="53"/>
      <c r="RIS6" s="53"/>
      <c r="RIT6" s="53"/>
      <c r="RIU6" s="53"/>
      <c r="RIV6" s="53"/>
      <c r="RIW6" s="53"/>
      <c r="RIX6" s="53"/>
      <c r="RIY6" s="53"/>
      <c r="RIZ6" s="53"/>
      <c r="RJA6" s="53"/>
      <c r="RJB6" s="53"/>
      <c r="RJC6" s="53"/>
      <c r="RJD6" s="53"/>
      <c r="RJE6" s="53"/>
      <c r="RJF6" s="53"/>
      <c r="RJG6" s="53"/>
      <c r="RJH6" s="53"/>
      <c r="RJI6" s="53"/>
      <c r="RJJ6" s="53"/>
      <c r="RJK6" s="53"/>
      <c r="RJL6" s="53"/>
      <c r="RJM6" s="53"/>
      <c r="RJN6" s="53"/>
      <c r="RJO6" s="53"/>
      <c r="RJP6" s="53"/>
      <c r="RJQ6" s="53"/>
      <c r="RJR6" s="53"/>
      <c r="RJS6" s="53"/>
      <c r="RJT6" s="53"/>
      <c r="RJU6" s="53"/>
      <c r="RJV6" s="53"/>
      <c r="RJW6" s="53"/>
      <c r="RJX6" s="53"/>
      <c r="RJY6" s="53"/>
      <c r="RJZ6" s="53"/>
      <c r="RKA6" s="53"/>
      <c r="RKB6" s="53"/>
      <c r="RKC6" s="53"/>
      <c r="RKD6" s="53"/>
      <c r="RKE6" s="53"/>
      <c r="RKF6" s="53"/>
      <c r="RKG6" s="53"/>
      <c r="RKH6" s="53"/>
      <c r="RKI6" s="53"/>
      <c r="RKJ6" s="53"/>
      <c r="RKK6" s="53"/>
      <c r="RKL6" s="53"/>
      <c r="RKM6" s="53"/>
      <c r="RKN6" s="53"/>
      <c r="RKO6" s="53"/>
      <c r="RKP6" s="53"/>
      <c r="RKQ6" s="53"/>
      <c r="RKR6" s="53"/>
      <c r="RKS6" s="53"/>
      <c r="RKT6" s="53"/>
      <c r="RKU6" s="53"/>
      <c r="RKV6" s="53"/>
      <c r="RKW6" s="53"/>
      <c r="RKX6" s="53"/>
      <c r="RKY6" s="53"/>
      <c r="RKZ6" s="53"/>
      <c r="RLA6" s="53"/>
      <c r="RLB6" s="53"/>
      <c r="RLC6" s="53"/>
      <c r="RLD6" s="53"/>
      <c r="RLE6" s="53"/>
      <c r="RLF6" s="53"/>
      <c r="RLG6" s="53"/>
      <c r="RLH6" s="53"/>
      <c r="RLI6" s="53"/>
      <c r="RLJ6" s="53"/>
      <c r="RLK6" s="53"/>
      <c r="RLL6" s="53"/>
      <c r="RLM6" s="53"/>
      <c r="RLN6" s="53"/>
      <c r="RLO6" s="53"/>
      <c r="RLP6" s="53"/>
      <c r="RLQ6" s="53"/>
      <c r="RLR6" s="53"/>
      <c r="RLS6" s="53"/>
      <c r="RLT6" s="53"/>
      <c r="RLU6" s="53"/>
      <c r="RLV6" s="53"/>
      <c r="RLW6" s="53"/>
      <c r="RLX6" s="53"/>
      <c r="RLY6" s="53"/>
      <c r="RLZ6" s="53"/>
      <c r="RMA6" s="53"/>
      <c r="RMB6" s="53"/>
      <c r="RMC6" s="53"/>
      <c r="RMD6" s="53"/>
      <c r="RME6" s="53"/>
      <c r="RMF6" s="53"/>
      <c r="RMG6" s="53"/>
      <c r="RMH6" s="53"/>
      <c r="RMI6" s="53"/>
      <c r="RMJ6" s="53"/>
      <c r="RMK6" s="53"/>
      <c r="RML6" s="53"/>
      <c r="RMM6" s="53"/>
      <c r="RMN6" s="53"/>
      <c r="RMO6" s="53"/>
      <c r="RMP6" s="53"/>
      <c r="RMQ6" s="53"/>
      <c r="RMR6" s="53"/>
      <c r="RMS6" s="53"/>
      <c r="RMT6" s="53"/>
      <c r="RMU6" s="53"/>
      <c r="RMV6" s="53"/>
      <c r="RMW6" s="53"/>
      <c r="RMX6" s="53"/>
      <c r="RMY6" s="53"/>
      <c r="RMZ6" s="53"/>
      <c r="RNA6" s="53"/>
      <c r="RNB6" s="53"/>
      <c r="RNC6" s="53"/>
      <c r="RND6" s="53"/>
      <c r="RNE6" s="53"/>
      <c r="RNF6" s="53"/>
      <c r="RNG6" s="53"/>
      <c r="RNH6" s="53"/>
      <c r="RNI6" s="53"/>
      <c r="RNJ6" s="53"/>
      <c r="RNK6" s="53"/>
      <c r="RNL6" s="53"/>
      <c r="RNM6" s="53"/>
      <c r="RNN6" s="53"/>
      <c r="RNO6" s="53"/>
      <c r="RNP6" s="53"/>
      <c r="RNQ6" s="53"/>
      <c r="RNR6" s="53"/>
      <c r="RNS6" s="53"/>
      <c r="RNT6" s="53"/>
      <c r="RNU6" s="53"/>
      <c r="RNV6" s="53"/>
      <c r="RNW6" s="53"/>
      <c r="RNX6" s="53"/>
      <c r="RNY6" s="53"/>
      <c r="RNZ6" s="53"/>
      <c r="ROA6" s="53"/>
      <c r="ROB6" s="53"/>
      <c r="ROC6" s="53"/>
      <c r="ROD6" s="53"/>
      <c r="ROE6" s="53"/>
      <c r="ROF6" s="53"/>
      <c r="ROG6" s="53"/>
      <c r="ROH6" s="53"/>
      <c r="ROI6" s="53"/>
      <c r="ROJ6" s="53"/>
      <c r="ROK6" s="53"/>
      <c r="ROL6" s="53"/>
      <c r="ROM6" s="53"/>
      <c r="RON6" s="53"/>
      <c r="ROO6" s="53"/>
      <c r="ROP6" s="53"/>
      <c r="ROQ6" s="53"/>
      <c r="ROR6" s="53"/>
      <c r="ROS6" s="53"/>
      <c r="ROT6" s="53"/>
      <c r="ROU6" s="53"/>
      <c r="ROV6" s="53"/>
      <c r="ROW6" s="53"/>
      <c r="ROX6" s="53"/>
      <c r="ROY6" s="53"/>
      <c r="ROZ6" s="53"/>
      <c r="RPA6" s="53"/>
      <c r="RPB6" s="53"/>
      <c r="RPC6" s="53"/>
      <c r="RPD6" s="53"/>
      <c r="RPE6" s="53"/>
      <c r="RPF6" s="53"/>
      <c r="RPG6" s="53"/>
      <c r="RPH6" s="53"/>
      <c r="RPI6" s="53"/>
      <c r="RPJ6" s="53"/>
      <c r="RPK6" s="53"/>
      <c r="RPL6" s="53"/>
      <c r="RPM6" s="53"/>
      <c r="RPN6" s="53"/>
      <c r="RPO6" s="53"/>
      <c r="RPP6" s="53"/>
      <c r="RPQ6" s="53"/>
      <c r="RPR6" s="53"/>
      <c r="RPS6" s="53"/>
      <c r="RPT6" s="53"/>
      <c r="RPU6" s="53"/>
      <c r="RPV6" s="53"/>
      <c r="RPW6" s="53"/>
      <c r="RPX6" s="53"/>
      <c r="RPY6" s="53"/>
      <c r="RPZ6" s="53"/>
      <c r="RQA6" s="53"/>
      <c r="RQB6" s="53"/>
      <c r="RQC6" s="53"/>
      <c r="RQD6" s="53"/>
      <c r="RQE6" s="53"/>
      <c r="RQF6" s="53"/>
      <c r="RQG6" s="53"/>
      <c r="RQH6" s="53"/>
      <c r="RQI6" s="53"/>
      <c r="RQJ6" s="53"/>
      <c r="RQK6" s="53"/>
      <c r="RQL6" s="53"/>
      <c r="RQM6" s="53"/>
      <c r="RQN6" s="53"/>
      <c r="RQO6" s="53"/>
      <c r="RQP6" s="53"/>
      <c r="RQQ6" s="53"/>
      <c r="RQR6" s="53"/>
      <c r="RQS6" s="53"/>
      <c r="RQT6" s="53"/>
      <c r="RQU6" s="53"/>
      <c r="RQV6" s="53"/>
      <c r="RQW6" s="53"/>
      <c r="RQX6" s="53"/>
      <c r="RQY6" s="53"/>
      <c r="RQZ6" s="53"/>
      <c r="RRA6" s="53"/>
      <c r="RRB6" s="53"/>
      <c r="RRC6" s="53"/>
      <c r="RRD6" s="53"/>
      <c r="RRE6" s="53"/>
      <c r="RRF6" s="53"/>
      <c r="RRG6" s="53"/>
      <c r="RRH6" s="53"/>
      <c r="RRI6" s="53"/>
      <c r="RRJ6" s="53"/>
      <c r="RRK6" s="53"/>
      <c r="RRL6" s="53"/>
      <c r="RRM6" s="53"/>
      <c r="RRN6" s="53"/>
      <c r="RRO6" s="53"/>
      <c r="RRP6" s="53"/>
      <c r="RRQ6" s="53"/>
      <c r="RRR6" s="53"/>
      <c r="RRS6" s="53"/>
      <c r="RRT6" s="53"/>
      <c r="RRU6" s="53"/>
      <c r="RRV6" s="53"/>
      <c r="RRW6" s="53"/>
      <c r="RRX6" s="53"/>
      <c r="RRY6" s="53"/>
      <c r="RRZ6" s="53"/>
      <c r="RSA6" s="53"/>
      <c r="RSB6" s="53"/>
      <c r="RSC6" s="53"/>
      <c r="RSD6" s="53"/>
      <c r="RSE6" s="53"/>
      <c r="RSF6" s="53"/>
      <c r="RSG6" s="53"/>
      <c r="RSH6" s="53"/>
      <c r="RSI6" s="53"/>
      <c r="RSJ6" s="53"/>
      <c r="RSK6" s="53"/>
      <c r="RSL6" s="53"/>
      <c r="RSM6" s="53"/>
      <c r="RSN6" s="53"/>
      <c r="RSO6" s="53"/>
      <c r="RSP6" s="53"/>
      <c r="RSQ6" s="53"/>
      <c r="RSR6" s="53"/>
      <c r="RSS6" s="53"/>
      <c r="RST6" s="53"/>
      <c r="RSU6" s="53"/>
      <c r="RSV6" s="53"/>
      <c r="RSW6" s="53"/>
      <c r="RSX6" s="53"/>
      <c r="RSY6" s="53"/>
      <c r="RSZ6" s="53"/>
      <c r="RTA6" s="53"/>
      <c r="RTB6" s="53"/>
      <c r="RTC6" s="53"/>
      <c r="RTD6" s="53"/>
      <c r="RTE6" s="53"/>
      <c r="RTF6" s="53"/>
      <c r="RTG6" s="53"/>
      <c r="RTH6" s="53"/>
      <c r="RTI6" s="53"/>
      <c r="RTJ6" s="53"/>
      <c r="RTK6" s="53"/>
      <c r="RTL6" s="53"/>
      <c r="RTM6" s="53"/>
      <c r="RTN6" s="53"/>
      <c r="RTO6" s="53"/>
      <c r="RTP6" s="53"/>
      <c r="RTQ6" s="53"/>
      <c r="RTR6" s="53"/>
      <c r="RTS6" s="53"/>
      <c r="RTT6" s="53"/>
      <c r="RTU6" s="53"/>
      <c r="RTV6" s="53"/>
      <c r="RTW6" s="53"/>
      <c r="RTX6" s="53"/>
      <c r="RTY6" s="53"/>
      <c r="RTZ6" s="53"/>
      <c r="RUA6" s="53"/>
      <c r="RUB6" s="53"/>
      <c r="RUC6" s="53"/>
      <c r="RUD6" s="53"/>
      <c r="RUE6" s="53"/>
      <c r="RUF6" s="53"/>
      <c r="RUG6" s="53"/>
      <c r="RUH6" s="53"/>
      <c r="RUI6" s="53"/>
      <c r="RUJ6" s="53"/>
      <c r="RUK6" s="53"/>
      <c r="RUL6" s="53"/>
      <c r="RUM6" s="53"/>
      <c r="RUN6" s="53"/>
      <c r="RUO6" s="53"/>
      <c r="RUP6" s="53"/>
      <c r="RUQ6" s="53"/>
      <c r="RUR6" s="53"/>
      <c r="RUS6" s="53"/>
      <c r="RUT6" s="53"/>
      <c r="RUU6" s="53"/>
      <c r="RUV6" s="53"/>
      <c r="RUW6" s="53"/>
      <c r="RUX6" s="53"/>
      <c r="RUY6" s="53"/>
      <c r="RUZ6" s="53"/>
      <c r="RVA6" s="53"/>
      <c r="RVB6" s="53"/>
      <c r="RVC6" s="53"/>
      <c r="RVD6" s="53"/>
      <c r="RVE6" s="53"/>
      <c r="RVF6" s="53"/>
      <c r="RVG6" s="53"/>
      <c r="RVH6" s="53"/>
      <c r="RVI6" s="53"/>
      <c r="RVJ6" s="53"/>
      <c r="RVK6" s="53"/>
      <c r="RVL6" s="53"/>
      <c r="RVM6" s="53"/>
      <c r="RVN6" s="53"/>
      <c r="RVO6" s="53"/>
      <c r="RVP6" s="53"/>
      <c r="RVQ6" s="53"/>
      <c r="RVR6" s="53"/>
      <c r="RVS6" s="53"/>
      <c r="RVT6" s="53"/>
      <c r="RVU6" s="53"/>
      <c r="RVV6" s="53"/>
      <c r="RVW6" s="53"/>
      <c r="RVX6" s="53"/>
      <c r="RVY6" s="53"/>
      <c r="RVZ6" s="53"/>
      <c r="RWA6" s="53"/>
      <c r="RWB6" s="53"/>
      <c r="RWC6" s="53"/>
      <c r="RWD6" s="53"/>
      <c r="RWE6" s="53"/>
      <c r="RWF6" s="53"/>
      <c r="RWG6" s="53"/>
      <c r="RWH6" s="53"/>
      <c r="RWI6" s="53"/>
      <c r="RWJ6" s="53"/>
      <c r="RWK6" s="53"/>
      <c r="RWL6" s="53"/>
      <c r="RWM6" s="53"/>
      <c r="RWN6" s="53"/>
      <c r="RWO6" s="53"/>
      <c r="RWP6" s="53"/>
      <c r="RWQ6" s="53"/>
      <c r="RWR6" s="53"/>
      <c r="RWS6" s="53"/>
      <c r="RWT6" s="53"/>
      <c r="RWU6" s="53"/>
      <c r="RWV6" s="53"/>
      <c r="RWW6" s="53"/>
      <c r="RWX6" s="53"/>
      <c r="RWY6" s="53"/>
      <c r="RWZ6" s="53"/>
      <c r="RXA6" s="53"/>
      <c r="RXB6" s="53"/>
      <c r="RXC6" s="53"/>
      <c r="RXD6" s="53"/>
      <c r="RXE6" s="53"/>
      <c r="RXF6" s="53"/>
      <c r="RXG6" s="53"/>
      <c r="RXH6" s="53"/>
      <c r="RXI6" s="53"/>
      <c r="RXJ6" s="53"/>
      <c r="RXK6" s="53"/>
      <c r="RXL6" s="53"/>
      <c r="RXM6" s="53"/>
      <c r="RXN6" s="53"/>
      <c r="RXO6" s="53"/>
      <c r="RXP6" s="53"/>
      <c r="RXQ6" s="53"/>
      <c r="RXR6" s="53"/>
      <c r="RXS6" s="53"/>
      <c r="RXT6" s="53"/>
      <c r="RXU6" s="53"/>
      <c r="RXV6" s="53"/>
      <c r="RXW6" s="53"/>
      <c r="RXX6" s="53"/>
      <c r="RXY6" s="53"/>
      <c r="RXZ6" s="53"/>
      <c r="RYA6" s="53"/>
      <c r="RYB6" s="53"/>
      <c r="RYC6" s="53"/>
      <c r="RYD6" s="53"/>
      <c r="RYE6" s="53"/>
      <c r="RYF6" s="53"/>
      <c r="RYG6" s="53"/>
      <c r="RYH6" s="53"/>
      <c r="RYI6" s="53"/>
      <c r="RYJ6" s="53"/>
      <c r="RYK6" s="53"/>
      <c r="RYL6" s="53"/>
      <c r="RYM6" s="53"/>
      <c r="RYN6" s="53"/>
      <c r="RYO6" s="53"/>
      <c r="RYP6" s="53"/>
      <c r="RYQ6" s="53"/>
      <c r="RYR6" s="53"/>
      <c r="RYS6" s="53"/>
      <c r="RYT6" s="53"/>
      <c r="RYU6" s="53"/>
      <c r="RYV6" s="53"/>
      <c r="RYW6" s="53"/>
      <c r="RYX6" s="53"/>
      <c r="RYY6" s="53"/>
      <c r="RYZ6" s="53"/>
      <c r="RZA6" s="53"/>
      <c r="RZB6" s="53"/>
      <c r="RZC6" s="53"/>
      <c r="RZD6" s="53"/>
      <c r="RZE6" s="53"/>
      <c r="RZF6" s="53"/>
      <c r="RZG6" s="53"/>
      <c r="RZH6" s="53"/>
      <c r="RZI6" s="53"/>
      <c r="RZJ6" s="53"/>
      <c r="RZK6" s="53"/>
      <c r="RZL6" s="53"/>
      <c r="RZM6" s="53"/>
      <c r="RZN6" s="53"/>
      <c r="RZO6" s="53"/>
      <c r="RZP6" s="53"/>
      <c r="RZQ6" s="53"/>
      <c r="RZR6" s="53"/>
      <c r="RZS6" s="53"/>
      <c r="RZT6" s="53"/>
      <c r="RZU6" s="53"/>
      <c r="RZV6" s="53"/>
      <c r="RZW6" s="53"/>
      <c r="RZX6" s="53"/>
      <c r="RZY6" s="53"/>
      <c r="RZZ6" s="53"/>
      <c r="SAA6" s="53"/>
      <c r="SAB6" s="53"/>
      <c r="SAC6" s="53"/>
      <c r="SAD6" s="53"/>
      <c r="SAE6" s="53"/>
      <c r="SAF6" s="53"/>
      <c r="SAG6" s="53"/>
      <c r="SAH6" s="53"/>
      <c r="SAI6" s="53"/>
      <c r="SAJ6" s="53"/>
      <c r="SAK6" s="53"/>
      <c r="SAL6" s="53"/>
      <c r="SAM6" s="53"/>
      <c r="SAN6" s="53"/>
      <c r="SAO6" s="53"/>
      <c r="SAP6" s="53"/>
      <c r="SAQ6" s="53"/>
      <c r="SAR6" s="53"/>
      <c r="SAS6" s="53"/>
      <c r="SAT6" s="53"/>
      <c r="SAU6" s="53"/>
      <c r="SAV6" s="53"/>
      <c r="SAW6" s="53"/>
      <c r="SAX6" s="53"/>
      <c r="SAY6" s="53"/>
      <c r="SAZ6" s="53"/>
      <c r="SBA6" s="53"/>
      <c r="SBB6" s="53"/>
      <c r="SBC6" s="53"/>
      <c r="SBD6" s="53"/>
      <c r="SBE6" s="53"/>
      <c r="SBF6" s="53"/>
      <c r="SBG6" s="53"/>
      <c r="SBH6" s="53"/>
      <c r="SBI6" s="53"/>
      <c r="SBJ6" s="53"/>
      <c r="SBK6" s="53"/>
      <c r="SBL6" s="53"/>
      <c r="SBM6" s="53"/>
      <c r="SBN6" s="53"/>
      <c r="SBO6" s="53"/>
      <c r="SBP6" s="53"/>
      <c r="SBQ6" s="53"/>
      <c r="SBR6" s="53"/>
      <c r="SBS6" s="53"/>
      <c r="SBT6" s="53"/>
      <c r="SBU6" s="53"/>
      <c r="SBV6" s="53"/>
      <c r="SBW6" s="53"/>
      <c r="SBX6" s="53"/>
      <c r="SBY6" s="53"/>
      <c r="SBZ6" s="53"/>
      <c r="SCA6" s="53"/>
      <c r="SCB6" s="53"/>
      <c r="SCC6" s="53"/>
      <c r="SCD6" s="53"/>
      <c r="SCE6" s="53"/>
      <c r="SCF6" s="53"/>
      <c r="SCG6" s="53"/>
      <c r="SCH6" s="53"/>
      <c r="SCI6" s="53"/>
      <c r="SCJ6" s="53"/>
      <c r="SCK6" s="53"/>
      <c r="SCL6" s="53"/>
      <c r="SCM6" s="53"/>
      <c r="SCN6" s="53"/>
      <c r="SCO6" s="53"/>
      <c r="SCP6" s="53"/>
      <c r="SCQ6" s="53"/>
      <c r="SCR6" s="53"/>
      <c r="SCS6" s="53"/>
      <c r="SCT6" s="53"/>
      <c r="SCU6" s="53"/>
      <c r="SCV6" s="53"/>
      <c r="SCW6" s="53"/>
      <c r="SCX6" s="53"/>
      <c r="SCY6" s="53"/>
      <c r="SCZ6" s="53"/>
      <c r="SDA6" s="53"/>
      <c r="SDB6" s="53"/>
      <c r="SDC6" s="53"/>
      <c r="SDD6" s="53"/>
      <c r="SDE6" s="53"/>
      <c r="SDF6" s="53"/>
      <c r="SDG6" s="53"/>
      <c r="SDH6" s="53"/>
      <c r="SDI6" s="53"/>
      <c r="SDJ6" s="53"/>
      <c r="SDK6" s="53"/>
      <c r="SDL6" s="53"/>
      <c r="SDM6" s="53"/>
      <c r="SDN6" s="53"/>
      <c r="SDO6" s="53"/>
      <c r="SDP6" s="53"/>
      <c r="SDQ6" s="53"/>
      <c r="SDR6" s="53"/>
      <c r="SDS6" s="53"/>
      <c r="SDT6" s="53"/>
      <c r="SDU6" s="53"/>
      <c r="SDV6" s="53"/>
      <c r="SDW6" s="53"/>
      <c r="SDX6" s="53"/>
      <c r="SDY6" s="53"/>
      <c r="SDZ6" s="53"/>
      <c r="SEA6" s="53"/>
      <c r="SEB6" s="53"/>
      <c r="SEC6" s="53"/>
      <c r="SED6" s="53"/>
      <c r="SEE6" s="53"/>
      <c r="SEF6" s="53"/>
      <c r="SEG6" s="53"/>
      <c r="SEH6" s="53"/>
      <c r="SEI6" s="53"/>
      <c r="SEJ6" s="53"/>
      <c r="SEK6" s="53"/>
      <c r="SEL6" s="53"/>
      <c r="SEM6" s="53"/>
      <c r="SEN6" s="53"/>
      <c r="SEO6" s="53"/>
      <c r="SEP6" s="53"/>
      <c r="SEQ6" s="53"/>
      <c r="SER6" s="53"/>
      <c r="SES6" s="53"/>
      <c r="SET6" s="53"/>
      <c r="SEU6" s="53"/>
      <c r="SEV6" s="53"/>
      <c r="SEW6" s="53"/>
      <c r="SEX6" s="53"/>
      <c r="SEY6" s="53"/>
      <c r="SEZ6" s="53"/>
      <c r="SFA6" s="53"/>
      <c r="SFB6" s="53"/>
      <c r="SFC6" s="53"/>
      <c r="SFD6" s="53"/>
      <c r="SFE6" s="53"/>
      <c r="SFF6" s="53"/>
      <c r="SFG6" s="53"/>
      <c r="SFH6" s="53"/>
      <c r="SFI6" s="53"/>
      <c r="SFJ6" s="53"/>
      <c r="SFK6" s="53"/>
      <c r="SFL6" s="53"/>
      <c r="SFM6" s="53"/>
      <c r="SFN6" s="53"/>
      <c r="SFO6" s="53"/>
      <c r="SFP6" s="53"/>
      <c r="SFQ6" s="53"/>
      <c r="SFR6" s="53"/>
      <c r="SFS6" s="53"/>
      <c r="SFT6" s="53"/>
      <c r="SFU6" s="53"/>
      <c r="SFV6" s="53"/>
      <c r="SFW6" s="53"/>
      <c r="SFX6" s="53"/>
      <c r="SFY6" s="53"/>
      <c r="SFZ6" s="53"/>
      <c r="SGA6" s="53"/>
      <c r="SGB6" s="53"/>
      <c r="SGC6" s="53"/>
      <c r="SGD6" s="53"/>
      <c r="SGE6" s="53"/>
      <c r="SGF6" s="53"/>
      <c r="SGG6" s="53"/>
      <c r="SGH6" s="53"/>
      <c r="SGI6" s="53"/>
      <c r="SGJ6" s="53"/>
      <c r="SGK6" s="53"/>
      <c r="SGL6" s="53"/>
      <c r="SGM6" s="53"/>
      <c r="SGN6" s="53"/>
      <c r="SGO6" s="53"/>
      <c r="SGP6" s="53"/>
      <c r="SGQ6" s="53"/>
      <c r="SGR6" s="53"/>
      <c r="SGS6" s="53"/>
      <c r="SGT6" s="53"/>
      <c r="SGU6" s="53"/>
      <c r="SGV6" s="53"/>
      <c r="SGW6" s="53"/>
      <c r="SGX6" s="53"/>
      <c r="SGY6" s="53"/>
      <c r="SGZ6" s="53"/>
      <c r="SHA6" s="53"/>
      <c r="SHB6" s="53"/>
      <c r="SHC6" s="53"/>
      <c r="SHD6" s="53"/>
      <c r="SHE6" s="53"/>
      <c r="SHF6" s="53"/>
      <c r="SHG6" s="53"/>
      <c r="SHH6" s="53"/>
      <c r="SHI6" s="53"/>
      <c r="SHJ6" s="53"/>
      <c r="SHK6" s="53"/>
      <c r="SHL6" s="53"/>
      <c r="SHM6" s="53"/>
      <c r="SHN6" s="53"/>
      <c r="SHO6" s="53"/>
      <c r="SHP6" s="53"/>
      <c r="SHQ6" s="53"/>
      <c r="SHR6" s="53"/>
      <c r="SHS6" s="53"/>
      <c r="SHT6" s="53"/>
      <c r="SHU6" s="53"/>
      <c r="SHV6" s="53"/>
      <c r="SHW6" s="53"/>
      <c r="SHX6" s="53"/>
      <c r="SHY6" s="53"/>
      <c r="SHZ6" s="53"/>
      <c r="SIA6" s="53"/>
      <c r="SIB6" s="53"/>
      <c r="SIC6" s="53"/>
      <c r="SID6" s="53"/>
      <c r="SIE6" s="53"/>
      <c r="SIF6" s="53"/>
      <c r="SIG6" s="53"/>
      <c r="SIH6" s="53"/>
      <c r="SII6" s="53"/>
      <c r="SIJ6" s="53"/>
      <c r="SIK6" s="53"/>
      <c r="SIL6" s="53"/>
      <c r="SIM6" s="53"/>
      <c r="SIN6" s="53"/>
      <c r="SIO6" s="53"/>
      <c r="SIP6" s="53"/>
      <c r="SIQ6" s="53"/>
      <c r="SIR6" s="53"/>
      <c r="SIS6" s="53"/>
      <c r="SIT6" s="53"/>
      <c r="SIU6" s="53"/>
      <c r="SIV6" s="53"/>
      <c r="SIW6" s="53"/>
      <c r="SIX6" s="53"/>
      <c r="SIY6" s="53"/>
      <c r="SIZ6" s="53"/>
      <c r="SJA6" s="53"/>
      <c r="SJB6" s="53"/>
      <c r="SJC6" s="53"/>
      <c r="SJD6" s="53"/>
      <c r="SJE6" s="53"/>
      <c r="SJF6" s="53"/>
      <c r="SJG6" s="53"/>
      <c r="SJH6" s="53"/>
      <c r="SJI6" s="53"/>
      <c r="SJJ6" s="53"/>
      <c r="SJK6" s="53"/>
      <c r="SJL6" s="53"/>
      <c r="SJM6" s="53"/>
      <c r="SJN6" s="53"/>
      <c r="SJO6" s="53"/>
      <c r="SJP6" s="53"/>
      <c r="SJQ6" s="53"/>
      <c r="SJR6" s="53"/>
      <c r="SJS6" s="53"/>
      <c r="SJT6" s="53"/>
      <c r="SJU6" s="53"/>
      <c r="SJV6" s="53"/>
      <c r="SJW6" s="53"/>
      <c r="SJX6" s="53"/>
      <c r="SJY6" s="53"/>
      <c r="SJZ6" s="53"/>
      <c r="SKA6" s="53"/>
      <c r="SKB6" s="53"/>
      <c r="SKC6" s="53"/>
      <c r="SKD6" s="53"/>
      <c r="SKE6" s="53"/>
      <c r="SKF6" s="53"/>
      <c r="SKG6" s="53"/>
      <c r="SKH6" s="53"/>
      <c r="SKI6" s="53"/>
      <c r="SKJ6" s="53"/>
      <c r="SKK6" s="53"/>
      <c r="SKL6" s="53"/>
      <c r="SKM6" s="53"/>
      <c r="SKN6" s="53"/>
      <c r="SKO6" s="53"/>
      <c r="SKP6" s="53"/>
      <c r="SKQ6" s="53"/>
      <c r="SKR6" s="53"/>
      <c r="SKS6" s="53"/>
      <c r="SKT6" s="53"/>
      <c r="SKU6" s="53"/>
      <c r="SKV6" s="53"/>
      <c r="SKW6" s="53"/>
      <c r="SKX6" s="53"/>
      <c r="SKY6" s="53"/>
      <c r="SKZ6" s="53"/>
      <c r="SLA6" s="53"/>
      <c r="SLB6" s="53"/>
      <c r="SLC6" s="53"/>
      <c r="SLD6" s="53"/>
      <c r="SLE6" s="53"/>
      <c r="SLF6" s="53"/>
      <c r="SLG6" s="53"/>
      <c r="SLH6" s="53"/>
      <c r="SLI6" s="53"/>
      <c r="SLJ6" s="53"/>
      <c r="SLK6" s="53"/>
      <c r="SLL6" s="53"/>
      <c r="SLM6" s="53"/>
      <c r="SLN6" s="53"/>
      <c r="SLO6" s="53"/>
      <c r="SLP6" s="53"/>
      <c r="SLQ6" s="53"/>
      <c r="SLR6" s="53"/>
      <c r="SLS6" s="53"/>
      <c r="SLT6" s="53"/>
      <c r="SLU6" s="53"/>
      <c r="SLV6" s="53"/>
      <c r="SLW6" s="53"/>
      <c r="SLX6" s="53"/>
      <c r="SLY6" s="53"/>
      <c r="SLZ6" s="53"/>
      <c r="SMA6" s="53"/>
      <c r="SMB6" s="53"/>
      <c r="SMC6" s="53"/>
      <c r="SMD6" s="53"/>
      <c r="SME6" s="53"/>
      <c r="SMF6" s="53"/>
      <c r="SMG6" s="53"/>
      <c r="SMH6" s="53"/>
      <c r="SMI6" s="53"/>
      <c r="SMJ6" s="53"/>
      <c r="SMK6" s="53"/>
      <c r="SML6" s="53"/>
      <c r="SMM6" s="53"/>
      <c r="SMN6" s="53"/>
      <c r="SMO6" s="53"/>
      <c r="SMP6" s="53"/>
      <c r="SMQ6" s="53"/>
      <c r="SMR6" s="53"/>
      <c r="SMS6" s="53"/>
      <c r="SMT6" s="53"/>
      <c r="SMU6" s="53"/>
      <c r="SMV6" s="53"/>
      <c r="SMW6" s="53"/>
      <c r="SMX6" s="53"/>
      <c r="SMY6" s="53"/>
      <c r="SMZ6" s="53"/>
      <c r="SNA6" s="53"/>
      <c r="SNB6" s="53"/>
      <c r="SNC6" s="53"/>
      <c r="SND6" s="53"/>
      <c r="SNE6" s="53"/>
      <c r="SNF6" s="53"/>
      <c r="SNG6" s="53"/>
      <c r="SNH6" s="53"/>
      <c r="SNI6" s="53"/>
      <c r="SNJ6" s="53"/>
      <c r="SNK6" s="53"/>
      <c r="SNL6" s="53"/>
      <c r="SNM6" s="53"/>
      <c r="SNN6" s="53"/>
      <c r="SNO6" s="53"/>
      <c r="SNP6" s="53"/>
      <c r="SNQ6" s="53"/>
      <c r="SNR6" s="53"/>
      <c r="SNS6" s="53"/>
      <c r="SNT6" s="53"/>
      <c r="SNU6" s="53"/>
      <c r="SNV6" s="53"/>
      <c r="SNW6" s="53"/>
      <c r="SNX6" s="53"/>
      <c r="SNY6" s="53"/>
      <c r="SNZ6" s="53"/>
      <c r="SOA6" s="53"/>
      <c r="SOB6" s="53"/>
      <c r="SOC6" s="53"/>
      <c r="SOD6" s="53"/>
      <c r="SOE6" s="53"/>
      <c r="SOF6" s="53"/>
      <c r="SOG6" s="53"/>
      <c r="SOH6" s="53"/>
      <c r="SOI6" s="53"/>
      <c r="SOJ6" s="53"/>
      <c r="SOK6" s="53"/>
      <c r="SOL6" s="53"/>
      <c r="SOM6" s="53"/>
      <c r="SON6" s="53"/>
      <c r="SOO6" s="53"/>
      <c r="SOP6" s="53"/>
      <c r="SOQ6" s="53"/>
      <c r="SOR6" s="53"/>
      <c r="SOS6" s="53"/>
      <c r="SOT6" s="53"/>
      <c r="SOU6" s="53"/>
      <c r="SOV6" s="53"/>
      <c r="SOW6" s="53"/>
      <c r="SOX6" s="53"/>
      <c r="SOY6" s="53"/>
      <c r="SOZ6" s="53"/>
      <c r="SPA6" s="53"/>
      <c r="SPB6" s="53"/>
      <c r="SPC6" s="53"/>
      <c r="SPD6" s="53"/>
      <c r="SPE6" s="53"/>
      <c r="SPF6" s="53"/>
      <c r="SPG6" s="53"/>
      <c r="SPH6" s="53"/>
      <c r="SPI6" s="53"/>
      <c r="SPJ6" s="53"/>
      <c r="SPK6" s="53"/>
      <c r="SPL6" s="53"/>
      <c r="SPM6" s="53"/>
      <c r="SPN6" s="53"/>
      <c r="SPO6" s="53"/>
      <c r="SPP6" s="53"/>
      <c r="SPQ6" s="53"/>
      <c r="SPR6" s="53"/>
      <c r="SPS6" s="53"/>
      <c r="SPT6" s="53"/>
      <c r="SPU6" s="53"/>
      <c r="SPV6" s="53"/>
      <c r="SPW6" s="53"/>
      <c r="SPX6" s="53"/>
      <c r="SPY6" s="53"/>
      <c r="SPZ6" s="53"/>
      <c r="SQA6" s="53"/>
      <c r="SQB6" s="53"/>
      <c r="SQC6" s="53"/>
      <c r="SQD6" s="53"/>
      <c r="SQE6" s="53"/>
      <c r="SQF6" s="53"/>
      <c r="SQG6" s="53"/>
      <c r="SQH6" s="53"/>
      <c r="SQI6" s="53"/>
      <c r="SQJ6" s="53"/>
      <c r="SQK6" s="53"/>
      <c r="SQL6" s="53"/>
      <c r="SQM6" s="53"/>
      <c r="SQN6" s="53"/>
      <c r="SQO6" s="53"/>
      <c r="SQP6" s="53"/>
      <c r="SQQ6" s="53"/>
      <c r="SQR6" s="53"/>
      <c r="SQS6" s="53"/>
      <c r="SQT6" s="53"/>
      <c r="SQU6" s="53"/>
      <c r="SQV6" s="53"/>
      <c r="SQW6" s="53"/>
      <c r="SQX6" s="53"/>
      <c r="SQY6" s="53"/>
      <c r="SQZ6" s="53"/>
      <c r="SRA6" s="53"/>
      <c r="SRB6" s="53"/>
      <c r="SRC6" s="53"/>
      <c r="SRD6" s="53"/>
      <c r="SRE6" s="53"/>
      <c r="SRF6" s="53"/>
      <c r="SRG6" s="53"/>
      <c r="SRH6" s="53"/>
      <c r="SRI6" s="53"/>
      <c r="SRJ6" s="53"/>
      <c r="SRK6" s="53"/>
      <c r="SRL6" s="53"/>
      <c r="SRM6" s="53"/>
      <c r="SRN6" s="53"/>
      <c r="SRO6" s="53"/>
      <c r="SRP6" s="53"/>
      <c r="SRQ6" s="53"/>
      <c r="SRR6" s="53"/>
      <c r="SRS6" s="53"/>
      <c r="SRT6" s="53"/>
      <c r="SRU6" s="53"/>
      <c r="SRV6" s="53"/>
      <c r="SRW6" s="53"/>
      <c r="SRX6" s="53"/>
      <c r="SRY6" s="53"/>
      <c r="SRZ6" s="53"/>
      <c r="SSA6" s="53"/>
      <c r="SSB6" s="53"/>
      <c r="SSC6" s="53"/>
      <c r="SSD6" s="53"/>
      <c r="SSE6" s="53"/>
      <c r="SSF6" s="53"/>
      <c r="SSG6" s="53"/>
      <c r="SSH6" s="53"/>
      <c r="SSI6" s="53"/>
      <c r="SSJ6" s="53"/>
      <c r="SSK6" s="53"/>
      <c r="SSL6" s="53"/>
      <c r="SSM6" s="53"/>
      <c r="SSN6" s="53"/>
      <c r="SSO6" s="53"/>
      <c r="SSP6" s="53"/>
      <c r="SSQ6" s="53"/>
      <c r="SSR6" s="53"/>
      <c r="SSS6" s="53"/>
      <c r="SST6" s="53"/>
      <c r="SSU6" s="53"/>
      <c r="SSV6" s="53"/>
      <c r="SSW6" s="53"/>
      <c r="SSX6" s="53"/>
      <c r="SSY6" s="53"/>
      <c r="SSZ6" s="53"/>
      <c r="STA6" s="53"/>
      <c r="STB6" s="53"/>
      <c r="STC6" s="53"/>
      <c r="STD6" s="53"/>
      <c r="STE6" s="53"/>
      <c r="STF6" s="53"/>
      <c r="STG6" s="53"/>
      <c r="STH6" s="53"/>
      <c r="STI6" s="53"/>
      <c r="STJ6" s="53"/>
      <c r="STK6" s="53"/>
      <c r="STL6" s="53"/>
      <c r="STM6" s="53"/>
      <c r="STN6" s="53"/>
      <c r="STO6" s="53"/>
      <c r="STP6" s="53"/>
      <c r="STQ6" s="53"/>
      <c r="STR6" s="53"/>
      <c r="STS6" s="53"/>
      <c r="STT6" s="53"/>
      <c r="STU6" s="53"/>
      <c r="STV6" s="53"/>
      <c r="STW6" s="53"/>
      <c r="STX6" s="53"/>
      <c r="STY6" s="53"/>
      <c r="STZ6" s="53"/>
      <c r="SUA6" s="53"/>
      <c r="SUB6" s="53"/>
      <c r="SUC6" s="53"/>
      <c r="SUD6" s="53"/>
      <c r="SUE6" s="53"/>
      <c r="SUF6" s="53"/>
      <c r="SUG6" s="53"/>
      <c r="SUH6" s="53"/>
      <c r="SUI6" s="53"/>
      <c r="SUJ6" s="53"/>
      <c r="SUK6" s="53"/>
      <c r="SUL6" s="53"/>
      <c r="SUM6" s="53"/>
      <c r="SUN6" s="53"/>
      <c r="SUO6" s="53"/>
      <c r="SUP6" s="53"/>
      <c r="SUQ6" s="53"/>
      <c r="SUR6" s="53"/>
      <c r="SUS6" s="53"/>
      <c r="SUT6" s="53"/>
      <c r="SUU6" s="53"/>
      <c r="SUV6" s="53"/>
      <c r="SUW6" s="53"/>
      <c r="SUX6" s="53"/>
      <c r="SUY6" s="53"/>
      <c r="SUZ6" s="53"/>
      <c r="SVA6" s="53"/>
      <c r="SVB6" s="53"/>
      <c r="SVC6" s="53"/>
      <c r="SVD6" s="53"/>
      <c r="SVE6" s="53"/>
      <c r="SVF6" s="53"/>
      <c r="SVG6" s="53"/>
      <c r="SVH6" s="53"/>
      <c r="SVI6" s="53"/>
      <c r="SVJ6" s="53"/>
      <c r="SVK6" s="53"/>
      <c r="SVL6" s="53"/>
      <c r="SVM6" s="53"/>
      <c r="SVN6" s="53"/>
      <c r="SVO6" s="53"/>
      <c r="SVP6" s="53"/>
      <c r="SVQ6" s="53"/>
      <c r="SVR6" s="53"/>
      <c r="SVS6" s="53"/>
      <c r="SVT6" s="53"/>
      <c r="SVU6" s="53"/>
      <c r="SVV6" s="53"/>
      <c r="SVW6" s="53"/>
      <c r="SVX6" s="53"/>
      <c r="SVY6" s="53"/>
      <c r="SVZ6" s="53"/>
      <c r="SWA6" s="53"/>
      <c r="SWB6" s="53"/>
      <c r="SWC6" s="53"/>
      <c r="SWD6" s="53"/>
      <c r="SWE6" s="53"/>
      <c r="SWF6" s="53"/>
      <c r="SWG6" s="53"/>
      <c r="SWH6" s="53"/>
      <c r="SWI6" s="53"/>
      <c r="SWJ6" s="53"/>
      <c r="SWK6" s="53"/>
      <c r="SWL6" s="53"/>
      <c r="SWM6" s="53"/>
      <c r="SWN6" s="53"/>
      <c r="SWO6" s="53"/>
      <c r="SWP6" s="53"/>
      <c r="SWQ6" s="53"/>
      <c r="SWR6" s="53"/>
      <c r="SWS6" s="53"/>
      <c r="SWT6" s="53"/>
      <c r="SWU6" s="53"/>
      <c r="SWV6" s="53"/>
      <c r="SWW6" s="53"/>
      <c r="SWX6" s="53"/>
      <c r="SWY6" s="53"/>
      <c r="SWZ6" s="53"/>
      <c r="SXA6" s="53"/>
      <c r="SXB6" s="53"/>
      <c r="SXC6" s="53"/>
      <c r="SXD6" s="53"/>
      <c r="SXE6" s="53"/>
      <c r="SXF6" s="53"/>
      <c r="SXG6" s="53"/>
      <c r="SXH6" s="53"/>
      <c r="SXI6" s="53"/>
      <c r="SXJ6" s="53"/>
      <c r="SXK6" s="53"/>
      <c r="SXL6" s="53"/>
      <c r="SXM6" s="53"/>
      <c r="SXN6" s="53"/>
      <c r="SXO6" s="53"/>
      <c r="SXP6" s="53"/>
      <c r="SXQ6" s="53"/>
      <c r="SXR6" s="53"/>
      <c r="SXS6" s="53"/>
      <c r="SXT6" s="53"/>
      <c r="SXU6" s="53"/>
      <c r="SXV6" s="53"/>
      <c r="SXW6" s="53"/>
      <c r="SXX6" s="53"/>
      <c r="SXY6" s="53"/>
      <c r="SXZ6" s="53"/>
      <c r="SYA6" s="53"/>
      <c r="SYB6" s="53"/>
      <c r="SYC6" s="53"/>
      <c r="SYD6" s="53"/>
      <c r="SYE6" s="53"/>
      <c r="SYF6" s="53"/>
      <c r="SYG6" s="53"/>
      <c r="SYH6" s="53"/>
      <c r="SYI6" s="53"/>
      <c r="SYJ6" s="53"/>
      <c r="SYK6" s="53"/>
      <c r="SYL6" s="53"/>
      <c r="SYM6" s="53"/>
      <c r="SYN6" s="53"/>
      <c r="SYO6" s="53"/>
      <c r="SYP6" s="53"/>
      <c r="SYQ6" s="53"/>
      <c r="SYR6" s="53"/>
      <c r="SYS6" s="53"/>
      <c r="SYT6" s="53"/>
      <c r="SYU6" s="53"/>
      <c r="SYV6" s="53"/>
      <c r="SYW6" s="53"/>
      <c r="SYX6" s="53"/>
      <c r="SYY6" s="53"/>
      <c r="SYZ6" s="53"/>
      <c r="SZA6" s="53"/>
      <c r="SZB6" s="53"/>
      <c r="SZC6" s="53"/>
      <c r="SZD6" s="53"/>
      <c r="SZE6" s="53"/>
      <c r="SZF6" s="53"/>
      <c r="SZG6" s="53"/>
      <c r="SZH6" s="53"/>
      <c r="SZI6" s="53"/>
      <c r="SZJ6" s="53"/>
      <c r="SZK6" s="53"/>
      <c r="SZL6" s="53"/>
      <c r="SZM6" s="53"/>
      <c r="SZN6" s="53"/>
      <c r="SZO6" s="53"/>
      <c r="SZP6" s="53"/>
      <c r="SZQ6" s="53"/>
      <c r="SZR6" s="53"/>
      <c r="SZS6" s="53"/>
      <c r="SZT6" s="53"/>
      <c r="SZU6" s="53"/>
      <c r="SZV6" s="53"/>
      <c r="SZW6" s="53"/>
      <c r="SZX6" s="53"/>
      <c r="SZY6" s="53"/>
      <c r="SZZ6" s="53"/>
      <c r="TAA6" s="53"/>
      <c r="TAB6" s="53"/>
      <c r="TAC6" s="53"/>
      <c r="TAD6" s="53"/>
      <c r="TAE6" s="53"/>
      <c r="TAF6" s="53"/>
      <c r="TAG6" s="53"/>
      <c r="TAH6" s="53"/>
      <c r="TAI6" s="53"/>
      <c r="TAJ6" s="53"/>
      <c r="TAK6" s="53"/>
      <c r="TAL6" s="53"/>
      <c r="TAM6" s="53"/>
      <c r="TAN6" s="53"/>
      <c r="TAO6" s="53"/>
      <c r="TAP6" s="53"/>
      <c r="TAQ6" s="53"/>
      <c r="TAR6" s="53"/>
      <c r="TAS6" s="53"/>
      <c r="TAT6" s="53"/>
      <c r="TAU6" s="53"/>
      <c r="TAV6" s="53"/>
      <c r="TAW6" s="53"/>
      <c r="TAX6" s="53"/>
      <c r="TAY6" s="53"/>
      <c r="TAZ6" s="53"/>
      <c r="TBA6" s="53"/>
      <c r="TBB6" s="53"/>
      <c r="TBC6" s="53"/>
      <c r="TBD6" s="53"/>
      <c r="TBE6" s="53"/>
      <c r="TBF6" s="53"/>
      <c r="TBG6" s="53"/>
      <c r="TBH6" s="53"/>
      <c r="TBI6" s="53"/>
      <c r="TBJ6" s="53"/>
      <c r="TBK6" s="53"/>
      <c r="TBL6" s="53"/>
      <c r="TBM6" s="53"/>
      <c r="TBN6" s="53"/>
      <c r="TBO6" s="53"/>
      <c r="TBP6" s="53"/>
      <c r="TBQ6" s="53"/>
      <c r="TBR6" s="53"/>
      <c r="TBS6" s="53"/>
      <c r="TBT6" s="53"/>
      <c r="TBU6" s="53"/>
      <c r="TBV6" s="53"/>
      <c r="TBW6" s="53"/>
      <c r="TBX6" s="53"/>
      <c r="TBY6" s="53"/>
      <c r="TBZ6" s="53"/>
      <c r="TCA6" s="53"/>
      <c r="TCB6" s="53"/>
      <c r="TCC6" s="53"/>
      <c r="TCD6" s="53"/>
      <c r="TCE6" s="53"/>
      <c r="TCF6" s="53"/>
      <c r="TCG6" s="53"/>
      <c r="TCH6" s="53"/>
      <c r="TCI6" s="53"/>
      <c r="TCJ6" s="53"/>
      <c r="TCK6" s="53"/>
      <c r="TCL6" s="53"/>
      <c r="TCM6" s="53"/>
      <c r="TCN6" s="53"/>
      <c r="TCO6" s="53"/>
      <c r="TCP6" s="53"/>
      <c r="TCQ6" s="53"/>
      <c r="TCR6" s="53"/>
      <c r="TCS6" s="53"/>
      <c r="TCT6" s="53"/>
      <c r="TCU6" s="53"/>
      <c r="TCV6" s="53"/>
      <c r="TCW6" s="53"/>
      <c r="TCX6" s="53"/>
      <c r="TCY6" s="53"/>
      <c r="TCZ6" s="53"/>
      <c r="TDA6" s="53"/>
      <c r="TDB6" s="53"/>
      <c r="TDC6" s="53"/>
      <c r="TDD6" s="53"/>
      <c r="TDE6" s="53"/>
      <c r="TDF6" s="53"/>
      <c r="TDG6" s="53"/>
      <c r="TDH6" s="53"/>
      <c r="TDI6" s="53"/>
      <c r="TDJ6" s="53"/>
      <c r="TDK6" s="53"/>
      <c r="TDL6" s="53"/>
      <c r="TDM6" s="53"/>
      <c r="TDN6" s="53"/>
      <c r="TDO6" s="53"/>
      <c r="TDP6" s="53"/>
      <c r="TDQ6" s="53"/>
      <c r="TDR6" s="53"/>
      <c r="TDS6" s="53"/>
      <c r="TDT6" s="53"/>
      <c r="TDU6" s="53"/>
      <c r="TDV6" s="53"/>
      <c r="TDW6" s="53"/>
      <c r="TDX6" s="53"/>
      <c r="TDY6" s="53"/>
      <c r="TDZ6" s="53"/>
      <c r="TEA6" s="53"/>
      <c r="TEB6" s="53"/>
      <c r="TEC6" s="53"/>
      <c r="TED6" s="53"/>
      <c r="TEE6" s="53"/>
      <c r="TEF6" s="53"/>
      <c r="TEG6" s="53"/>
      <c r="TEH6" s="53"/>
      <c r="TEI6" s="53"/>
      <c r="TEJ6" s="53"/>
      <c r="TEK6" s="53"/>
      <c r="TEL6" s="53"/>
      <c r="TEM6" s="53"/>
      <c r="TEN6" s="53"/>
      <c r="TEO6" s="53"/>
      <c r="TEP6" s="53"/>
      <c r="TEQ6" s="53"/>
      <c r="TER6" s="53"/>
      <c r="TES6" s="53"/>
      <c r="TET6" s="53"/>
      <c r="TEU6" s="53"/>
      <c r="TEV6" s="53"/>
      <c r="TEW6" s="53"/>
      <c r="TEX6" s="53"/>
      <c r="TEY6" s="53"/>
      <c r="TEZ6" s="53"/>
      <c r="TFA6" s="53"/>
      <c r="TFB6" s="53"/>
      <c r="TFC6" s="53"/>
      <c r="TFD6" s="53"/>
      <c r="TFE6" s="53"/>
      <c r="TFF6" s="53"/>
      <c r="TFG6" s="53"/>
      <c r="TFH6" s="53"/>
      <c r="TFI6" s="53"/>
      <c r="TFJ6" s="53"/>
      <c r="TFK6" s="53"/>
      <c r="TFL6" s="53"/>
      <c r="TFM6" s="53"/>
      <c r="TFN6" s="53"/>
      <c r="TFO6" s="53"/>
      <c r="TFP6" s="53"/>
      <c r="TFQ6" s="53"/>
      <c r="TFR6" s="53"/>
      <c r="TFS6" s="53"/>
      <c r="TFT6" s="53"/>
      <c r="TFU6" s="53"/>
      <c r="TFV6" s="53"/>
      <c r="TFW6" s="53"/>
      <c r="TFX6" s="53"/>
      <c r="TFY6" s="53"/>
      <c r="TFZ6" s="53"/>
      <c r="TGA6" s="53"/>
      <c r="TGB6" s="53"/>
      <c r="TGC6" s="53"/>
      <c r="TGD6" s="53"/>
      <c r="TGE6" s="53"/>
      <c r="TGF6" s="53"/>
      <c r="TGG6" s="53"/>
      <c r="TGH6" s="53"/>
      <c r="TGI6" s="53"/>
      <c r="TGJ6" s="53"/>
      <c r="TGK6" s="53"/>
      <c r="TGL6" s="53"/>
      <c r="TGM6" s="53"/>
      <c r="TGN6" s="53"/>
      <c r="TGO6" s="53"/>
      <c r="TGP6" s="53"/>
      <c r="TGQ6" s="53"/>
      <c r="TGR6" s="53"/>
      <c r="TGS6" s="53"/>
      <c r="TGT6" s="53"/>
      <c r="TGU6" s="53"/>
      <c r="TGV6" s="53"/>
      <c r="TGW6" s="53"/>
      <c r="TGX6" s="53"/>
      <c r="TGY6" s="53"/>
      <c r="TGZ6" s="53"/>
      <c r="THA6" s="53"/>
      <c r="THB6" s="53"/>
      <c r="THC6" s="53"/>
      <c r="THD6" s="53"/>
      <c r="THE6" s="53"/>
      <c r="THF6" s="53"/>
      <c r="THG6" s="53"/>
      <c r="THH6" s="53"/>
      <c r="THI6" s="53"/>
      <c r="THJ6" s="53"/>
      <c r="THK6" s="53"/>
      <c r="THL6" s="53"/>
      <c r="THM6" s="53"/>
      <c r="THN6" s="53"/>
      <c r="THO6" s="53"/>
      <c r="THP6" s="53"/>
      <c r="THQ6" s="53"/>
      <c r="THR6" s="53"/>
      <c r="THS6" s="53"/>
      <c r="THT6" s="53"/>
      <c r="THU6" s="53"/>
      <c r="THV6" s="53"/>
      <c r="THW6" s="53"/>
      <c r="THX6" s="53"/>
      <c r="THY6" s="53"/>
      <c r="THZ6" s="53"/>
      <c r="TIA6" s="53"/>
      <c r="TIB6" s="53"/>
      <c r="TIC6" s="53"/>
      <c r="TID6" s="53"/>
      <c r="TIE6" s="53"/>
      <c r="TIF6" s="53"/>
      <c r="TIG6" s="53"/>
      <c r="TIH6" s="53"/>
      <c r="TII6" s="53"/>
      <c r="TIJ6" s="53"/>
      <c r="TIK6" s="53"/>
      <c r="TIL6" s="53"/>
      <c r="TIM6" s="53"/>
      <c r="TIN6" s="53"/>
      <c r="TIO6" s="53"/>
      <c r="TIP6" s="53"/>
      <c r="TIQ6" s="53"/>
      <c r="TIR6" s="53"/>
      <c r="TIS6" s="53"/>
      <c r="TIT6" s="53"/>
      <c r="TIU6" s="53"/>
      <c r="TIV6" s="53"/>
      <c r="TIW6" s="53"/>
      <c r="TIX6" s="53"/>
      <c r="TIY6" s="53"/>
      <c r="TIZ6" s="53"/>
      <c r="TJA6" s="53"/>
      <c r="TJB6" s="53"/>
      <c r="TJC6" s="53"/>
      <c r="TJD6" s="53"/>
      <c r="TJE6" s="53"/>
      <c r="TJF6" s="53"/>
      <c r="TJG6" s="53"/>
      <c r="TJH6" s="53"/>
      <c r="TJI6" s="53"/>
      <c r="TJJ6" s="53"/>
      <c r="TJK6" s="53"/>
      <c r="TJL6" s="53"/>
      <c r="TJM6" s="53"/>
      <c r="TJN6" s="53"/>
      <c r="TJO6" s="53"/>
      <c r="TJP6" s="53"/>
      <c r="TJQ6" s="53"/>
      <c r="TJR6" s="53"/>
      <c r="TJS6" s="53"/>
      <c r="TJT6" s="53"/>
      <c r="TJU6" s="53"/>
      <c r="TJV6" s="53"/>
      <c r="TJW6" s="53"/>
      <c r="TJX6" s="53"/>
      <c r="TJY6" s="53"/>
      <c r="TJZ6" s="53"/>
      <c r="TKA6" s="53"/>
      <c r="TKB6" s="53"/>
      <c r="TKC6" s="53"/>
      <c r="TKD6" s="53"/>
      <c r="TKE6" s="53"/>
      <c r="TKF6" s="53"/>
      <c r="TKG6" s="53"/>
      <c r="TKH6" s="53"/>
      <c r="TKI6" s="53"/>
      <c r="TKJ6" s="53"/>
      <c r="TKK6" s="53"/>
      <c r="TKL6" s="53"/>
      <c r="TKM6" s="53"/>
      <c r="TKN6" s="53"/>
      <c r="TKO6" s="53"/>
      <c r="TKP6" s="53"/>
      <c r="TKQ6" s="53"/>
      <c r="TKR6" s="53"/>
      <c r="TKS6" s="53"/>
      <c r="TKT6" s="53"/>
      <c r="TKU6" s="53"/>
      <c r="TKV6" s="53"/>
      <c r="TKW6" s="53"/>
      <c r="TKX6" s="53"/>
      <c r="TKY6" s="53"/>
      <c r="TKZ6" s="53"/>
      <c r="TLA6" s="53"/>
      <c r="TLB6" s="53"/>
      <c r="TLC6" s="53"/>
      <c r="TLD6" s="53"/>
      <c r="TLE6" s="53"/>
      <c r="TLF6" s="53"/>
      <c r="TLG6" s="53"/>
      <c r="TLH6" s="53"/>
      <c r="TLI6" s="53"/>
      <c r="TLJ6" s="53"/>
      <c r="TLK6" s="53"/>
      <c r="TLL6" s="53"/>
      <c r="TLM6" s="53"/>
      <c r="TLN6" s="53"/>
      <c r="TLO6" s="53"/>
      <c r="TLP6" s="53"/>
      <c r="TLQ6" s="53"/>
      <c r="TLR6" s="53"/>
      <c r="TLS6" s="53"/>
      <c r="TLT6" s="53"/>
      <c r="TLU6" s="53"/>
      <c r="TLV6" s="53"/>
      <c r="TLW6" s="53"/>
      <c r="TLX6" s="53"/>
      <c r="TLY6" s="53"/>
      <c r="TLZ6" s="53"/>
      <c r="TMA6" s="53"/>
      <c r="TMB6" s="53"/>
      <c r="TMC6" s="53"/>
      <c r="TMD6" s="53"/>
      <c r="TME6" s="53"/>
      <c r="TMF6" s="53"/>
      <c r="TMG6" s="53"/>
      <c r="TMH6" s="53"/>
      <c r="TMI6" s="53"/>
      <c r="TMJ6" s="53"/>
      <c r="TMK6" s="53"/>
      <c r="TML6" s="53"/>
      <c r="TMM6" s="53"/>
      <c r="TMN6" s="53"/>
      <c r="TMO6" s="53"/>
      <c r="TMP6" s="53"/>
      <c r="TMQ6" s="53"/>
      <c r="TMR6" s="53"/>
      <c r="TMS6" s="53"/>
      <c r="TMT6" s="53"/>
      <c r="TMU6" s="53"/>
      <c r="TMV6" s="53"/>
      <c r="TMW6" s="53"/>
      <c r="TMX6" s="53"/>
      <c r="TMY6" s="53"/>
      <c r="TMZ6" s="53"/>
      <c r="TNA6" s="53"/>
      <c r="TNB6" s="53"/>
      <c r="TNC6" s="53"/>
      <c r="TND6" s="53"/>
      <c r="TNE6" s="53"/>
      <c r="TNF6" s="53"/>
      <c r="TNG6" s="53"/>
      <c r="TNH6" s="53"/>
      <c r="TNI6" s="53"/>
      <c r="TNJ6" s="53"/>
      <c r="TNK6" s="53"/>
      <c r="TNL6" s="53"/>
      <c r="TNM6" s="53"/>
      <c r="TNN6" s="53"/>
      <c r="TNO6" s="53"/>
      <c r="TNP6" s="53"/>
      <c r="TNQ6" s="53"/>
      <c r="TNR6" s="53"/>
      <c r="TNS6" s="53"/>
      <c r="TNT6" s="53"/>
      <c r="TNU6" s="53"/>
      <c r="TNV6" s="53"/>
      <c r="TNW6" s="53"/>
      <c r="TNX6" s="53"/>
      <c r="TNY6" s="53"/>
      <c r="TNZ6" s="53"/>
      <c r="TOA6" s="53"/>
      <c r="TOB6" s="53"/>
      <c r="TOC6" s="53"/>
      <c r="TOD6" s="53"/>
      <c r="TOE6" s="53"/>
      <c r="TOF6" s="53"/>
      <c r="TOG6" s="53"/>
      <c r="TOH6" s="53"/>
      <c r="TOI6" s="53"/>
      <c r="TOJ6" s="53"/>
      <c r="TOK6" s="53"/>
      <c r="TOL6" s="53"/>
      <c r="TOM6" s="53"/>
      <c r="TON6" s="53"/>
      <c r="TOO6" s="53"/>
      <c r="TOP6" s="53"/>
      <c r="TOQ6" s="53"/>
      <c r="TOR6" s="53"/>
      <c r="TOS6" s="53"/>
      <c r="TOT6" s="53"/>
      <c r="TOU6" s="53"/>
      <c r="TOV6" s="53"/>
      <c r="TOW6" s="53"/>
      <c r="TOX6" s="53"/>
      <c r="TOY6" s="53"/>
      <c r="TOZ6" s="53"/>
      <c r="TPA6" s="53"/>
      <c r="TPB6" s="53"/>
      <c r="TPC6" s="53"/>
      <c r="TPD6" s="53"/>
      <c r="TPE6" s="53"/>
      <c r="TPF6" s="53"/>
      <c r="TPG6" s="53"/>
      <c r="TPH6" s="53"/>
      <c r="TPI6" s="53"/>
      <c r="TPJ6" s="53"/>
      <c r="TPK6" s="53"/>
      <c r="TPL6" s="53"/>
      <c r="TPM6" s="53"/>
      <c r="TPN6" s="53"/>
      <c r="TPO6" s="53"/>
      <c r="TPP6" s="53"/>
      <c r="TPQ6" s="53"/>
      <c r="TPR6" s="53"/>
      <c r="TPS6" s="53"/>
      <c r="TPT6" s="53"/>
      <c r="TPU6" s="53"/>
      <c r="TPV6" s="53"/>
      <c r="TPW6" s="53"/>
      <c r="TPX6" s="53"/>
      <c r="TPY6" s="53"/>
      <c r="TPZ6" s="53"/>
      <c r="TQA6" s="53"/>
      <c r="TQB6" s="53"/>
      <c r="TQC6" s="53"/>
      <c r="TQD6" s="53"/>
      <c r="TQE6" s="53"/>
      <c r="TQF6" s="53"/>
      <c r="TQG6" s="53"/>
      <c r="TQH6" s="53"/>
      <c r="TQI6" s="53"/>
      <c r="TQJ6" s="53"/>
      <c r="TQK6" s="53"/>
      <c r="TQL6" s="53"/>
      <c r="TQM6" s="53"/>
      <c r="TQN6" s="53"/>
      <c r="TQO6" s="53"/>
      <c r="TQP6" s="53"/>
      <c r="TQQ6" s="53"/>
      <c r="TQR6" s="53"/>
      <c r="TQS6" s="53"/>
      <c r="TQT6" s="53"/>
      <c r="TQU6" s="53"/>
      <c r="TQV6" s="53"/>
      <c r="TQW6" s="53"/>
      <c r="TQX6" s="53"/>
      <c r="TQY6" s="53"/>
      <c r="TQZ6" s="53"/>
      <c r="TRA6" s="53"/>
      <c r="TRB6" s="53"/>
      <c r="TRC6" s="53"/>
      <c r="TRD6" s="53"/>
      <c r="TRE6" s="53"/>
      <c r="TRF6" s="53"/>
      <c r="TRG6" s="53"/>
      <c r="TRH6" s="53"/>
      <c r="TRI6" s="53"/>
      <c r="TRJ6" s="53"/>
      <c r="TRK6" s="53"/>
      <c r="TRL6" s="53"/>
      <c r="TRM6" s="53"/>
      <c r="TRN6" s="53"/>
      <c r="TRO6" s="53"/>
      <c r="TRP6" s="53"/>
      <c r="TRQ6" s="53"/>
      <c r="TRR6" s="53"/>
      <c r="TRS6" s="53"/>
      <c r="TRT6" s="53"/>
      <c r="TRU6" s="53"/>
      <c r="TRV6" s="53"/>
      <c r="TRW6" s="53"/>
      <c r="TRX6" s="53"/>
      <c r="TRY6" s="53"/>
      <c r="TRZ6" s="53"/>
      <c r="TSA6" s="53"/>
      <c r="TSB6" s="53"/>
      <c r="TSC6" s="53"/>
      <c r="TSD6" s="53"/>
      <c r="TSE6" s="53"/>
      <c r="TSF6" s="53"/>
      <c r="TSG6" s="53"/>
      <c r="TSH6" s="53"/>
      <c r="TSI6" s="53"/>
      <c r="TSJ6" s="53"/>
      <c r="TSK6" s="53"/>
      <c r="TSL6" s="53"/>
      <c r="TSM6" s="53"/>
      <c r="TSN6" s="53"/>
      <c r="TSO6" s="53"/>
      <c r="TSP6" s="53"/>
      <c r="TSQ6" s="53"/>
      <c r="TSR6" s="53"/>
      <c r="TSS6" s="53"/>
      <c r="TST6" s="53"/>
      <c r="TSU6" s="53"/>
      <c r="TSV6" s="53"/>
      <c r="TSW6" s="53"/>
      <c r="TSX6" s="53"/>
      <c r="TSY6" s="53"/>
      <c r="TSZ6" s="53"/>
      <c r="TTA6" s="53"/>
      <c r="TTB6" s="53"/>
      <c r="TTC6" s="53"/>
      <c r="TTD6" s="53"/>
      <c r="TTE6" s="53"/>
      <c r="TTF6" s="53"/>
      <c r="TTG6" s="53"/>
      <c r="TTH6" s="53"/>
      <c r="TTI6" s="53"/>
      <c r="TTJ6" s="53"/>
      <c r="TTK6" s="53"/>
      <c r="TTL6" s="53"/>
      <c r="TTM6" s="53"/>
      <c r="TTN6" s="53"/>
      <c r="TTO6" s="53"/>
      <c r="TTP6" s="53"/>
      <c r="TTQ6" s="53"/>
      <c r="TTR6" s="53"/>
      <c r="TTS6" s="53"/>
      <c r="TTT6" s="53"/>
      <c r="TTU6" s="53"/>
      <c r="TTV6" s="53"/>
      <c r="TTW6" s="53"/>
      <c r="TTX6" s="53"/>
      <c r="TTY6" s="53"/>
      <c r="TTZ6" s="53"/>
      <c r="TUA6" s="53"/>
      <c r="TUB6" s="53"/>
      <c r="TUC6" s="53"/>
      <c r="TUD6" s="53"/>
      <c r="TUE6" s="53"/>
      <c r="TUF6" s="53"/>
      <c r="TUG6" s="53"/>
      <c r="TUH6" s="53"/>
      <c r="TUI6" s="53"/>
      <c r="TUJ6" s="53"/>
      <c r="TUK6" s="53"/>
      <c r="TUL6" s="53"/>
      <c r="TUM6" s="53"/>
      <c r="TUN6" s="53"/>
      <c r="TUO6" s="53"/>
      <c r="TUP6" s="53"/>
      <c r="TUQ6" s="53"/>
      <c r="TUR6" s="53"/>
      <c r="TUS6" s="53"/>
      <c r="TUT6" s="53"/>
      <c r="TUU6" s="53"/>
      <c r="TUV6" s="53"/>
      <c r="TUW6" s="53"/>
      <c r="TUX6" s="53"/>
      <c r="TUY6" s="53"/>
      <c r="TUZ6" s="53"/>
      <c r="TVA6" s="53"/>
      <c r="TVB6" s="53"/>
      <c r="TVC6" s="53"/>
      <c r="TVD6" s="53"/>
      <c r="TVE6" s="53"/>
      <c r="TVF6" s="53"/>
      <c r="TVG6" s="53"/>
      <c r="TVH6" s="53"/>
      <c r="TVI6" s="53"/>
      <c r="TVJ6" s="53"/>
      <c r="TVK6" s="53"/>
      <c r="TVL6" s="53"/>
      <c r="TVM6" s="53"/>
      <c r="TVN6" s="53"/>
      <c r="TVO6" s="53"/>
      <c r="TVP6" s="53"/>
      <c r="TVQ6" s="53"/>
      <c r="TVR6" s="53"/>
      <c r="TVS6" s="53"/>
      <c r="TVT6" s="53"/>
      <c r="TVU6" s="53"/>
      <c r="TVV6" s="53"/>
      <c r="TVW6" s="53"/>
      <c r="TVX6" s="53"/>
      <c r="TVY6" s="53"/>
      <c r="TVZ6" s="53"/>
      <c r="TWA6" s="53"/>
      <c r="TWB6" s="53"/>
      <c r="TWC6" s="53"/>
      <c r="TWD6" s="53"/>
      <c r="TWE6" s="53"/>
      <c r="TWF6" s="53"/>
      <c r="TWG6" s="53"/>
      <c r="TWH6" s="53"/>
      <c r="TWI6" s="53"/>
      <c r="TWJ6" s="53"/>
      <c r="TWK6" s="53"/>
      <c r="TWL6" s="53"/>
      <c r="TWM6" s="53"/>
      <c r="TWN6" s="53"/>
      <c r="TWO6" s="53"/>
      <c r="TWP6" s="53"/>
      <c r="TWQ6" s="53"/>
      <c r="TWR6" s="53"/>
      <c r="TWS6" s="53"/>
      <c r="TWT6" s="53"/>
      <c r="TWU6" s="53"/>
      <c r="TWV6" s="53"/>
      <c r="TWW6" s="53"/>
      <c r="TWX6" s="53"/>
      <c r="TWY6" s="53"/>
      <c r="TWZ6" s="53"/>
      <c r="TXA6" s="53"/>
      <c r="TXB6" s="53"/>
      <c r="TXC6" s="53"/>
      <c r="TXD6" s="53"/>
      <c r="TXE6" s="53"/>
      <c r="TXF6" s="53"/>
      <c r="TXG6" s="53"/>
      <c r="TXH6" s="53"/>
      <c r="TXI6" s="53"/>
      <c r="TXJ6" s="53"/>
      <c r="TXK6" s="53"/>
      <c r="TXL6" s="53"/>
      <c r="TXM6" s="53"/>
      <c r="TXN6" s="53"/>
      <c r="TXO6" s="53"/>
      <c r="TXP6" s="53"/>
      <c r="TXQ6" s="53"/>
      <c r="TXR6" s="53"/>
      <c r="TXS6" s="53"/>
      <c r="TXT6" s="53"/>
      <c r="TXU6" s="53"/>
      <c r="TXV6" s="53"/>
      <c r="TXW6" s="53"/>
      <c r="TXX6" s="53"/>
      <c r="TXY6" s="53"/>
      <c r="TXZ6" s="53"/>
      <c r="TYA6" s="53"/>
      <c r="TYB6" s="53"/>
      <c r="TYC6" s="53"/>
      <c r="TYD6" s="53"/>
      <c r="TYE6" s="53"/>
      <c r="TYF6" s="53"/>
      <c r="TYG6" s="53"/>
      <c r="TYH6" s="53"/>
      <c r="TYI6" s="53"/>
      <c r="TYJ6" s="53"/>
      <c r="TYK6" s="53"/>
      <c r="TYL6" s="53"/>
      <c r="TYM6" s="53"/>
      <c r="TYN6" s="53"/>
      <c r="TYO6" s="53"/>
      <c r="TYP6" s="53"/>
      <c r="TYQ6" s="53"/>
      <c r="TYR6" s="53"/>
      <c r="TYS6" s="53"/>
      <c r="TYT6" s="53"/>
      <c r="TYU6" s="53"/>
      <c r="TYV6" s="53"/>
      <c r="TYW6" s="53"/>
      <c r="TYX6" s="53"/>
      <c r="TYY6" s="53"/>
      <c r="TYZ6" s="53"/>
      <c r="TZA6" s="53"/>
      <c r="TZB6" s="53"/>
      <c r="TZC6" s="53"/>
      <c r="TZD6" s="53"/>
      <c r="TZE6" s="53"/>
      <c r="TZF6" s="53"/>
      <c r="TZG6" s="53"/>
      <c r="TZH6" s="53"/>
      <c r="TZI6" s="53"/>
      <c r="TZJ6" s="53"/>
      <c r="TZK6" s="53"/>
      <c r="TZL6" s="53"/>
      <c r="TZM6" s="53"/>
      <c r="TZN6" s="53"/>
      <c r="TZO6" s="53"/>
      <c r="TZP6" s="53"/>
      <c r="TZQ6" s="53"/>
      <c r="TZR6" s="53"/>
      <c r="TZS6" s="53"/>
      <c r="TZT6" s="53"/>
      <c r="TZU6" s="53"/>
      <c r="TZV6" s="53"/>
      <c r="TZW6" s="53"/>
      <c r="TZX6" s="53"/>
      <c r="TZY6" s="53"/>
      <c r="TZZ6" s="53"/>
      <c r="UAA6" s="53"/>
      <c r="UAB6" s="53"/>
      <c r="UAC6" s="53"/>
      <c r="UAD6" s="53"/>
      <c r="UAE6" s="53"/>
      <c r="UAF6" s="53"/>
      <c r="UAG6" s="53"/>
      <c r="UAH6" s="53"/>
      <c r="UAI6" s="53"/>
      <c r="UAJ6" s="53"/>
      <c r="UAK6" s="53"/>
      <c r="UAL6" s="53"/>
      <c r="UAM6" s="53"/>
      <c r="UAN6" s="53"/>
      <c r="UAO6" s="53"/>
      <c r="UAP6" s="53"/>
      <c r="UAQ6" s="53"/>
      <c r="UAR6" s="53"/>
      <c r="UAS6" s="53"/>
      <c r="UAT6" s="53"/>
      <c r="UAU6" s="53"/>
      <c r="UAV6" s="53"/>
      <c r="UAW6" s="53"/>
      <c r="UAX6" s="53"/>
      <c r="UAY6" s="53"/>
      <c r="UAZ6" s="53"/>
      <c r="UBA6" s="53"/>
      <c r="UBB6" s="53"/>
      <c r="UBC6" s="53"/>
      <c r="UBD6" s="53"/>
      <c r="UBE6" s="53"/>
      <c r="UBF6" s="53"/>
      <c r="UBG6" s="53"/>
      <c r="UBH6" s="53"/>
      <c r="UBI6" s="53"/>
      <c r="UBJ6" s="53"/>
      <c r="UBK6" s="53"/>
      <c r="UBL6" s="53"/>
      <c r="UBM6" s="53"/>
      <c r="UBN6" s="53"/>
      <c r="UBO6" s="53"/>
      <c r="UBP6" s="53"/>
      <c r="UBQ6" s="53"/>
      <c r="UBR6" s="53"/>
      <c r="UBS6" s="53"/>
      <c r="UBT6" s="53"/>
      <c r="UBU6" s="53"/>
      <c r="UBV6" s="53"/>
      <c r="UBW6" s="53"/>
      <c r="UBX6" s="53"/>
      <c r="UBY6" s="53"/>
      <c r="UBZ6" s="53"/>
      <c r="UCA6" s="53"/>
      <c r="UCB6" s="53"/>
      <c r="UCC6" s="53"/>
      <c r="UCD6" s="53"/>
      <c r="UCE6" s="53"/>
      <c r="UCF6" s="53"/>
      <c r="UCG6" s="53"/>
      <c r="UCH6" s="53"/>
      <c r="UCI6" s="53"/>
      <c r="UCJ6" s="53"/>
      <c r="UCK6" s="53"/>
      <c r="UCL6" s="53"/>
      <c r="UCM6" s="53"/>
      <c r="UCN6" s="53"/>
      <c r="UCO6" s="53"/>
      <c r="UCP6" s="53"/>
      <c r="UCQ6" s="53"/>
      <c r="UCR6" s="53"/>
      <c r="UCS6" s="53"/>
      <c r="UCT6" s="53"/>
      <c r="UCU6" s="53"/>
      <c r="UCV6" s="53"/>
      <c r="UCW6" s="53"/>
      <c r="UCX6" s="53"/>
      <c r="UCY6" s="53"/>
      <c r="UCZ6" s="53"/>
      <c r="UDA6" s="53"/>
      <c r="UDB6" s="53"/>
      <c r="UDC6" s="53"/>
      <c r="UDD6" s="53"/>
      <c r="UDE6" s="53"/>
      <c r="UDF6" s="53"/>
      <c r="UDG6" s="53"/>
      <c r="UDH6" s="53"/>
      <c r="UDI6" s="53"/>
      <c r="UDJ6" s="53"/>
      <c r="UDK6" s="53"/>
      <c r="UDL6" s="53"/>
      <c r="UDM6" s="53"/>
      <c r="UDN6" s="53"/>
      <c r="UDO6" s="53"/>
      <c r="UDP6" s="53"/>
      <c r="UDQ6" s="53"/>
      <c r="UDR6" s="53"/>
      <c r="UDS6" s="53"/>
      <c r="UDT6" s="53"/>
      <c r="UDU6" s="53"/>
      <c r="UDV6" s="53"/>
      <c r="UDW6" s="53"/>
      <c r="UDX6" s="53"/>
      <c r="UDY6" s="53"/>
      <c r="UDZ6" s="53"/>
      <c r="UEA6" s="53"/>
      <c r="UEB6" s="53"/>
      <c r="UEC6" s="53"/>
      <c r="UED6" s="53"/>
      <c r="UEE6" s="53"/>
      <c r="UEF6" s="53"/>
      <c r="UEG6" s="53"/>
      <c r="UEH6" s="53"/>
      <c r="UEI6" s="53"/>
      <c r="UEJ6" s="53"/>
      <c r="UEK6" s="53"/>
      <c r="UEL6" s="53"/>
      <c r="UEM6" s="53"/>
      <c r="UEN6" s="53"/>
      <c r="UEO6" s="53"/>
      <c r="UEP6" s="53"/>
      <c r="UEQ6" s="53"/>
      <c r="UER6" s="53"/>
      <c r="UES6" s="53"/>
      <c r="UET6" s="53"/>
      <c r="UEU6" s="53"/>
      <c r="UEV6" s="53"/>
      <c r="UEW6" s="53"/>
      <c r="UEX6" s="53"/>
      <c r="UEY6" s="53"/>
      <c r="UEZ6" s="53"/>
      <c r="UFA6" s="53"/>
      <c r="UFB6" s="53"/>
      <c r="UFC6" s="53"/>
      <c r="UFD6" s="53"/>
      <c r="UFE6" s="53"/>
      <c r="UFF6" s="53"/>
      <c r="UFG6" s="53"/>
      <c r="UFH6" s="53"/>
      <c r="UFI6" s="53"/>
      <c r="UFJ6" s="53"/>
      <c r="UFK6" s="53"/>
      <c r="UFL6" s="53"/>
      <c r="UFM6" s="53"/>
      <c r="UFN6" s="53"/>
      <c r="UFO6" s="53"/>
      <c r="UFP6" s="53"/>
      <c r="UFQ6" s="53"/>
      <c r="UFR6" s="53"/>
      <c r="UFS6" s="53"/>
      <c r="UFT6" s="53"/>
      <c r="UFU6" s="53"/>
      <c r="UFV6" s="53"/>
      <c r="UFW6" s="53"/>
      <c r="UFX6" s="53"/>
      <c r="UFY6" s="53"/>
      <c r="UFZ6" s="53"/>
      <c r="UGA6" s="53"/>
      <c r="UGB6" s="53"/>
      <c r="UGC6" s="53"/>
      <c r="UGD6" s="53"/>
      <c r="UGE6" s="53"/>
      <c r="UGF6" s="53"/>
      <c r="UGG6" s="53"/>
      <c r="UGH6" s="53"/>
      <c r="UGI6" s="53"/>
      <c r="UGJ6" s="53"/>
      <c r="UGK6" s="53"/>
      <c r="UGL6" s="53"/>
      <c r="UGM6" s="53"/>
      <c r="UGN6" s="53"/>
      <c r="UGO6" s="53"/>
      <c r="UGP6" s="53"/>
      <c r="UGQ6" s="53"/>
      <c r="UGR6" s="53"/>
      <c r="UGS6" s="53"/>
      <c r="UGT6" s="53"/>
      <c r="UGU6" s="53"/>
      <c r="UGV6" s="53"/>
      <c r="UGW6" s="53"/>
      <c r="UGX6" s="53"/>
      <c r="UGY6" s="53"/>
      <c r="UGZ6" s="53"/>
      <c r="UHA6" s="53"/>
      <c r="UHB6" s="53"/>
      <c r="UHC6" s="53"/>
      <c r="UHD6" s="53"/>
      <c r="UHE6" s="53"/>
      <c r="UHF6" s="53"/>
      <c r="UHG6" s="53"/>
      <c r="UHH6" s="53"/>
      <c r="UHI6" s="53"/>
      <c r="UHJ6" s="53"/>
      <c r="UHK6" s="53"/>
      <c r="UHL6" s="53"/>
      <c r="UHM6" s="53"/>
      <c r="UHN6" s="53"/>
      <c r="UHO6" s="53"/>
      <c r="UHP6" s="53"/>
      <c r="UHQ6" s="53"/>
      <c r="UHR6" s="53"/>
      <c r="UHS6" s="53"/>
      <c r="UHT6" s="53"/>
      <c r="UHU6" s="53"/>
      <c r="UHV6" s="53"/>
      <c r="UHW6" s="53"/>
      <c r="UHX6" s="53"/>
      <c r="UHY6" s="53"/>
      <c r="UHZ6" s="53"/>
      <c r="UIA6" s="53"/>
      <c r="UIB6" s="53"/>
      <c r="UIC6" s="53"/>
      <c r="UID6" s="53"/>
      <c r="UIE6" s="53"/>
      <c r="UIF6" s="53"/>
      <c r="UIG6" s="53"/>
      <c r="UIH6" s="53"/>
      <c r="UII6" s="53"/>
      <c r="UIJ6" s="53"/>
      <c r="UIK6" s="53"/>
      <c r="UIL6" s="53"/>
      <c r="UIM6" s="53"/>
      <c r="UIN6" s="53"/>
      <c r="UIO6" s="53"/>
      <c r="UIP6" s="53"/>
      <c r="UIQ6" s="53"/>
      <c r="UIR6" s="53"/>
      <c r="UIS6" s="53"/>
      <c r="UIT6" s="53"/>
      <c r="UIU6" s="53"/>
      <c r="UIV6" s="53"/>
      <c r="UIW6" s="53"/>
      <c r="UIX6" s="53"/>
      <c r="UIY6" s="53"/>
      <c r="UIZ6" s="53"/>
      <c r="UJA6" s="53"/>
      <c r="UJB6" s="53"/>
      <c r="UJC6" s="53"/>
      <c r="UJD6" s="53"/>
      <c r="UJE6" s="53"/>
      <c r="UJF6" s="53"/>
      <c r="UJG6" s="53"/>
      <c r="UJH6" s="53"/>
      <c r="UJI6" s="53"/>
      <c r="UJJ6" s="53"/>
      <c r="UJK6" s="53"/>
      <c r="UJL6" s="53"/>
      <c r="UJM6" s="53"/>
      <c r="UJN6" s="53"/>
      <c r="UJO6" s="53"/>
      <c r="UJP6" s="53"/>
      <c r="UJQ6" s="53"/>
      <c r="UJR6" s="53"/>
      <c r="UJS6" s="53"/>
      <c r="UJT6" s="53"/>
      <c r="UJU6" s="53"/>
      <c r="UJV6" s="53"/>
      <c r="UJW6" s="53"/>
      <c r="UJX6" s="53"/>
      <c r="UJY6" s="53"/>
      <c r="UJZ6" s="53"/>
      <c r="UKA6" s="53"/>
      <c r="UKB6" s="53"/>
      <c r="UKC6" s="53"/>
      <c r="UKD6" s="53"/>
      <c r="UKE6" s="53"/>
      <c r="UKF6" s="53"/>
      <c r="UKG6" s="53"/>
      <c r="UKH6" s="53"/>
      <c r="UKI6" s="53"/>
      <c r="UKJ6" s="53"/>
      <c r="UKK6" s="53"/>
      <c r="UKL6" s="53"/>
      <c r="UKM6" s="53"/>
      <c r="UKN6" s="53"/>
      <c r="UKO6" s="53"/>
      <c r="UKP6" s="53"/>
      <c r="UKQ6" s="53"/>
      <c r="UKR6" s="53"/>
      <c r="UKS6" s="53"/>
      <c r="UKT6" s="53"/>
      <c r="UKU6" s="53"/>
      <c r="UKV6" s="53"/>
      <c r="UKW6" s="53"/>
      <c r="UKX6" s="53"/>
      <c r="UKY6" s="53"/>
      <c r="UKZ6" s="53"/>
      <c r="ULA6" s="53"/>
      <c r="ULB6" s="53"/>
      <c r="ULC6" s="53"/>
      <c r="ULD6" s="53"/>
      <c r="ULE6" s="53"/>
      <c r="ULF6" s="53"/>
      <c r="ULG6" s="53"/>
      <c r="ULH6" s="53"/>
      <c r="ULI6" s="53"/>
      <c r="ULJ6" s="53"/>
      <c r="ULK6" s="53"/>
      <c r="ULL6" s="53"/>
      <c r="ULM6" s="53"/>
      <c r="ULN6" s="53"/>
      <c r="ULO6" s="53"/>
      <c r="ULP6" s="53"/>
      <c r="ULQ6" s="53"/>
      <c r="ULR6" s="53"/>
      <c r="ULS6" s="53"/>
      <c r="ULT6" s="53"/>
      <c r="ULU6" s="53"/>
      <c r="ULV6" s="53"/>
      <c r="ULW6" s="53"/>
      <c r="ULX6" s="53"/>
      <c r="ULY6" s="53"/>
      <c r="ULZ6" s="53"/>
      <c r="UMA6" s="53"/>
      <c r="UMB6" s="53"/>
      <c r="UMC6" s="53"/>
      <c r="UMD6" s="53"/>
      <c r="UME6" s="53"/>
      <c r="UMF6" s="53"/>
      <c r="UMG6" s="53"/>
      <c r="UMH6" s="53"/>
      <c r="UMI6" s="53"/>
      <c r="UMJ6" s="53"/>
      <c r="UMK6" s="53"/>
      <c r="UML6" s="53"/>
      <c r="UMM6" s="53"/>
      <c r="UMN6" s="53"/>
      <c r="UMO6" s="53"/>
      <c r="UMP6" s="53"/>
      <c r="UMQ6" s="53"/>
      <c r="UMR6" s="53"/>
      <c r="UMS6" s="53"/>
      <c r="UMT6" s="53"/>
      <c r="UMU6" s="53"/>
      <c r="UMV6" s="53"/>
      <c r="UMW6" s="53"/>
      <c r="UMX6" s="53"/>
      <c r="UMY6" s="53"/>
      <c r="UMZ6" s="53"/>
      <c r="UNA6" s="53"/>
      <c r="UNB6" s="53"/>
      <c r="UNC6" s="53"/>
      <c r="UND6" s="53"/>
      <c r="UNE6" s="53"/>
      <c r="UNF6" s="53"/>
      <c r="UNG6" s="53"/>
      <c r="UNH6" s="53"/>
      <c r="UNI6" s="53"/>
      <c r="UNJ6" s="53"/>
      <c r="UNK6" s="53"/>
      <c r="UNL6" s="53"/>
      <c r="UNM6" s="53"/>
      <c r="UNN6" s="53"/>
      <c r="UNO6" s="53"/>
      <c r="UNP6" s="53"/>
      <c r="UNQ6" s="53"/>
      <c r="UNR6" s="53"/>
      <c r="UNS6" s="53"/>
      <c r="UNT6" s="53"/>
      <c r="UNU6" s="53"/>
      <c r="UNV6" s="53"/>
      <c r="UNW6" s="53"/>
      <c r="UNX6" s="53"/>
      <c r="UNY6" s="53"/>
      <c r="UNZ6" s="53"/>
      <c r="UOA6" s="53"/>
      <c r="UOB6" s="53"/>
      <c r="UOC6" s="53"/>
      <c r="UOD6" s="53"/>
      <c r="UOE6" s="53"/>
      <c r="UOF6" s="53"/>
      <c r="UOG6" s="53"/>
      <c r="UOH6" s="53"/>
      <c r="UOI6" s="53"/>
      <c r="UOJ6" s="53"/>
      <c r="UOK6" s="53"/>
      <c r="UOL6" s="53"/>
      <c r="UOM6" s="53"/>
      <c r="UON6" s="53"/>
      <c r="UOO6" s="53"/>
      <c r="UOP6" s="53"/>
      <c r="UOQ6" s="53"/>
      <c r="UOR6" s="53"/>
      <c r="UOS6" s="53"/>
      <c r="UOT6" s="53"/>
      <c r="UOU6" s="53"/>
      <c r="UOV6" s="53"/>
      <c r="UOW6" s="53"/>
      <c r="UOX6" s="53"/>
      <c r="UOY6" s="53"/>
      <c r="UOZ6" s="53"/>
      <c r="UPA6" s="53"/>
      <c r="UPB6" s="53"/>
      <c r="UPC6" s="53"/>
      <c r="UPD6" s="53"/>
      <c r="UPE6" s="53"/>
      <c r="UPF6" s="53"/>
      <c r="UPG6" s="53"/>
      <c r="UPH6" s="53"/>
      <c r="UPI6" s="53"/>
      <c r="UPJ6" s="53"/>
      <c r="UPK6" s="53"/>
      <c r="UPL6" s="53"/>
      <c r="UPM6" s="53"/>
      <c r="UPN6" s="53"/>
      <c r="UPO6" s="53"/>
      <c r="UPP6" s="53"/>
      <c r="UPQ6" s="53"/>
      <c r="UPR6" s="53"/>
      <c r="UPS6" s="53"/>
      <c r="UPT6" s="53"/>
      <c r="UPU6" s="53"/>
      <c r="UPV6" s="53"/>
      <c r="UPW6" s="53"/>
      <c r="UPX6" s="53"/>
      <c r="UPY6" s="53"/>
      <c r="UPZ6" s="53"/>
      <c r="UQA6" s="53"/>
      <c r="UQB6" s="53"/>
      <c r="UQC6" s="53"/>
      <c r="UQD6" s="53"/>
      <c r="UQE6" s="53"/>
      <c r="UQF6" s="53"/>
      <c r="UQG6" s="53"/>
      <c r="UQH6" s="53"/>
      <c r="UQI6" s="53"/>
      <c r="UQJ6" s="53"/>
      <c r="UQK6" s="53"/>
      <c r="UQL6" s="53"/>
      <c r="UQM6" s="53"/>
      <c r="UQN6" s="53"/>
      <c r="UQO6" s="53"/>
      <c r="UQP6" s="53"/>
      <c r="UQQ6" s="53"/>
      <c r="UQR6" s="53"/>
      <c r="UQS6" s="53"/>
      <c r="UQT6" s="53"/>
      <c r="UQU6" s="53"/>
      <c r="UQV6" s="53"/>
      <c r="UQW6" s="53"/>
      <c r="UQX6" s="53"/>
      <c r="UQY6" s="53"/>
      <c r="UQZ6" s="53"/>
      <c r="URA6" s="53"/>
      <c r="URB6" s="53"/>
      <c r="URC6" s="53"/>
      <c r="URD6" s="53"/>
      <c r="URE6" s="53"/>
      <c r="URF6" s="53"/>
      <c r="URG6" s="53"/>
      <c r="URH6" s="53"/>
      <c r="URI6" s="53"/>
      <c r="URJ6" s="53"/>
      <c r="URK6" s="53"/>
      <c r="URL6" s="53"/>
      <c r="URM6" s="53"/>
      <c r="URN6" s="53"/>
      <c r="URO6" s="53"/>
      <c r="URP6" s="53"/>
      <c r="URQ6" s="53"/>
      <c r="URR6" s="53"/>
      <c r="URS6" s="53"/>
      <c r="URT6" s="53"/>
      <c r="URU6" s="53"/>
      <c r="URV6" s="53"/>
      <c r="URW6" s="53"/>
      <c r="URX6" s="53"/>
      <c r="URY6" s="53"/>
      <c r="URZ6" s="53"/>
      <c r="USA6" s="53"/>
      <c r="USB6" s="53"/>
      <c r="USC6" s="53"/>
      <c r="USD6" s="53"/>
      <c r="USE6" s="53"/>
      <c r="USF6" s="53"/>
      <c r="USG6" s="53"/>
      <c r="USH6" s="53"/>
      <c r="USI6" s="53"/>
      <c r="USJ6" s="53"/>
      <c r="USK6" s="53"/>
      <c r="USL6" s="53"/>
      <c r="USM6" s="53"/>
      <c r="USN6" s="53"/>
      <c r="USO6" s="53"/>
      <c r="USP6" s="53"/>
      <c r="USQ6" s="53"/>
      <c r="USR6" s="53"/>
      <c r="USS6" s="53"/>
      <c r="UST6" s="53"/>
      <c r="USU6" s="53"/>
      <c r="USV6" s="53"/>
      <c r="USW6" s="53"/>
      <c r="USX6" s="53"/>
      <c r="USY6" s="53"/>
      <c r="USZ6" s="53"/>
      <c r="UTA6" s="53"/>
      <c r="UTB6" s="53"/>
      <c r="UTC6" s="53"/>
      <c r="UTD6" s="53"/>
      <c r="UTE6" s="53"/>
      <c r="UTF6" s="53"/>
      <c r="UTG6" s="53"/>
      <c r="UTH6" s="53"/>
      <c r="UTI6" s="53"/>
      <c r="UTJ6" s="53"/>
      <c r="UTK6" s="53"/>
      <c r="UTL6" s="53"/>
      <c r="UTM6" s="53"/>
      <c r="UTN6" s="53"/>
      <c r="UTO6" s="53"/>
      <c r="UTP6" s="53"/>
      <c r="UTQ6" s="53"/>
      <c r="UTR6" s="53"/>
      <c r="UTS6" s="53"/>
      <c r="UTT6" s="53"/>
      <c r="UTU6" s="53"/>
      <c r="UTV6" s="53"/>
      <c r="UTW6" s="53"/>
      <c r="UTX6" s="53"/>
      <c r="UTY6" s="53"/>
      <c r="UTZ6" s="53"/>
      <c r="UUA6" s="53"/>
      <c r="UUB6" s="53"/>
      <c r="UUC6" s="53"/>
      <c r="UUD6" s="53"/>
      <c r="UUE6" s="53"/>
      <c r="UUF6" s="53"/>
      <c r="UUG6" s="53"/>
      <c r="UUH6" s="53"/>
      <c r="UUI6" s="53"/>
      <c r="UUJ6" s="53"/>
      <c r="UUK6" s="53"/>
      <c r="UUL6" s="53"/>
      <c r="UUM6" s="53"/>
      <c r="UUN6" s="53"/>
      <c r="UUO6" s="53"/>
      <c r="UUP6" s="53"/>
      <c r="UUQ6" s="53"/>
      <c r="UUR6" s="53"/>
      <c r="UUS6" s="53"/>
      <c r="UUT6" s="53"/>
      <c r="UUU6" s="53"/>
      <c r="UUV6" s="53"/>
      <c r="UUW6" s="53"/>
      <c r="UUX6" s="53"/>
      <c r="UUY6" s="53"/>
      <c r="UUZ6" s="53"/>
      <c r="UVA6" s="53"/>
      <c r="UVB6" s="53"/>
      <c r="UVC6" s="53"/>
      <c r="UVD6" s="53"/>
      <c r="UVE6" s="53"/>
      <c r="UVF6" s="53"/>
      <c r="UVG6" s="53"/>
      <c r="UVH6" s="53"/>
      <c r="UVI6" s="53"/>
      <c r="UVJ6" s="53"/>
      <c r="UVK6" s="53"/>
      <c r="UVL6" s="53"/>
      <c r="UVM6" s="53"/>
      <c r="UVN6" s="53"/>
      <c r="UVO6" s="53"/>
      <c r="UVP6" s="53"/>
      <c r="UVQ6" s="53"/>
      <c r="UVR6" s="53"/>
      <c r="UVS6" s="53"/>
      <c r="UVT6" s="53"/>
      <c r="UVU6" s="53"/>
      <c r="UVV6" s="53"/>
      <c r="UVW6" s="53"/>
      <c r="UVX6" s="53"/>
      <c r="UVY6" s="53"/>
      <c r="UVZ6" s="53"/>
      <c r="UWA6" s="53"/>
      <c r="UWB6" s="53"/>
      <c r="UWC6" s="53"/>
      <c r="UWD6" s="53"/>
      <c r="UWE6" s="53"/>
      <c r="UWF6" s="53"/>
      <c r="UWG6" s="53"/>
      <c r="UWH6" s="53"/>
      <c r="UWI6" s="53"/>
      <c r="UWJ6" s="53"/>
      <c r="UWK6" s="53"/>
      <c r="UWL6" s="53"/>
      <c r="UWM6" s="53"/>
      <c r="UWN6" s="53"/>
      <c r="UWO6" s="53"/>
      <c r="UWP6" s="53"/>
      <c r="UWQ6" s="53"/>
      <c r="UWR6" s="53"/>
      <c r="UWS6" s="53"/>
      <c r="UWT6" s="53"/>
      <c r="UWU6" s="53"/>
      <c r="UWV6" s="53"/>
      <c r="UWW6" s="53"/>
      <c r="UWX6" s="53"/>
      <c r="UWY6" s="53"/>
      <c r="UWZ6" s="53"/>
      <c r="UXA6" s="53"/>
      <c r="UXB6" s="53"/>
      <c r="UXC6" s="53"/>
      <c r="UXD6" s="53"/>
      <c r="UXE6" s="53"/>
      <c r="UXF6" s="53"/>
      <c r="UXG6" s="53"/>
      <c r="UXH6" s="53"/>
      <c r="UXI6" s="53"/>
      <c r="UXJ6" s="53"/>
      <c r="UXK6" s="53"/>
      <c r="UXL6" s="53"/>
      <c r="UXM6" s="53"/>
      <c r="UXN6" s="53"/>
      <c r="UXO6" s="53"/>
      <c r="UXP6" s="53"/>
      <c r="UXQ6" s="53"/>
      <c r="UXR6" s="53"/>
      <c r="UXS6" s="53"/>
      <c r="UXT6" s="53"/>
      <c r="UXU6" s="53"/>
      <c r="UXV6" s="53"/>
      <c r="UXW6" s="53"/>
      <c r="UXX6" s="53"/>
      <c r="UXY6" s="53"/>
      <c r="UXZ6" s="53"/>
      <c r="UYA6" s="53"/>
      <c r="UYB6" s="53"/>
      <c r="UYC6" s="53"/>
      <c r="UYD6" s="53"/>
      <c r="UYE6" s="53"/>
      <c r="UYF6" s="53"/>
      <c r="UYG6" s="53"/>
      <c r="UYH6" s="53"/>
      <c r="UYI6" s="53"/>
      <c r="UYJ6" s="53"/>
      <c r="UYK6" s="53"/>
      <c r="UYL6" s="53"/>
      <c r="UYM6" s="53"/>
      <c r="UYN6" s="53"/>
      <c r="UYO6" s="53"/>
      <c r="UYP6" s="53"/>
      <c r="UYQ6" s="53"/>
      <c r="UYR6" s="53"/>
      <c r="UYS6" s="53"/>
      <c r="UYT6" s="53"/>
      <c r="UYU6" s="53"/>
      <c r="UYV6" s="53"/>
      <c r="UYW6" s="53"/>
      <c r="UYX6" s="53"/>
      <c r="UYY6" s="53"/>
      <c r="UYZ6" s="53"/>
      <c r="UZA6" s="53"/>
      <c r="UZB6" s="53"/>
      <c r="UZC6" s="53"/>
      <c r="UZD6" s="53"/>
      <c r="UZE6" s="53"/>
      <c r="UZF6" s="53"/>
      <c r="UZG6" s="53"/>
      <c r="UZH6" s="53"/>
      <c r="UZI6" s="53"/>
      <c r="UZJ6" s="53"/>
      <c r="UZK6" s="53"/>
      <c r="UZL6" s="53"/>
      <c r="UZM6" s="53"/>
      <c r="UZN6" s="53"/>
      <c r="UZO6" s="53"/>
      <c r="UZP6" s="53"/>
      <c r="UZQ6" s="53"/>
      <c r="UZR6" s="53"/>
      <c r="UZS6" s="53"/>
      <c r="UZT6" s="53"/>
      <c r="UZU6" s="53"/>
      <c r="UZV6" s="53"/>
      <c r="UZW6" s="53"/>
      <c r="UZX6" s="53"/>
      <c r="UZY6" s="53"/>
      <c r="UZZ6" s="53"/>
      <c r="VAA6" s="53"/>
      <c r="VAB6" s="53"/>
      <c r="VAC6" s="53"/>
      <c r="VAD6" s="53"/>
      <c r="VAE6" s="53"/>
      <c r="VAF6" s="53"/>
      <c r="VAG6" s="53"/>
      <c r="VAH6" s="53"/>
      <c r="VAI6" s="53"/>
      <c r="VAJ6" s="53"/>
      <c r="VAK6" s="53"/>
      <c r="VAL6" s="53"/>
      <c r="VAM6" s="53"/>
      <c r="VAN6" s="53"/>
      <c r="VAO6" s="53"/>
      <c r="VAP6" s="53"/>
      <c r="VAQ6" s="53"/>
      <c r="VAR6" s="53"/>
      <c r="VAS6" s="53"/>
      <c r="VAT6" s="53"/>
      <c r="VAU6" s="53"/>
      <c r="VAV6" s="53"/>
      <c r="VAW6" s="53"/>
      <c r="VAX6" s="53"/>
      <c r="VAY6" s="53"/>
      <c r="VAZ6" s="53"/>
      <c r="VBA6" s="53"/>
      <c r="VBB6" s="53"/>
      <c r="VBC6" s="53"/>
      <c r="VBD6" s="53"/>
      <c r="VBE6" s="53"/>
      <c r="VBF6" s="53"/>
      <c r="VBG6" s="53"/>
      <c r="VBH6" s="53"/>
      <c r="VBI6" s="53"/>
      <c r="VBJ6" s="53"/>
      <c r="VBK6" s="53"/>
      <c r="VBL6" s="53"/>
      <c r="VBM6" s="53"/>
      <c r="VBN6" s="53"/>
      <c r="VBO6" s="53"/>
      <c r="VBP6" s="53"/>
      <c r="VBQ6" s="53"/>
      <c r="VBR6" s="53"/>
      <c r="VBS6" s="53"/>
      <c r="VBT6" s="53"/>
      <c r="VBU6" s="53"/>
      <c r="VBV6" s="53"/>
      <c r="VBW6" s="53"/>
      <c r="VBX6" s="53"/>
      <c r="VBY6" s="53"/>
      <c r="VBZ6" s="53"/>
      <c r="VCA6" s="53"/>
      <c r="VCB6" s="53"/>
      <c r="VCC6" s="53"/>
      <c r="VCD6" s="53"/>
      <c r="VCE6" s="53"/>
      <c r="VCF6" s="53"/>
      <c r="VCG6" s="53"/>
      <c r="VCH6" s="53"/>
      <c r="VCI6" s="53"/>
      <c r="VCJ6" s="53"/>
      <c r="VCK6" s="53"/>
      <c r="VCL6" s="53"/>
      <c r="VCM6" s="53"/>
      <c r="VCN6" s="53"/>
      <c r="VCO6" s="53"/>
      <c r="VCP6" s="53"/>
      <c r="VCQ6" s="53"/>
      <c r="VCR6" s="53"/>
      <c r="VCS6" s="53"/>
      <c r="VCT6" s="53"/>
      <c r="VCU6" s="53"/>
      <c r="VCV6" s="53"/>
      <c r="VCW6" s="53"/>
      <c r="VCX6" s="53"/>
      <c r="VCY6" s="53"/>
      <c r="VCZ6" s="53"/>
      <c r="VDA6" s="53"/>
      <c r="VDB6" s="53"/>
      <c r="VDC6" s="53"/>
      <c r="VDD6" s="53"/>
      <c r="VDE6" s="53"/>
      <c r="VDF6" s="53"/>
      <c r="VDG6" s="53"/>
      <c r="VDH6" s="53"/>
      <c r="VDI6" s="53"/>
      <c r="VDJ6" s="53"/>
      <c r="VDK6" s="53"/>
      <c r="VDL6" s="53"/>
      <c r="VDM6" s="53"/>
      <c r="VDN6" s="53"/>
      <c r="VDO6" s="53"/>
      <c r="VDP6" s="53"/>
      <c r="VDQ6" s="53"/>
      <c r="VDR6" s="53"/>
      <c r="VDS6" s="53"/>
      <c r="VDT6" s="53"/>
      <c r="VDU6" s="53"/>
      <c r="VDV6" s="53"/>
      <c r="VDW6" s="53"/>
      <c r="VDX6" s="53"/>
      <c r="VDY6" s="53"/>
      <c r="VDZ6" s="53"/>
      <c r="VEA6" s="53"/>
      <c r="VEB6" s="53"/>
      <c r="VEC6" s="53"/>
      <c r="VED6" s="53"/>
      <c r="VEE6" s="53"/>
      <c r="VEF6" s="53"/>
      <c r="VEG6" s="53"/>
      <c r="VEH6" s="53"/>
      <c r="VEI6" s="53"/>
      <c r="VEJ6" s="53"/>
      <c r="VEK6" s="53"/>
      <c r="VEL6" s="53"/>
      <c r="VEM6" s="53"/>
      <c r="VEN6" s="53"/>
      <c r="VEO6" s="53"/>
      <c r="VEP6" s="53"/>
      <c r="VEQ6" s="53"/>
      <c r="VER6" s="53"/>
      <c r="VES6" s="53"/>
      <c r="VET6" s="53"/>
      <c r="VEU6" s="53"/>
      <c r="VEV6" s="53"/>
      <c r="VEW6" s="53"/>
      <c r="VEX6" s="53"/>
      <c r="VEY6" s="53"/>
      <c r="VEZ6" s="53"/>
      <c r="VFA6" s="53"/>
      <c r="VFB6" s="53"/>
      <c r="VFC6" s="53"/>
      <c r="VFD6" s="53"/>
      <c r="VFE6" s="53"/>
      <c r="VFF6" s="53"/>
      <c r="VFG6" s="53"/>
      <c r="VFH6" s="53"/>
      <c r="VFI6" s="53"/>
      <c r="VFJ6" s="53"/>
      <c r="VFK6" s="53"/>
      <c r="VFL6" s="53"/>
      <c r="VFM6" s="53"/>
      <c r="VFN6" s="53"/>
      <c r="VFO6" s="53"/>
      <c r="VFP6" s="53"/>
      <c r="VFQ6" s="53"/>
      <c r="VFR6" s="53"/>
      <c r="VFS6" s="53"/>
      <c r="VFT6" s="53"/>
      <c r="VFU6" s="53"/>
      <c r="VFV6" s="53"/>
      <c r="VFW6" s="53"/>
      <c r="VFX6" s="53"/>
      <c r="VFY6" s="53"/>
      <c r="VFZ6" s="53"/>
      <c r="VGA6" s="53"/>
      <c r="VGB6" s="53"/>
      <c r="VGC6" s="53"/>
      <c r="VGD6" s="53"/>
      <c r="VGE6" s="53"/>
      <c r="VGF6" s="53"/>
      <c r="VGG6" s="53"/>
      <c r="VGH6" s="53"/>
      <c r="VGI6" s="53"/>
      <c r="VGJ6" s="53"/>
      <c r="VGK6" s="53"/>
      <c r="VGL6" s="53"/>
      <c r="VGM6" s="53"/>
      <c r="VGN6" s="53"/>
      <c r="VGO6" s="53"/>
      <c r="VGP6" s="53"/>
      <c r="VGQ6" s="53"/>
      <c r="VGR6" s="53"/>
      <c r="VGS6" s="53"/>
      <c r="VGT6" s="53"/>
      <c r="VGU6" s="53"/>
      <c r="VGV6" s="53"/>
      <c r="VGW6" s="53"/>
      <c r="VGX6" s="53"/>
      <c r="VGY6" s="53"/>
      <c r="VGZ6" s="53"/>
      <c r="VHA6" s="53"/>
      <c r="VHB6" s="53"/>
      <c r="VHC6" s="53"/>
      <c r="VHD6" s="53"/>
      <c r="VHE6" s="53"/>
      <c r="VHF6" s="53"/>
      <c r="VHG6" s="53"/>
      <c r="VHH6" s="53"/>
      <c r="VHI6" s="53"/>
      <c r="VHJ6" s="53"/>
      <c r="VHK6" s="53"/>
      <c r="VHL6" s="53"/>
      <c r="VHM6" s="53"/>
      <c r="VHN6" s="53"/>
      <c r="VHO6" s="53"/>
      <c r="VHP6" s="53"/>
      <c r="VHQ6" s="53"/>
      <c r="VHR6" s="53"/>
      <c r="VHS6" s="53"/>
      <c r="VHT6" s="53"/>
      <c r="VHU6" s="53"/>
      <c r="VHV6" s="53"/>
      <c r="VHW6" s="53"/>
      <c r="VHX6" s="53"/>
      <c r="VHY6" s="53"/>
      <c r="VHZ6" s="53"/>
      <c r="VIA6" s="53"/>
      <c r="VIB6" s="53"/>
      <c r="VIC6" s="53"/>
      <c r="VID6" s="53"/>
      <c r="VIE6" s="53"/>
      <c r="VIF6" s="53"/>
      <c r="VIG6" s="53"/>
      <c r="VIH6" s="53"/>
      <c r="VII6" s="53"/>
      <c r="VIJ6" s="53"/>
      <c r="VIK6" s="53"/>
      <c r="VIL6" s="53"/>
      <c r="VIM6" s="53"/>
      <c r="VIN6" s="53"/>
      <c r="VIO6" s="53"/>
      <c r="VIP6" s="53"/>
      <c r="VIQ6" s="53"/>
      <c r="VIR6" s="53"/>
      <c r="VIS6" s="53"/>
      <c r="VIT6" s="53"/>
      <c r="VIU6" s="53"/>
      <c r="VIV6" s="53"/>
      <c r="VIW6" s="53"/>
      <c r="VIX6" s="53"/>
      <c r="VIY6" s="53"/>
      <c r="VIZ6" s="53"/>
      <c r="VJA6" s="53"/>
      <c r="VJB6" s="53"/>
      <c r="VJC6" s="53"/>
      <c r="VJD6" s="53"/>
      <c r="VJE6" s="53"/>
      <c r="VJF6" s="53"/>
      <c r="VJG6" s="53"/>
      <c r="VJH6" s="53"/>
      <c r="VJI6" s="53"/>
      <c r="VJJ6" s="53"/>
      <c r="VJK6" s="53"/>
      <c r="VJL6" s="53"/>
      <c r="VJM6" s="53"/>
      <c r="VJN6" s="53"/>
      <c r="VJO6" s="53"/>
      <c r="VJP6" s="53"/>
      <c r="VJQ6" s="53"/>
      <c r="VJR6" s="53"/>
      <c r="VJS6" s="53"/>
      <c r="VJT6" s="53"/>
      <c r="VJU6" s="53"/>
      <c r="VJV6" s="53"/>
      <c r="VJW6" s="53"/>
      <c r="VJX6" s="53"/>
      <c r="VJY6" s="53"/>
      <c r="VJZ6" s="53"/>
      <c r="VKA6" s="53"/>
      <c r="VKB6" s="53"/>
      <c r="VKC6" s="53"/>
      <c r="VKD6" s="53"/>
      <c r="VKE6" s="53"/>
      <c r="VKF6" s="53"/>
      <c r="VKG6" s="53"/>
      <c r="VKH6" s="53"/>
      <c r="VKI6" s="53"/>
      <c r="VKJ6" s="53"/>
      <c r="VKK6" s="53"/>
      <c r="VKL6" s="53"/>
      <c r="VKM6" s="53"/>
      <c r="VKN6" s="53"/>
      <c r="VKO6" s="53"/>
      <c r="VKP6" s="53"/>
      <c r="VKQ6" s="53"/>
      <c r="VKR6" s="53"/>
      <c r="VKS6" s="53"/>
      <c r="VKT6" s="53"/>
      <c r="VKU6" s="53"/>
      <c r="VKV6" s="53"/>
      <c r="VKW6" s="53"/>
      <c r="VKX6" s="53"/>
      <c r="VKY6" s="53"/>
      <c r="VKZ6" s="53"/>
      <c r="VLA6" s="53"/>
      <c r="VLB6" s="53"/>
      <c r="VLC6" s="53"/>
      <c r="VLD6" s="53"/>
      <c r="VLE6" s="53"/>
      <c r="VLF6" s="53"/>
      <c r="VLG6" s="53"/>
      <c r="VLH6" s="53"/>
      <c r="VLI6" s="53"/>
      <c r="VLJ6" s="53"/>
      <c r="VLK6" s="53"/>
      <c r="VLL6" s="53"/>
      <c r="VLM6" s="53"/>
      <c r="VLN6" s="53"/>
      <c r="VLO6" s="53"/>
      <c r="VLP6" s="53"/>
      <c r="VLQ6" s="53"/>
      <c r="VLR6" s="53"/>
      <c r="VLS6" s="53"/>
      <c r="VLT6" s="53"/>
      <c r="VLU6" s="53"/>
      <c r="VLV6" s="53"/>
      <c r="VLW6" s="53"/>
      <c r="VLX6" s="53"/>
      <c r="VLY6" s="53"/>
      <c r="VLZ6" s="53"/>
      <c r="VMA6" s="53"/>
      <c r="VMB6" s="53"/>
      <c r="VMC6" s="53"/>
      <c r="VMD6" s="53"/>
      <c r="VME6" s="53"/>
      <c r="VMF6" s="53"/>
      <c r="VMG6" s="53"/>
      <c r="VMH6" s="53"/>
      <c r="VMI6" s="53"/>
      <c r="VMJ6" s="53"/>
      <c r="VMK6" s="53"/>
      <c r="VML6" s="53"/>
      <c r="VMM6" s="53"/>
      <c r="VMN6" s="53"/>
      <c r="VMO6" s="53"/>
      <c r="VMP6" s="53"/>
      <c r="VMQ6" s="53"/>
      <c r="VMR6" s="53"/>
      <c r="VMS6" s="53"/>
      <c r="VMT6" s="53"/>
      <c r="VMU6" s="53"/>
      <c r="VMV6" s="53"/>
      <c r="VMW6" s="53"/>
      <c r="VMX6" s="53"/>
      <c r="VMY6" s="53"/>
      <c r="VMZ6" s="53"/>
      <c r="VNA6" s="53"/>
      <c r="VNB6" s="53"/>
      <c r="VNC6" s="53"/>
      <c r="VND6" s="53"/>
      <c r="VNE6" s="53"/>
      <c r="VNF6" s="53"/>
      <c r="VNG6" s="53"/>
      <c r="VNH6" s="53"/>
      <c r="VNI6" s="53"/>
      <c r="VNJ6" s="53"/>
      <c r="VNK6" s="53"/>
      <c r="VNL6" s="53"/>
      <c r="VNM6" s="53"/>
      <c r="VNN6" s="53"/>
      <c r="VNO6" s="53"/>
      <c r="VNP6" s="53"/>
      <c r="VNQ6" s="53"/>
      <c r="VNR6" s="53"/>
      <c r="VNS6" s="53"/>
      <c r="VNT6" s="53"/>
      <c r="VNU6" s="53"/>
      <c r="VNV6" s="53"/>
      <c r="VNW6" s="53"/>
      <c r="VNX6" s="53"/>
      <c r="VNY6" s="53"/>
      <c r="VNZ6" s="53"/>
      <c r="VOA6" s="53"/>
      <c r="VOB6" s="53"/>
      <c r="VOC6" s="53"/>
      <c r="VOD6" s="53"/>
      <c r="VOE6" s="53"/>
      <c r="VOF6" s="53"/>
      <c r="VOG6" s="53"/>
      <c r="VOH6" s="53"/>
      <c r="VOI6" s="53"/>
      <c r="VOJ6" s="53"/>
      <c r="VOK6" s="53"/>
      <c r="VOL6" s="53"/>
      <c r="VOM6" s="53"/>
      <c r="VON6" s="53"/>
      <c r="VOO6" s="53"/>
      <c r="VOP6" s="53"/>
      <c r="VOQ6" s="53"/>
      <c r="VOR6" s="53"/>
      <c r="VOS6" s="53"/>
      <c r="VOT6" s="53"/>
      <c r="VOU6" s="53"/>
      <c r="VOV6" s="53"/>
      <c r="VOW6" s="53"/>
      <c r="VOX6" s="53"/>
      <c r="VOY6" s="53"/>
      <c r="VOZ6" s="53"/>
      <c r="VPA6" s="53"/>
      <c r="VPB6" s="53"/>
      <c r="VPC6" s="53"/>
      <c r="VPD6" s="53"/>
      <c r="VPE6" s="53"/>
      <c r="VPF6" s="53"/>
      <c r="VPG6" s="53"/>
      <c r="VPH6" s="53"/>
      <c r="VPI6" s="53"/>
      <c r="VPJ6" s="53"/>
      <c r="VPK6" s="53"/>
      <c r="VPL6" s="53"/>
      <c r="VPM6" s="53"/>
      <c r="VPN6" s="53"/>
      <c r="VPO6" s="53"/>
      <c r="VPP6" s="53"/>
      <c r="VPQ6" s="53"/>
      <c r="VPR6" s="53"/>
      <c r="VPS6" s="53"/>
      <c r="VPT6" s="53"/>
      <c r="VPU6" s="53"/>
      <c r="VPV6" s="53"/>
      <c r="VPW6" s="53"/>
      <c r="VPX6" s="53"/>
      <c r="VPY6" s="53"/>
      <c r="VPZ6" s="53"/>
      <c r="VQA6" s="53"/>
      <c r="VQB6" s="53"/>
      <c r="VQC6" s="53"/>
      <c r="VQD6" s="53"/>
      <c r="VQE6" s="53"/>
      <c r="VQF6" s="53"/>
      <c r="VQG6" s="53"/>
      <c r="VQH6" s="53"/>
      <c r="VQI6" s="53"/>
      <c r="VQJ6" s="53"/>
      <c r="VQK6" s="53"/>
      <c r="VQL6" s="53"/>
      <c r="VQM6" s="53"/>
      <c r="VQN6" s="53"/>
      <c r="VQO6" s="53"/>
      <c r="VQP6" s="53"/>
      <c r="VQQ6" s="53"/>
      <c r="VQR6" s="53"/>
      <c r="VQS6" s="53"/>
      <c r="VQT6" s="53"/>
      <c r="VQU6" s="53"/>
      <c r="VQV6" s="53"/>
      <c r="VQW6" s="53"/>
      <c r="VQX6" s="53"/>
      <c r="VQY6" s="53"/>
      <c r="VQZ6" s="53"/>
      <c r="VRA6" s="53"/>
      <c r="VRB6" s="53"/>
      <c r="VRC6" s="53"/>
      <c r="VRD6" s="53"/>
      <c r="VRE6" s="53"/>
      <c r="VRF6" s="53"/>
      <c r="VRG6" s="53"/>
      <c r="VRH6" s="53"/>
      <c r="VRI6" s="53"/>
      <c r="VRJ6" s="53"/>
      <c r="VRK6" s="53"/>
      <c r="VRL6" s="53"/>
      <c r="VRM6" s="53"/>
      <c r="VRN6" s="53"/>
      <c r="VRO6" s="53"/>
      <c r="VRP6" s="53"/>
      <c r="VRQ6" s="53"/>
      <c r="VRR6" s="53"/>
      <c r="VRS6" s="53"/>
      <c r="VRT6" s="53"/>
      <c r="VRU6" s="53"/>
      <c r="VRV6" s="53"/>
      <c r="VRW6" s="53"/>
      <c r="VRX6" s="53"/>
      <c r="VRY6" s="53"/>
      <c r="VRZ6" s="53"/>
      <c r="VSA6" s="53"/>
      <c r="VSB6" s="53"/>
      <c r="VSC6" s="53"/>
      <c r="VSD6" s="53"/>
      <c r="VSE6" s="53"/>
      <c r="VSF6" s="53"/>
      <c r="VSG6" s="53"/>
      <c r="VSH6" s="53"/>
      <c r="VSI6" s="53"/>
      <c r="VSJ6" s="53"/>
      <c r="VSK6" s="53"/>
      <c r="VSL6" s="53"/>
      <c r="VSM6" s="53"/>
      <c r="VSN6" s="53"/>
      <c r="VSO6" s="53"/>
      <c r="VSP6" s="53"/>
      <c r="VSQ6" s="53"/>
      <c r="VSR6" s="53"/>
      <c r="VSS6" s="53"/>
      <c r="VST6" s="53"/>
      <c r="VSU6" s="53"/>
      <c r="VSV6" s="53"/>
      <c r="VSW6" s="53"/>
      <c r="VSX6" s="53"/>
      <c r="VSY6" s="53"/>
      <c r="VSZ6" s="53"/>
      <c r="VTA6" s="53"/>
      <c r="VTB6" s="53"/>
      <c r="VTC6" s="53"/>
      <c r="VTD6" s="53"/>
      <c r="VTE6" s="53"/>
      <c r="VTF6" s="53"/>
      <c r="VTG6" s="53"/>
      <c r="VTH6" s="53"/>
      <c r="VTI6" s="53"/>
      <c r="VTJ6" s="53"/>
      <c r="VTK6" s="53"/>
      <c r="VTL6" s="53"/>
      <c r="VTM6" s="53"/>
      <c r="VTN6" s="53"/>
      <c r="VTO6" s="53"/>
      <c r="VTP6" s="53"/>
      <c r="VTQ6" s="53"/>
      <c r="VTR6" s="53"/>
      <c r="VTS6" s="53"/>
      <c r="VTT6" s="53"/>
      <c r="VTU6" s="53"/>
      <c r="VTV6" s="53"/>
      <c r="VTW6" s="53"/>
      <c r="VTX6" s="53"/>
      <c r="VTY6" s="53"/>
      <c r="VTZ6" s="53"/>
      <c r="VUA6" s="53"/>
      <c r="VUB6" s="53"/>
      <c r="VUC6" s="53"/>
      <c r="VUD6" s="53"/>
      <c r="VUE6" s="53"/>
      <c r="VUF6" s="53"/>
      <c r="VUG6" s="53"/>
      <c r="VUH6" s="53"/>
      <c r="VUI6" s="53"/>
      <c r="VUJ6" s="53"/>
      <c r="VUK6" s="53"/>
      <c r="VUL6" s="53"/>
      <c r="VUM6" s="53"/>
      <c r="VUN6" s="53"/>
      <c r="VUO6" s="53"/>
      <c r="VUP6" s="53"/>
      <c r="VUQ6" s="53"/>
      <c r="VUR6" s="53"/>
      <c r="VUS6" s="53"/>
      <c r="VUT6" s="53"/>
      <c r="VUU6" s="53"/>
      <c r="VUV6" s="53"/>
      <c r="VUW6" s="53"/>
      <c r="VUX6" s="53"/>
      <c r="VUY6" s="53"/>
      <c r="VUZ6" s="53"/>
      <c r="VVA6" s="53"/>
      <c r="VVB6" s="53"/>
      <c r="VVC6" s="53"/>
      <c r="VVD6" s="53"/>
      <c r="VVE6" s="53"/>
      <c r="VVF6" s="53"/>
      <c r="VVG6" s="53"/>
      <c r="VVH6" s="53"/>
      <c r="VVI6" s="53"/>
      <c r="VVJ6" s="53"/>
      <c r="VVK6" s="53"/>
      <c r="VVL6" s="53"/>
      <c r="VVM6" s="53"/>
      <c r="VVN6" s="53"/>
      <c r="VVO6" s="53"/>
      <c r="VVP6" s="53"/>
      <c r="VVQ6" s="53"/>
      <c r="VVR6" s="53"/>
      <c r="VVS6" s="53"/>
      <c r="VVT6" s="53"/>
      <c r="VVU6" s="53"/>
      <c r="VVV6" s="53"/>
      <c r="VVW6" s="53"/>
      <c r="VVX6" s="53"/>
      <c r="VVY6" s="53"/>
      <c r="VVZ6" s="53"/>
      <c r="VWA6" s="53"/>
      <c r="VWB6" s="53"/>
      <c r="VWC6" s="53"/>
      <c r="VWD6" s="53"/>
      <c r="VWE6" s="53"/>
      <c r="VWF6" s="53"/>
      <c r="VWG6" s="53"/>
      <c r="VWH6" s="53"/>
      <c r="VWI6" s="53"/>
      <c r="VWJ6" s="53"/>
      <c r="VWK6" s="53"/>
      <c r="VWL6" s="53"/>
      <c r="VWM6" s="53"/>
      <c r="VWN6" s="53"/>
      <c r="VWO6" s="53"/>
      <c r="VWP6" s="53"/>
      <c r="VWQ6" s="53"/>
      <c r="VWR6" s="53"/>
      <c r="VWS6" s="53"/>
      <c r="VWT6" s="53"/>
      <c r="VWU6" s="53"/>
      <c r="VWV6" s="53"/>
      <c r="VWW6" s="53"/>
      <c r="VWX6" s="53"/>
      <c r="VWY6" s="53"/>
      <c r="VWZ6" s="53"/>
      <c r="VXA6" s="53"/>
      <c r="VXB6" s="53"/>
      <c r="VXC6" s="53"/>
      <c r="VXD6" s="53"/>
      <c r="VXE6" s="53"/>
      <c r="VXF6" s="53"/>
      <c r="VXG6" s="53"/>
      <c r="VXH6" s="53"/>
      <c r="VXI6" s="53"/>
      <c r="VXJ6" s="53"/>
      <c r="VXK6" s="53"/>
      <c r="VXL6" s="53"/>
      <c r="VXM6" s="53"/>
      <c r="VXN6" s="53"/>
      <c r="VXO6" s="53"/>
      <c r="VXP6" s="53"/>
      <c r="VXQ6" s="53"/>
      <c r="VXR6" s="53"/>
      <c r="VXS6" s="53"/>
      <c r="VXT6" s="53"/>
      <c r="VXU6" s="53"/>
      <c r="VXV6" s="53"/>
      <c r="VXW6" s="53"/>
      <c r="VXX6" s="53"/>
      <c r="VXY6" s="53"/>
      <c r="VXZ6" s="53"/>
      <c r="VYA6" s="53"/>
      <c r="VYB6" s="53"/>
      <c r="VYC6" s="53"/>
      <c r="VYD6" s="53"/>
      <c r="VYE6" s="53"/>
      <c r="VYF6" s="53"/>
      <c r="VYG6" s="53"/>
      <c r="VYH6" s="53"/>
      <c r="VYI6" s="53"/>
      <c r="VYJ6" s="53"/>
      <c r="VYK6" s="53"/>
      <c r="VYL6" s="53"/>
      <c r="VYM6" s="53"/>
      <c r="VYN6" s="53"/>
      <c r="VYO6" s="53"/>
      <c r="VYP6" s="53"/>
      <c r="VYQ6" s="53"/>
      <c r="VYR6" s="53"/>
      <c r="VYS6" s="53"/>
      <c r="VYT6" s="53"/>
      <c r="VYU6" s="53"/>
      <c r="VYV6" s="53"/>
      <c r="VYW6" s="53"/>
      <c r="VYX6" s="53"/>
      <c r="VYY6" s="53"/>
      <c r="VYZ6" s="53"/>
      <c r="VZA6" s="53"/>
      <c r="VZB6" s="53"/>
      <c r="VZC6" s="53"/>
      <c r="VZD6" s="53"/>
      <c r="VZE6" s="53"/>
      <c r="VZF6" s="53"/>
      <c r="VZG6" s="53"/>
      <c r="VZH6" s="53"/>
      <c r="VZI6" s="53"/>
      <c r="VZJ6" s="53"/>
      <c r="VZK6" s="53"/>
      <c r="VZL6" s="53"/>
      <c r="VZM6" s="53"/>
      <c r="VZN6" s="53"/>
      <c r="VZO6" s="53"/>
      <c r="VZP6" s="53"/>
      <c r="VZQ6" s="53"/>
      <c r="VZR6" s="53"/>
      <c r="VZS6" s="53"/>
      <c r="VZT6" s="53"/>
      <c r="VZU6" s="53"/>
      <c r="VZV6" s="53"/>
      <c r="VZW6" s="53"/>
      <c r="VZX6" s="53"/>
      <c r="VZY6" s="53"/>
      <c r="VZZ6" s="53"/>
      <c r="WAA6" s="53"/>
      <c r="WAB6" s="53"/>
      <c r="WAC6" s="53"/>
      <c r="WAD6" s="53"/>
      <c r="WAE6" s="53"/>
      <c r="WAF6" s="53"/>
      <c r="WAG6" s="53"/>
      <c r="WAH6" s="53"/>
      <c r="WAI6" s="53"/>
      <c r="WAJ6" s="53"/>
      <c r="WAK6" s="53"/>
      <c r="WAL6" s="53"/>
      <c r="WAM6" s="53"/>
      <c r="WAN6" s="53"/>
      <c r="WAO6" s="53"/>
      <c r="WAP6" s="53"/>
      <c r="WAQ6" s="53"/>
      <c r="WAR6" s="53"/>
      <c r="WAS6" s="53"/>
      <c r="WAT6" s="53"/>
      <c r="WAU6" s="53"/>
      <c r="WAV6" s="53"/>
      <c r="WAW6" s="53"/>
      <c r="WAX6" s="53"/>
      <c r="WAY6" s="53"/>
      <c r="WAZ6" s="53"/>
      <c r="WBA6" s="53"/>
      <c r="WBB6" s="53"/>
      <c r="WBC6" s="53"/>
      <c r="WBD6" s="53"/>
      <c r="WBE6" s="53"/>
      <c r="WBF6" s="53"/>
      <c r="WBG6" s="53"/>
      <c r="WBH6" s="53"/>
      <c r="WBI6" s="53"/>
      <c r="WBJ6" s="53"/>
      <c r="WBK6" s="53"/>
      <c r="WBL6" s="53"/>
      <c r="WBM6" s="53"/>
      <c r="WBN6" s="53"/>
      <c r="WBO6" s="53"/>
      <c r="WBP6" s="53"/>
      <c r="WBQ6" s="53"/>
      <c r="WBR6" s="53"/>
      <c r="WBS6" s="53"/>
      <c r="WBT6" s="53"/>
      <c r="WBU6" s="53"/>
      <c r="WBV6" s="53"/>
      <c r="WBW6" s="53"/>
      <c r="WBX6" s="53"/>
      <c r="WBY6" s="53"/>
      <c r="WBZ6" s="53"/>
      <c r="WCA6" s="53"/>
      <c r="WCB6" s="53"/>
      <c r="WCC6" s="53"/>
      <c r="WCD6" s="53"/>
      <c r="WCE6" s="53"/>
      <c r="WCF6" s="53"/>
      <c r="WCG6" s="53"/>
      <c r="WCH6" s="53"/>
      <c r="WCI6" s="53"/>
      <c r="WCJ6" s="53"/>
      <c r="WCK6" s="53"/>
      <c r="WCL6" s="53"/>
      <c r="WCM6" s="53"/>
      <c r="WCN6" s="53"/>
      <c r="WCO6" s="53"/>
      <c r="WCP6" s="53"/>
      <c r="WCQ6" s="53"/>
      <c r="WCR6" s="53"/>
      <c r="WCS6" s="53"/>
      <c r="WCT6" s="53"/>
      <c r="WCU6" s="53"/>
      <c r="WCV6" s="53"/>
      <c r="WCW6" s="53"/>
      <c r="WCX6" s="53"/>
      <c r="WCY6" s="53"/>
      <c r="WCZ6" s="53"/>
      <c r="WDA6" s="53"/>
      <c r="WDB6" s="53"/>
      <c r="WDC6" s="53"/>
      <c r="WDD6" s="53"/>
      <c r="WDE6" s="53"/>
      <c r="WDF6" s="53"/>
      <c r="WDG6" s="53"/>
      <c r="WDH6" s="53"/>
      <c r="WDI6" s="53"/>
      <c r="WDJ6" s="53"/>
      <c r="WDK6" s="53"/>
      <c r="WDL6" s="53"/>
      <c r="WDM6" s="53"/>
      <c r="WDN6" s="53"/>
      <c r="WDO6" s="53"/>
      <c r="WDP6" s="53"/>
      <c r="WDQ6" s="53"/>
      <c r="WDR6" s="53"/>
      <c r="WDS6" s="53"/>
      <c r="WDT6" s="53"/>
      <c r="WDU6" s="53"/>
      <c r="WDV6" s="53"/>
      <c r="WDW6" s="53"/>
      <c r="WDX6" s="53"/>
      <c r="WDY6" s="53"/>
      <c r="WDZ6" s="53"/>
      <c r="WEA6" s="53"/>
      <c r="WEB6" s="53"/>
      <c r="WEC6" s="53"/>
      <c r="WED6" s="53"/>
      <c r="WEE6" s="53"/>
      <c r="WEF6" s="53"/>
      <c r="WEG6" s="53"/>
      <c r="WEH6" s="53"/>
      <c r="WEI6" s="53"/>
      <c r="WEJ6" s="53"/>
      <c r="WEK6" s="53"/>
      <c r="WEL6" s="53"/>
      <c r="WEM6" s="53"/>
      <c r="WEN6" s="53"/>
      <c r="WEO6" s="53"/>
      <c r="WEP6" s="53"/>
      <c r="WEQ6" s="53"/>
      <c r="WER6" s="53"/>
      <c r="WES6" s="53"/>
      <c r="WET6" s="53"/>
      <c r="WEU6" s="53"/>
      <c r="WEV6" s="53"/>
      <c r="WEW6" s="53"/>
      <c r="WEX6" s="53"/>
      <c r="WEY6" s="53"/>
      <c r="WEZ6" s="53"/>
      <c r="WFA6" s="53"/>
      <c r="WFB6" s="53"/>
      <c r="WFC6" s="53"/>
      <c r="WFD6" s="53"/>
      <c r="WFE6" s="53"/>
      <c r="WFF6" s="53"/>
      <c r="WFG6" s="53"/>
      <c r="WFH6" s="53"/>
      <c r="WFI6" s="53"/>
      <c r="WFJ6" s="53"/>
      <c r="WFK6" s="53"/>
      <c r="WFL6" s="53"/>
      <c r="WFM6" s="53"/>
      <c r="WFN6" s="53"/>
      <c r="WFO6" s="53"/>
      <c r="WFP6" s="53"/>
      <c r="WFQ6" s="53"/>
      <c r="WFR6" s="53"/>
      <c r="WFS6" s="53"/>
      <c r="WFT6" s="53"/>
      <c r="WFU6" s="53"/>
      <c r="WFV6" s="53"/>
      <c r="WFW6" s="53"/>
      <c r="WFX6" s="53"/>
      <c r="WFY6" s="53"/>
      <c r="WFZ6" s="53"/>
      <c r="WGA6" s="53"/>
      <c r="WGB6" s="53"/>
      <c r="WGC6" s="53"/>
      <c r="WGD6" s="53"/>
      <c r="WGE6" s="53"/>
      <c r="WGF6" s="53"/>
      <c r="WGG6" s="53"/>
      <c r="WGH6" s="53"/>
      <c r="WGI6" s="53"/>
      <c r="WGJ6" s="53"/>
      <c r="WGK6" s="53"/>
      <c r="WGL6" s="53"/>
      <c r="WGM6" s="53"/>
      <c r="WGN6" s="53"/>
      <c r="WGO6" s="53"/>
      <c r="WGP6" s="53"/>
      <c r="WGQ6" s="53"/>
      <c r="WGR6" s="53"/>
      <c r="WGS6" s="53"/>
      <c r="WGT6" s="53"/>
      <c r="WGU6" s="53"/>
      <c r="WGV6" s="53"/>
      <c r="WGW6" s="53"/>
      <c r="WGX6" s="53"/>
      <c r="WGY6" s="53"/>
      <c r="WGZ6" s="53"/>
      <c r="WHA6" s="53"/>
      <c r="WHB6" s="53"/>
      <c r="WHC6" s="53"/>
      <c r="WHD6" s="53"/>
      <c r="WHE6" s="53"/>
      <c r="WHF6" s="53"/>
      <c r="WHG6" s="53"/>
      <c r="WHH6" s="53"/>
      <c r="WHI6" s="53"/>
      <c r="WHJ6" s="53"/>
      <c r="WHK6" s="53"/>
      <c r="WHL6" s="53"/>
      <c r="WHM6" s="53"/>
      <c r="WHN6" s="53"/>
      <c r="WHO6" s="53"/>
      <c r="WHP6" s="53"/>
      <c r="WHQ6" s="53"/>
      <c r="WHR6" s="53"/>
      <c r="WHS6" s="53"/>
      <c r="WHT6" s="53"/>
      <c r="WHU6" s="53"/>
      <c r="WHV6" s="53"/>
      <c r="WHW6" s="53"/>
      <c r="WHX6" s="53"/>
      <c r="WHY6" s="53"/>
      <c r="WHZ6" s="53"/>
      <c r="WIA6" s="53"/>
      <c r="WIB6" s="53"/>
      <c r="WIC6" s="53"/>
      <c r="WID6" s="53"/>
      <c r="WIE6" s="53"/>
      <c r="WIF6" s="53"/>
      <c r="WIG6" s="53"/>
      <c r="WIH6" s="53"/>
      <c r="WII6" s="53"/>
      <c r="WIJ6" s="53"/>
      <c r="WIK6" s="53"/>
      <c r="WIL6" s="53"/>
      <c r="WIM6" s="53"/>
      <c r="WIN6" s="53"/>
      <c r="WIO6" s="53"/>
      <c r="WIP6" s="53"/>
      <c r="WIQ6" s="53"/>
      <c r="WIR6" s="53"/>
      <c r="WIS6" s="53"/>
      <c r="WIT6" s="53"/>
      <c r="WIU6" s="53"/>
      <c r="WIV6" s="53"/>
      <c r="WIW6" s="53"/>
      <c r="WIX6" s="53"/>
      <c r="WIY6" s="53"/>
      <c r="WIZ6" s="53"/>
      <c r="WJA6" s="53"/>
      <c r="WJB6" s="53"/>
      <c r="WJC6" s="53"/>
      <c r="WJD6" s="53"/>
      <c r="WJE6" s="53"/>
      <c r="WJF6" s="53"/>
      <c r="WJG6" s="53"/>
      <c r="WJH6" s="53"/>
      <c r="WJI6" s="53"/>
      <c r="WJJ6" s="53"/>
      <c r="WJK6" s="53"/>
      <c r="WJL6" s="53"/>
      <c r="WJM6" s="53"/>
      <c r="WJN6" s="53"/>
      <c r="WJO6" s="53"/>
      <c r="WJP6" s="53"/>
      <c r="WJQ6" s="53"/>
      <c r="WJR6" s="53"/>
      <c r="WJS6" s="53"/>
      <c r="WJT6" s="53"/>
      <c r="WJU6" s="53"/>
      <c r="WJV6" s="53"/>
      <c r="WJW6" s="53"/>
      <c r="WJX6" s="53"/>
      <c r="WJY6" s="53"/>
      <c r="WJZ6" s="53"/>
      <c r="WKA6" s="53"/>
      <c r="WKB6" s="53"/>
      <c r="WKC6" s="53"/>
      <c r="WKD6" s="53"/>
      <c r="WKE6" s="53"/>
      <c r="WKF6" s="53"/>
      <c r="WKG6" s="53"/>
      <c r="WKH6" s="53"/>
      <c r="WKI6" s="53"/>
      <c r="WKJ6" s="53"/>
      <c r="WKK6" s="53"/>
      <c r="WKL6" s="53"/>
      <c r="WKM6" s="53"/>
      <c r="WKN6" s="53"/>
      <c r="WKO6" s="53"/>
      <c r="WKP6" s="53"/>
      <c r="WKQ6" s="53"/>
      <c r="WKR6" s="53"/>
      <c r="WKS6" s="53"/>
      <c r="WKT6" s="53"/>
      <c r="WKU6" s="53"/>
      <c r="WKV6" s="53"/>
      <c r="WKW6" s="53"/>
      <c r="WKX6" s="53"/>
      <c r="WKY6" s="53"/>
      <c r="WKZ6" s="53"/>
      <c r="WLA6" s="53"/>
      <c r="WLB6" s="53"/>
      <c r="WLC6" s="53"/>
      <c r="WLD6" s="53"/>
      <c r="WLE6" s="53"/>
      <c r="WLF6" s="53"/>
      <c r="WLG6" s="53"/>
      <c r="WLH6" s="53"/>
      <c r="WLI6" s="53"/>
      <c r="WLJ6" s="53"/>
      <c r="WLK6" s="53"/>
      <c r="WLL6" s="53"/>
      <c r="WLM6" s="53"/>
      <c r="WLN6" s="53"/>
      <c r="WLO6" s="53"/>
      <c r="WLP6" s="53"/>
      <c r="WLQ6" s="53"/>
      <c r="WLR6" s="53"/>
      <c r="WLS6" s="53"/>
      <c r="WLT6" s="53"/>
      <c r="WLU6" s="53"/>
      <c r="WLV6" s="53"/>
      <c r="WLW6" s="53"/>
      <c r="WLX6" s="53"/>
      <c r="WLY6" s="53"/>
      <c r="WLZ6" s="53"/>
      <c r="WMA6" s="53"/>
      <c r="WMB6" s="53"/>
      <c r="WMC6" s="53"/>
      <c r="WMD6" s="53"/>
      <c r="WME6" s="53"/>
      <c r="WMF6" s="53"/>
      <c r="WMG6" s="53"/>
      <c r="WMH6" s="53"/>
      <c r="WMI6" s="53"/>
      <c r="WMJ6" s="53"/>
      <c r="WMK6" s="53"/>
      <c r="WML6" s="53"/>
      <c r="WMM6" s="53"/>
      <c r="WMN6" s="53"/>
      <c r="WMO6" s="53"/>
      <c r="WMP6" s="53"/>
      <c r="WMQ6" s="53"/>
      <c r="WMR6" s="53"/>
      <c r="WMS6" s="53"/>
      <c r="WMT6" s="53"/>
      <c r="WMU6" s="53"/>
      <c r="WMV6" s="53"/>
      <c r="WMW6" s="53"/>
      <c r="WMX6" s="53"/>
      <c r="WMY6" s="53"/>
      <c r="WMZ6" s="53"/>
      <c r="WNA6" s="53"/>
      <c r="WNB6" s="53"/>
      <c r="WNC6" s="53"/>
      <c r="WND6" s="53"/>
      <c r="WNE6" s="53"/>
      <c r="WNF6" s="53"/>
      <c r="WNG6" s="53"/>
      <c r="WNH6" s="53"/>
      <c r="WNI6" s="53"/>
      <c r="WNJ6" s="53"/>
      <c r="WNK6" s="53"/>
      <c r="WNL6" s="53"/>
      <c r="WNM6" s="53"/>
      <c r="WNN6" s="53"/>
      <c r="WNO6" s="53"/>
      <c r="WNP6" s="53"/>
      <c r="WNQ6" s="53"/>
      <c r="WNR6" s="53"/>
      <c r="WNS6" s="53"/>
      <c r="WNT6" s="53"/>
      <c r="WNU6" s="53"/>
      <c r="WNV6" s="53"/>
      <c r="WNW6" s="53"/>
      <c r="WNX6" s="53"/>
      <c r="WNY6" s="53"/>
      <c r="WNZ6" s="53"/>
      <c r="WOA6" s="53"/>
      <c r="WOB6" s="53"/>
      <c r="WOC6" s="53"/>
      <c r="WOD6" s="53"/>
      <c r="WOE6" s="53"/>
      <c r="WOF6" s="53"/>
      <c r="WOG6" s="53"/>
      <c r="WOH6" s="53"/>
      <c r="WOI6" s="53"/>
      <c r="WOJ6" s="53"/>
      <c r="WOK6" s="53"/>
      <c r="WOL6" s="53"/>
      <c r="WOM6" s="53"/>
      <c r="WON6" s="53"/>
      <c r="WOO6" s="53"/>
      <c r="WOP6" s="53"/>
      <c r="WOQ6" s="53"/>
      <c r="WOR6" s="53"/>
      <c r="WOS6" s="53"/>
      <c r="WOT6" s="53"/>
      <c r="WOU6" s="53"/>
      <c r="WOV6" s="53"/>
      <c r="WOW6" s="53"/>
      <c r="WOX6" s="53"/>
      <c r="WOY6" s="53"/>
      <c r="WOZ6" s="53"/>
      <c r="WPA6" s="53"/>
      <c r="WPB6" s="53"/>
      <c r="WPC6" s="53"/>
      <c r="WPD6" s="53"/>
      <c r="WPE6" s="53"/>
      <c r="WPF6" s="53"/>
      <c r="WPG6" s="53"/>
      <c r="WPH6" s="53"/>
      <c r="WPI6" s="53"/>
      <c r="WPJ6" s="53"/>
      <c r="WPK6" s="53"/>
      <c r="WPL6" s="53"/>
      <c r="WPM6" s="53"/>
      <c r="WPN6" s="53"/>
      <c r="WPO6" s="53"/>
      <c r="WPP6" s="53"/>
      <c r="WPQ6" s="53"/>
      <c r="WPR6" s="53"/>
      <c r="WPS6" s="53"/>
      <c r="WPT6" s="53"/>
      <c r="WPU6" s="53"/>
      <c r="WPV6" s="53"/>
      <c r="WPW6" s="53"/>
      <c r="WPX6" s="53"/>
      <c r="WPY6" s="53"/>
      <c r="WPZ6" s="53"/>
      <c r="WQA6" s="53"/>
      <c r="WQB6" s="53"/>
      <c r="WQC6" s="53"/>
      <c r="WQD6" s="53"/>
      <c r="WQE6" s="53"/>
      <c r="WQF6" s="53"/>
      <c r="WQG6" s="53"/>
      <c r="WQH6" s="53"/>
      <c r="WQI6" s="53"/>
      <c r="WQJ6" s="53"/>
      <c r="WQK6" s="53"/>
      <c r="WQL6" s="53"/>
      <c r="WQM6" s="53"/>
      <c r="WQN6" s="53"/>
      <c r="WQO6" s="53"/>
      <c r="WQP6" s="53"/>
      <c r="WQQ6" s="53"/>
      <c r="WQR6" s="53"/>
      <c r="WQS6" s="53"/>
      <c r="WQT6" s="53"/>
      <c r="WQU6" s="53"/>
      <c r="WQV6" s="53"/>
      <c r="WQW6" s="53"/>
      <c r="WQX6" s="53"/>
      <c r="WQY6" s="53"/>
      <c r="WQZ6" s="53"/>
      <c r="WRA6" s="53"/>
      <c r="WRB6" s="53"/>
      <c r="WRC6" s="53"/>
      <c r="WRD6" s="53"/>
      <c r="WRE6" s="53"/>
      <c r="WRF6" s="53"/>
      <c r="WRG6" s="53"/>
      <c r="WRH6" s="53"/>
      <c r="WRI6" s="53"/>
      <c r="WRJ6" s="53"/>
      <c r="WRK6" s="53"/>
      <c r="WRL6" s="53"/>
      <c r="WRM6" s="53"/>
      <c r="WRN6" s="53"/>
      <c r="WRO6" s="53"/>
      <c r="WRP6" s="53"/>
      <c r="WRQ6" s="53"/>
      <c r="WRR6" s="53"/>
      <c r="WRS6" s="53"/>
      <c r="WRT6" s="53"/>
      <c r="WRU6" s="53"/>
      <c r="WRV6" s="53"/>
      <c r="WRW6" s="53"/>
      <c r="WRX6" s="53"/>
      <c r="WRY6" s="53"/>
      <c r="WRZ6" s="53"/>
      <c r="WSA6" s="53"/>
      <c r="WSB6" s="53"/>
      <c r="WSC6" s="53"/>
      <c r="WSD6" s="53"/>
      <c r="WSE6" s="53"/>
      <c r="WSF6" s="53"/>
      <c r="WSG6" s="53"/>
      <c r="WSH6" s="53"/>
      <c r="WSI6" s="53"/>
      <c r="WSJ6" s="53"/>
      <c r="WSK6" s="53"/>
      <c r="WSL6" s="53"/>
      <c r="WSM6" s="53"/>
      <c r="WSN6" s="53"/>
      <c r="WSO6" s="53"/>
      <c r="WSP6" s="53"/>
      <c r="WSQ6" s="53"/>
      <c r="WSR6" s="53"/>
      <c r="WSS6" s="53"/>
      <c r="WST6" s="53"/>
      <c r="WSU6" s="53"/>
      <c r="WSV6" s="53"/>
      <c r="WSW6" s="53"/>
      <c r="WSX6" s="53"/>
      <c r="WSY6" s="53"/>
      <c r="WSZ6" s="53"/>
      <c r="WTA6" s="53"/>
      <c r="WTB6" s="53"/>
      <c r="WTC6" s="53"/>
      <c r="WTD6" s="53"/>
      <c r="WTE6" s="53"/>
      <c r="WTF6" s="53"/>
      <c r="WTG6" s="53"/>
      <c r="WTH6" s="53"/>
      <c r="WTI6" s="53"/>
      <c r="WTJ6" s="53"/>
      <c r="WTK6" s="53"/>
      <c r="WTL6" s="53"/>
      <c r="WTM6" s="53"/>
      <c r="WTN6" s="53"/>
      <c r="WTO6" s="53"/>
      <c r="WTP6" s="53"/>
      <c r="WTQ6" s="53"/>
      <c r="WTR6" s="53"/>
      <c r="WTS6" s="53"/>
      <c r="WTT6" s="53"/>
      <c r="WTU6" s="53"/>
      <c r="WTV6" s="53"/>
      <c r="WTW6" s="53"/>
      <c r="WTX6" s="53"/>
      <c r="WTY6" s="53"/>
      <c r="WTZ6" s="53"/>
      <c r="WUA6" s="53"/>
      <c r="WUB6" s="53"/>
      <c r="WUC6" s="53"/>
      <c r="WUD6" s="53"/>
      <c r="WUE6" s="53"/>
      <c r="WUF6" s="53"/>
      <c r="WUG6" s="53"/>
      <c r="WUH6" s="53"/>
      <c r="WUI6" s="53"/>
      <c r="WUJ6" s="53"/>
      <c r="WUK6" s="53"/>
      <c r="WUL6" s="53"/>
      <c r="WUM6" s="53"/>
      <c r="WUN6" s="53"/>
      <c r="WUO6" s="53"/>
      <c r="WUP6" s="53"/>
      <c r="WUQ6" s="53"/>
      <c r="WUR6" s="53"/>
      <c r="WUS6" s="53"/>
      <c r="WUT6" s="53"/>
      <c r="WUU6" s="53"/>
      <c r="WUV6" s="53"/>
      <c r="WUW6" s="53"/>
      <c r="WUX6" s="53"/>
      <c r="WUY6" s="53"/>
      <c r="WUZ6" s="53"/>
      <c r="WVA6" s="53"/>
      <c r="WVB6" s="53"/>
      <c r="WVC6" s="53"/>
      <c r="WVD6" s="53"/>
      <c r="WVE6" s="53"/>
      <c r="WVF6" s="53"/>
      <c r="WVG6" s="53"/>
      <c r="WVH6" s="53"/>
      <c r="WVI6" s="53"/>
      <c r="WVJ6" s="53"/>
      <c r="WVK6" s="53"/>
      <c r="WVL6" s="53"/>
      <c r="WVM6" s="53"/>
      <c r="WVN6" s="53"/>
      <c r="WVO6" s="53"/>
      <c r="WVP6" s="53"/>
      <c r="WVQ6" s="53"/>
      <c r="WVR6" s="53"/>
      <c r="WVS6" s="53"/>
      <c r="WVT6" s="53"/>
      <c r="WVU6" s="53"/>
      <c r="WVV6" s="53"/>
      <c r="WVW6" s="53"/>
      <c r="WVX6" s="53"/>
      <c r="WVY6" s="53"/>
      <c r="WVZ6" s="53"/>
      <c r="WWA6" s="53"/>
      <c r="WWB6" s="53"/>
      <c r="WWC6" s="53"/>
      <c r="WWD6" s="53"/>
      <c r="WWE6" s="53"/>
      <c r="WWF6" s="53"/>
      <c r="WWG6" s="53"/>
      <c r="WWH6" s="53"/>
      <c r="WWI6" s="53"/>
      <c r="WWJ6" s="53"/>
      <c r="WWK6" s="53"/>
      <c r="WWL6" s="53"/>
      <c r="WWM6" s="53"/>
      <c r="WWN6" s="53"/>
      <c r="WWO6" s="53"/>
      <c r="WWP6" s="53"/>
      <c r="WWQ6" s="53"/>
      <c r="WWR6" s="53"/>
      <c r="WWS6" s="53"/>
      <c r="WWT6" s="53"/>
      <c r="WWU6" s="53"/>
      <c r="WWV6" s="53"/>
      <c r="WWW6" s="53"/>
      <c r="WWX6" s="53"/>
      <c r="WWY6" s="53"/>
      <c r="WWZ6" s="53"/>
      <c r="WXA6" s="53"/>
      <c r="WXB6" s="53"/>
      <c r="WXC6" s="53"/>
      <c r="WXD6" s="53"/>
      <c r="WXE6" s="53"/>
      <c r="WXF6" s="53"/>
      <c r="WXG6" s="53"/>
      <c r="WXH6" s="53"/>
      <c r="WXI6" s="53"/>
      <c r="WXJ6" s="53"/>
      <c r="WXK6" s="53"/>
      <c r="WXL6" s="53"/>
      <c r="WXM6" s="53"/>
      <c r="WXN6" s="53"/>
      <c r="WXO6" s="53"/>
      <c r="WXP6" s="53"/>
      <c r="WXQ6" s="53"/>
      <c r="WXR6" s="53"/>
      <c r="WXS6" s="53"/>
      <c r="WXT6" s="53"/>
      <c r="WXU6" s="53"/>
      <c r="WXV6" s="53"/>
      <c r="WXW6" s="53"/>
      <c r="WXX6" s="53"/>
      <c r="WXY6" s="53"/>
      <c r="WXZ6" s="53"/>
      <c r="WYA6" s="53"/>
      <c r="WYB6" s="53"/>
      <c r="WYC6" s="53"/>
      <c r="WYD6" s="53"/>
      <c r="WYE6" s="53"/>
      <c r="WYF6" s="53"/>
      <c r="WYG6" s="53"/>
      <c r="WYH6" s="53"/>
      <c r="WYI6" s="53"/>
      <c r="WYJ6" s="53"/>
      <c r="WYK6" s="53"/>
      <c r="WYL6" s="53"/>
      <c r="WYM6" s="53"/>
      <c r="WYN6" s="53"/>
      <c r="WYO6" s="53"/>
      <c r="WYP6" s="53"/>
      <c r="WYQ6" s="53"/>
      <c r="WYR6" s="53"/>
      <c r="WYS6" s="53"/>
      <c r="WYT6" s="53"/>
      <c r="WYU6" s="53"/>
      <c r="WYV6" s="53"/>
      <c r="WYW6" s="53"/>
      <c r="WYX6" s="53"/>
      <c r="WYY6" s="53"/>
      <c r="WYZ6" s="53"/>
      <c r="WZA6" s="53"/>
      <c r="WZB6" s="53"/>
      <c r="WZC6" s="53"/>
      <c r="WZD6" s="53"/>
      <c r="WZE6" s="53"/>
      <c r="WZF6" s="53"/>
      <c r="WZG6" s="53"/>
      <c r="WZH6" s="53"/>
      <c r="WZI6" s="53"/>
      <c r="WZJ6" s="53"/>
      <c r="WZK6" s="53"/>
      <c r="WZL6" s="53"/>
      <c r="WZM6" s="53"/>
      <c r="WZN6" s="53"/>
      <c r="WZO6" s="53"/>
      <c r="WZP6" s="53"/>
      <c r="WZQ6" s="53"/>
      <c r="WZR6" s="53"/>
      <c r="WZS6" s="53"/>
      <c r="WZT6" s="53"/>
      <c r="WZU6" s="53"/>
      <c r="WZV6" s="53"/>
      <c r="WZW6" s="53"/>
      <c r="WZX6" s="53"/>
      <c r="WZY6" s="53"/>
      <c r="WZZ6" s="53"/>
      <c r="XAA6" s="53"/>
      <c r="XAB6" s="53"/>
      <c r="XAC6" s="53"/>
      <c r="XAD6" s="53"/>
      <c r="XAE6" s="53"/>
      <c r="XAF6" s="53"/>
      <c r="XAG6" s="53"/>
      <c r="XAH6" s="53"/>
      <c r="XAI6" s="53"/>
      <c r="XAJ6" s="53"/>
      <c r="XAK6" s="53"/>
      <c r="XAL6" s="53"/>
      <c r="XAM6" s="53"/>
      <c r="XAN6" s="53"/>
      <c r="XAO6" s="53"/>
      <c r="XAP6" s="53"/>
      <c r="XAQ6" s="53"/>
      <c r="XAR6" s="53"/>
      <c r="XAS6" s="53"/>
      <c r="XAT6" s="53"/>
      <c r="XAU6" s="53"/>
      <c r="XAV6" s="53"/>
      <c r="XAW6" s="53"/>
      <c r="XAX6" s="53"/>
      <c r="XAY6" s="53"/>
      <c r="XAZ6" s="53"/>
      <c r="XBA6" s="53"/>
      <c r="XBB6" s="53"/>
      <c r="XBC6" s="53"/>
      <c r="XBD6" s="53"/>
      <c r="XBE6" s="53"/>
      <c r="XBF6" s="53"/>
      <c r="XBG6" s="53"/>
      <c r="XBH6" s="53"/>
      <c r="XBI6" s="53"/>
      <c r="XBJ6" s="53"/>
      <c r="XBK6" s="53"/>
      <c r="XBL6" s="53"/>
      <c r="XBM6" s="53"/>
      <c r="XBN6" s="53"/>
      <c r="XBO6" s="53"/>
      <c r="XBP6" s="53"/>
      <c r="XBQ6" s="53"/>
      <c r="XBR6" s="53"/>
      <c r="XBS6" s="53"/>
      <c r="XBT6" s="53"/>
      <c r="XBU6" s="53"/>
      <c r="XBV6" s="53"/>
      <c r="XBW6" s="53"/>
      <c r="XBX6" s="53"/>
      <c r="XBY6" s="53"/>
      <c r="XBZ6" s="53"/>
      <c r="XCA6" s="53"/>
      <c r="XCB6" s="53"/>
      <c r="XCC6" s="53"/>
      <c r="XCD6" s="53"/>
      <c r="XCE6" s="53"/>
      <c r="XCF6" s="53"/>
      <c r="XCG6" s="53"/>
      <c r="XCH6" s="53"/>
      <c r="XCI6" s="53"/>
      <c r="XCJ6" s="53"/>
      <c r="XCK6" s="53"/>
      <c r="XCL6" s="53"/>
      <c r="XCM6" s="53"/>
      <c r="XCN6" s="53"/>
      <c r="XCO6" s="53"/>
      <c r="XCP6" s="53"/>
      <c r="XCQ6" s="53"/>
      <c r="XCR6" s="53"/>
      <c r="XCS6" s="53"/>
      <c r="XCT6" s="53"/>
      <c r="XCU6" s="53"/>
      <c r="XCV6" s="53"/>
      <c r="XCW6" s="53"/>
      <c r="XCX6" s="53"/>
      <c r="XCY6" s="53"/>
      <c r="XCZ6" s="53"/>
      <c r="XDA6" s="53"/>
      <c r="XDB6" s="53"/>
      <c r="XDC6" s="53"/>
      <c r="XDD6" s="53"/>
      <c r="XDE6" s="53"/>
      <c r="XDF6" s="53"/>
      <c r="XDG6" s="53"/>
      <c r="XDH6" s="53"/>
      <c r="XDI6" s="53"/>
      <c r="XDJ6" s="53"/>
      <c r="XDK6" s="53"/>
      <c r="XDL6" s="53"/>
      <c r="XDM6" s="53"/>
      <c r="XDN6" s="53"/>
      <c r="XDO6" s="53"/>
      <c r="XDP6" s="53"/>
      <c r="XDQ6" s="53"/>
      <c r="XDR6" s="53"/>
      <c r="XDS6" s="53"/>
      <c r="XDT6" s="53"/>
      <c r="XDU6" s="53"/>
      <c r="XDV6" s="53"/>
      <c r="XDW6" s="53"/>
      <c r="XDX6" s="53"/>
      <c r="XDY6" s="53"/>
      <c r="XDZ6" s="53"/>
      <c r="XEA6" s="53"/>
      <c r="XEB6" s="53"/>
      <c r="XEC6" s="53"/>
      <c r="XED6" s="53"/>
      <c r="XEE6" s="53"/>
      <c r="XEF6" s="53"/>
      <c r="XEG6" s="53"/>
      <c r="XEH6" s="53"/>
      <c r="XEI6" s="53"/>
      <c r="XEJ6" s="53"/>
      <c r="XEK6" s="53"/>
      <c r="XEL6" s="53"/>
      <c r="XEM6" s="53"/>
      <c r="XEN6" s="53"/>
      <c r="XEO6" s="53"/>
      <c r="XEP6" s="53"/>
      <c r="XEQ6" s="53"/>
      <c r="XER6" s="53"/>
      <c r="XES6" s="53"/>
      <c r="XET6" s="53"/>
      <c r="XEU6" s="53"/>
      <c r="XEV6" s="53"/>
      <c r="XEW6" s="53"/>
      <c r="XEX6" s="53"/>
      <c r="XEY6" s="53"/>
      <c r="XEZ6" s="53"/>
      <c r="XFA6" s="53"/>
      <c r="XFB6" s="53"/>
      <c r="XFC6" s="53"/>
    </row>
    <row r="7" spans="1:16383" ht="60" x14ac:dyDescent="0.25">
      <c r="A7" s="35" t="s">
        <v>366</v>
      </c>
      <c r="B7" s="59">
        <v>440209</v>
      </c>
      <c r="C7" s="33" t="s">
        <v>844</v>
      </c>
      <c r="D7" s="36" t="s">
        <v>367</v>
      </c>
      <c r="E7" s="36"/>
      <c r="F7" s="37"/>
      <c r="G7" s="32" t="s">
        <v>363</v>
      </c>
      <c r="H7" s="33" t="s">
        <v>364</v>
      </c>
      <c r="I7" s="169">
        <v>821980000</v>
      </c>
      <c r="J7" s="38" t="s">
        <v>362</v>
      </c>
      <c r="K7" s="28"/>
      <c r="L7" s="28"/>
    </row>
    <row r="8" spans="1:16383" ht="45" x14ac:dyDescent="0.25">
      <c r="A8" s="35" t="s">
        <v>366</v>
      </c>
      <c r="B8" s="59">
        <v>440209</v>
      </c>
      <c r="C8" s="33" t="s">
        <v>844</v>
      </c>
      <c r="D8" s="36" t="s">
        <v>367</v>
      </c>
      <c r="E8" s="36"/>
      <c r="F8" s="37"/>
      <c r="G8" s="32" t="s">
        <v>363</v>
      </c>
      <c r="H8" s="33" t="s">
        <v>364</v>
      </c>
      <c r="I8" s="169">
        <v>2185000000</v>
      </c>
      <c r="J8" s="38" t="s">
        <v>369</v>
      </c>
      <c r="K8" s="28"/>
      <c r="L8" s="28"/>
    </row>
    <row r="9" spans="1:16383" ht="45" x14ac:dyDescent="0.25">
      <c r="A9" s="35" t="s">
        <v>366</v>
      </c>
      <c r="B9" s="59">
        <v>440209</v>
      </c>
      <c r="C9" s="33" t="s">
        <v>844</v>
      </c>
      <c r="D9" s="36" t="s">
        <v>367</v>
      </c>
      <c r="E9" s="36"/>
      <c r="F9" s="37"/>
      <c r="G9" s="32" t="s">
        <v>225</v>
      </c>
      <c r="H9" s="33" t="s">
        <v>368</v>
      </c>
      <c r="I9" s="168">
        <v>8000000</v>
      </c>
      <c r="J9" s="38" t="s">
        <v>369</v>
      </c>
      <c r="K9" s="28"/>
      <c r="L9" s="28"/>
    </row>
    <row r="10" spans="1:16383" ht="60" x14ac:dyDescent="0.25">
      <c r="A10" s="35" t="s">
        <v>366</v>
      </c>
      <c r="B10" s="59">
        <v>440209</v>
      </c>
      <c r="C10" s="33" t="s">
        <v>844</v>
      </c>
      <c r="D10" s="36" t="s">
        <v>367</v>
      </c>
      <c r="E10" s="36"/>
      <c r="F10" s="37"/>
      <c r="G10" s="32" t="s">
        <v>225</v>
      </c>
      <c r="H10" s="33" t="s">
        <v>368</v>
      </c>
      <c r="I10" s="168">
        <v>4167763000</v>
      </c>
      <c r="J10" s="38" t="s">
        <v>362</v>
      </c>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28"/>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28"/>
      <c r="NS10" s="28"/>
      <c r="NT10" s="28"/>
      <c r="NU10" s="28"/>
      <c r="NV10" s="28"/>
      <c r="NW10" s="28"/>
      <c r="NX10" s="28"/>
      <c r="NY10" s="28"/>
      <c r="NZ10" s="28"/>
      <c r="OA10" s="28"/>
      <c r="OB10" s="28"/>
      <c r="OC10" s="28"/>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28"/>
      <c r="PC10" s="28"/>
      <c r="PD10" s="28"/>
      <c r="PE10" s="28"/>
      <c r="PF10" s="28"/>
      <c r="PG10" s="28"/>
      <c r="PH10" s="28"/>
      <c r="PI10" s="28"/>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28"/>
      <c r="QM10" s="28"/>
      <c r="QN10" s="28"/>
      <c r="QO10" s="28"/>
      <c r="QP10" s="28"/>
      <c r="QQ10" s="28"/>
      <c r="QR10" s="28"/>
      <c r="QS10" s="28"/>
      <c r="QT10" s="28"/>
      <c r="QU10" s="28"/>
      <c r="QV10" s="28"/>
      <c r="QW10" s="28"/>
      <c r="QX10" s="28"/>
      <c r="QY10" s="28"/>
      <c r="QZ10" s="28"/>
      <c r="RA10" s="28"/>
      <c r="RB10" s="28"/>
      <c r="RC10" s="28"/>
      <c r="RD10" s="28"/>
      <c r="RE10" s="28"/>
      <c r="RF10" s="28"/>
      <c r="RG10" s="28"/>
      <c r="RH10" s="28"/>
      <c r="RI10" s="28"/>
      <c r="RJ10" s="28"/>
      <c r="RK10" s="28"/>
      <c r="RL10" s="28"/>
      <c r="RM10" s="28"/>
      <c r="RN10" s="28"/>
      <c r="RO10" s="28"/>
      <c r="RP10" s="28"/>
      <c r="RQ10" s="28"/>
      <c r="RR10" s="28"/>
      <c r="RS10" s="28"/>
      <c r="RT10" s="28"/>
      <c r="RU10" s="28"/>
      <c r="RV10" s="28"/>
      <c r="RW10" s="28"/>
      <c r="RX10" s="28"/>
      <c r="RY10" s="28"/>
      <c r="RZ10" s="28"/>
      <c r="SA10" s="28"/>
      <c r="SB10" s="28"/>
      <c r="SC10" s="28"/>
      <c r="SD10" s="28"/>
      <c r="SE10" s="28"/>
      <c r="SF10" s="28"/>
      <c r="SG10" s="28"/>
      <c r="SH10" s="28"/>
      <c r="SI10" s="28"/>
      <c r="SJ10" s="28"/>
      <c r="SK10" s="28"/>
      <c r="SL10" s="28"/>
      <c r="SM10" s="28"/>
      <c r="SN10" s="28"/>
      <c r="SO10" s="28"/>
      <c r="SP10" s="28"/>
      <c r="SQ10" s="28"/>
      <c r="SR10" s="28"/>
      <c r="SS10" s="28"/>
      <c r="ST10" s="28"/>
      <c r="SU10" s="28"/>
      <c r="SV10" s="28"/>
      <c r="SW10" s="28"/>
      <c r="SX10" s="28"/>
      <c r="SY10" s="28"/>
      <c r="SZ10" s="28"/>
      <c r="TA10" s="28"/>
      <c r="TB10" s="28"/>
      <c r="TC10" s="28"/>
      <c r="TD10" s="28"/>
      <c r="TE10" s="28"/>
      <c r="TF10" s="28"/>
      <c r="TG10" s="28"/>
      <c r="TH10" s="28"/>
      <c r="TI10" s="28"/>
      <c r="TJ10" s="28"/>
      <c r="TK10" s="28"/>
      <c r="TL10" s="28"/>
      <c r="TM10" s="28"/>
      <c r="TN10" s="28"/>
      <c r="TO10" s="28"/>
      <c r="TP10" s="28"/>
      <c r="TQ10" s="28"/>
      <c r="TR10" s="28"/>
      <c r="TS10" s="28"/>
      <c r="TT10" s="28"/>
      <c r="TU10" s="28"/>
      <c r="TV10" s="28"/>
      <c r="TW10" s="28"/>
      <c r="TX10" s="28"/>
      <c r="TY10" s="28"/>
      <c r="TZ10" s="28"/>
      <c r="UA10" s="28"/>
      <c r="UB10" s="28"/>
      <c r="UC10" s="28"/>
      <c r="UD10" s="28"/>
      <c r="UE10" s="28"/>
      <c r="UF10" s="28"/>
      <c r="UG10" s="28"/>
      <c r="UH10" s="28"/>
      <c r="UI10" s="28"/>
      <c r="UJ10" s="28"/>
      <c r="UK10" s="28"/>
      <c r="UL10" s="28"/>
      <c r="UM10" s="28"/>
      <c r="UN10" s="28"/>
      <c r="UO10" s="28"/>
      <c r="UP10" s="28"/>
      <c r="UQ10" s="28"/>
      <c r="UR10" s="28"/>
      <c r="US10" s="28"/>
      <c r="UT10" s="28"/>
      <c r="UU10" s="28"/>
      <c r="UV10" s="28"/>
      <c r="UW10" s="28"/>
      <c r="UX10" s="28"/>
      <c r="UY10" s="28"/>
      <c r="UZ10" s="28"/>
      <c r="VA10" s="28"/>
      <c r="VB10" s="28"/>
      <c r="VC10" s="28"/>
      <c r="VD10" s="28"/>
      <c r="VE10" s="28"/>
      <c r="VF10" s="28"/>
      <c r="VG10" s="28"/>
      <c r="VH10" s="28"/>
      <c r="VI10" s="28"/>
      <c r="VJ10" s="28"/>
      <c r="VK10" s="28"/>
      <c r="VL10" s="28"/>
      <c r="VM10" s="28"/>
      <c r="VN10" s="28"/>
      <c r="VO10" s="28"/>
      <c r="VP10" s="28"/>
      <c r="VQ10" s="28"/>
      <c r="VR10" s="28"/>
      <c r="VS10" s="28"/>
      <c r="VT10" s="28"/>
      <c r="VU10" s="28"/>
      <c r="VV10" s="28"/>
      <c r="VW10" s="28"/>
      <c r="VX10" s="28"/>
      <c r="VY10" s="28"/>
      <c r="VZ10" s="28"/>
      <c r="WA10" s="28"/>
      <c r="WB10" s="28"/>
      <c r="WC10" s="28"/>
      <c r="WD10" s="28"/>
      <c r="WE10" s="28"/>
      <c r="WF10" s="28"/>
      <c r="WG10" s="28"/>
      <c r="WH10" s="28"/>
      <c r="WI10" s="28"/>
      <c r="WJ10" s="28"/>
      <c r="WK10" s="28"/>
      <c r="WL10" s="28"/>
      <c r="WM10" s="28"/>
      <c r="WN10" s="28"/>
      <c r="WO10" s="28"/>
      <c r="WP10" s="28"/>
      <c r="WQ10" s="28"/>
      <c r="WR10" s="28"/>
      <c r="WS10" s="28"/>
      <c r="WT10" s="28"/>
      <c r="WU10" s="28"/>
      <c r="WV10" s="28"/>
      <c r="WW10" s="28"/>
      <c r="WX10" s="28"/>
      <c r="WY10" s="28"/>
      <c r="WZ10" s="28"/>
      <c r="XA10" s="28"/>
      <c r="XB10" s="28"/>
      <c r="XC10" s="28"/>
      <c r="XD10" s="28"/>
      <c r="XE10" s="28"/>
      <c r="XF10" s="28"/>
      <c r="XG10" s="28"/>
      <c r="XH10" s="28"/>
      <c r="XI10" s="28"/>
      <c r="XJ10" s="28"/>
      <c r="XK10" s="28"/>
      <c r="XL10" s="28"/>
      <c r="XM10" s="28"/>
      <c r="XN10" s="28"/>
      <c r="XO10" s="28"/>
      <c r="XP10" s="28"/>
      <c r="XQ10" s="28"/>
      <c r="XR10" s="28"/>
      <c r="XS10" s="28"/>
      <c r="XT10" s="28"/>
      <c r="XU10" s="28"/>
      <c r="XV10" s="28"/>
      <c r="XW10" s="28"/>
      <c r="XX10" s="28"/>
      <c r="XY10" s="28"/>
      <c r="XZ10" s="28"/>
      <c r="YA10" s="28"/>
      <c r="YB10" s="28"/>
      <c r="YC10" s="28"/>
      <c r="YD10" s="28"/>
      <c r="YE10" s="28"/>
      <c r="YF10" s="28"/>
      <c r="YG10" s="28"/>
      <c r="YH10" s="28"/>
      <c r="YI10" s="28"/>
      <c r="YJ10" s="28"/>
      <c r="YK10" s="28"/>
      <c r="YL10" s="28"/>
      <c r="YM10" s="28"/>
      <c r="YN10" s="28"/>
      <c r="YO10" s="28"/>
      <c r="YP10" s="28"/>
      <c r="YQ10" s="28"/>
      <c r="YR10" s="28"/>
      <c r="YS10" s="28"/>
      <c r="YT10" s="28"/>
      <c r="YU10" s="28"/>
      <c r="YV10" s="28"/>
      <c r="YW10" s="28"/>
      <c r="YX10" s="28"/>
      <c r="YY10" s="28"/>
      <c r="YZ10" s="28"/>
      <c r="ZA10" s="28"/>
      <c r="ZB10" s="28"/>
      <c r="ZC10" s="28"/>
      <c r="ZD10" s="28"/>
      <c r="ZE10" s="28"/>
      <c r="ZF10" s="28"/>
      <c r="ZG10" s="28"/>
      <c r="ZH10" s="28"/>
      <c r="ZI10" s="28"/>
      <c r="ZJ10" s="28"/>
      <c r="ZK10" s="28"/>
      <c r="ZL10" s="28"/>
      <c r="ZM10" s="28"/>
      <c r="ZN10" s="28"/>
      <c r="ZO10" s="28"/>
      <c r="ZP10" s="28"/>
      <c r="ZQ10" s="28"/>
      <c r="ZR10" s="28"/>
      <c r="ZS10" s="28"/>
      <c r="ZT10" s="28"/>
      <c r="ZU10" s="28"/>
      <c r="ZV10" s="28"/>
      <c r="ZW10" s="28"/>
      <c r="ZX10" s="28"/>
      <c r="ZY10" s="28"/>
      <c r="ZZ10" s="28"/>
      <c r="AAA10" s="28"/>
      <c r="AAB10" s="28"/>
      <c r="AAC10" s="28"/>
      <c r="AAD10" s="28"/>
      <c r="AAE10" s="28"/>
      <c r="AAF10" s="28"/>
      <c r="AAG10" s="28"/>
      <c r="AAH10" s="28"/>
      <c r="AAI10" s="28"/>
      <c r="AAJ10" s="28"/>
      <c r="AAK10" s="28"/>
      <c r="AAL10" s="28"/>
      <c r="AAM10" s="28"/>
      <c r="AAN10" s="28"/>
      <c r="AAO10" s="28"/>
      <c r="AAP10" s="28"/>
      <c r="AAQ10" s="28"/>
      <c r="AAR10" s="28"/>
      <c r="AAS10" s="28"/>
      <c r="AAT10" s="28"/>
      <c r="AAU10" s="28"/>
      <c r="AAV10" s="28"/>
      <c r="AAW10" s="28"/>
      <c r="AAX10" s="28"/>
      <c r="AAY10" s="28"/>
      <c r="AAZ10" s="28"/>
      <c r="ABA10" s="28"/>
      <c r="ABB10" s="28"/>
      <c r="ABC10" s="28"/>
      <c r="ABD10" s="28"/>
      <c r="ABE10" s="28"/>
      <c r="ABF10" s="28"/>
      <c r="ABG10" s="28"/>
      <c r="ABH10" s="28"/>
      <c r="ABI10" s="28"/>
      <c r="ABJ10" s="28"/>
      <c r="ABK10" s="28"/>
      <c r="ABL10" s="28"/>
      <c r="ABM10" s="28"/>
      <c r="ABN10" s="28"/>
      <c r="ABO10" s="28"/>
      <c r="ABP10" s="28"/>
      <c r="ABQ10" s="28"/>
      <c r="ABR10" s="28"/>
      <c r="ABS10" s="28"/>
      <c r="ABT10" s="28"/>
      <c r="ABU10" s="28"/>
      <c r="ABV10" s="28"/>
      <c r="ABW10" s="28"/>
      <c r="ABX10" s="28"/>
      <c r="ABY10" s="28"/>
      <c r="ABZ10" s="28"/>
      <c r="ACA10" s="28"/>
      <c r="ACB10" s="28"/>
      <c r="ACC10" s="28"/>
      <c r="ACD10" s="28"/>
      <c r="ACE10" s="28"/>
      <c r="ACF10" s="28"/>
      <c r="ACG10" s="28"/>
      <c r="ACH10" s="28"/>
      <c r="ACI10" s="28"/>
      <c r="ACJ10" s="28"/>
      <c r="ACK10" s="28"/>
      <c r="ACL10" s="28"/>
      <c r="ACM10" s="28"/>
      <c r="ACN10" s="28"/>
      <c r="ACO10" s="28"/>
      <c r="ACP10" s="28"/>
      <c r="ACQ10" s="28"/>
      <c r="ACR10" s="28"/>
      <c r="ACS10" s="28"/>
      <c r="ACT10" s="28"/>
      <c r="ACU10" s="28"/>
      <c r="ACV10" s="28"/>
      <c r="ACW10" s="28"/>
      <c r="ACX10" s="28"/>
      <c r="ACY10" s="28"/>
      <c r="ACZ10" s="28"/>
      <c r="ADA10" s="28"/>
      <c r="ADB10" s="28"/>
      <c r="ADC10" s="28"/>
      <c r="ADD10" s="28"/>
      <c r="ADE10" s="28"/>
      <c r="ADF10" s="28"/>
      <c r="ADG10" s="28"/>
      <c r="ADH10" s="28"/>
      <c r="ADI10" s="28"/>
      <c r="ADJ10" s="28"/>
      <c r="ADK10" s="28"/>
      <c r="ADL10" s="28"/>
      <c r="ADM10" s="28"/>
      <c r="ADN10" s="28"/>
      <c r="ADO10" s="28"/>
      <c r="ADP10" s="28"/>
      <c r="ADQ10" s="28"/>
      <c r="ADR10" s="28"/>
      <c r="ADS10" s="28"/>
      <c r="ADT10" s="28"/>
      <c r="ADU10" s="28"/>
      <c r="ADV10" s="28"/>
      <c r="ADW10" s="28"/>
      <c r="ADX10" s="28"/>
      <c r="ADY10" s="28"/>
      <c r="ADZ10" s="28"/>
      <c r="AEA10" s="28"/>
      <c r="AEB10" s="28"/>
      <c r="AEC10" s="28"/>
      <c r="AED10" s="28"/>
      <c r="AEE10" s="28"/>
      <c r="AEF10" s="28"/>
      <c r="AEG10" s="28"/>
      <c r="AEH10" s="28"/>
      <c r="AEI10" s="28"/>
      <c r="AEJ10" s="28"/>
      <c r="AEK10" s="28"/>
      <c r="AEL10" s="28"/>
      <c r="AEM10" s="28"/>
      <c r="AEN10" s="28"/>
      <c r="AEO10" s="28"/>
      <c r="AEP10" s="28"/>
      <c r="AEQ10" s="28"/>
      <c r="AER10" s="28"/>
      <c r="AES10" s="28"/>
      <c r="AET10" s="28"/>
      <c r="AEU10" s="28"/>
      <c r="AEV10" s="28"/>
      <c r="AEW10" s="28"/>
      <c r="AEX10" s="28"/>
      <c r="AEY10" s="28"/>
      <c r="AEZ10" s="28"/>
      <c r="AFA10" s="28"/>
      <c r="AFB10" s="28"/>
      <c r="AFC10" s="28"/>
      <c r="AFD10" s="28"/>
      <c r="AFE10" s="28"/>
      <c r="AFF10" s="28"/>
      <c r="AFG10" s="28"/>
      <c r="AFH10" s="28"/>
      <c r="AFI10" s="28"/>
      <c r="AFJ10" s="28"/>
      <c r="AFK10" s="28"/>
      <c r="AFL10" s="28"/>
      <c r="AFM10" s="28"/>
      <c r="AFN10" s="28"/>
      <c r="AFO10" s="28"/>
      <c r="AFP10" s="28"/>
      <c r="AFQ10" s="28"/>
      <c r="AFR10" s="28"/>
      <c r="AFS10" s="28"/>
      <c r="AFT10" s="28"/>
      <c r="AFU10" s="28"/>
      <c r="AFV10" s="28"/>
      <c r="AFW10" s="28"/>
      <c r="AFX10" s="28"/>
      <c r="AFY10" s="28"/>
      <c r="AFZ10" s="28"/>
      <c r="AGA10" s="28"/>
      <c r="AGB10" s="28"/>
      <c r="AGC10" s="28"/>
      <c r="AGD10" s="28"/>
      <c r="AGE10" s="28"/>
      <c r="AGF10" s="28"/>
      <c r="AGG10" s="28"/>
      <c r="AGH10" s="28"/>
      <c r="AGI10" s="28"/>
      <c r="AGJ10" s="28"/>
      <c r="AGK10" s="28"/>
      <c r="AGL10" s="28"/>
      <c r="AGM10" s="28"/>
      <c r="AGN10" s="28"/>
      <c r="AGO10" s="28"/>
      <c r="AGP10" s="28"/>
      <c r="AGQ10" s="28"/>
      <c r="AGR10" s="28"/>
      <c r="AGS10" s="28"/>
      <c r="AGT10" s="28"/>
      <c r="AGU10" s="28"/>
      <c r="AGV10" s="28"/>
      <c r="AGW10" s="28"/>
      <c r="AGX10" s="28"/>
      <c r="AGY10" s="28"/>
      <c r="AGZ10" s="28"/>
      <c r="AHA10" s="28"/>
      <c r="AHB10" s="28"/>
      <c r="AHC10" s="28"/>
      <c r="AHD10" s="28"/>
      <c r="AHE10" s="28"/>
      <c r="AHF10" s="28"/>
      <c r="AHG10" s="28"/>
      <c r="AHH10" s="28"/>
      <c r="AHI10" s="28"/>
      <c r="AHJ10" s="28"/>
      <c r="AHK10" s="28"/>
      <c r="AHL10" s="28"/>
      <c r="AHM10" s="28"/>
      <c r="AHN10" s="28"/>
      <c r="AHO10" s="28"/>
      <c r="AHP10" s="28"/>
      <c r="AHQ10" s="28"/>
      <c r="AHR10" s="28"/>
      <c r="AHS10" s="28"/>
      <c r="AHT10" s="28"/>
      <c r="AHU10" s="28"/>
      <c r="AHV10" s="28"/>
      <c r="AHW10" s="28"/>
      <c r="AHX10" s="28"/>
      <c r="AHY10" s="28"/>
      <c r="AHZ10" s="28"/>
      <c r="AIA10" s="28"/>
      <c r="AIB10" s="28"/>
      <c r="AIC10" s="28"/>
      <c r="AID10" s="28"/>
      <c r="AIE10" s="28"/>
      <c r="AIF10" s="28"/>
      <c r="AIG10" s="28"/>
      <c r="AIH10" s="28"/>
      <c r="AII10" s="28"/>
      <c r="AIJ10" s="28"/>
      <c r="AIK10" s="28"/>
      <c r="AIL10" s="28"/>
      <c r="AIM10" s="28"/>
      <c r="AIN10" s="28"/>
      <c r="AIO10" s="28"/>
      <c r="AIP10" s="28"/>
      <c r="AIQ10" s="28"/>
      <c r="AIR10" s="28"/>
      <c r="AIS10" s="28"/>
      <c r="AIT10" s="28"/>
      <c r="AIU10" s="28"/>
      <c r="AIV10" s="28"/>
      <c r="AIW10" s="28"/>
      <c r="AIX10" s="28"/>
      <c r="AIY10" s="28"/>
      <c r="AIZ10" s="28"/>
      <c r="AJA10" s="28"/>
      <c r="AJB10" s="28"/>
      <c r="AJC10" s="28"/>
      <c r="AJD10" s="28"/>
      <c r="AJE10" s="28"/>
      <c r="AJF10" s="28"/>
      <c r="AJG10" s="28"/>
      <c r="AJH10" s="28"/>
      <c r="AJI10" s="28"/>
      <c r="AJJ10" s="28"/>
      <c r="AJK10" s="28"/>
      <c r="AJL10" s="28"/>
      <c r="AJM10" s="28"/>
      <c r="AJN10" s="28"/>
      <c r="AJO10" s="28"/>
      <c r="AJP10" s="28"/>
      <c r="AJQ10" s="28"/>
      <c r="AJR10" s="28"/>
      <c r="AJS10" s="28"/>
      <c r="AJT10" s="28"/>
      <c r="AJU10" s="28"/>
      <c r="AJV10" s="28"/>
      <c r="AJW10" s="28"/>
      <c r="AJX10" s="28"/>
      <c r="AJY10" s="28"/>
      <c r="AJZ10" s="28"/>
      <c r="AKA10" s="28"/>
      <c r="AKB10" s="28"/>
      <c r="AKC10" s="28"/>
      <c r="AKD10" s="28"/>
      <c r="AKE10" s="28"/>
      <c r="AKF10" s="28"/>
      <c r="AKG10" s="28"/>
      <c r="AKH10" s="28"/>
      <c r="AKI10" s="28"/>
      <c r="AKJ10" s="28"/>
      <c r="AKK10" s="28"/>
      <c r="AKL10" s="28"/>
      <c r="AKM10" s="28"/>
      <c r="AKN10" s="28"/>
      <c r="AKO10" s="28"/>
      <c r="AKP10" s="28"/>
      <c r="AKQ10" s="28"/>
      <c r="AKR10" s="28"/>
      <c r="AKS10" s="28"/>
      <c r="AKT10" s="28"/>
      <c r="AKU10" s="28"/>
      <c r="AKV10" s="28"/>
      <c r="AKW10" s="28"/>
      <c r="AKX10" s="28"/>
      <c r="AKY10" s="28"/>
      <c r="AKZ10" s="28"/>
      <c r="ALA10" s="28"/>
      <c r="ALB10" s="28"/>
      <c r="ALC10" s="28"/>
      <c r="ALD10" s="28"/>
      <c r="ALE10" s="28"/>
      <c r="ALF10" s="28"/>
      <c r="ALG10" s="28"/>
      <c r="ALH10" s="28"/>
      <c r="ALI10" s="28"/>
      <c r="ALJ10" s="28"/>
      <c r="ALK10" s="28"/>
      <c r="ALL10" s="28"/>
      <c r="ALM10" s="28"/>
      <c r="ALN10" s="28"/>
      <c r="ALO10" s="28"/>
      <c r="ALP10" s="28"/>
      <c r="ALQ10" s="28"/>
      <c r="ALR10" s="28"/>
      <c r="ALS10" s="28"/>
      <c r="ALT10" s="28"/>
      <c r="ALU10" s="28"/>
      <c r="ALV10" s="28"/>
      <c r="ALW10" s="28"/>
      <c r="ALX10" s="28"/>
      <c r="ALY10" s="28"/>
      <c r="ALZ10" s="28"/>
      <c r="AMA10" s="28"/>
      <c r="AMB10" s="28"/>
      <c r="AMC10" s="28"/>
      <c r="AMD10" s="28"/>
      <c r="AME10" s="28"/>
      <c r="AMF10" s="28"/>
      <c r="AMG10" s="28"/>
      <c r="AMH10" s="28"/>
      <c r="AMI10" s="28"/>
      <c r="AMJ10" s="28"/>
      <c r="AMK10" s="28"/>
      <c r="AML10" s="28"/>
      <c r="AMM10" s="28"/>
      <c r="AMN10" s="28"/>
      <c r="AMO10" s="28"/>
      <c r="AMP10" s="28"/>
      <c r="AMQ10" s="28"/>
      <c r="AMR10" s="28"/>
      <c r="AMS10" s="28"/>
      <c r="AMT10" s="28"/>
      <c r="AMU10" s="28"/>
      <c r="AMV10" s="28"/>
      <c r="AMW10" s="28"/>
      <c r="AMX10" s="28"/>
      <c r="AMY10" s="28"/>
      <c r="AMZ10" s="28"/>
      <c r="ANA10" s="28"/>
      <c r="ANB10" s="28"/>
      <c r="ANC10" s="28"/>
      <c r="AND10" s="28"/>
      <c r="ANE10" s="28"/>
      <c r="ANF10" s="28"/>
      <c r="ANG10" s="28"/>
      <c r="ANH10" s="28"/>
      <c r="ANI10" s="28"/>
      <c r="ANJ10" s="28"/>
      <c r="ANK10" s="28"/>
      <c r="ANL10" s="28"/>
      <c r="ANM10" s="28"/>
      <c r="ANN10" s="28"/>
      <c r="ANO10" s="28"/>
      <c r="ANP10" s="28"/>
      <c r="ANQ10" s="28"/>
      <c r="ANR10" s="28"/>
      <c r="ANS10" s="28"/>
      <c r="ANT10" s="28"/>
      <c r="ANU10" s="28"/>
      <c r="ANV10" s="28"/>
      <c r="ANW10" s="28"/>
      <c r="ANX10" s="28"/>
      <c r="ANY10" s="28"/>
      <c r="ANZ10" s="28"/>
      <c r="AOA10" s="28"/>
      <c r="AOB10" s="28"/>
      <c r="AOC10" s="28"/>
      <c r="AOD10" s="28"/>
      <c r="AOE10" s="28"/>
      <c r="AOF10" s="28"/>
      <c r="AOG10" s="28"/>
      <c r="AOH10" s="28"/>
      <c r="AOI10" s="28"/>
      <c r="AOJ10" s="28"/>
      <c r="AOK10" s="28"/>
      <c r="AOL10" s="28"/>
      <c r="AOM10" s="28"/>
      <c r="AON10" s="28"/>
      <c r="AOO10" s="28"/>
      <c r="AOP10" s="28"/>
      <c r="AOQ10" s="28"/>
      <c r="AOR10" s="28"/>
      <c r="AOS10" s="28"/>
      <c r="AOT10" s="28"/>
      <c r="AOU10" s="28"/>
      <c r="AOV10" s="28"/>
      <c r="AOW10" s="28"/>
      <c r="AOX10" s="28"/>
      <c r="AOY10" s="28"/>
      <c r="AOZ10" s="28"/>
      <c r="APA10" s="28"/>
      <c r="APB10" s="28"/>
      <c r="APC10" s="28"/>
      <c r="APD10" s="28"/>
      <c r="APE10" s="28"/>
      <c r="APF10" s="28"/>
      <c r="APG10" s="28"/>
      <c r="APH10" s="28"/>
      <c r="API10" s="28"/>
      <c r="APJ10" s="28"/>
      <c r="APK10" s="28"/>
      <c r="APL10" s="28"/>
      <c r="APM10" s="28"/>
      <c r="APN10" s="28"/>
      <c r="APO10" s="28"/>
      <c r="APP10" s="28"/>
      <c r="APQ10" s="28"/>
      <c r="APR10" s="28"/>
      <c r="APS10" s="28"/>
      <c r="APT10" s="28"/>
      <c r="APU10" s="28"/>
      <c r="APV10" s="28"/>
      <c r="APW10" s="28"/>
      <c r="APX10" s="28"/>
      <c r="APY10" s="28"/>
      <c r="APZ10" s="28"/>
      <c r="AQA10" s="28"/>
      <c r="AQB10" s="28"/>
      <c r="AQC10" s="28"/>
      <c r="AQD10" s="28"/>
      <c r="AQE10" s="28"/>
      <c r="AQF10" s="28"/>
      <c r="AQG10" s="28"/>
      <c r="AQH10" s="28"/>
      <c r="AQI10" s="28"/>
      <c r="AQJ10" s="28"/>
      <c r="AQK10" s="28"/>
      <c r="AQL10" s="28"/>
      <c r="AQM10" s="28"/>
      <c r="AQN10" s="28"/>
      <c r="AQO10" s="28"/>
      <c r="AQP10" s="28"/>
      <c r="AQQ10" s="28"/>
      <c r="AQR10" s="28"/>
      <c r="AQS10" s="28"/>
      <c r="AQT10" s="28"/>
      <c r="AQU10" s="28"/>
      <c r="AQV10" s="28"/>
      <c r="AQW10" s="28"/>
      <c r="AQX10" s="28"/>
      <c r="AQY10" s="28"/>
      <c r="AQZ10" s="28"/>
      <c r="ARA10" s="28"/>
      <c r="ARB10" s="28"/>
      <c r="ARC10" s="28"/>
      <c r="ARD10" s="28"/>
      <c r="ARE10" s="28"/>
      <c r="ARF10" s="28"/>
      <c r="ARG10" s="28"/>
      <c r="ARH10" s="28"/>
      <c r="ARI10" s="28"/>
      <c r="ARJ10" s="28"/>
      <c r="ARK10" s="28"/>
      <c r="ARL10" s="28"/>
      <c r="ARM10" s="28"/>
      <c r="ARN10" s="28"/>
      <c r="ARO10" s="28"/>
      <c r="ARP10" s="28"/>
      <c r="ARQ10" s="28"/>
      <c r="ARR10" s="28"/>
      <c r="ARS10" s="28"/>
      <c r="ART10" s="28"/>
      <c r="ARU10" s="28"/>
      <c r="ARV10" s="28"/>
      <c r="ARW10" s="28"/>
      <c r="ARX10" s="28"/>
      <c r="ARY10" s="28"/>
      <c r="ARZ10" s="28"/>
      <c r="ASA10" s="28"/>
      <c r="ASB10" s="28"/>
      <c r="ASC10" s="28"/>
      <c r="ASD10" s="28"/>
      <c r="ASE10" s="28"/>
      <c r="ASF10" s="28"/>
      <c r="ASG10" s="28"/>
      <c r="ASH10" s="28"/>
      <c r="ASI10" s="28"/>
      <c r="ASJ10" s="28"/>
      <c r="ASK10" s="28"/>
      <c r="ASL10" s="28"/>
      <c r="ASM10" s="28"/>
      <c r="ASN10" s="28"/>
      <c r="ASO10" s="28"/>
      <c r="ASP10" s="28"/>
      <c r="ASQ10" s="28"/>
      <c r="ASR10" s="28"/>
      <c r="ASS10" s="28"/>
      <c r="AST10" s="28"/>
      <c r="ASU10" s="28"/>
      <c r="ASV10" s="28"/>
      <c r="ASW10" s="28"/>
      <c r="ASX10" s="28"/>
      <c r="ASY10" s="28"/>
      <c r="ASZ10" s="28"/>
      <c r="ATA10" s="28"/>
      <c r="ATB10" s="28"/>
      <c r="ATC10" s="28"/>
      <c r="ATD10" s="28"/>
      <c r="ATE10" s="28"/>
      <c r="ATF10" s="28"/>
      <c r="ATG10" s="28"/>
      <c r="ATH10" s="28"/>
      <c r="ATI10" s="28"/>
      <c r="ATJ10" s="28"/>
      <c r="ATK10" s="28"/>
      <c r="ATL10" s="28"/>
      <c r="ATM10" s="28"/>
      <c r="ATN10" s="28"/>
      <c r="ATO10" s="28"/>
      <c r="ATP10" s="28"/>
      <c r="ATQ10" s="28"/>
      <c r="ATR10" s="28"/>
      <c r="ATS10" s="28"/>
      <c r="ATT10" s="28"/>
      <c r="ATU10" s="28"/>
      <c r="ATV10" s="28"/>
      <c r="ATW10" s="28"/>
      <c r="ATX10" s="28"/>
      <c r="ATY10" s="28"/>
      <c r="ATZ10" s="28"/>
      <c r="AUA10" s="28"/>
      <c r="AUB10" s="28"/>
      <c r="AUC10" s="28"/>
      <c r="AUD10" s="28"/>
      <c r="AUE10" s="28"/>
      <c r="AUF10" s="28"/>
      <c r="AUG10" s="28"/>
      <c r="AUH10" s="28"/>
      <c r="AUI10" s="28"/>
      <c r="AUJ10" s="28"/>
      <c r="AUK10" s="28"/>
      <c r="AUL10" s="28"/>
      <c r="AUM10" s="28"/>
      <c r="AUN10" s="28"/>
      <c r="AUO10" s="28"/>
      <c r="AUP10" s="28"/>
      <c r="AUQ10" s="28"/>
      <c r="AUR10" s="28"/>
      <c r="AUS10" s="28"/>
      <c r="AUT10" s="28"/>
      <c r="AUU10" s="28"/>
      <c r="AUV10" s="28"/>
      <c r="AUW10" s="28"/>
      <c r="AUX10" s="28"/>
      <c r="AUY10" s="28"/>
      <c r="AUZ10" s="28"/>
      <c r="AVA10" s="28"/>
      <c r="AVB10" s="28"/>
      <c r="AVC10" s="28"/>
      <c r="AVD10" s="28"/>
      <c r="AVE10" s="28"/>
      <c r="AVF10" s="28"/>
      <c r="AVG10" s="28"/>
      <c r="AVH10" s="28"/>
      <c r="AVI10" s="28"/>
      <c r="AVJ10" s="28"/>
      <c r="AVK10" s="28"/>
      <c r="AVL10" s="28"/>
      <c r="AVM10" s="28"/>
      <c r="AVN10" s="28"/>
      <c r="AVO10" s="28"/>
      <c r="AVP10" s="28"/>
      <c r="AVQ10" s="28"/>
      <c r="AVR10" s="28"/>
      <c r="AVS10" s="28"/>
      <c r="AVT10" s="28"/>
      <c r="AVU10" s="28"/>
      <c r="AVV10" s="28"/>
      <c r="AVW10" s="28"/>
      <c r="AVX10" s="28"/>
      <c r="AVY10" s="28"/>
      <c r="AVZ10" s="28"/>
      <c r="AWA10" s="28"/>
      <c r="AWB10" s="28"/>
      <c r="AWC10" s="28"/>
      <c r="AWD10" s="28"/>
      <c r="AWE10" s="28"/>
      <c r="AWF10" s="28"/>
      <c r="AWG10" s="28"/>
      <c r="AWH10" s="28"/>
      <c r="AWI10" s="28"/>
      <c r="AWJ10" s="28"/>
      <c r="AWK10" s="28"/>
      <c r="AWL10" s="28"/>
      <c r="AWM10" s="28"/>
      <c r="AWN10" s="28"/>
      <c r="AWO10" s="28"/>
      <c r="AWP10" s="28"/>
      <c r="AWQ10" s="28"/>
      <c r="AWR10" s="28"/>
      <c r="AWS10" s="28"/>
      <c r="AWT10" s="28"/>
      <c r="AWU10" s="28"/>
      <c r="AWV10" s="28"/>
      <c r="AWW10" s="28"/>
      <c r="AWX10" s="28"/>
      <c r="AWY10" s="28"/>
      <c r="AWZ10" s="28"/>
      <c r="AXA10" s="28"/>
      <c r="AXB10" s="28"/>
      <c r="AXC10" s="28"/>
      <c r="AXD10" s="28"/>
      <c r="AXE10" s="28"/>
      <c r="AXF10" s="28"/>
      <c r="AXG10" s="28"/>
      <c r="AXH10" s="28"/>
      <c r="AXI10" s="28"/>
      <c r="AXJ10" s="28"/>
      <c r="AXK10" s="28"/>
      <c r="AXL10" s="28"/>
      <c r="AXM10" s="28"/>
      <c r="AXN10" s="28"/>
      <c r="AXO10" s="28"/>
      <c r="AXP10" s="28"/>
      <c r="AXQ10" s="28"/>
      <c r="AXR10" s="28"/>
      <c r="AXS10" s="28"/>
      <c r="AXT10" s="28"/>
      <c r="AXU10" s="28"/>
      <c r="AXV10" s="28"/>
      <c r="AXW10" s="28"/>
      <c r="AXX10" s="28"/>
      <c r="AXY10" s="28"/>
      <c r="AXZ10" s="28"/>
      <c r="AYA10" s="28"/>
      <c r="AYB10" s="28"/>
      <c r="AYC10" s="28"/>
      <c r="AYD10" s="28"/>
      <c r="AYE10" s="28"/>
      <c r="AYF10" s="28"/>
      <c r="AYG10" s="28"/>
      <c r="AYH10" s="28"/>
      <c r="AYI10" s="28"/>
      <c r="AYJ10" s="28"/>
      <c r="AYK10" s="28"/>
      <c r="AYL10" s="28"/>
      <c r="AYM10" s="28"/>
      <c r="AYN10" s="28"/>
      <c r="AYO10" s="28"/>
      <c r="AYP10" s="28"/>
      <c r="AYQ10" s="28"/>
      <c r="AYR10" s="28"/>
      <c r="AYS10" s="28"/>
      <c r="AYT10" s="28"/>
      <c r="AYU10" s="28"/>
      <c r="AYV10" s="28"/>
      <c r="AYW10" s="28"/>
      <c r="AYX10" s="28"/>
      <c r="AYY10" s="28"/>
      <c r="AYZ10" s="28"/>
      <c r="AZA10" s="28"/>
      <c r="AZB10" s="28"/>
      <c r="AZC10" s="28"/>
      <c r="AZD10" s="28"/>
      <c r="AZE10" s="28"/>
      <c r="AZF10" s="28"/>
      <c r="AZG10" s="28"/>
      <c r="AZH10" s="28"/>
      <c r="AZI10" s="28"/>
      <c r="AZJ10" s="28"/>
      <c r="AZK10" s="28"/>
      <c r="AZL10" s="28"/>
      <c r="AZM10" s="28"/>
      <c r="AZN10" s="28"/>
      <c r="AZO10" s="28"/>
      <c r="AZP10" s="28"/>
      <c r="AZQ10" s="28"/>
      <c r="AZR10" s="28"/>
      <c r="AZS10" s="28"/>
      <c r="AZT10" s="28"/>
      <c r="AZU10" s="28"/>
      <c r="AZV10" s="28"/>
      <c r="AZW10" s="28"/>
      <c r="AZX10" s="28"/>
      <c r="AZY10" s="28"/>
      <c r="AZZ10" s="28"/>
      <c r="BAA10" s="28"/>
      <c r="BAB10" s="28"/>
      <c r="BAC10" s="28"/>
      <c r="BAD10" s="28"/>
      <c r="BAE10" s="28"/>
      <c r="BAF10" s="28"/>
      <c r="BAG10" s="28"/>
      <c r="BAH10" s="28"/>
      <c r="BAI10" s="28"/>
      <c r="BAJ10" s="28"/>
      <c r="BAK10" s="28"/>
      <c r="BAL10" s="28"/>
      <c r="BAM10" s="28"/>
      <c r="BAN10" s="28"/>
      <c r="BAO10" s="28"/>
      <c r="BAP10" s="28"/>
      <c r="BAQ10" s="28"/>
      <c r="BAR10" s="28"/>
      <c r="BAS10" s="28"/>
      <c r="BAT10" s="28"/>
      <c r="BAU10" s="28"/>
      <c r="BAV10" s="28"/>
      <c r="BAW10" s="28"/>
      <c r="BAX10" s="28"/>
      <c r="BAY10" s="28"/>
      <c r="BAZ10" s="28"/>
      <c r="BBA10" s="28"/>
      <c r="BBB10" s="28"/>
      <c r="BBC10" s="28"/>
      <c r="BBD10" s="28"/>
      <c r="BBE10" s="28"/>
      <c r="BBF10" s="28"/>
      <c r="BBG10" s="28"/>
      <c r="BBH10" s="28"/>
      <c r="BBI10" s="28"/>
      <c r="BBJ10" s="28"/>
      <c r="BBK10" s="28"/>
      <c r="BBL10" s="28"/>
      <c r="BBM10" s="28"/>
      <c r="BBN10" s="28"/>
      <c r="BBO10" s="28"/>
      <c r="BBP10" s="28"/>
      <c r="BBQ10" s="28"/>
      <c r="BBR10" s="28"/>
      <c r="BBS10" s="28"/>
      <c r="BBT10" s="28"/>
      <c r="BBU10" s="28"/>
      <c r="BBV10" s="28"/>
      <c r="BBW10" s="28"/>
      <c r="BBX10" s="28"/>
      <c r="BBY10" s="28"/>
      <c r="BBZ10" s="28"/>
      <c r="BCA10" s="28"/>
      <c r="BCB10" s="28"/>
      <c r="BCC10" s="28"/>
      <c r="BCD10" s="28"/>
      <c r="BCE10" s="28"/>
      <c r="BCF10" s="28"/>
      <c r="BCG10" s="28"/>
      <c r="BCH10" s="28"/>
      <c r="BCI10" s="28"/>
      <c r="BCJ10" s="28"/>
      <c r="BCK10" s="28"/>
      <c r="BCL10" s="28"/>
      <c r="BCM10" s="28"/>
      <c r="BCN10" s="28"/>
      <c r="BCO10" s="28"/>
      <c r="BCP10" s="28"/>
      <c r="BCQ10" s="28"/>
      <c r="BCR10" s="28"/>
      <c r="BCS10" s="28"/>
      <c r="BCT10" s="28"/>
      <c r="BCU10" s="28"/>
      <c r="BCV10" s="28"/>
      <c r="BCW10" s="28"/>
      <c r="BCX10" s="28"/>
      <c r="BCY10" s="28"/>
      <c r="BCZ10" s="28"/>
      <c r="BDA10" s="28"/>
      <c r="BDB10" s="28"/>
      <c r="BDC10" s="28"/>
      <c r="BDD10" s="28"/>
      <c r="BDE10" s="28"/>
      <c r="BDF10" s="28"/>
      <c r="BDG10" s="28"/>
      <c r="BDH10" s="28"/>
      <c r="BDI10" s="28"/>
      <c r="BDJ10" s="28"/>
      <c r="BDK10" s="28"/>
      <c r="BDL10" s="28"/>
      <c r="BDM10" s="28"/>
      <c r="BDN10" s="28"/>
      <c r="BDO10" s="28"/>
      <c r="BDP10" s="28"/>
      <c r="BDQ10" s="28"/>
      <c r="BDR10" s="28"/>
      <c r="BDS10" s="28"/>
      <c r="BDT10" s="28"/>
      <c r="BDU10" s="28"/>
      <c r="BDV10" s="28"/>
      <c r="BDW10" s="28"/>
      <c r="BDX10" s="28"/>
      <c r="BDY10" s="28"/>
      <c r="BDZ10" s="28"/>
      <c r="BEA10" s="28"/>
      <c r="BEB10" s="28"/>
      <c r="BEC10" s="28"/>
      <c r="BED10" s="28"/>
      <c r="BEE10" s="28"/>
      <c r="BEF10" s="28"/>
      <c r="BEG10" s="28"/>
      <c r="BEH10" s="28"/>
      <c r="BEI10" s="28"/>
      <c r="BEJ10" s="28"/>
      <c r="BEK10" s="28"/>
      <c r="BEL10" s="28"/>
      <c r="BEM10" s="28"/>
      <c r="BEN10" s="28"/>
      <c r="BEO10" s="28"/>
      <c r="BEP10" s="28"/>
      <c r="BEQ10" s="28"/>
      <c r="BER10" s="28"/>
      <c r="BES10" s="28"/>
      <c r="BET10" s="28"/>
      <c r="BEU10" s="28"/>
      <c r="BEV10" s="28"/>
      <c r="BEW10" s="28"/>
      <c r="BEX10" s="28"/>
      <c r="BEY10" s="28"/>
      <c r="BEZ10" s="28"/>
      <c r="BFA10" s="28"/>
      <c r="BFB10" s="28"/>
      <c r="BFC10" s="28"/>
      <c r="BFD10" s="28"/>
      <c r="BFE10" s="28"/>
      <c r="BFF10" s="28"/>
      <c r="BFG10" s="28"/>
      <c r="BFH10" s="28"/>
      <c r="BFI10" s="28"/>
      <c r="BFJ10" s="28"/>
      <c r="BFK10" s="28"/>
      <c r="BFL10" s="28"/>
      <c r="BFM10" s="28"/>
      <c r="BFN10" s="28"/>
      <c r="BFO10" s="28"/>
      <c r="BFP10" s="28"/>
      <c r="BFQ10" s="28"/>
      <c r="BFR10" s="28"/>
      <c r="BFS10" s="28"/>
      <c r="BFT10" s="28"/>
      <c r="BFU10" s="28"/>
      <c r="BFV10" s="28"/>
      <c r="BFW10" s="28"/>
      <c r="BFX10" s="28"/>
      <c r="BFY10" s="28"/>
      <c r="BFZ10" s="28"/>
      <c r="BGA10" s="28"/>
      <c r="BGB10" s="28"/>
      <c r="BGC10" s="28"/>
      <c r="BGD10" s="28"/>
      <c r="BGE10" s="28"/>
      <c r="BGF10" s="28"/>
      <c r="BGG10" s="28"/>
      <c r="BGH10" s="28"/>
      <c r="BGI10" s="28"/>
      <c r="BGJ10" s="28"/>
      <c r="BGK10" s="28"/>
      <c r="BGL10" s="28"/>
      <c r="BGM10" s="28"/>
      <c r="BGN10" s="28"/>
      <c r="BGO10" s="28"/>
      <c r="BGP10" s="28"/>
      <c r="BGQ10" s="28"/>
      <c r="BGR10" s="28"/>
      <c r="BGS10" s="28"/>
      <c r="BGT10" s="28"/>
      <c r="BGU10" s="28"/>
      <c r="BGV10" s="28"/>
      <c r="BGW10" s="28"/>
      <c r="BGX10" s="28"/>
      <c r="BGY10" s="28"/>
      <c r="BGZ10" s="28"/>
      <c r="BHA10" s="28"/>
      <c r="BHB10" s="28"/>
      <c r="BHC10" s="28"/>
      <c r="BHD10" s="28"/>
      <c r="BHE10" s="28"/>
      <c r="BHF10" s="28"/>
      <c r="BHG10" s="28"/>
      <c r="BHH10" s="28"/>
      <c r="BHI10" s="28"/>
      <c r="BHJ10" s="28"/>
      <c r="BHK10" s="28"/>
      <c r="BHL10" s="28"/>
      <c r="BHM10" s="28"/>
      <c r="BHN10" s="28"/>
      <c r="BHO10" s="28"/>
      <c r="BHP10" s="28"/>
      <c r="BHQ10" s="28"/>
      <c r="BHR10" s="28"/>
      <c r="BHS10" s="28"/>
      <c r="BHT10" s="28"/>
      <c r="BHU10" s="28"/>
      <c r="BHV10" s="28"/>
      <c r="BHW10" s="28"/>
      <c r="BHX10" s="28"/>
      <c r="BHY10" s="28"/>
      <c r="BHZ10" s="28"/>
      <c r="BIA10" s="28"/>
      <c r="BIB10" s="28"/>
      <c r="BIC10" s="28"/>
      <c r="BID10" s="28"/>
      <c r="BIE10" s="28"/>
      <c r="BIF10" s="28"/>
      <c r="BIG10" s="28"/>
      <c r="BIH10" s="28"/>
      <c r="BII10" s="28"/>
      <c r="BIJ10" s="28"/>
      <c r="BIK10" s="28"/>
      <c r="BIL10" s="28"/>
      <c r="BIM10" s="28"/>
      <c r="BIN10" s="28"/>
      <c r="BIO10" s="28"/>
      <c r="BIP10" s="28"/>
      <c r="BIQ10" s="28"/>
      <c r="BIR10" s="28"/>
      <c r="BIS10" s="28"/>
      <c r="BIT10" s="28"/>
      <c r="BIU10" s="28"/>
      <c r="BIV10" s="28"/>
      <c r="BIW10" s="28"/>
      <c r="BIX10" s="28"/>
      <c r="BIY10" s="28"/>
      <c r="BIZ10" s="28"/>
      <c r="BJA10" s="28"/>
      <c r="BJB10" s="28"/>
      <c r="BJC10" s="28"/>
      <c r="BJD10" s="28"/>
      <c r="BJE10" s="28"/>
      <c r="BJF10" s="28"/>
      <c r="BJG10" s="28"/>
      <c r="BJH10" s="28"/>
      <c r="BJI10" s="28"/>
      <c r="BJJ10" s="28"/>
      <c r="BJK10" s="28"/>
      <c r="BJL10" s="28"/>
      <c r="BJM10" s="28"/>
      <c r="BJN10" s="28"/>
      <c r="BJO10" s="28"/>
      <c r="BJP10" s="28"/>
      <c r="BJQ10" s="28"/>
      <c r="BJR10" s="28"/>
      <c r="BJS10" s="28"/>
      <c r="BJT10" s="28"/>
      <c r="BJU10" s="28"/>
      <c r="BJV10" s="28"/>
      <c r="BJW10" s="28"/>
      <c r="BJX10" s="28"/>
      <c r="BJY10" s="28"/>
      <c r="BJZ10" s="28"/>
      <c r="BKA10" s="28"/>
      <c r="BKB10" s="28"/>
      <c r="BKC10" s="28"/>
      <c r="BKD10" s="28"/>
      <c r="BKE10" s="28"/>
      <c r="BKF10" s="28"/>
      <c r="BKG10" s="28"/>
      <c r="BKH10" s="28"/>
      <c r="BKI10" s="28"/>
      <c r="BKJ10" s="28"/>
      <c r="BKK10" s="28"/>
      <c r="BKL10" s="28"/>
      <c r="BKM10" s="28"/>
      <c r="BKN10" s="28"/>
      <c r="BKO10" s="28"/>
      <c r="BKP10" s="28"/>
      <c r="BKQ10" s="28"/>
      <c r="BKR10" s="28"/>
      <c r="BKS10" s="28"/>
      <c r="BKT10" s="28"/>
      <c r="BKU10" s="28"/>
      <c r="BKV10" s="28"/>
      <c r="BKW10" s="28"/>
      <c r="BKX10" s="28"/>
      <c r="BKY10" s="28"/>
      <c r="BKZ10" s="28"/>
      <c r="BLA10" s="28"/>
      <c r="BLB10" s="28"/>
      <c r="BLC10" s="28"/>
      <c r="BLD10" s="28"/>
      <c r="BLE10" s="28"/>
      <c r="BLF10" s="28"/>
      <c r="BLG10" s="28"/>
      <c r="BLH10" s="28"/>
      <c r="BLI10" s="28"/>
      <c r="BLJ10" s="28"/>
      <c r="BLK10" s="28"/>
      <c r="BLL10" s="28"/>
      <c r="BLM10" s="28"/>
      <c r="BLN10" s="28"/>
      <c r="BLO10" s="28"/>
      <c r="BLP10" s="28"/>
      <c r="BLQ10" s="28"/>
      <c r="BLR10" s="28"/>
      <c r="BLS10" s="28"/>
      <c r="BLT10" s="28"/>
      <c r="BLU10" s="28"/>
      <c r="BLV10" s="28"/>
      <c r="BLW10" s="28"/>
      <c r="BLX10" s="28"/>
      <c r="BLY10" s="28"/>
      <c r="BLZ10" s="28"/>
      <c r="BMA10" s="28"/>
      <c r="BMB10" s="28"/>
      <c r="BMC10" s="28"/>
      <c r="BMD10" s="28"/>
      <c r="BME10" s="28"/>
      <c r="BMF10" s="28"/>
      <c r="BMG10" s="28"/>
      <c r="BMH10" s="28"/>
      <c r="BMI10" s="28"/>
      <c r="BMJ10" s="28"/>
      <c r="BMK10" s="28"/>
      <c r="BML10" s="28"/>
      <c r="BMM10" s="28"/>
      <c r="BMN10" s="28"/>
      <c r="BMO10" s="28"/>
      <c r="BMP10" s="28"/>
      <c r="BMQ10" s="28"/>
      <c r="BMR10" s="28"/>
      <c r="BMS10" s="28"/>
      <c r="BMT10" s="28"/>
      <c r="BMU10" s="28"/>
      <c r="BMV10" s="28"/>
      <c r="BMW10" s="28"/>
      <c r="BMX10" s="28"/>
      <c r="BMY10" s="28"/>
      <c r="BMZ10" s="28"/>
      <c r="BNA10" s="28"/>
      <c r="BNB10" s="28"/>
      <c r="BNC10" s="28"/>
      <c r="BND10" s="28"/>
      <c r="BNE10" s="28"/>
      <c r="BNF10" s="28"/>
      <c r="BNG10" s="28"/>
      <c r="BNH10" s="28"/>
      <c r="BNI10" s="28"/>
      <c r="BNJ10" s="28"/>
      <c r="BNK10" s="28"/>
      <c r="BNL10" s="28"/>
      <c r="BNM10" s="28"/>
      <c r="BNN10" s="28"/>
      <c r="BNO10" s="28"/>
      <c r="BNP10" s="28"/>
      <c r="BNQ10" s="28"/>
      <c r="BNR10" s="28"/>
      <c r="BNS10" s="28"/>
      <c r="BNT10" s="28"/>
      <c r="BNU10" s="28"/>
      <c r="BNV10" s="28"/>
      <c r="BNW10" s="28"/>
      <c r="BNX10" s="28"/>
      <c r="BNY10" s="28"/>
      <c r="BNZ10" s="28"/>
      <c r="BOA10" s="28"/>
      <c r="BOB10" s="28"/>
      <c r="BOC10" s="28"/>
      <c r="BOD10" s="28"/>
      <c r="BOE10" s="28"/>
      <c r="BOF10" s="28"/>
      <c r="BOG10" s="28"/>
      <c r="BOH10" s="28"/>
      <c r="BOI10" s="28"/>
      <c r="BOJ10" s="28"/>
      <c r="BOK10" s="28"/>
      <c r="BOL10" s="28"/>
      <c r="BOM10" s="28"/>
      <c r="BON10" s="28"/>
      <c r="BOO10" s="28"/>
      <c r="BOP10" s="28"/>
      <c r="BOQ10" s="28"/>
      <c r="BOR10" s="28"/>
      <c r="BOS10" s="28"/>
      <c r="BOT10" s="28"/>
      <c r="BOU10" s="28"/>
      <c r="BOV10" s="28"/>
      <c r="BOW10" s="28"/>
      <c r="BOX10" s="28"/>
      <c r="BOY10" s="28"/>
      <c r="BOZ10" s="28"/>
      <c r="BPA10" s="28"/>
      <c r="BPB10" s="28"/>
      <c r="BPC10" s="28"/>
      <c r="BPD10" s="28"/>
      <c r="BPE10" s="28"/>
      <c r="BPF10" s="28"/>
      <c r="BPG10" s="28"/>
      <c r="BPH10" s="28"/>
      <c r="BPI10" s="28"/>
      <c r="BPJ10" s="28"/>
      <c r="BPK10" s="28"/>
      <c r="BPL10" s="28"/>
      <c r="BPM10" s="28"/>
      <c r="BPN10" s="28"/>
      <c r="BPO10" s="28"/>
      <c r="BPP10" s="28"/>
      <c r="BPQ10" s="28"/>
      <c r="BPR10" s="28"/>
      <c r="BPS10" s="28"/>
      <c r="BPT10" s="28"/>
      <c r="BPU10" s="28"/>
      <c r="BPV10" s="28"/>
      <c r="BPW10" s="28"/>
      <c r="BPX10" s="28"/>
      <c r="BPY10" s="28"/>
      <c r="BPZ10" s="28"/>
      <c r="BQA10" s="28"/>
      <c r="BQB10" s="28"/>
      <c r="BQC10" s="28"/>
      <c r="BQD10" s="28"/>
      <c r="BQE10" s="28"/>
      <c r="BQF10" s="28"/>
      <c r="BQG10" s="28"/>
      <c r="BQH10" s="28"/>
      <c r="BQI10" s="28"/>
      <c r="BQJ10" s="28"/>
      <c r="BQK10" s="28"/>
      <c r="BQL10" s="28"/>
      <c r="BQM10" s="28"/>
      <c r="BQN10" s="28"/>
      <c r="BQO10" s="28"/>
      <c r="BQP10" s="28"/>
      <c r="BQQ10" s="28"/>
      <c r="BQR10" s="28"/>
      <c r="BQS10" s="28"/>
      <c r="BQT10" s="28"/>
      <c r="BQU10" s="28"/>
      <c r="BQV10" s="28"/>
      <c r="BQW10" s="28"/>
      <c r="BQX10" s="28"/>
      <c r="BQY10" s="28"/>
      <c r="BQZ10" s="28"/>
      <c r="BRA10" s="28"/>
      <c r="BRB10" s="28"/>
      <c r="BRC10" s="28"/>
      <c r="BRD10" s="28"/>
      <c r="BRE10" s="28"/>
      <c r="BRF10" s="28"/>
      <c r="BRG10" s="28"/>
      <c r="BRH10" s="28"/>
      <c r="BRI10" s="28"/>
      <c r="BRJ10" s="28"/>
      <c r="BRK10" s="28"/>
      <c r="BRL10" s="28"/>
      <c r="BRM10" s="28"/>
      <c r="BRN10" s="28"/>
      <c r="BRO10" s="28"/>
      <c r="BRP10" s="28"/>
      <c r="BRQ10" s="28"/>
      <c r="BRR10" s="28"/>
      <c r="BRS10" s="28"/>
      <c r="BRT10" s="28"/>
      <c r="BRU10" s="28"/>
      <c r="BRV10" s="28"/>
      <c r="BRW10" s="28"/>
      <c r="BRX10" s="28"/>
      <c r="BRY10" s="28"/>
      <c r="BRZ10" s="28"/>
      <c r="BSA10" s="28"/>
      <c r="BSB10" s="28"/>
      <c r="BSC10" s="28"/>
      <c r="BSD10" s="28"/>
      <c r="BSE10" s="28"/>
      <c r="BSF10" s="28"/>
      <c r="BSG10" s="28"/>
      <c r="BSH10" s="28"/>
      <c r="BSI10" s="28"/>
      <c r="BSJ10" s="28"/>
      <c r="BSK10" s="28"/>
      <c r="BSL10" s="28"/>
      <c r="BSM10" s="28"/>
      <c r="BSN10" s="28"/>
      <c r="BSO10" s="28"/>
      <c r="BSP10" s="28"/>
      <c r="BSQ10" s="28"/>
      <c r="BSR10" s="28"/>
      <c r="BSS10" s="28"/>
      <c r="BST10" s="28"/>
      <c r="BSU10" s="28"/>
      <c r="BSV10" s="28"/>
      <c r="BSW10" s="28"/>
      <c r="BSX10" s="28"/>
      <c r="BSY10" s="28"/>
      <c r="BSZ10" s="28"/>
      <c r="BTA10" s="28"/>
      <c r="BTB10" s="28"/>
      <c r="BTC10" s="28"/>
      <c r="BTD10" s="28"/>
      <c r="BTE10" s="28"/>
      <c r="BTF10" s="28"/>
      <c r="BTG10" s="28"/>
      <c r="BTH10" s="28"/>
      <c r="BTI10" s="28"/>
      <c r="BTJ10" s="28"/>
      <c r="BTK10" s="28"/>
      <c r="BTL10" s="28"/>
      <c r="BTM10" s="28"/>
      <c r="BTN10" s="28"/>
      <c r="BTO10" s="28"/>
      <c r="BTP10" s="28"/>
      <c r="BTQ10" s="28"/>
      <c r="BTR10" s="28"/>
      <c r="BTS10" s="28"/>
      <c r="BTT10" s="28"/>
      <c r="BTU10" s="28"/>
      <c r="BTV10" s="28"/>
      <c r="BTW10" s="28"/>
      <c r="BTX10" s="28"/>
      <c r="BTY10" s="28"/>
      <c r="BTZ10" s="28"/>
      <c r="BUA10" s="28"/>
      <c r="BUB10" s="28"/>
      <c r="BUC10" s="28"/>
      <c r="BUD10" s="28"/>
      <c r="BUE10" s="28"/>
      <c r="BUF10" s="28"/>
      <c r="BUG10" s="28"/>
      <c r="BUH10" s="28"/>
      <c r="BUI10" s="28"/>
      <c r="BUJ10" s="28"/>
      <c r="BUK10" s="28"/>
      <c r="BUL10" s="28"/>
      <c r="BUM10" s="28"/>
      <c r="BUN10" s="28"/>
      <c r="BUO10" s="28"/>
      <c r="BUP10" s="28"/>
      <c r="BUQ10" s="28"/>
      <c r="BUR10" s="28"/>
      <c r="BUS10" s="28"/>
      <c r="BUT10" s="28"/>
      <c r="BUU10" s="28"/>
      <c r="BUV10" s="28"/>
      <c r="BUW10" s="28"/>
      <c r="BUX10" s="28"/>
      <c r="BUY10" s="28"/>
      <c r="BUZ10" s="28"/>
      <c r="BVA10" s="28"/>
      <c r="BVB10" s="28"/>
      <c r="BVC10" s="28"/>
      <c r="BVD10" s="28"/>
      <c r="BVE10" s="28"/>
      <c r="BVF10" s="28"/>
      <c r="BVG10" s="28"/>
      <c r="BVH10" s="28"/>
      <c r="BVI10" s="28"/>
      <c r="BVJ10" s="28"/>
      <c r="BVK10" s="28"/>
      <c r="BVL10" s="28"/>
      <c r="BVM10" s="28"/>
      <c r="BVN10" s="28"/>
      <c r="BVO10" s="28"/>
      <c r="BVP10" s="28"/>
      <c r="BVQ10" s="28"/>
      <c r="BVR10" s="28"/>
      <c r="BVS10" s="28"/>
      <c r="BVT10" s="28"/>
      <c r="BVU10" s="28"/>
      <c r="BVV10" s="28"/>
      <c r="BVW10" s="28"/>
      <c r="BVX10" s="28"/>
      <c r="BVY10" s="28"/>
      <c r="BVZ10" s="28"/>
      <c r="BWA10" s="28"/>
      <c r="BWB10" s="28"/>
      <c r="BWC10" s="28"/>
      <c r="BWD10" s="28"/>
      <c r="BWE10" s="28"/>
      <c r="BWF10" s="28"/>
      <c r="BWG10" s="28"/>
      <c r="BWH10" s="28"/>
      <c r="BWI10" s="28"/>
      <c r="BWJ10" s="28"/>
      <c r="BWK10" s="28"/>
      <c r="BWL10" s="28"/>
      <c r="BWM10" s="28"/>
      <c r="BWN10" s="28"/>
      <c r="BWO10" s="28"/>
      <c r="BWP10" s="28"/>
      <c r="BWQ10" s="28"/>
      <c r="BWR10" s="28"/>
      <c r="BWS10" s="28"/>
      <c r="BWT10" s="28"/>
      <c r="BWU10" s="28"/>
      <c r="BWV10" s="28"/>
      <c r="BWW10" s="28"/>
      <c r="BWX10" s="28"/>
      <c r="BWY10" s="28"/>
      <c r="BWZ10" s="28"/>
      <c r="BXA10" s="28"/>
      <c r="BXB10" s="28"/>
      <c r="BXC10" s="28"/>
      <c r="BXD10" s="28"/>
      <c r="BXE10" s="28"/>
      <c r="BXF10" s="28"/>
      <c r="BXG10" s="28"/>
      <c r="BXH10" s="28"/>
      <c r="BXI10" s="28"/>
      <c r="BXJ10" s="28"/>
      <c r="BXK10" s="28"/>
      <c r="BXL10" s="28"/>
      <c r="BXM10" s="28"/>
      <c r="BXN10" s="28"/>
      <c r="BXO10" s="28"/>
      <c r="BXP10" s="28"/>
      <c r="BXQ10" s="28"/>
      <c r="BXR10" s="28"/>
      <c r="BXS10" s="28"/>
      <c r="BXT10" s="28"/>
      <c r="BXU10" s="28"/>
      <c r="BXV10" s="28"/>
      <c r="BXW10" s="28"/>
      <c r="BXX10" s="28"/>
      <c r="BXY10" s="28"/>
      <c r="BXZ10" s="28"/>
      <c r="BYA10" s="28"/>
      <c r="BYB10" s="28"/>
      <c r="BYC10" s="28"/>
      <c r="BYD10" s="28"/>
      <c r="BYE10" s="28"/>
      <c r="BYF10" s="28"/>
      <c r="BYG10" s="28"/>
      <c r="BYH10" s="28"/>
      <c r="BYI10" s="28"/>
      <c r="BYJ10" s="28"/>
      <c r="BYK10" s="28"/>
      <c r="BYL10" s="28"/>
      <c r="BYM10" s="28"/>
      <c r="BYN10" s="28"/>
      <c r="BYO10" s="28"/>
      <c r="BYP10" s="28"/>
      <c r="BYQ10" s="28"/>
      <c r="BYR10" s="28"/>
      <c r="BYS10" s="28"/>
      <c r="BYT10" s="28"/>
      <c r="BYU10" s="28"/>
      <c r="BYV10" s="28"/>
      <c r="BYW10" s="28"/>
      <c r="BYX10" s="28"/>
      <c r="BYY10" s="28"/>
      <c r="BYZ10" s="28"/>
      <c r="BZA10" s="28"/>
      <c r="BZB10" s="28"/>
      <c r="BZC10" s="28"/>
      <c r="BZD10" s="28"/>
      <c r="BZE10" s="28"/>
      <c r="BZF10" s="28"/>
      <c r="BZG10" s="28"/>
      <c r="BZH10" s="28"/>
      <c r="BZI10" s="28"/>
      <c r="BZJ10" s="28"/>
      <c r="BZK10" s="28"/>
      <c r="BZL10" s="28"/>
      <c r="BZM10" s="28"/>
      <c r="BZN10" s="28"/>
      <c r="BZO10" s="28"/>
      <c r="BZP10" s="28"/>
      <c r="BZQ10" s="28"/>
      <c r="BZR10" s="28"/>
      <c r="BZS10" s="28"/>
      <c r="BZT10" s="28"/>
      <c r="BZU10" s="28"/>
      <c r="BZV10" s="28"/>
      <c r="BZW10" s="28"/>
      <c r="BZX10" s="28"/>
      <c r="BZY10" s="28"/>
      <c r="BZZ10" s="28"/>
      <c r="CAA10" s="28"/>
      <c r="CAB10" s="28"/>
      <c r="CAC10" s="28"/>
      <c r="CAD10" s="28"/>
      <c r="CAE10" s="28"/>
      <c r="CAF10" s="28"/>
      <c r="CAG10" s="28"/>
      <c r="CAH10" s="28"/>
      <c r="CAI10" s="28"/>
      <c r="CAJ10" s="28"/>
      <c r="CAK10" s="28"/>
      <c r="CAL10" s="28"/>
      <c r="CAM10" s="28"/>
      <c r="CAN10" s="28"/>
      <c r="CAO10" s="28"/>
      <c r="CAP10" s="28"/>
      <c r="CAQ10" s="28"/>
      <c r="CAR10" s="28"/>
      <c r="CAS10" s="28"/>
      <c r="CAT10" s="28"/>
      <c r="CAU10" s="28"/>
      <c r="CAV10" s="28"/>
      <c r="CAW10" s="28"/>
      <c r="CAX10" s="28"/>
      <c r="CAY10" s="28"/>
      <c r="CAZ10" s="28"/>
      <c r="CBA10" s="28"/>
      <c r="CBB10" s="28"/>
      <c r="CBC10" s="28"/>
      <c r="CBD10" s="28"/>
      <c r="CBE10" s="28"/>
      <c r="CBF10" s="28"/>
      <c r="CBG10" s="28"/>
      <c r="CBH10" s="28"/>
      <c r="CBI10" s="28"/>
      <c r="CBJ10" s="28"/>
      <c r="CBK10" s="28"/>
      <c r="CBL10" s="28"/>
      <c r="CBM10" s="28"/>
      <c r="CBN10" s="28"/>
      <c r="CBO10" s="28"/>
      <c r="CBP10" s="28"/>
      <c r="CBQ10" s="28"/>
      <c r="CBR10" s="28"/>
      <c r="CBS10" s="28"/>
      <c r="CBT10" s="28"/>
      <c r="CBU10" s="28"/>
      <c r="CBV10" s="28"/>
      <c r="CBW10" s="28"/>
      <c r="CBX10" s="28"/>
      <c r="CBY10" s="28"/>
      <c r="CBZ10" s="28"/>
      <c r="CCA10" s="28"/>
      <c r="CCB10" s="28"/>
      <c r="CCC10" s="28"/>
      <c r="CCD10" s="28"/>
      <c r="CCE10" s="28"/>
      <c r="CCF10" s="28"/>
      <c r="CCG10" s="28"/>
      <c r="CCH10" s="28"/>
      <c r="CCI10" s="28"/>
      <c r="CCJ10" s="28"/>
      <c r="CCK10" s="28"/>
      <c r="CCL10" s="28"/>
      <c r="CCM10" s="28"/>
      <c r="CCN10" s="28"/>
      <c r="CCO10" s="28"/>
      <c r="CCP10" s="28"/>
      <c r="CCQ10" s="28"/>
      <c r="CCR10" s="28"/>
      <c r="CCS10" s="28"/>
      <c r="CCT10" s="28"/>
      <c r="CCU10" s="28"/>
      <c r="CCV10" s="28"/>
      <c r="CCW10" s="28"/>
      <c r="CCX10" s="28"/>
      <c r="CCY10" s="28"/>
      <c r="CCZ10" s="28"/>
      <c r="CDA10" s="28"/>
      <c r="CDB10" s="28"/>
      <c r="CDC10" s="28"/>
      <c r="CDD10" s="28"/>
      <c r="CDE10" s="28"/>
      <c r="CDF10" s="28"/>
      <c r="CDG10" s="28"/>
      <c r="CDH10" s="28"/>
      <c r="CDI10" s="28"/>
      <c r="CDJ10" s="28"/>
      <c r="CDK10" s="28"/>
      <c r="CDL10" s="28"/>
      <c r="CDM10" s="28"/>
      <c r="CDN10" s="28"/>
      <c r="CDO10" s="28"/>
      <c r="CDP10" s="28"/>
      <c r="CDQ10" s="28"/>
      <c r="CDR10" s="28"/>
      <c r="CDS10" s="28"/>
      <c r="CDT10" s="28"/>
      <c r="CDU10" s="28"/>
      <c r="CDV10" s="28"/>
      <c r="CDW10" s="28"/>
      <c r="CDX10" s="28"/>
      <c r="CDY10" s="28"/>
      <c r="CDZ10" s="28"/>
      <c r="CEA10" s="28"/>
      <c r="CEB10" s="28"/>
      <c r="CEC10" s="28"/>
      <c r="CED10" s="28"/>
      <c r="CEE10" s="28"/>
      <c r="CEF10" s="28"/>
      <c r="CEG10" s="28"/>
      <c r="CEH10" s="28"/>
      <c r="CEI10" s="28"/>
      <c r="CEJ10" s="28"/>
      <c r="CEK10" s="28"/>
      <c r="CEL10" s="28"/>
      <c r="CEM10" s="28"/>
      <c r="CEN10" s="28"/>
      <c r="CEO10" s="28"/>
      <c r="CEP10" s="28"/>
      <c r="CEQ10" s="28"/>
      <c r="CER10" s="28"/>
      <c r="CES10" s="28"/>
      <c r="CET10" s="28"/>
      <c r="CEU10" s="28"/>
      <c r="CEV10" s="28"/>
      <c r="CEW10" s="28"/>
      <c r="CEX10" s="28"/>
      <c r="CEY10" s="28"/>
      <c r="CEZ10" s="28"/>
      <c r="CFA10" s="28"/>
      <c r="CFB10" s="28"/>
      <c r="CFC10" s="28"/>
      <c r="CFD10" s="28"/>
      <c r="CFE10" s="28"/>
      <c r="CFF10" s="28"/>
      <c r="CFG10" s="28"/>
      <c r="CFH10" s="28"/>
      <c r="CFI10" s="28"/>
      <c r="CFJ10" s="28"/>
      <c r="CFK10" s="28"/>
      <c r="CFL10" s="28"/>
      <c r="CFM10" s="28"/>
      <c r="CFN10" s="28"/>
      <c r="CFO10" s="28"/>
      <c r="CFP10" s="28"/>
      <c r="CFQ10" s="28"/>
      <c r="CFR10" s="28"/>
      <c r="CFS10" s="28"/>
      <c r="CFT10" s="28"/>
      <c r="CFU10" s="28"/>
      <c r="CFV10" s="28"/>
      <c r="CFW10" s="28"/>
      <c r="CFX10" s="28"/>
      <c r="CFY10" s="28"/>
      <c r="CFZ10" s="28"/>
      <c r="CGA10" s="28"/>
      <c r="CGB10" s="28"/>
      <c r="CGC10" s="28"/>
      <c r="CGD10" s="28"/>
      <c r="CGE10" s="28"/>
      <c r="CGF10" s="28"/>
      <c r="CGG10" s="28"/>
      <c r="CGH10" s="28"/>
      <c r="CGI10" s="28"/>
      <c r="CGJ10" s="28"/>
      <c r="CGK10" s="28"/>
      <c r="CGL10" s="28"/>
      <c r="CGM10" s="28"/>
      <c r="CGN10" s="28"/>
      <c r="CGO10" s="28"/>
      <c r="CGP10" s="28"/>
      <c r="CGQ10" s="28"/>
      <c r="CGR10" s="28"/>
      <c r="CGS10" s="28"/>
      <c r="CGT10" s="28"/>
      <c r="CGU10" s="28"/>
      <c r="CGV10" s="28"/>
      <c r="CGW10" s="28"/>
      <c r="CGX10" s="28"/>
      <c r="CGY10" s="28"/>
      <c r="CGZ10" s="28"/>
      <c r="CHA10" s="28"/>
      <c r="CHB10" s="28"/>
      <c r="CHC10" s="28"/>
      <c r="CHD10" s="28"/>
      <c r="CHE10" s="28"/>
      <c r="CHF10" s="28"/>
      <c r="CHG10" s="28"/>
      <c r="CHH10" s="28"/>
      <c r="CHI10" s="28"/>
      <c r="CHJ10" s="28"/>
      <c r="CHK10" s="28"/>
      <c r="CHL10" s="28"/>
      <c r="CHM10" s="28"/>
      <c r="CHN10" s="28"/>
      <c r="CHO10" s="28"/>
      <c r="CHP10" s="28"/>
      <c r="CHQ10" s="28"/>
      <c r="CHR10" s="28"/>
      <c r="CHS10" s="28"/>
      <c r="CHT10" s="28"/>
      <c r="CHU10" s="28"/>
      <c r="CHV10" s="28"/>
      <c r="CHW10" s="28"/>
      <c r="CHX10" s="28"/>
      <c r="CHY10" s="28"/>
      <c r="CHZ10" s="28"/>
      <c r="CIA10" s="28"/>
      <c r="CIB10" s="28"/>
      <c r="CIC10" s="28"/>
      <c r="CID10" s="28"/>
      <c r="CIE10" s="28"/>
      <c r="CIF10" s="28"/>
      <c r="CIG10" s="28"/>
      <c r="CIH10" s="28"/>
      <c r="CII10" s="28"/>
      <c r="CIJ10" s="28"/>
      <c r="CIK10" s="28"/>
      <c r="CIL10" s="28"/>
      <c r="CIM10" s="28"/>
      <c r="CIN10" s="28"/>
      <c r="CIO10" s="28"/>
      <c r="CIP10" s="28"/>
      <c r="CIQ10" s="28"/>
      <c r="CIR10" s="28"/>
      <c r="CIS10" s="28"/>
      <c r="CIT10" s="28"/>
      <c r="CIU10" s="28"/>
      <c r="CIV10" s="28"/>
      <c r="CIW10" s="28"/>
      <c r="CIX10" s="28"/>
      <c r="CIY10" s="28"/>
      <c r="CIZ10" s="28"/>
      <c r="CJA10" s="28"/>
      <c r="CJB10" s="28"/>
      <c r="CJC10" s="28"/>
      <c r="CJD10" s="28"/>
      <c r="CJE10" s="28"/>
      <c r="CJF10" s="28"/>
      <c r="CJG10" s="28"/>
      <c r="CJH10" s="28"/>
      <c r="CJI10" s="28"/>
      <c r="CJJ10" s="28"/>
      <c r="CJK10" s="28"/>
      <c r="CJL10" s="28"/>
      <c r="CJM10" s="28"/>
      <c r="CJN10" s="28"/>
      <c r="CJO10" s="28"/>
      <c r="CJP10" s="28"/>
      <c r="CJQ10" s="28"/>
      <c r="CJR10" s="28"/>
      <c r="CJS10" s="28"/>
      <c r="CJT10" s="28"/>
      <c r="CJU10" s="28"/>
      <c r="CJV10" s="28"/>
      <c r="CJW10" s="28"/>
      <c r="CJX10" s="28"/>
      <c r="CJY10" s="28"/>
      <c r="CJZ10" s="28"/>
      <c r="CKA10" s="28"/>
      <c r="CKB10" s="28"/>
      <c r="CKC10" s="28"/>
      <c r="CKD10" s="28"/>
      <c r="CKE10" s="28"/>
      <c r="CKF10" s="28"/>
      <c r="CKG10" s="28"/>
      <c r="CKH10" s="28"/>
      <c r="CKI10" s="28"/>
      <c r="CKJ10" s="28"/>
      <c r="CKK10" s="28"/>
      <c r="CKL10" s="28"/>
      <c r="CKM10" s="28"/>
      <c r="CKN10" s="28"/>
      <c r="CKO10" s="28"/>
      <c r="CKP10" s="28"/>
      <c r="CKQ10" s="28"/>
      <c r="CKR10" s="28"/>
      <c r="CKS10" s="28"/>
      <c r="CKT10" s="28"/>
      <c r="CKU10" s="28"/>
      <c r="CKV10" s="28"/>
      <c r="CKW10" s="28"/>
      <c r="CKX10" s="28"/>
      <c r="CKY10" s="28"/>
      <c r="CKZ10" s="28"/>
      <c r="CLA10" s="28"/>
      <c r="CLB10" s="28"/>
      <c r="CLC10" s="28"/>
      <c r="CLD10" s="28"/>
      <c r="CLE10" s="28"/>
      <c r="CLF10" s="28"/>
      <c r="CLG10" s="28"/>
      <c r="CLH10" s="28"/>
      <c r="CLI10" s="28"/>
      <c r="CLJ10" s="28"/>
      <c r="CLK10" s="28"/>
      <c r="CLL10" s="28"/>
      <c r="CLM10" s="28"/>
      <c r="CLN10" s="28"/>
      <c r="CLO10" s="28"/>
      <c r="CLP10" s="28"/>
      <c r="CLQ10" s="28"/>
      <c r="CLR10" s="28"/>
      <c r="CLS10" s="28"/>
      <c r="CLT10" s="28"/>
      <c r="CLU10" s="28"/>
      <c r="CLV10" s="28"/>
      <c r="CLW10" s="28"/>
      <c r="CLX10" s="28"/>
      <c r="CLY10" s="28"/>
      <c r="CLZ10" s="28"/>
      <c r="CMA10" s="28"/>
      <c r="CMB10" s="28"/>
      <c r="CMC10" s="28"/>
      <c r="CMD10" s="28"/>
      <c r="CME10" s="28"/>
      <c r="CMF10" s="28"/>
      <c r="CMG10" s="28"/>
      <c r="CMH10" s="28"/>
      <c r="CMI10" s="28"/>
      <c r="CMJ10" s="28"/>
      <c r="CMK10" s="28"/>
      <c r="CML10" s="28"/>
      <c r="CMM10" s="28"/>
      <c r="CMN10" s="28"/>
      <c r="CMO10" s="28"/>
      <c r="CMP10" s="28"/>
      <c r="CMQ10" s="28"/>
      <c r="CMR10" s="28"/>
      <c r="CMS10" s="28"/>
      <c r="CMT10" s="28"/>
      <c r="CMU10" s="28"/>
      <c r="CMV10" s="28"/>
      <c r="CMW10" s="28"/>
      <c r="CMX10" s="28"/>
      <c r="CMY10" s="28"/>
      <c r="CMZ10" s="28"/>
      <c r="CNA10" s="28"/>
      <c r="CNB10" s="28"/>
      <c r="CNC10" s="28"/>
      <c r="CND10" s="28"/>
      <c r="CNE10" s="28"/>
      <c r="CNF10" s="28"/>
      <c r="CNG10" s="28"/>
      <c r="CNH10" s="28"/>
      <c r="CNI10" s="28"/>
      <c r="CNJ10" s="28"/>
      <c r="CNK10" s="28"/>
      <c r="CNL10" s="28"/>
      <c r="CNM10" s="28"/>
      <c r="CNN10" s="28"/>
      <c r="CNO10" s="28"/>
      <c r="CNP10" s="28"/>
      <c r="CNQ10" s="28"/>
      <c r="CNR10" s="28"/>
      <c r="CNS10" s="28"/>
      <c r="CNT10" s="28"/>
      <c r="CNU10" s="28"/>
      <c r="CNV10" s="28"/>
      <c r="CNW10" s="28"/>
      <c r="CNX10" s="28"/>
      <c r="CNY10" s="28"/>
      <c r="CNZ10" s="28"/>
      <c r="COA10" s="28"/>
      <c r="COB10" s="28"/>
      <c r="COC10" s="28"/>
      <c r="COD10" s="28"/>
      <c r="COE10" s="28"/>
      <c r="COF10" s="28"/>
      <c r="COG10" s="28"/>
      <c r="COH10" s="28"/>
      <c r="COI10" s="28"/>
      <c r="COJ10" s="28"/>
      <c r="COK10" s="28"/>
      <c r="COL10" s="28"/>
      <c r="COM10" s="28"/>
      <c r="CON10" s="28"/>
      <c r="COO10" s="28"/>
      <c r="COP10" s="28"/>
      <c r="COQ10" s="28"/>
      <c r="COR10" s="28"/>
      <c r="COS10" s="28"/>
      <c r="COT10" s="28"/>
      <c r="COU10" s="28"/>
      <c r="COV10" s="28"/>
      <c r="COW10" s="28"/>
      <c r="COX10" s="28"/>
      <c r="COY10" s="28"/>
      <c r="COZ10" s="28"/>
      <c r="CPA10" s="28"/>
      <c r="CPB10" s="28"/>
      <c r="CPC10" s="28"/>
      <c r="CPD10" s="28"/>
      <c r="CPE10" s="28"/>
      <c r="CPF10" s="28"/>
      <c r="CPG10" s="28"/>
      <c r="CPH10" s="28"/>
      <c r="CPI10" s="28"/>
      <c r="CPJ10" s="28"/>
      <c r="CPK10" s="28"/>
      <c r="CPL10" s="28"/>
      <c r="CPM10" s="28"/>
      <c r="CPN10" s="28"/>
      <c r="CPO10" s="28"/>
      <c r="CPP10" s="28"/>
      <c r="CPQ10" s="28"/>
      <c r="CPR10" s="28"/>
      <c r="CPS10" s="28"/>
      <c r="CPT10" s="28"/>
      <c r="CPU10" s="28"/>
      <c r="CPV10" s="28"/>
      <c r="CPW10" s="28"/>
      <c r="CPX10" s="28"/>
      <c r="CPY10" s="28"/>
      <c r="CPZ10" s="28"/>
      <c r="CQA10" s="28"/>
      <c r="CQB10" s="28"/>
      <c r="CQC10" s="28"/>
      <c r="CQD10" s="28"/>
      <c r="CQE10" s="28"/>
      <c r="CQF10" s="28"/>
      <c r="CQG10" s="28"/>
      <c r="CQH10" s="28"/>
      <c r="CQI10" s="28"/>
      <c r="CQJ10" s="28"/>
      <c r="CQK10" s="28"/>
      <c r="CQL10" s="28"/>
      <c r="CQM10" s="28"/>
      <c r="CQN10" s="28"/>
      <c r="CQO10" s="28"/>
      <c r="CQP10" s="28"/>
      <c r="CQQ10" s="28"/>
      <c r="CQR10" s="28"/>
      <c r="CQS10" s="28"/>
      <c r="CQT10" s="28"/>
      <c r="CQU10" s="28"/>
      <c r="CQV10" s="28"/>
      <c r="CQW10" s="28"/>
      <c r="CQX10" s="28"/>
      <c r="CQY10" s="28"/>
      <c r="CQZ10" s="28"/>
      <c r="CRA10" s="28"/>
      <c r="CRB10" s="28"/>
      <c r="CRC10" s="28"/>
      <c r="CRD10" s="28"/>
      <c r="CRE10" s="28"/>
      <c r="CRF10" s="28"/>
      <c r="CRG10" s="28"/>
      <c r="CRH10" s="28"/>
      <c r="CRI10" s="28"/>
      <c r="CRJ10" s="28"/>
      <c r="CRK10" s="28"/>
      <c r="CRL10" s="28"/>
      <c r="CRM10" s="28"/>
      <c r="CRN10" s="28"/>
      <c r="CRO10" s="28"/>
      <c r="CRP10" s="28"/>
      <c r="CRQ10" s="28"/>
      <c r="CRR10" s="28"/>
      <c r="CRS10" s="28"/>
      <c r="CRT10" s="28"/>
      <c r="CRU10" s="28"/>
      <c r="CRV10" s="28"/>
      <c r="CRW10" s="28"/>
      <c r="CRX10" s="28"/>
      <c r="CRY10" s="28"/>
      <c r="CRZ10" s="28"/>
      <c r="CSA10" s="28"/>
      <c r="CSB10" s="28"/>
      <c r="CSC10" s="28"/>
      <c r="CSD10" s="28"/>
      <c r="CSE10" s="28"/>
      <c r="CSF10" s="28"/>
      <c r="CSG10" s="28"/>
      <c r="CSH10" s="28"/>
      <c r="CSI10" s="28"/>
      <c r="CSJ10" s="28"/>
      <c r="CSK10" s="28"/>
      <c r="CSL10" s="28"/>
      <c r="CSM10" s="28"/>
      <c r="CSN10" s="28"/>
      <c r="CSO10" s="28"/>
      <c r="CSP10" s="28"/>
      <c r="CSQ10" s="28"/>
      <c r="CSR10" s="28"/>
      <c r="CSS10" s="28"/>
      <c r="CST10" s="28"/>
      <c r="CSU10" s="28"/>
      <c r="CSV10" s="28"/>
      <c r="CSW10" s="28"/>
      <c r="CSX10" s="28"/>
      <c r="CSY10" s="28"/>
      <c r="CSZ10" s="28"/>
      <c r="CTA10" s="28"/>
      <c r="CTB10" s="28"/>
      <c r="CTC10" s="28"/>
      <c r="CTD10" s="28"/>
      <c r="CTE10" s="28"/>
      <c r="CTF10" s="28"/>
      <c r="CTG10" s="28"/>
      <c r="CTH10" s="28"/>
      <c r="CTI10" s="28"/>
      <c r="CTJ10" s="28"/>
      <c r="CTK10" s="28"/>
      <c r="CTL10" s="28"/>
      <c r="CTM10" s="28"/>
      <c r="CTN10" s="28"/>
      <c r="CTO10" s="28"/>
      <c r="CTP10" s="28"/>
      <c r="CTQ10" s="28"/>
      <c r="CTR10" s="28"/>
      <c r="CTS10" s="28"/>
      <c r="CTT10" s="28"/>
      <c r="CTU10" s="28"/>
      <c r="CTV10" s="28"/>
      <c r="CTW10" s="28"/>
      <c r="CTX10" s="28"/>
      <c r="CTY10" s="28"/>
      <c r="CTZ10" s="28"/>
      <c r="CUA10" s="28"/>
      <c r="CUB10" s="28"/>
      <c r="CUC10" s="28"/>
      <c r="CUD10" s="28"/>
      <c r="CUE10" s="28"/>
      <c r="CUF10" s="28"/>
      <c r="CUG10" s="28"/>
      <c r="CUH10" s="28"/>
      <c r="CUI10" s="28"/>
      <c r="CUJ10" s="28"/>
      <c r="CUK10" s="28"/>
      <c r="CUL10" s="28"/>
      <c r="CUM10" s="28"/>
      <c r="CUN10" s="28"/>
      <c r="CUO10" s="28"/>
      <c r="CUP10" s="28"/>
      <c r="CUQ10" s="28"/>
      <c r="CUR10" s="28"/>
      <c r="CUS10" s="28"/>
      <c r="CUT10" s="28"/>
      <c r="CUU10" s="28"/>
      <c r="CUV10" s="28"/>
      <c r="CUW10" s="28"/>
      <c r="CUX10" s="28"/>
      <c r="CUY10" s="28"/>
      <c r="CUZ10" s="28"/>
      <c r="CVA10" s="28"/>
      <c r="CVB10" s="28"/>
      <c r="CVC10" s="28"/>
      <c r="CVD10" s="28"/>
      <c r="CVE10" s="28"/>
      <c r="CVF10" s="28"/>
      <c r="CVG10" s="28"/>
      <c r="CVH10" s="28"/>
      <c r="CVI10" s="28"/>
      <c r="CVJ10" s="28"/>
      <c r="CVK10" s="28"/>
      <c r="CVL10" s="28"/>
      <c r="CVM10" s="28"/>
      <c r="CVN10" s="28"/>
      <c r="CVO10" s="28"/>
      <c r="CVP10" s="28"/>
      <c r="CVQ10" s="28"/>
      <c r="CVR10" s="28"/>
      <c r="CVS10" s="28"/>
      <c r="CVT10" s="28"/>
      <c r="CVU10" s="28"/>
      <c r="CVV10" s="28"/>
      <c r="CVW10" s="28"/>
      <c r="CVX10" s="28"/>
      <c r="CVY10" s="28"/>
      <c r="CVZ10" s="28"/>
      <c r="CWA10" s="28"/>
      <c r="CWB10" s="28"/>
      <c r="CWC10" s="28"/>
      <c r="CWD10" s="28"/>
      <c r="CWE10" s="28"/>
      <c r="CWF10" s="28"/>
      <c r="CWG10" s="28"/>
      <c r="CWH10" s="28"/>
      <c r="CWI10" s="28"/>
      <c r="CWJ10" s="28"/>
      <c r="CWK10" s="28"/>
      <c r="CWL10" s="28"/>
      <c r="CWM10" s="28"/>
      <c r="CWN10" s="28"/>
      <c r="CWO10" s="28"/>
      <c r="CWP10" s="28"/>
      <c r="CWQ10" s="28"/>
      <c r="CWR10" s="28"/>
      <c r="CWS10" s="28"/>
      <c r="CWT10" s="28"/>
      <c r="CWU10" s="28"/>
      <c r="CWV10" s="28"/>
      <c r="CWW10" s="28"/>
      <c r="CWX10" s="28"/>
      <c r="CWY10" s="28"/>
      <c r="CWZ10" s="28"/>
      <c r="CXA10" s="28"/>
      <c r="CXB10" s="28"/>
      <c r="CXC10" s="28"/>
      <c r="CXD10" s="28"/>
      <c r="CXE10" s="28"/>
      <c r="CXF10" s="28"/>
      <c r="CXG10" s="28"/>
      <c r="CXH10" s="28"/>
      <c r="CXI10" s="28"/>
      <c r="CXJ10" s="28"/>
      <c r="CXK10" s="28"/>
      <c r="CXL10" s="28"/>
      <c r="CXM10" s="28"/>
      <c r="CXN10" s="28"/>
      <c r="CXO10" s="28"/>
      <c r="CXP10" s="28"/>
      <c r="CXQ10" s="28"/>
      <c r="CXR10" s="28"/>
      <c r="CXS10" s="28"/>
      <c r="CXT10" s="28"/>
      <c r="CXU10" s="28"/>
      <c r="CXV10" s="28"/>
      <c r="CXW10" s="28"/>
      <c r="CXX10" s="28"/>
      <c r="CXY10" s="28"/>
      <c r="CXZ10" s="28"/>
      <c r="CYA10" s="28"/>
      <c r="CYB10" s="28"/>
      <c r="CYC10" s="28"/>
      <c r="CYD10" s="28"/>
      <c r="CYE10" s="28"/>
      <c r="CYF10" s="28"/>
      <c r="CYG10" s="28"/>
      <c r="CYH10" s="28"/>
      <c r="CYI10" s="28"/>
      <c r="CYJ10" s="28"/>
      <c r="CYK10" s="28"/>
      <c r="CYL10" s="28"/>
      <c r="CYM10" s="28"/>
      <c r="CYN10" s="28"/>
      <c r="CYO10" s="28"/>
      <c r="CYP10" s="28"/>
      <c r="CYQ10" s="28"/>
      <c r="CYR10" s="28"/>
      <c r="CYS10" s="28"/>
      <c r="CYT10" s="28"/>
      <c r="CYU10" s="28"/>
      <c r="CYV10" s="28"/>
      <c r="CYW10" s="28"/>
      <c r="CYX10" s="28"/>
      <c r="CYY10" s="28"/>
      <c r="CYZ10" s="28"/>
      <c r="CZA10" s="28"/>
      <c r="CZB10" s="28"/>
      <c r="CZC10" s="28"/>
      <c r="CZD10" s="28"/>
      <c r="CZE10" s="28"/>
      <c r="CZF10" s="28"/>
      <c r="CZG10" s="28"/>
      <c r="CZH10" s="28"/>
      <c r="CZI10" s="28"/>
      <c r="CZJ10" s="28"/>
      <c r="CZK10" s="28"/>
      <c r="CZL10" s="28"/>
      <c r="CZM10" s="28"/>
      <c r="CZN10" s="28"/>
      <c r="CZO10" s="28"/>
      <c r="CZP10" s="28"/>
      <c r="CZQ10" s="28"/>
      <c r="CZR10" s="28"/>
      <c r="CZS10" s="28"/>
      <c r="CZT10" s="28"/>
      <c r="CZU10" s="28"/>
      <c r="CZV10" s="28"/>
      <c r="CZW10" s="28"/>
      <c r="CZX10" s="28"/>
      <c r="CZY10" s="28"/>
      <c r="CZZ10" s="28"/>
      <c r="DAA10" s="28"/>
      <c r="DAB10" s="28"/>
      <c r="DAC10" s="28"/>
      <c r="DAD10" s="28"/>
      <c r="DAE10" s="28"/>
      <c r="DAF10" s="28"/>
      <c r="DAG10" s="28"/>
      <c r="DAH10" s="28"/>
      <c r="DAI10" s="28"/>
      <c r="DAJ10" s="28"/>
      <c r="DAK10" s="28"/>
      <c r="DAL10" s="28"/>
      <c r="DAM10" s="28"/>
      <c r="DAN10" s="28"/>
      <c r="DAO10" s="28"/>
      <c r="DAP10" s="28"/>
      <c r="DAQ10" s="28"/>
      <c r="DAR10" s="28"/>
      <c r="DAS10" s="28"/>
      <c r="DAT10" s="28"/>
      <c r="DAU10" s="28"/>
      <c r="DAV10" s="28"/>
      <c r="DAW10" s="28"/>
      <c r="DAX10" s="28"/>
      <c r="DAY10" s="28"/>
      <c r="DAZ10" s="28"/>
      <c r="DBA10" s="28"/>
      <c r="DBB10" s="28"/>
      <c r="DBC10" s="28"/>
      <c r="DBD10" s="28"/>
      <c r="DBE10" s="28"/>
      <c r="DBF10" s="28"/>
      <c r="DBG10" s="28"/>
      <c r="DBH10" s="28"/>
      <c r="DBI10" s="28"/>
      <c r="DBJ10" s="28"/>
      <c r="DBK10" s="28"/>
      <c r="DBL10" s="28"/>
      <c r="DBM10" s="28"/>
      <c r="DBN10" s="28"/>
      <c r="DBO10" s="28"/>
      <c r="DBP10" s="28"/>
      <c r="DBQ10" s="28"/>
      <c r="DBR10" s="28"/>
      <c r="DBS10" s="28"/>
      <c r="DBT10" s="28"/>
      <c r="DBU10" s="28"/>
      <c r="DBV10" s="28"/>
      <c r="DBW10" s="28"/>
      <c r="DBX10" s="28"/>
      <c r="DBY10" s="28"/>
      <c r="DBZ10" s="28"/>
      <c r="DCA10" s="28"/>
      <c r="DCB10" s="28"/>
      <c r="DCC10" s="28"/>
      <c r="DCD10" s="28"/>
      <c r="DCE10" s="28"/>
      <c r="DCF10" s="28"/>
      <c r="DCG10" s="28"/>
      <c r="DCH10" s="28"/>
      <c r="DCI10" s="28"/>
      <c r="DCJ10" s="28"/>
      <c r="DCK10" s="28"/>
      <c r="DCL10" s="28"/>
      <c r="DCM10" s="28"/>
      <c r="DCN10" s="28"/>
      <c r="DCO10" s="28"/>
      <c r="DCP10" s="28"/>
      <c r="DCQ10" s="28"/>
      <c r="DCR10" s="28"/>
      <c r="DCS10" s="28"/>
      <c r="DCT10" s="28"/>
      <c r="DCU10" s="28"/>
      <c r="DCV10" s="28"/>
      <c r="DCW10" s="28"/>
      <c r="DCX10" s="28"/>
      <c r="DCY10" s="28"/>
      <c r="DCZ10" s="28"/>
      <c r="DDA10" s="28"/>
      <c r="DDB10" s="28"/>
      <c r="DDC10" s="28"/>
      <c r="DDD10" s="28"/>
      <c r="DDE10" s="28"/>
      <c r="DDF10" s="28"/>
      <c r="DDG10" s="28"/>
      <c r="DDH10" s="28"/>
      <c r="DDI10" s="28"/>
      <c r="DDJ10" s="28"/>
      <c r="DDK10" s="28"/>
      <c r="DDL10" s="28"/>
      <c r="DDM10" s="28"/>
      <c r="DDN10" s="28"/>
      <c r="DDO10" s="28"/>
      <c r="DDP10" s="28"/>
      <c r="DDQ10" s="28"/>
      <c r="DDR10" s="28"/>
      <c r="DDS10" s="28"/>
      <c r="DDT10" s="28"/>
      <c r="DDU10" s="28"/>
      <c r="DDV10" s="28"/>
      <c r="DDW10" s="28"/>
      <c r="DDX10" s="28"/>
      <c r="DDY10" s="28"/>
      <c r="DDZ10" s="28"/>
      <c r="DEA10" s="28"/>
      <c r="DEB10" s="28"/>
      <c r="DEC10" s="28"/>
      <c r="DED10" s="28"/>
      <c r="DEE10" s="28"/>
      <c r="DEF10" s="28"/>
      <c r="DEG10" s="28"/>
      <c r="DEH10" s="28"/>
      <c r="DEI10" s="28"/>
      <c r="DEJ10" s="28"/>
      <c r="DEK10" s="28"/>
      <c r="DEL10" s="28"/>
      <c r="DEM10" s="28"/>
      <c r="DEN10" s="28"/>
      <c r="DEO10" s="28"/>
      <c r="DEP10" s="28"/>
      <c r="DEQ10" s="28"/>
      <c r="DER10" s="28"/>
      <c r="DES10" s="28"/>
      <c r="DET10" s="28"/>
      <c r="DEU10" s="28"/>
      <c r="DEV10" s="28"/>
      <c r="DEW10" s="28"/>
      <c r="DEX10" s="28"/>
      <c r="DEY10" s="28"/>
      <c r="DEZ10" s="28"/>
      <c r="DFA10" s="28"/>
      <c r="DFB10" s="28"/>
      <c r="DFC10" s="28"/>
      <c r="DFD10" s="28"/>
      <c r="DFE10" s="28"/>
      <c r="DFF10" s="28"/>
      <c r="DFG10" s="28"/>
      <c r="DFH10" s="28"/>
      <c r="DFI10" s="28"/>
      <c r="DFJ10" s="28"/>
      <c r="DFK10" s="28"/>
      <c r="DFL10" s="28"/>
      <c r="DFM10" s="28"/>
      <c r="DFN10" s="28"/>
      <c r="DFO10" s="28"/>
      <c r="DFP10" s="28"/>
      <c r="DFQ10" s="28"/>
      <c r="DFR10" s="28"/>
      <c r="DFS10" s="28"/>
      <c r="DFT10" s="28"/>
      <c r="DFU10" s="28"/>
      <c r="DFV10" s="28"/>
      <c r="DFW10" s="28"/>
      <c r="DFX10" s="28"/>
      <c r="DFY10" s="28"/>
      <c r="DFZ10" s="28"/>
      <c r="DGA10" s="28"/>
      <c r="DGB10" s="28"/>
      <c r="DGC10" s="28"/>
      <c r="DGD10" s="28"/>
      <c r="DGE10" s="28"/>
      <c r="DGF10" s="28"/>
      <c r="DGG10" s="28"/>
      <c r="DGH10" s="28"/>
      <c r="DGI10" s="28"/>
      <c r="DGJ10" s="28"/>
      <c r="DGK10" s="28"/>
      <c r="DGL10" s="28"/>
      <c r="DGM10" s="28"/>
      <c r="DGN10" s="28"/>
      <c r="DGO10" s="28"/>
      <c r="DGP10" s="28"/>
      <c r="DGQ10" s="28"/>
      <c r="DGR10" s="28"/>
      <c r="DGS10" s="28"/>
      <c r="DGT10" s="28"/>
      <c r="DGU10" s="28"/>
      <c r="DGV10" s="28"/>
      <c r="DGW10" s="28"/>
      <c r="DGX10" s="28"/>
      <c r="DGY10" s="28"/>
      <c r="DGZ10" s="28"/>
      <c r="DHA10" s="28"/>
      <c r="DHB10" s="28"/>
      <c r="DHC10" s="28"/>
      <c r="DHD10" s="28"/>
      <c r="DHE10" s="28"/>
      <c r="DHF10" s="28"/>
      <c r="DHG10" s="28"/>
      <c r="DHH10" s="28"/>
      <c r="DHI10" s="28"/>
      <c r="DHJ10" s="28"/>
      <c r="DHK10" s="28"/>
      <c r="DHL10" s="28"/>
      <c r="DHM10" s="28"/>
      <c r="DHN10" s="28"/>
      <c r="DHO10" s="28"/>
      <c r="DHP10" s="28"/>
      <c r="DHQ10" s="28"/>
      <c r="DHR10" s="28"/>
      <c r="DHS10" s="28"/>
      <c r="DHT10" s="28"/>
      <c r="DHU10" s="28"/>
      <c r="DHV10" s="28"/>
      <c r="DHW10" s="28"/>
      <c r="DHX10" s="28"/>
      <c r="DHY10" s="28"/>
      <c r="DHZ10" s="28"/>
      <c r="DIA10" s="28"/>
      <c r="DIB10" s="28"/>
      <c r="DIC10" s="28"/>
      <c r="DID10" s="28"/>
      <c r="DIE10" s="28"/>
      <c r="DIF10" s="28"/>
      <c r="DIG10" s="28"/>
      <c r="DIH10" s="28"/>
      <c r="DII10" s="28"/>
      <c r="DIJ10" s="28"/>
      <c r="DIK10" s="28"/>
      <c r="DIL10" s="28"/>
      <c r="DIM10" s="28"/>
      <c r="DIN10" s="28"/>
      <c r="DIO10" s="28"/>
      <c r="DIP10" s="28"/>
      <c r="DIQ10" s="28"/>
      <c r="DIR10" s="28"/>
      <c r="DIS10" s="28"/>
      <c r="DIT10" s="28"/>
      <c r="DIU10" s="28"/>
      <c r="DIV10" s="28"/>
      <c r="DIW10" s="28"/>
      <c r="DIX10" s="28"/>
      <c r="DIY10" s="28"/>
      <c r="DIZ10" s="28"/>
      <c r="DJA10" s="28"/>
      <c r="DJB10" s="28"/>
      <c r="DJC10" s="28"/>
      <c r="DJD10" s="28"/>
      <c r="DJE10" s="28"/>
      <c r="DJF10" s="28"/>
      <c r="DJG10" s="28"/>
      <c r="DJH10" s="28"/>
      <c r="DJI10" s="28"/>
      <c r="DJJ10" s="28"/>
      <c r="DJK10" s="28"/>
      <c r="DJL10" s="28"/>
      <c r="DJM10" s="28"/>
      <c r="DJN10" s="28"/>
      <c r="DJO10" s="28"/>
      <c r="DJP10" s="28"/>
      <c r="DJQ10" s="28"/>
      <c r="DJR10" s="28"/>
      <c r="DJS10" s="28"/>
      <c r="DJT10" s="28"/>
      <c r="DJU10" s="28"/>
      <c r="DJV10" s="28"/>
      <c r="DJW10" s="28"/>
      <c r="DJX10" s="28"/>
      <c r="DJY10" s="28"/>
      <c r="DJZ10" s="28"/>
      <c r="DKA10" s="28"/>
      <c r="DKB10" s="28"/>
      <c r="DKC10" s="28"/>
      <c r="DKD10" s="28"/>
      <c r="DKE10" s="28"/>
      <c r="DKF10" s="28"/>
      <c r="DKG10" s="28"/>
      <c r="DKH10" s="28"/>
      <c r="DKI10" s="28"/>
      <c r="DKJ10" s="28"/>
      <c r="DKK10" s="28"/>
      <c r="DKL10" s="28"/>
      <c r="DKM10" s="28"/>
      <c r="DKN10" s="28"/>
      <c r="DKO10" s="28"/>
      <c r="DKP10" s="28"/>
      <c r="DKQ10" s="28"/>
      <c r="DKR10" s="28"/>
      <c r="DKS10" s="28"/>
      <c r="DKT10" s="28"/>
      <c r="DKU10" s="28"/>
      <c r="DKV10" s="28"/>
      <c r="DKW10" s="28"/>
      <c r="DKX10" s="28"/>
      <c r="DKY10" s="28"/>
      <c r="DKZ10" s="28"/>
      <c r="DLA10" s="28"/>
      <c r="DLB10" s="28"/>
      <c r="DLC10" s="28"/>
      <c r="DLD10" s="28"/>
      <c r="DLE10" s="28"/>
      <c r="DLF10" s="28"/>
      <c r="DLG10" s="28"/>
      <c r="DLH10" s="28"/>
      <c r="DLI10" s="28"/>
      <c r="DLJ10" s="28"/>
      <c r="DLK10" s="28"/>
      <c r="DLL10" s="28"/>
      <c r="DLM10" s="28"/>
      <c r="DLN10" s="28"/>
      <c r="DLO10" s="28"/>
      <c r="DLP10" s="28"/>
      <c r="DLQ10" s="28"/>
      <c r="DLR10" s="28"/>
      <c r="DLS10" s="28"/>
      <c r="DLT10" s="28"/>
      <c r="DLU10" s="28"/>
      <c r="DLV10" s="28"/>
      <c r="DLW10" s="28"/>
      <c r="DLX10" s="28"/>
      <c r="DLY10" s="28"/>
      <c r="DLZ10" s="28"/>
      <c r="DMA10" s="28"/>
      <c r="DMB10" s="28"/>
      <c r="DMC10" s="28"/>
      <c r="DMD10" s="28"/>
      <c r="DME10" s="28"/>
      <c r="DMF10" s="28"/>
      <c r="DMG10" s="28"/>
      <c r="DMH10" s="28"/>
      <c r="DMI10" s="28"/>
      <c r="DMJ10" s="28"/>
      <c r="DMK10" s="28"/>
      <c r="DML10" s="28"/>
      <c r="DMM10" s="28"/>
      <c r="DMN10" s="28"/>
      <c r="DMO10" s="28"/>
      <c r="DMP10" s="28"/>
      <c r="DMQ10" s="28"/>
      <c r="DMR10" s="28"/>
      <c r="DMS10" s="28"/>
      <c r="DMT10" s="28"/>
      <c r="DMU10" s="28"/>
      <c r="DMV10" s="28"/>
      <c r="DMW10" s="28"/>
      <c r="DMX10" s="28"/>
      <c r="DMY10" s="28"/>
      <c r="DMZ10" s="28"/>
      <c r="DNA10" s="28"/>
      <c r="DNB10" s="28"/>
      <c r="DNC10" s="28"/>
      <c r="DND10" s="28"/>
      <c r="DNE10" s="28"/>
      <c r="DNF10" s="28"/>
      <c r="DNG10" s="28"/>
      <c r="DNH10" s="28"/>
      <c r="DNI10" s="28"/>
      <c r="DNJ10" s="28"/>
      <c r="DNK10" s="28"/>
      <c r="DNL10" s="28"/>
      <c r="DNM10" s="28"/>
      <c r="DNN10" s="28"/>
      <c r="DNO10" s="28"/>
      <c r="DNP10" s="28"/>
      <c r="DNQ10" s="28"/>
      <c r="DNR10" s="28"/>
      <c r="DNS10" s="28"/>
      <c r="DNT10" s="28"/>
      <c r="DNU10" s="28"/>
      <c r="DNV10" s="28"/>
      <c r="DNW10" s="28"/>
      <c r="DNX10" s="28"/>
      <c r="DNY10" s="28"/>
      <c r="DNZ10" s="28"/>
      <c r="DOA10" s="28"/>
      <c r="DOB10" s="28"/>
      <c r="DOC10" s="28"/>
      <c r="DOD10" s="28"/>
      <c r="DOE10" s="28"/>
      <c r="DOF10" s="28"/>
      <c r="DOG10" s="28"/>
      <c r="DOH10" s="28"/>
      <c r="DOI10" s="28"/>
      <c r="DOJ10" s="28"/>
      <c r="DOK10" s="28"/>
      <c r="DOL10" s="28"/>
      <c r="DOM10" s="28"/>
      <c r="DON10" s="28"/>
      <c r="DOO10" s="28"/>
      <c r="DOP10" s="28"/>
      <c r="DOQ10" s="28"/>
      <c r="DOR10" s="28"/>
      <c r="DOS10" s="28"/>
      <c r="DOT10" s="28"/>
      <c r="DOU10" s="28"/>
      <c r="DOV10" s="28"/>
      <c r="DOW10" s="28"/>
      <c r="DOX10" s="28"/>
      <c r="DOY10" s="28"/>
      <c r="DOZ10" s="28"/>
      <c r="DPA10" s="28"/>
      <c r="DPB10" s="28"/>
      <c r="DPC10" s="28"/>
      <c r="DPD10" s="28"/>
      <c r="DPE10" s="28"/>
      <c r="DPF10" s="28"/>
      <c r="DPG10" s="28"/>
      <c r="DPH10" s="28"/>
      <c r="DPI10" s="28"/>
      <c r="DPJ10" s="28"/>
      <c r="DPK10" s="28"/>
      <c r="DPL10" s="28"/>
      <c r="DPM10" s="28"/>
      <c r="DPN10" s="28"/>
      <c r="DPO10" s="28"/>
      <c r="DPP10" s="28"/>
      <c r="DPQ10" s="28"/>
      <c r="DPR10" s="28"/>
      <c r="DPS10" s="28"/>
      <c r="DPT10" s="28"/>
      <c r="DPU10" s="28"/>
      <c r="DPV10" s="28"/>
      <c r="DPW10" s="28"/>
      <c r="DPX10" s="28"/>
      <c r="DPY10" s="28"/>
      <c r="DPZ10" s="28"/>
      <c r="DQA10" s="28"/>
      <c r="DQB10" s="28"/>
      <c r="DQC10" s="28"/>
      <c r="DQD10" s="28"/>
      <c r="DQE10" s="28"/>
      <c r="DQF10" s="28"/>
      <c r="DQG10" s="28"/>
      <c r="DQH10" s="28"/>
      <c r="DQI10" s="28"/>
      <c r="DQJ10" s="28"/>
      <c r="DQK10" s="28"/>
      <c r="DQL10" s="28"/>
      <c r="DQM10" s="28"/>
      <c r="DQN10" s="28"/>
      <c r="DQO10" s="28"/>
      <c r="DQP10" s="28"/>
      <c r="DQQ10" s="28"/>
      <c r="DQR10" s="28"/>
      <c r="DQS10" s="28"/>
      <c r="DQT10" s="28"/>
      <c r="DQU10" s="28"/>
      <c r="DQV10" s="28"/>
      <c r="DQW10" s="28"/>
      <c r="DQX10" s="28"/>
      <c r="DQY10" s="28"/>
      <c r="DQZ10" s="28"/>
      <c r="DRA10" s="28"/>
      <c r="DRB10" s="28"/>
      <c r="DRC10" s="28"/>
      <c r="DRD10" s="28"/>
      <c r="DRE10" s="28"/>
      <c r="DRF10" s="28"/>
      <c r="DRG10" s="28"/>
      <c r="DRH10" s="28"/>
      <c r="DRI10" s="28"/>
      <c r="DRJ10" s="28"/>
      <c r="DRK10" s="28"/>
      <c r="DRL10" s="28"/>
      <c r="DRM10" s="28"/>
      <c r="DRN10" s="28"/>
      <c r="DRO10" s="28"/>
      <c r="DRP10" s="28"/>
      <c r="DRQ10" s="28"/>
      <c r="DRR10" s="28"/>
      <c r="DRS10" s="28"/>
      <c r="DRT10" s="28"/>
      <c r="DRU10" s="28"/>
      <c r="DRV10" s="28"/>
      <c r="DRW10" s="28"/>
      <c r="DRX10" s="28"/>
      <c r="DRY10" s="28"/>
      <c r="DRZ10" s="28"/>
      <c r="DSA10" s="28"/>
      <c r="DSB10" s="28"/>
      <c r="DSC10" s="28"/>
      <c r="DSD10" s="28"/>
      <c r="DSE10" s="28"/>
      <c r="DSF10" s="28"/>
      <c r="DSG10" s="28"/>
      <c r="DSH10" s="28"/>
      <c r="DSI10" s="28"/>
      <c r="DSJ10" s="28"/>
      <c r="DSK10" s="28"/>
      <c r="DSL10" s="28"/>
      <c r="DSM10" s="28"/>
      <c r="DSN10" s="28"/>
      <c r="DSO10" s="28"/>
      <c r="DSP10" s="28"/>
      <c r="DSQ10" s="28"/>
      <c r="DSR10" s="28"/>
      <c r="DSS10" s="28"/>
      <c r="DST10" s="28"/>
      <c r="DSU10" s="28"/>
      <c r="DSV10" s="28"/>
      <c r="DSW10" s="28"/>
      <c r="DSX10" s="28"/>
      <c r="DSY10" s="28"/>
      <c r="DSZ10" s="28"/>
      <c r="DTA10" s="28"/>
      <c r="DTB10" s="28"/>
      <c r="DTC10" s="28"/>
      <c r="DTD10" s="28"/>
      <c r="DTE10" s="28"/>
      <c r="DTF10" s="28"/>
      <c r="DTG10" s="28"/>
      <c r="DTH10" s="28"/>
      <c r="DTI10" s="28"/>
      <c r="DTJ10" s="28"/>
      <c r="DTK10" s="28"/>
      <c r="DTL10" s="28"/>
      <c r="DTM10" s="28"/>
      <c r="DTN10" s="28"/>
      <c r="DTO10" s="28"/>
      <c r="DTP10" s="28"/>
      <c r="DTQ10" s="28"/>
      <c r="DTR10" s="28"/>
      <c r="DTS10" s="28"/>
      <c r="DTT10" s="28"/>
      <c r="DTU10" s="28"/>
      <c r="DTV10" s="28"/>
      <c r="DTW10" s="28"/>
      <c r="DTX10" s="28"/>
      <c r="DTY10" s="28"/>
      <c r="DTZ10" s="28"/>
      <c r="DUA10" s="28"/>
      <c r="DUB10" s="28"/>
      <c r="DUC10" s="28"/>
      <c r="DUD10" s="28"/>
      <c r="DUE10" s="28"/>
      <c r="DUF10" s="28"/>
      <c r="DUG10" s="28"/>
      <c r="DUH10" s="28"/>
      <c r="DUI10" s="28"/>
      <c r="DUJ10" s="28"/>
      <c r="DUK10" s="28"/>
      <c r="DUL10" s="28"/>
      <c r="DUM10" s="28"/>
      <c r="DUN10" s="28"/>
      <c r="DUO10" s="28"/>
      <c r="DUP10" s="28"/>
      <c r="DUQ10" s="28"/>
      <c r="DUR10" s="28"/>
      <c r="DUS10" s="28"/>
      <c r="DUT10" s="28"/>
      <c r="DUU10" s="28"/>
      <c r="DUV10" s="28"/>
      <c r="DUW10" s="28"/>
      <c r="DUX10" s="28"/>
      <c r="DUY10" s="28"/>
      <c r="DUZ10" s="28"/>
      <c r="DVA10" s="28"/>
      <c r="DVB10" s="28"/>
      <c r="DVC10" s="28"/>
      <c r="DVD10" s="28"/>
      <c r="DVE10" s="28"/>
      <c r="DVF10" s="28"/>
      <c r="DVG10" s="28"/>
      <c r="DVH10" s="28"/>
      <c r="DVI10" s="28"/>
      <c r="DVJ10" s="28"/>
      <c r="DVK10" s="28"/>
      <c r="DVL10" s="28"/>
      <c r="DVM10" s="28"/>
      <c r="DVN10" s="28"/>
      <c r="DVO10" s="28"/>
      <c r="DVP10" s="28"/>
      <c r="DVQ10" s="28"/>
      <c r="DVR10" s="28"/>
      <c r="DVS10" s="28"/>
      <c r="DVT10" s="28"/>
      <c r="DVU10" s="28"/>
      <c r="DVV10" s="28"/>
      <c r="DVW10" s="28"/>
      <c r="DVX10" s="28"/>
      <c r="DVY10" s="28"/>
      <c r="DVZ10" s="28"/>
      <c r="DWA10" s="28"/>
      <c r="DWB10" s="28"/>
      <c r="DWC10" s="28"/>
      <c r="DWD10" s="28"/>
      <c r="DWE10" s="28"/>
      <c r="DWF10" s="28"/>
      <c r="DWG10" s="28"/>
      <c r="DWH10" s="28"/>
      <c r="DWI10" s="28"/>
      <c r="DWJ10" s="28"/>
      <c r="DWK10" s="28"/>
      <c r="DWL10" s="28"/>
      <c r="DWM10" s="28"/>
      <c r="DWN10" s="28"/>
      <c r="DWO10" s="28"/>
      <c r="DWP10" s="28"/>
      <c r="DWQ10" s="28"/>
      <c r="DWR10" s="28"/>
      <c r="DWS10" s="28"/>
      <c r="DWT10" s="28"/>
      <c r="DWU10" s="28"/>
      <c r="DWV10" s="28"/>
      <c r="DWW10" s="28"/>
      <c r="DWX10" s="28"/>
      <c r="DWY10" s="28"/>
      <c r="DWZ10" s="28"/>
      <c r="DXA10" s="28"/>
      <c r="DXB10" s="28"/>
      <c r="DXC10" s="28"/>
      <c r="DXD10" s="28"/>
      <c r="DXE10" s="28"/>
      <c r="DXF10" s="28"/>
      <c r="DXG10" s="28"/>
      <c r="DXH10" s="28"/>
      <c r="DXI10" s="28"/>
      <c r="DXJ10" s="28"/>
      <c r="DXK10" s="28"/>
      <c r="DXL10" s="28"/>
      <c r="DXM10" s="28"/>
      <c r="DXN10" s="28"/>
      <c r="DXO10" s="28"/>
      <c r="DXP10" s="28"/>
      <c r="DXQ10" s="28"/>
      <c r="DXR10" s="28"/>
      <c r="DXS10" s="28"/>
      <c r="DXT10" s="28"/>
      <c r="DXU10" s="28"/>
      <c r="DXV10" s="28"/>
      <c r="DXW10" s="28"/>
      <c r="DXX10" s="28"/>
      <c r="DXY10" s="28"/>
      <c r="DXZ10" s="28"/>
      <c r="DYA10" s="28"/>
      <c r="DYB10" s="28"/>
      <c r="DYC10" s="28"/>
      <c r="DYD10" s="28"/>
      <c r="DYE10" s="28"/>
      <c r="DYF10" s="28"/>
      <c r="DYG10" s="28"/>
      <c r="DYH10" s="28"/>
      <c r="DYI10" s="28"/>
      <c r="DYJ10" s="28"/>
      <c r="DYK10" s="28"/>
      <c r="DYL10" s="28"/>
      <c r="DYM10" s="28"/>
      <c r="DYN10" s="28"/>
      <c r="DYO10" s="28"/>
      <c r="DYP10" s="28"/>
      <c r="DYQ10" s="28"/>
      <c r="DYR10" s="28"/>
      <c r="DYS10" s="28"/>
      <c r="DYT10" s="28"/>
      <c r="DYU10" s="28"/>
      <c r="DYV10" s="28"/>
      <c r="DYW10" s="28"/>
      <c r="DYX10" s="28"/>
      <c r="DYY10" s="28"/>
      <c r="DYZ10" s="28"/>
      <c r="DZA10" s="28"/>
      <c r="DZB10" s="28"/>
      <c r="DZC10" s="28"/>
      <c r="DZD10" s="28"/>
      <c r="DZE10" s="28"/>
      <c r="DZF10" s="28"/>
      <c r="DZG10" s="28"/>
      <c r="DZH10" s="28"/>
      <c r="DZI10" s="28"/>
      <c r="DZJ10" s="28"/>
      <c r="DZK10" s="28"/>
      <c r="DZL10" s="28"/>
      <c r="DZM10" s="28"/>
      <c r="DZN10" s="28"/>
      <c r="DZO10" s="28"/>
      <c r="DZP10" s="28"/>
      <c r="DZQ10" s="28"/>
      <c r="DZR10" s="28"/>
      <c r="DZS10" s="28"/>
      <c r="DZT10" s="28"/>
      <c r="DZU10" s="28"/>
      <c r="DZV10" s="28"/>
      <c r="DZW10" s="28"/>
      <c r="DZX10" s="28"/>
      <c r="DZY10" s="28"/>
      <c r="DZZ10" s="28"/>
      <c r="EAA10" s="28"/>
      <c r="EAB10" s="28"/>
      <c r="EAC10" s="28"/>
      <c r="EAD10" s="28"/>
      <c r="EAE10" s="28"/>
      <c r="EAF10" s="28"/>
      <c r="EAG10" s="28"/>
      <c r="EAH10" s="28"/>
      <c r="EAI10" s="28"/>
      <c r="EAJ10" s="28"/>
      <c r="EAK10" s="28"/>
      <c r="EAL10" s="28"/>
      <c r="EAM10" s="28"/>
      <c r="EAN10" s="28"/>
      <c r="EAO10" s="28"/>
      <c r="EAP10" s="28"/>
      <c r="EAQ10" s="28"/>
      <c r="EAR10" s="28"/>
      <c r="EAS10" s="28"/>
      <c r="EAT10" s="28"/>
      <c r="EAU10" s="28"/>
      <c r="EAV10" s="28"/>
      <c r="EAW10" s="28"/>
      <c r="EAX10" s="28"/>
      <c r="EAY10" s="28"/>
      <c r="EAZ10" s="28"/>
      <c r="EBA10" s="28"/>
      <c r="EBB10" s="28"/>
      <c r="EBC10" s="28"/>
      <c r="EBD10" s="28"/>
      <c r="EBE10" s="28"/>
      <c r="EBF10" s="28"/>
      <c r="EBG10" s="28"/>
      <c r="EBH10" s="28"/>
      <c r="EBI10" s="28"/>
      <c r="EBJ10" s="28"/>
      <c r="EBK10" s="28"/>
      <c r="EBL10" s="28"/>
      <c r="EBM10" s="28"/>
      <c r="EBN10" s="28"/>
      <c r="EBO10" s="28"/>
      <c r="EBP10" s="28"/>
      <c r="EBQ10" s="28"/>
      <c r="EBR10" s="28"/>
      <c r="EBS10" s="28"/>
      <c r="EBT10" s="28"/>
      <c r="EBU10" s="28"/>
      <c r="EBV10" s="28"/>
      <c r="EBW10" s="28"/>
      <c r="EBX10" s="28"/>
      <c r="EBY10" s="28"/>
      <c r="EBZ10" s="28"/>
      <c r="ECA10" s="28"/>
      <c r="ECB10" s="28"/>
      <c r="ECC10" s="28"/>
      <c r="ECD10" s="28"/>
      <c r="ECE10" s="28"/>
      <c r="ECF10" s="28"/>
      <c r="ECG10" s="28"/>
      <c r="ECH10" s="28"/>
      <c r="ECI10" s="28"/>
      <c r="ECJ10" s="28"/>
      <c r="ECK10" s="28"/>
      <c r="ECL10" s="28"/>
      <c r="ECM10" s="28"/>
      <c r="ECN10" s="28"/>
      <c r="ECO10" s="28"/>
      <c r="ECP10" s="28"/>
      <c r="ECQ10" s="28"/>
      <c r="ECR10" s="28"/>
      <c r="ECS10" s="28"/>
      <c r="ECT10" s="28"/>
      <c r="ECU10" s="28"/>
      <c r="ECV10" s="28"/>
      <c r="ECW10" s="28"/>
      <c r="ECX10" s="28"/>
      <c r="ECY10" s="28"/>
      <c r="ECZ10" s="28"/>
      <c r="EDA10" s="28"/>
      <c r="EDB10" s="28"/>
      <c r="EDC10" s="28"/>
      <c r="EDD10" s="28"/>
      <c r="EDE10" s="28"/>
      <c r="EDF10" s="28"/>
      <c r="EDG10" s="28"/>
      <c r="EDH10" s="28"/>
      <c r="EDI10" s="28"/>
      <c r="EDJ10" s="28"/>
      <c r="EDK10" s="28"/>
      <c r="EDL10" s="28"/>
      <c r="EDM10" s="28"/>
      <c r="EDN10" s="28"/>
      <c r="EDO10" s="28"/>
      <c r="EDP10" s="28"/>
      <c r="EDQ10" s="28"/>
      <c r="EDR10" s="28"/>
      <c r="EDS10" s="28"/>
      <c r="EDT10" s="28"/>
      <c r="EDU10" s="28"/>
      <c r="EDV10" s="28"/>
      <c r="EDW10" s="28"/>
      <c r="EDX10" s="28"/>
      <c r="EDY10" s="28"/>
      <c r="EDZ10" s="28"/>
      <c r="EEA10" s="28"/>
      <c r="EEB10" s="28"/>
      <c r="EEC10" s="28"/>
      <c r="EED10" s="28"/>
      <c r="EEE10" s="28"/>
      <c r="EEF10" s="28"/>
      <c r="EEG10" s="28"/>
      <c r="EEH10" s="28"/>
      <c r="EEI10" s="28"/>
      <c r="EEJ10" s="28"/>
      <c r="EEK10" s="28"/>
      <c r="EEL10" s="28"/>
      <c r="EEM10" s="28"/>
      <c r="EEN10" s="28"/>
      <c r="EEO10" s="28"/>
      <c r="EEP10" s="28"/>
      <c r="EEQ10" s="28"/>
      <c r="EER10" s="28"/>
      <c r="EES10" s="28"/>
      <c r="EET10" s="28"/>
      <c r="EEU10" s="28"/>
      <c r="EEV10" s="28"/>
      <c r="EEW10" s="28"/>
      <c r="EEX10" s="28"/>
      <c r="EEY10" s="28"/>
      <c r="EEZ10" s="28"/>
      <c r="EFA10" s="28"/>
      <c r="EFB10" s="28"/>
      <c r="EFC10" s="28"/>
      <c r="EFD10" s="28"/>
      <c r="EFE10" s="28"/>
      <c r="EFF10" s="28"/>
      <c r="EFG10" s="28"/>
      <c r="EFH10" s="28"/>
      <c r="EFI10" s="28"/>
      <c r="EFJ10" s="28"/>
      <c r="EFK10" s="28"/>
      <c r="EFL10" s="28"/>
      <c r="EFM10" s="28"/>
      <c r="EFN10" s="28"/>
      <c r="EFO10" s="28"/>
      <c r="EFP10" s="28"/>
      <c r="EFQ10" s="28"/>
      <c r="EFR10" s="28"/>
      <c r="EFS10" s="28"/>
      <c r="EFT10" s="28"/>
      <c r="EFU10" s="28"/>
      <c r="EFV10" s="28"/>
      <c r="EFW10" s="28"/>
      <c r="EFX10" s="28"/>
      <c r="EFY10" s="28"/>
      <c r="EFZ10" s="28"/>
      <c r="EGA10" s="28"/>
      <c r="EGB10" s="28"/>
      <c r="EGC10" s="28"/>
      <c r="EGD10" s="28"/>
      <c r="EGE10" s="28"/>
      <c r="EGF10" s="28"/>
      <c r="EGG10" s="28"/>
      <c r="EGH10" s="28"/>
      <c r="EGI10" s="28"/>
      <c r="EGJ10" s="28"/>
      <c r="EGK10" s="28"/>
      <c r="EGL10" s="28"/>
      <c r="EGM10" s="28"/>
      <c r="EGN10" s="28"/>
      <c r="EGO10" s="28"/>
      <c r="EGP10" s="28"/>
      <c r="EGQ10" s="28"/>
      <c r="EGR10" s="28"/>
      <c r="EGS10" s="28"/>
      <c r="EGT10" s="28"/>
      <c r="EGU10" s="28"/>
      <c r="EGV10" s="28"/>
      <c r="EGW10" s="28"/>
      <c r="EGX10" s="28"/>
      <c r="EGY10" s="28"/>
      <c r="EGZ10" s="28"/>
      <c r="EHA10" s="28"/>
      <c r="EHB10" s="28"/>
      <c r="EHC10" s="28"/>
      <c r="EHD10" s="28"/>
      <c r="EHE10" s="28"/>
      <c r="EHF10" s="28"/>
      <c r="EHG10" s="28"/>
      <c r="EHH10" s="28"/>
      <c r="EHI10" s="28"/>
      <c r="EHJ10" s="28"/>
      <c r="EHK10" s="28"/>
      <c r="EHL10" s="28"/>
      <c r="EHM10" s="28"/>
      <c r="EHN10" s="28"/>
      <c r="EHO10" s="28"/>
      <c r="EHP10" s="28"/>
      <c r="EHQ10" s="28"/>
      <c r="EHR10" s="28"/>
      <c r="EHS10" s="28"/>
      <c r="EHT10" s="28"/>
      <c r="EHU10" s="28"/>
      <c r="EHV10" s="28"/>
      <c r="EHW10" s="28"/>
      <c r="EHX10" s="28"/>
      <c r="EHY10" s="28"/>
      <c r="EHZ10" s="28"/>
      <c r="EIA10" s="28"/>
      <c r="EIB10" s="28"/>
      <c r="EIC10" s="28"/>
      <c r="EID10" s="28"/>
      <c r="EIE10" s="28"/>
      <c r="EIF10" s="28"/>
      <c r="EIG10" s="28"/>
      <c r="EIH10" s="28"/>
      <c r="EII10" s="28"/>
      <c r="EIJ10" s="28"/>
      <c r="EIK10" s="28"/>
      <c r="EIL10" s="28"/>
      <c r="EIM10" s="28"/>
      <c r="EIN10" s="28"/>
      <c r="EIO10" s="28"/>
      <c r="EIP10" s="28"/>
      <c r="EIQ10" s="28"/>
      <c r="EIR10" s="28"/>
      <c r="EIS10" s="28"/>
      <c r="EIT10" s="28"/>
      <c r="EIU10" s="28"/>
      <c r="EIV10" s="28"/>
      <c r="EIW10" s="28"/>
      <c r="EIX10" s="28"/>
      <c r="EIY10" s="28"/>
      <c r="EIZ10" s="28"/>
      <c r="EJA10" s="28"/>
      <c r="EJB10" s="28"/>
      <c r="EJC10" s="28"/>
      <c r="EJD10" s="28"/>
      <c r="EJE10" s="28"/>
      <c r="EJF10" s="28"/>
      <c r="EJG10" s="28"/>
      <c r="EJH10" s="28"/>
      <c r="EJI10" s="28"/>
      <c r="EJJ10" s="28"/>
      <c r="EJK10" s="28"/>
      <c r="EJL10" s="28"/>
      <c r="EJM10" s="28"/>
      <c r="EJN10" s="28"/>
      <c r="EJO10" s="28"/>
      <c r="EJP10" s="28"/>
      <c r="EJQ10" s="28"/>
      <c r="EJR10" s="28"/>
      <c r="EJS10" s="28"/>
      <c r="EJT10" s="28"/>
      <c r="EJU10" s="28"/>
      <c r="EJV10" s="28"/>
      <c r="EJW10" s="28"/>
      <c r="EJX10" s="28"/>
      <c r="EJY10" s="28"/>
      <c r="EJZ10" s="28"/>
      <c r="EKA10" s="28"/>
      <c r="EKB10" s="28"/>
      <c r="EKC10" s="28"/>
      <c r="EKD10" s="28"/>
      <c r="EKE10" s="28"/>
      <c r="EKF10" s="28"/>
      <c r="EKG10" s="28"/>
      <c r="EKH10" s="28"/>
      <c r="EKI10" s="28"/>
      <c r="EKJ10" s="28"/>
      <c r="EKK10" s="28"/>
      <c r="EKL10" s="28"/>
      <c r="EKM10" s="28"/>
      <c r="EKN10" s="28"/>
      <c r="EKO10" s="28"/>
      <c r="EKP10" s="28"/>
      <c r="EKQ10" s="28"/>
      <c r="EKR10" s="28"/>
      <c r="EKS10" s="28"/>
      <c r="EKT10" s="28"/>
      <c r="EKU10" s="28"/>
      <c r="EKV10" s="28"/>
      <c r="EKW10" s="28"/>
      <c r="EKX10" s="28"/>
      <c r="EKY10" s="28"/>
      <c r="EKZ10" s="28"/>
      <c r="ELA10" s="28"/>
      <c r="ELB10" s="28"/>
      <c r="ELC10" s="28"/>
      <c r="ELD10" s="28"/>
      <c r="ELE10" s="28"/>
      <c r="ELF10" s="28"/>
      <c r="ELG10" s="28"/>
      <c r="ELH10" s="28"/>
      <c r="ELI10" s="28"/>
      <c r="ELJ10" s="28"/>
      <c r="ELK10" s="28"/>
      <c r="ELL10" s="28"/>
      <c r="ELM10" s="28"/>
      <c r="ELN10" s="28"/>
      <c r="ELO10" s="28"/>
      <c r="ELP10" s="28"/>
      <c r="ELQ10" s="28"/>
      <c r="ELR10" s="28"/>
      <c r="ELS10" s="28"/>
      <c r="ELT10" s="28"/>
      <c r="ELU10" s="28"/>
      <c r="ELV10" s="28"/>
      <c r="ELW10" s="28"/>
      <c r="ELX10" s="28"/>
      <c r="ELY10" s="28"/>
      <c r="ELZ10" s="28"/>
      <c r="EMA10" s="28"/>
      <c r="EMB10" s="28"/>
      <c r="EMC10" s="28"/>
      <c r="EMD10" s="28"/>
      <c r="EME10" s="28"/>
      <c r="EMF10" s="28"/>
      <c r="EMG10" s="28"/>
      <c r="EMH10" s="28"/>
      <c r="EMI10" s="28"/>
      <c r="EMJ10" s="28"/>
      <c r="EMK10" s="28"/>
      <c r="EML10" s="28"/>
      <c r="EMM10" s="28"/>
      <c r="EMN10" s="28"/>
      <c r="EMO10" s="28"/>
      <c r="EMP10" s="28"/>
      <c r="EMQ10" s="28"/>
      <c r="EMR10" s="28"/>
      <c r="EMS10" s="28"/>
      <c r="EMT10" s="28"/>
      <c r="EMU10" s="28"/>
      <c r="EMV10" s="28"/>
      <c r="EMW10" s="28"/>
      <c r="EMX10" s="28"/>
      <c r="EMY10" s="28"/>
      <c r="EMZ10" s="28"/>
      <c r="ENA10" s="28"/>
      <c r="ENB10" s="28"/>
      <c r="ENC10" s="28"/>
      <c r="END10" s="28"/>
      <c r="ENE10" s="28"/>
      <c r="ENF10" s="28"/>
      <c r="ENG10" s="28"/>
      <c r="ENH10" s="28"/>
      <c r="ENI10" s="28"/>
      <c r="ENJ10" s="28"/>
      <c r="ENK10" s="28"/>
      <c r="ENL10" s="28"/>
      <c r="ENM10" s="28"/>
      <c r="ENN10" s="28"/>
      <c r="ENO10" s="28"/>
      <c r="ENP10" s="28"/>
      <c r="ENQ10" s="28"/>
      <c r="ENR10" s="28"/>
      <c r="ENS10" s="28"/>
      <c r="ENT10" s="28"/>
      <c r="ENU10" s="28"/>
      <c r="ENV10" s="28"/>
      <c r="ENW10" s="28"/>
      <c r="ENX10" s="28"/>
      <c r="ENY10" s="28"/>
      <c r="ENZ10" s="28"/>
      <c r="EOA10" s="28"/>
      <c r="EOB10" s="28"/>
      <c r="EOC10" s="28"/>
      <c r="EOD10" s="28"/>
      <c r="EOE10" s="28"/>
      <c r="EOF10" s="28"/>
      <c r="EOG10" s="28"/>
      <c r="EOH10" s="28"/>
      <c r="EOI10" s="28"/>
      <c r="EOJ10" s="28"/>
      <c r="EOK10" s="28"/>
      <c r="EOL10" s="28"/>
      <c r="EOM10" s="28"/>
      <c r="EON10" s="28"/>
      <c r="EOO10" s="28"/>
      <c r="EOP10" s="28"/>
      <c r="EOQ10" s="28"/>
      <c r="EOR10" s="28"/>
      <c r="EOS10" s="28"/>
      <c r="EOT10" s="28"/>
      <c r="EOU10" s="28"/>
      <c r="EOV10" s="28"/>
      <c r="EOW10" s="28"/>
      <c r="EOX10" s="28"/>
      <c r="EOY10" s="28"/>
      <c r="EOZ10" s="28"/>
      <c r="EPA10" s="28"/>
      <c r="EPB10" s="28"/>
      <c r="EPC10" s="28"/>
      <c r="EPD10" s="28"/>
      <c r="EPE10" s="28"/>
      <c r="EPF10" s="28"/>
      <c r="EPG10" s="28"/>
      <c r="EPH10" s="28"/>
      <c r="EPI10" s="28"/>
      <c r="EPJ10" s="28"/>
      <c r="EPK10" s="28"/>
      <c r="EPL10" s="28"/>
      <c r="EPM10" s="28"/>
      <c r="EPN10" s="28"/>
      <c r="EPO10" s="28"/>
      <c r="EPP10" s="28"/>
      <c r="EPQ10" s="28"/>
      <c r="EPR10" s="28"/>
      <c r="EPS10" s="28"/>
      <c r="EPT10" s="28"/>
      <c r="EPU10" s="28"/>
      <c r="EPV10" s="28"/>
      <c r="EPW10" s="28"/>
      <c r="EPX10" s="28"/>
      <c r="EPY10" s="28"/>
      <c r="EPZ10" s="28"/>
      <c r="EQA10" s="28"/>
      <c r="EQB10" s="28"/>
      <c r="EQC10" s="28"/>
      <c r="EQD10" s="28"/>
      <c r="EQE10" s="28"/>
      <c r="EQF10" s="28"/>
      <c r="EQG10" s="28"/>
      <c r="EQH10" s="28"/>
      <c r="EQI10" s="28"/>
      <c r="EQJ10" s="28"/>
      <c r="EQK10" s="28"/>
      <c r="EQL10" s="28"/>
      <c r="EQM10" s="28"/>
      <c r="EQN10" s="28"/>
      <c r="EQO10" s="28"/>
      <c r="EQP10" s="28"/>
      <c r="EQQ10" s="28"/>
      <c r="EQR10" s="28"/>
      <c r="EQS10" s="28"/>
      <c r="EQT10" s="28"/>
      <c r="EQU10" s="28"/>
      <c r="EQV10" s="28"/>
      <c r="EQW10" s="28"/>
      <c r="EQX10" s="28"/>
      <c r="EQY10" s="28"/>
      <c r="EQZ10" s="28"/>
      <c r="ERA10" s="28"/>
      <c r="ERB10" s="28"/>
      <c r="ERC10" s="28"/>
      <c r="ERD10" s="28"/>
      <c r="ERE10" s="28"/>
      <c r="ERF10" s="28"/>
      <c r="ERG10" s="28"/>
      <c r="ERH10" s="28"/>
      <c r="ERI10" s="28"/>
      <c r="ERJ10" s="28"/>
      <c r="ERK10" s="28"/>
      <c r="ERL10" s="28"/>
      <c r="ERM10" s="28"/>
      <c r="ERN10" s="28"/>
      <c r="ERO10" s="28"/>
      <c r="ERP10" s="28"/>
      <c r="ERQ10" s="28"/>
      <c r="ERR10" s="28"/>
      <c r="ERS10" s="28"/>
      <c r="ERT10" s="28"/>
      <c r="ERU10" s="28"/>
      <c r="ERV10" s="28"/>
      <c r="ERW10" s="28"/>
      <c r="ERX10" s="28"/>
      <c r="ERY10" s="28"/>
      <c r="ERZ10" s="28"/>
      <c r="ESA10" s="28"/>
      <c r="ESB10" s="28"/>
      <c r="ESC10" s="28"/>
      <c r="ESD10" s="28"/>
      <c r="ESE10" s="28"/>
      <c r="ESF10" s="28"/>
      <c r="ESG10" s="28"/>
      <c r="ESH10" s="28"/>
      <c r="ESI10" s="28"/>
      <c r="ESJ10" s="28"/>
      <c r="ESK10" s="28"/>
      <c r="ESL10" s="28"/>
      <c r="ESM10" s="28"/>
      <c r="ESN10" s="28"/>
      <c r="ESO10" s="28"/>
      <c r="ESP10" s="28"/>
      <c r="ESQ10" s="28"/>
      <c r="ESR10" s="28"/>
      <c r="ESS10" s="28"/>
      <c r="EST10" s="28"/>
      <c r="ESU10" s="28"/>
      <c r="ESV10" s="28"/>
      <c r="ESW10" s="28"/>
      <c r="ESX10" s="28"/>
      <c r="ESY10" s="28"/>
      <c r="ESZ10" s="28"/>
      <c r="ETA10" s="28"/>
      <c r="ETB10" s="28"/>
      <c r="ETC10" s="28"/>
      <c r="ETD10" s="28"/>
      <c r="ETE10" s="28"/>
      <c r="ETF10" s="28"/>
      <c r="ETG10" s="28"/>
      <c r="ETH10" s="28"/>
      <c r="ETI10" s="28"/>
      <c r="ETJ10" s="28"/>
      <c r="ETK10" s="28"/>
      <c r="ETL10" s="28"/>
      <c r="ETM10" s="28"/>
      <c r="ETN10" s="28"/>
      <c r="ETO10" s="28"/>
      <c r="ETP10" s="28"/>
      <c r="ETQ10" s="28"/>
      <c r="ETR10" s="28"/>
      <c r="ETS10" s="28"/>
      <c r="ETT10" s="28"/>
      <c r="ETU10" s="28"/>
      <c r="ETV10" s="28"/>
      <c r="ETW10" s="28"/>
      <c r="ETX10" s="28"/>
      <c r="ETY10" s="28"/>
      <c r="ETZ10" s="28"/>
      <c r="EUA10" s="28"/>
      <c r="EUB10" s="28"/>
      <c r="EUC10" s="28"/>
      <c r="EUD10" s="28"/>
      <c r="EUE10" s="28"/>
      <c r="EUF10" s="28"/>
      <c r="EUG10" s="28"/>
      <c r="EUH10" s="28"/>
      <c r="EUI10" s="28"/>
      <c r="EUJ10" s="28"/>
      <c r="EUK10" s="28"/>
      <c r="EUL10" s="28"/>
      <c r="EUM10" s="28"/>
      <c r="EUN10" s="28"/>
      <c r="EUO10" s="28"/>
      <c r="EUP10" s="28"/>
      <c r="EUQ10" s="28"/>
      <c r="EUR10" s="28"/>
      <c r="EUS10" s="28"/>
      <c r="EUT10" s="28"/>
      <c r="EUU10" s="28"/>
      <c r="EUV10" s="28"/>
      <c r="EUW10" s="28"/>
      <c r="EUX10" s="28"/>
      <c r="EUY10" s="28"/>
      <c r="EUZ10" s="28"/>
      <c r="EVA10" s="28"/>
      <c r="EVB10" s="28"/>
      <c r="EVC10" s="28"/>
      <c r="EVD10" s="28"/>
      <c r="EVE10" s="28"/>
      <c r="EVF10" s="28"/>
      <c r="EVG10" s="28"/>
      <c r="EVH10" s="28"/>
      <c r="EVI10" s="28"/>
      <c r="EVJ10" s="28"/>
      <c r="EVK10" s="28"/>
      <c r="EVL10" s="28"/>
      <c r="EVM10" s="28"/>
      <c r="EVN10" s="28"/>
      <c r="EVO10" s="28"/>
      <c r="EVP10" s="28"/>
      <c r="EVQ10" s="28"/>
      <c r="EVR10" s="28"/>
      <c r="EVS10" s="28"/>
      <c r="EVT10" s="28"/>
      <c r="EVU10" s="28"/>
      <c r="EVV10" s="28"/>
      <c r="EVW10" s="28"/>
      <c r="EVX10" s="28"/>
      <c r="EVY10" s="28"/>
      <c r="EVZ10" s="28"/>
      <c r="EWA10" s="28"/>
      <c r="EWB10" s="28"/>
      <c r="EWC10" s="28"/>
      <c r="EWD10" s="28"/>
      <c r="EWE10" s="28"/>
      <c r="EWF10" s="28"/>
      <c r="EWG10" s="28"/>
      <c r="EWH10" s="28"/>
      <c r="EWI10" s="28"/>
      <c r="EWJ10" s="28"/>
      <c r="EWK10" s="28"/>
      <c r="EWL10" s="28"/>
      <c r="EWM10" s="28"/>
      <c r="EWN10" s="28"/>
      <c r="EWO10" s="28"/>
      <c r="EWP10" s="28"/>
      <c r="EWQ10" s="28"/>
      <c r="EWR10" s="28"/>
      <c r="EWS10" s="28"/>
      <c r="EWT10" s="28"/>
      <c r="EWU10" s="28"/>
      <c r="EWV10" s="28"/>
      <c r="EWW10" s="28"/>
      <c r="EWX10" s="28"/>
      <c r="EWY10" s="28"/>
      <c r="EWZ10" s="28"/>
      <c r="EXA10" s="28"/>
      <c r="EXB10" s="28"/>
      <c r="EXC10" s="28"/>
      <c r="EXD10" s="28"/>
      <c r="EXE10" s="28"/>
      <c r="EXF10" s="28"/>
      <c r="EXG10" s="28"/>
      <c r="EXH10" s="28"/>
      <c r="EXI10" s="28"/>
      <c r="EXJ10" s="28"/>
      <c r="EXK10" s="28"/>
      <c r="EXL10" s="28"/>
      <c r="EXM10" s="28"/>
      <c r="EXN10" s="28"/>
      <c r="EXO10" s="28"/>
      <c r="EXP10" s="28"/>
      <c r="EXQ10" s="28"/>
      <c r="EXR10" s="28"/>
      <c r="EXS10" s="28"/>
      <c r="EXT10" s="28"/>
      <c r="EXU10" s="28"/>
      <c r="EXV10" s="28"/>
      <c r="EXW10" s="28"/>
      <c r="EXX10" s="28"/>
      <c r="EXY10" s="28"/>
      <c r="EXZ10" s="28"/>
      <c r="EYA10" s="28"/>
      <c r="EYB10" s="28"/>
      <c r="EYC10" s="28"/>
      <c r="EYD10" s="28"/>
      <c r="EYE10" s="28"/>
      <c r="EYF10" s="28"/>
      <c r="EYG10" s="28"/>
      <c r="EYH10" s="28"/>
      <c r="EYI10" s="28"/>
      <c r="EYJ10" s="28"/>
      <c r="EYK10" s="28"/>
      <c r="EYL10" s="28"/>
      <c r="EYM10" s="28"/>
      <c r="EYN10" s="28"/>
      <c r="EYO10" s="28"/>
      <c r="EYP10" s="28"/>
      <c r="EYQ10" s="28"/>
      <c r="EYR10" s="28"/>
      <c r="EYS10" s="28"/>
      <c r="EYT10" s="28"/>
      <c r="EYU10" s="28"/>
      <c r="EYV10" s="28"/>
      <c r="EYW10" s="28"/>
      <c r="EYX10" s="28"/>
      <c r="EYY10" s="28"/>
      <c r="EYZ10" s="28"/>
      <c r="EZA10" s="28"/>
      <c r="EZB10" s="28"/>
      <c r="EZC10" s="28"/>
      <c r="EZD10" s="28"/>
      <c r="EZE10" s="28"/>
      <c r="EZF10" s="28"/>
      <c r="EZG10" s="28"/>
      <c r="EZH10" s="28"/>
      <c r="EZI10" s="28"/>
      <c r="EZJ10" s="28"/>
      <c r="EZK10" s="28"/>
      <c r="EZL10" s="28"/>
      <c r="EZM10" s="28"/>
      <c r="EZN10" s="28"/>
      <c r="EZO10" s="28"/>
      <c r="EZP10" s="28"/>
      <c r="EZQ10" s="28"/>
      <c r="EZR10" s="28"/>
      <c r="EZS10" s="28"/>
      <c r="EZT10" s="28"/>
      <c r="EZU10" s="28"/>
      <c r="EZV10" s="28"/>
      <c r="EZW10" s="28"/>
      <c r="EZX10" s="28"/>
      <c r="EZY10" s="28"/>
      <c r="EZZ10" s="28"/>
      <c r="FAA10" s="28"/>
      <c r="FAB10" s="28"/>
      <c r="FAC10" s="28"/>
      <c r="FAD10" s="28"/>
      <c r="FAE10" s="28"/>
      <c r="FAF10" s="28"/>
      <c r="FAG10" s="28"/>
      <c r="FAH10" s="28"/>
      <c r="FAI10" s="28"/>
      <c r="FAJ10" s="28"/>
      <c r="FAK10" s="28"/>
      <c r="FAL10" s="28"/>
      <c r="FAM10" s="28"/>
      <c r="FAN10" s="28"/>
      <c r="FAO10" s="28"/>
      <c r="FAP10" s="28"/>
      <c r="FAQ10" s="28"/>
      <c r="FAR10" s="28"/>
      <c r="FAS10" s="28"/>
      <c r="FAT10" s="28"/>
      <c r="FAU10" s="28"/>
      <c r="FAV10" s="28"/>
      <c r="FAW10" s="28"/>
      <c r="FAX10" s="28"/>
      <c r="FAY10" s="28"/>
      <c r="FAZ10" s="28"/>
      <c r="FBA10" s="28"/>
      <c r="FBB10" s="28"/>
      <c r="FBC10" s="28"/>
      <c r="FBD10" s="28"/>
      <c r="FBE10" s="28"/>
      <c r="FBF10" s="28"/>
      <c r="FBG10" s="28"/>
      <c r="FBH10" s="28"/>
      <c r="FBI10" s="28"/>
      <c r="FBJ10" s="28"/>
      <c r="FBK10" s="28"/>
      <c r="FBL10" s="28"/>
      <c r="FBM10" s="28"/>
      <c r="FBN10" s="28"/>
      <c r="FBO10" s="28"/>
      <c r="FBP10" s="28"/>
      <c r="FBQ10" s="28"/>
      <c r="FBR10" s="28"/>
      <c r="FBS10" s="28"/>
      <c r="FBT10" s="28"/>
      <c r="FBU10" s="28"/>
      <c r="FBV10" s="28"/>
      <c r="FBW10" s="28"/>
      <c r="FBX10" s="28"/>
      <c r="FBY10" s="28"/>
      <c r="FBZ10" s="28"/>
      <c r="FCA10" s="28"/>
      <c r="FCB10" s="28"/>
      <c r="FCC10" s="28"/>
      <c r="FCD10" s="28"/>
      <c r="FCE10" s="28"/>
      <c r="FCF10" s="28"/>
      <c r="FCG10" s="28"/>
      <c r="FCH10" s="28"/>
      <c r="FCI10" s="28"/>
      <c r="FCJ10" s="28"/>
      <c r="FCK10" s="28"/>
      <c r="FCL10" s="28"/>
      <c r="FCM10" s="28"/>
      <c r="FCN10" s="28"/>
      <c r="FCO10" s="28"/>
      <c r="FCP10" s="28"/>
      <c r="FCQ10" s="28"/>
      <c r="FCR10" s="28"/>
      <c r="FCS10" s="28"/>
      <c r="FCT10" s="28"/>
      <c r="FCU10" s="28"/>
      <c r="FCV10" s="28"/>
      <c r="FCW10" s="28"/>
      <c r="FCX10" s="28"/>
      <c r="FCY10" s="28"/>
      <c r="FCZ10" s="28"/>
      <c r="FDA10" s="28"/>
      <c r="FDB10" s="28"/>
      <c r="FDC10" s="28"/>
      <c r="FDD10" s="28"/>
      <c r="FDE10" s="28"/>
      <c r="FDF10" s="28"/>
      <c r="FDG10" s="28"/>
      <c r="FDH10" s="28"/>
      <c r="FDI10" s="28"/>
      <c r="FDJ10" s="28"/>
      <c r="FDK10" s="28"/>
      <c r="FDL10" s="28"/>
      <c r="FDM10" s="28"/>
      <c r="FDN10" s="28"/>
      <c r="FDO10" s="28"/>
      <c r="FDP10" s="28"/>
      <c r="FDQ10" s="28"/>
      <c r="FDR10" s="28"/>
      <c r="FDS10" s="28"/>
      <c r="FDT10" s="28"/>
      <c r="FDU10" s="28"/>
      <c r="FDV10" s="28"/>
      <c r="FDW10" s="28"/>
      <c r="FDX10" s="28"/>
      <c r="FDY10" s="28"/>
      <c r="FDZ10" s="28"/>
      <c r="FEA10" s="28"/>
      <c r="FEB10" s="28"/>
      <c r="FEC10" s="28"/>
      <c r="FED10" s="28"/>
      <c r="FEE10" s="28"/>
      <c r="FEF10" s="28"/>
      <c r="FEG10" s="28"/>
      <c r="FEH10" s="28"/>
      <c r="FEI10" s="28"/>
      <c r="FEJ10" s="28"/>
      <c r="FEK10" s="28"/>
      <c r="FEL10" s="28"/>
      <c r="FEM10" s="28"/>
      <c r="FEN10" s="28"/>
      <c r="FEO10" s="28"/>
      <c r="FEP10" s="28"/>
      <c r="FEQ10" s="28"/>
      <c r="FER10" s="28"/>
      <c r="FES10" s="28"/>
      <c r="FET10" s="28"/>
      <c r="FEU10" s="28"/>
      <c r="FEV10" s="28"/>
      <c r="FEW10" s="28"/>
      <c r="FEX10" s="28"/>
      <c r="FEY10" s="28"/>
      <c r="FEZ10" s="28"/>
      <c r="FFA10" s="28"/>
      <c r="FFB10" s="28"/>
      <c r="FFC10" s="28"/>
      <c r="FFD10" s="28"/>
      <c r="FFE10" s="28"/>
      <c r="FFF10" s="28"/>
      <c r="FFG10" s="28"/>
      <c r="FFH10" s="28"/>
      <c r="FFI10" s="28"/>
      <c r="FFJ10" s="28"/>
      <c r="FFK10" s="28"/>
      <c r="FFL10" s="28"/>
      <c r="FFM10" s="28"/>
      <c r="FFN10" s="28"/>
      <c r="FFO10" s="28"/>
      <c r="FFP10" s="28"/>
      <c r="FFQ10" s="28"/>
      <c r="FFR10" s="28"/>
      <c r="FFS10" s="28"/>
      <c r="FFT10" s="28"/>
      <c r="FFU10" s="28"/>
      <c r="FFV10" s="28"/>
      <c r="FFW10" s="28"/>
      <c r="FFX10" s="28"/>
      <c r="FFY10" s="28"/>
      <c r="FFZ10" s="28"/>
      <c r="FGA10" s="28"/>
      <c r="FGB10" s="28"/>
      <c r="FGC10" s="28"/>
      <c r="FGD10" s="28"/>
      <c r="FGE10" s="28"/>
      <c r="FGF10" s="28"/>
      <c r="FGG10" s="28"/>
      <c r="FGH10" s="28"/>
      <c r="FGI10" s="28"/>
      <c r="FGJ10" s="28"/>
      <c r="FGK10" s="28"/>
      <c r="FGL10" s="28"/>
      <c r="FGM10" s="28"/>
      <c r="FGN10" s="28"/>
      <c r="FGO10" s="28"/>
      <c r="FGP10" s="28"/>
      <c r="FGQ10" s="28"/>
      <c r="FGR10" s="28"/>
      <c r="FGS10" s="28"/>
      <c r="FGT10" s="28"/>
      <c r="FGU10" s="28"/>
      <c r="FGV10" s="28"/>
      <c r="FGW10" s="28"/>
      <c r="FGX10" s="28"/>
      <c r="FGY10" s="28"/>
      <c r="FGZ10" s="28"/>
      <c r="FHA10" s="28"/>
      <c r="FHB10" s="28"/>
      <c r="FHC10" s="28"/>
      <c r="FHD10" s="28"/>
      <c r="FHE10" s="28"/>
      <c r="FHF10" s="28"/>
      <c r="FHG10" s="28"/>
      <c r="FHH10" s="28"/>
      <c r="FHI10" s="28"/>
      <c r="FHJ10" s="28"/>
      <c r="FHK10" s="28"/>
      <c r="FHL10" s="28"/>
      <c r="FHM10" s="28"/>
      <c r="FHN10" s="28"/>
      <c r="FHO10" s="28"/>
      <c r="FHP10" s="28"/>
      <c r="FHQ10" s="28"/>
      <c r="FHR10" s="28"/>
      <c r="FHS10" s="28"/>
      <c r="FHT10" s="28"/>
      <c r="FHU10" s="28"/>
      <c r="FHV10" s="28"/>
      <c r="FHW10" s="28"/>
      <c r="FHX10" s="28"/>
      <c r="FHY10" s="28"/>
      <c r="FHZ10" s="28"/>
      <c r="FIA10" s="28"/>
      <c r="FIB10" s="28"/>
      <c r="FIC10" s="28"/>
      <c r="FID10" s="28"/>
      <c r="FIE10" s="28"/>
      <c r="FIF10" s="28"/>
      <c r="FIG10" s="28"/>
      <c r="FIH10" s="28"/>
      <c r="FII10" s="28"/>
      <c r="FIJ10" s="28"/>
      <c r="FIK10" s="28"/>
      <c r="FIL10" s="28"/>
      <c r="FIM10" s="28"/>
      <c r="FIN10" s="28"/>
      <c r="FIO10" s="28"/>
      <c r="FIP10" s="28"/>
      <c r="FIQ10" s="28"/>
      <c r="FIR10" s="28"/>
      <c r="FIS10" s="28"/>
      <c r="FIT10" s="28"/>
      <c r="FIU10" s="28"/>
      <c r="FIV10" s="28"/>
      <c r="FIW10" s="28"/>
      <c r="FIX10" s="28"/>
      <c r="FIY10" s="28"/>
      <c r="FIZ10" s="28"/>
      <c r="FJA10" s="28"/>
      <c r="FJB10" s="28"/>
      <c r="FJC10" s="28"/>
      <c r="FJD10" s="28"/>
      <c r="FJE10" s="28"/>
      <c r="FJF10" s="28"/>
      <c r="FJG10" s="28"/>
      <c r="FJH10" s="28"/>
      <c r="FJI10" s="28"/>
      <c r="FJJ10" s="28"/>
      <c r="FJK10" s="28"/>
      <c r="FJL10" s="28"/>
      <c r="FJM10" s="28"/>
      <c r="FJN10" s="28"/>
      <c r="FJO10" s="28"/>
      <c r="FJP10" s="28"/>
      <c r="FJQ10" s="28"/>
      <c r="FJR10" s="28"/>
      <c r="FJS10" s="28"/>
      <c r="FJT10" s="28"/>
      <c r="FJU10" s="28"/>
      <c r="FJV10" s="28"/>
      <c r="FJW10" s="28"/>
      <c r="FJX10" s="28"/>
      <c r="FJY10" s="28"/>
      <c r="FJZ10" s="28"/>
      <c r="FKA10" s="28"/>
      <c r="FKB10" s="28"/>
      <c r="FKC10" s="28"/>
      <c r="FKD10" s="28"/>
      <c r="FKE10" s="28"/>
      <c r="FKF10" s="28"/>
      <c r="FKG10" s="28"/>
      <c r="FKH10" s="28"/>
      <c r="FKI10" s="28"/>
      <c r="FKJ10" s="28"/>
      <c r="FKK10" s="28"/>
      <c r="FKL10" s="28"/>
      <c r="FKM10" s="28"/>
      <c r="FKN10" s="28"/>
      <c r="FKO10" s="28"/>
      <c r="FKP10" s="28"/>
      <c r="FKQ10" s="28"/>
      <c r="FKR10" s="28"/>
      <c r="FKS10" s="28"/>
      <c r="FKT10" s="28"/>
      <c r="FKU10" s="28"/>
      <c r="FKV10" s="28"/>
      <c r="FKW10" s="28"/>
      <c r="FKX10" s="28"/>
      <c r="FKY10" s="28"/>
      <c r="FKZ10" s="28"/>
      <c r="FLA10" s="28"/>
      <c r="FLB10" s="28"/>
      <c r="FLC10" s="28"/>
      <c r="FLD10" s="28"/>
      <c r="FLE10" s="28"/>
      <c r="FLF10" s="28"/>
      <c r="FLG10" s="28"/>
      <c r="FLH10" s="28"/>
      <c r="FLI10" s="28"/>
      <c r="FLJ10" s="28"/>
      <c r="FLK10" s="28"/>
      <c r="FLL10" s="28"/>
      <c r="FLM10" s="28"/>
      <c r="FLN10" s="28"/>
      <c r="FLO10" s="28"/>
      <c r="FLP10" s="28"/>
      <c r="FLQ10" s="28"/>
      <c r="FLR10" s="28"/>
      <c r="FLS10" s="28"/>
      <c r="FLT10" s="28"/>
      <c r="FLU10" s="28"/>
      <c r="FLV10" s="28"/>
      <c r="FLW10" s="28"/>
      <c r="FLX10" s="28"/>
      <c r="FLY10" s="28"/>
      <c r="FLZ10" s="28"/>
      <c r="FMA10" s="28"/>
      <c r="FMB10" s="28"/>
      <c r="FMC10" s="28"/>
      <c r="FMD10" s="28"/>
      <c r="FME10" s="28"/>
      <c r="FMF10" s="28"/>
      <c r="FMG10" s="28"/>
      <c r="FMH10" s="28"/>
      <c r="FMI10" s="28"/>
      <c r="FMJ10" s="28"/>
      <c r="FMK10" s="28"/>
      <c r="FML10" s="28"/>
      <c r="FMM10" s="28"/>
      <c r="FMN10" s="28"/>
      <c r="FMO10" s="28"/>
      <c r="FMP10" s="28"/>
      <c r="FMQ10" s="28"/>
      <c r="FMR10" s="28"/>
      <c r="FMS10" s="28"/>
      <c r="FMT10" s="28"/>
      <c r="FMU10" s="28"/>
      <c r="FMV10" s="28"/>
      <c r="FMW10" s="28"/>
      <c r="FMX10" s="28"/>
      <c r="FMY10" s="28"/>
      <c r="FMZ10" s="28"/>
      <c r="FNA10" s="28"/>
      <c r="FNB10" s="28"/>
      <c r="FNC10" s="28"/>
      <c r="FND10" s="28"/>
      <c r="FNE10" s="28"/>
      <c r="FNF10" s="28"/>
      <c r="FNG10" s="28"/>
      <c r="FNH10" s="28"/>
      <c r="FNI10" s="28"/>
      <c r="FNJ10" s="28"/>
      <c r="FNK10" s="28"/>
      <c r="FNL10" s="28"/>
      <c r="FNM10" s="28"/>
      <c r="FNN10" s="28"/>
      <c r="FNO10" s="28"/>
      <c r="FNP10" s="28"/>
      <c r="FNQ10" s="28"/>
      <c r="FNR10" s="28"/>
      <c r="FNS10" s="28"/>
      <c r="FNT10" s="28"/>
      <c r="FNU10" s="28"/>
      <c r="FNV10" s="28"/>
      <c r="FNW10" s="28"/>
      <c r="FNX10" s="28"/>
      <c r="FNY10" s="28"/>
      <c r="FNZ10" s="28"/>
      <c r="FOA10" s="28"/>
      <c r="FOB10" s="28"/>
      <c r="FOC10" s="28"/>
      <c r="FOD10" s="28"/>
      <c r="FOE10" s="28"/>
      <c r="FOF10" s="28"/>
      <c r="FOG10" s="28"/>
      <c r="FOH10" s="28"/>
      <c r="FOI10" s="28"/>
      <c r="FOJ10" s="28"/>
      <c r="FOK10" s="28"/>
      <c r="FOL10" s="28"/>
      <c r="FOM10" s="28"/>
      <c r="FON10" s="28"/>
      <c r="FOO10" s="28"/>
      <c r="FOP10" s="28"/>
      <c r="FOQ10" s="28"/>
      <c r="FOR10" s="28"/>
      <c r="FOS10" s="28"/>
      <c r="FOT10" s="28"/>
      <c r="FOU10" s="28"/>
      <c r="FOV10" s="28"/>
      <c r="FOW10" s="28"/>
      <c r="FOX10" s="28"/>
      <c r="FOY10" s="28"/>
      <c r="FOZ10" s="28"/>
      <c r="FPA10" s="28"/>
      <c r="FPB10" s="28"/>
      <c r="FPC10" s="28"/>
      <c r="FPD10" s="28"/>
      <c r="FPE10" s="28"/>
      <c r="FPF10" s="28"/>
      <c r="FPG10" s="28"/>
      <c r="FPH10" s="28"/>
      <c r="FPI10" s="28"/>
      <c r="FPJ10" s="28"/>
      <c r="FPK10" s="28"/>
      <c r="FPL10" s="28"/>
      <c r="FPM10" s="28"/>
      <c r="FPN10" s="28"/>
      <c r="FPO10" s="28"/>
      <c r="FPP10" s="28"/>
      <c r="FPQ10" s="28"/>
      <c r="FPR10" s="28"/>
      <c r="FPS10" s="28"/>
      <c r="FPT10" s="28"/>
      <c r="FPU10" s="28"/>
      <c r="FPV10" s="28"/>
      <c r="FPW10" s="28"/>
      <c r="FPX10" s="28"/>
      <c r="FPY10" s="28"/>
      <c r="FPZ10" s="28"/>
      <c r="FQA10" s="28"/>
      <c r="FQB10" s="28"/>
      <c r="FQC10" s="28"/>
      <c r="FQD10" s="28"/>
      <c r="FQE10" s="28"/>
      <c r="FQF10" s="28"/>
      <c r="FQG10" s="28"/>
      <c r="FQH10" s="28"/>
      <c r="FQI10" s="28"/>
      <c r="FQJ10" s="28"/>
      <c r="FQK10" s="28"/>
      <c r="FQL10" s="28"/>
      <c r="FQM10" s="28"/>
      <c r="FQN10" s="28"/>
      <c r="FQO10" s="28"/>
      <c r="FQP10" s="28"/>
      <c r="FQQ10" s="28"/>
      <c r="FQR10" s="28"/>
      <c r="FQS10" s="28"/>
      <c r="FQT10" s="28"/>
      <c r="FQU10" s="28"/>
      <c r="FQV10" s="28"/>
      <c r="FQW10" s="28"/>
      <c r="FQX10" s="28"/>
      <c r="FQY10" s="28"/>
      <c r="FQZ10" s="28"/>
      <c r="FRA10" s="28"/>
      <c r="FRB10" s="28"/>
      <c r="FRC10" s="28"/>
      <c r="FRD10" s="28"/>
      <c r="FRE10" s="28"/>
      <c r="FRF10" s="28"/>
      <c r="FRG10" s="28"/>
      <c r="FRH10" s="28"/>
      <c r="FRI10" s="28"/>
      <c r="FRJ10" s="28"/>
      <c r="FRK10" s="28"/>
      <c r="FRL10" s="28"/>
      <c r="FRM10" s="28"/>
      <c r="FRN10" s="28"/>
      <c r="FRO10" s="28"/>
      <c r="FRP10" s="28"/>
      <c r="FRQ10" s="28"/>
      <c r="FRR10" s="28"/>
      <c r="FRS10" s="28"/>
      <c r="FRT10" s="28"/>
      <c r="FRU10" s="28"/>
      <c r="FRV10" s="28"/>
      <c r="FRW10" s="28"/>
      <c r="FRX10" s="28"/>
      <c r="FRY10" s="28"/>
      <c r="FRZ10" s="28"/>
      <c r="FSA10" s="28"/>
      <c r="FSB10" s="28"/>
      <c r="FSC10" s="28"/>
      <c r="FSD10" s="28"/>
      <c r="FSE10" s="28"/>
      <c r="FSF10" s="28"/>
      <c r="FSG10" s="28"/>
      <c r="FSH10" s="28"/>
      <c r="FSI10" s="28"/>
      <c r="FSJ10" s="28"/>
      <c r="FSK10" s="28"/>
      <c r="FSL10" s="28"/>
      <c r="FSM10" s="28"/>
      <c r="FSN10" s="28"/>
      <c r="FSO10" s="28"/>
      <c r="FSP10" s="28"/>
      <c r="FSQ10" s="28"/>
      <c r="FSR10" s="28"/>
      <c r="FSS10" s="28"/>
      <c r="FST10" s="28"/>
      <c r="FSU10" s="28"/>
      <c r="FSV10" s="28"/>
      <c r="FSW10" s="28"/>
      <c r="FSX10" s="28"/>
      <c r="FSY10" s="28"/>
      <c r="FSZ10" s="28"/>
      <c r="FTA10" s="28"/>
      <c r="FTB10" s="28"/>
      <c r="FTC10" s="28"/>
      <c r="FTD10" s="28"/>
      <c r="FTE10" s="28"/>
      <c r="FTF10" s="28"/>
      <c r="FTG10" s="28"/>
      <c r="FTH10" s="28"/>
      <c r="FTI10" s="28"/>
      <c r="FTJ10" s="28"/>
      <c r="FTK10" s="28"/>
      <c r="FTL10" s="28"/>
      <c r="FTM10" s="28"/>
      <c r="FTN10" s="28"/>
      <c r="FTO10" s="28"/>
      <c r="FTP10" s="28"/>
      <c r="FTQ10" s="28"/>
      <c r="FTR10" s="28"/>
      <c r="FTS10" s="28"/>
      <c r="FTT10" s="28"/>
      <c r="FTU10" s="28"/>
      <c r="FTV10" s="28"/>
      <c r="FTW10" s="28"/>
      <c r="FTX10" s="28"/>
      <c r="FTY10" s="28"/>
      <c r="FTZ10" s="28"/>
      <c r="FUA10" s="28"/>
      <c r="FUB10" s="28"/>
      <c r="FUC10" s="28"/>
      <c r="FUD10" s="28"/>
      <c r="FUE10" s="28"/>
      <c r="FUF10" s="28"/>
      <c r="FUG10" s="28"/>
      <c r="FUH10" s="28"/>
      <c r="FUI10" s="28"/>
      <c r="FUJ10" s="28"/>
      <c r="FUK10" s="28"/>
      <c r="FUL10" s="28"/>
      <c r="FUM10" s="28"/>
      <c r="FUN10" s="28"/>
      <c r="FUO10" s="28"/>
      <c r="FUP10" s="28"/>
      <c r="FUQ10" s="28"/>
      <c r="FUR10" s="28"/>
      <c r="FUS10" s="28"/>
      <c r="FUT10" s="28"/>
      <c r="FUU10" s="28"/>
      <c r="FUV10" s="28"/>
      <c r="FUW10" s="28"/>
      <c r="FUX10" s="28"/>
      <c r="FUY10" s="28"/>
      <c r="FUZ10" s="28"/>
      <c r="FVA10" s="28"/>
      <c r="FVB10" s="28"/>
      <c r="FVC10" s="28"/>
      <c r="FVD10" s="28"/>
      <c r="FVE10" s="28"/>
      <c r="FVF10" s="28"/>
      <c r="FVG10" s="28"/>
      <c r="FVH10" s="28"/>
      <c r="FVI10" s="28"/>
      <c r="FVJ10" s="28"/>
      <c r="FVK10" s="28"/>
      <c r="FVL10" s="28"/>
      <c r="FVM10" s="28"/>
      <c r="FVN10" s="28"/>
      <c r="FVO10" s="28"/>
      <c r="FVP10" s="28"/>
      <c r="FVQ10" s="28"/>
      <c r="FVR10" s="28"/>
      <c r="FVS10" s="28"/>
      <c r="FVT10" s="28"/>
      <c r="FVU10" s="28"/>
      <c r="FVV10" s="28"/>
      <c r="FVW10" s="28"/>
      <c r="FVX10" s="28"/>
      <c r="FVY10" s="28"/>
      <c r="FVZ10" s="28"/>
      <c r="FWA10" s="28"/>
      <c r="FWB10" s="28"/>
      <c r="FWC10" s="28"/>
      <c r="FWD10" s="28"/>
      <c r="FWE10" s="28"/>
      <c r="FWF10" s="28"/>
      <c r="FWG10" s="28"/>
      <c r="FWH10" s="28"/>
      <c r="FWI10" s="28"/>
      <c r="FWJ10" s="28"/>
      <c r="FWK10" s="28"/>
      <c r="FWL10" s="28"/>
      <c r="FWM10" s="28"/>
      <c r="FWN10" s="28"/>
      <c r="FWO10" s="28"/>
      <c r="FWP10" s="28"/>
      <c r="FWQ10" s="28"/>
      <c r="FWR10" s="28"/>
      <c r="FWS10" s="28"/>
      <c r="FWT10" s="28"/>
      <c r="FWU10" s="28"/>
      <c r="FWV10" s="28"/>
      <c r="FWW10" s="28"/>
      <c r="FWX10" s="28"/>
      <c r="FWY10" s="28"/>
      <c r="FWZ10" s="28"/>
      <c r="FXA10" s="28"/>
      <c r="FXB10" s="28"/>
      <c r="FXC10" s="28"/>
      <c r="FXD10" s="28"/>
      <c r="FXE10" s="28"/>
      <c r="FXF10" s="28"/>
      <c r="FXG10" s="28"/>
      <c r="FXH10" s="28"/>
      <c r="FXI10" s="28"/>
      <c r="FXJ10" s="28"/>
      <c r="FXK10" s="28"/>
      <c r="FXL10" s="28"/>
      <c r="FXM10" s="28"/>
      <c r="FXN10" s="28"/>
      <c r="FXO10" s="28"/>
      <c r="FXP10" s="28"/>
      <c r="FXQ10" s="28"/>
      <c r="FXR10" s="28"/>
      <c r="FXS10" s="28"/>
      <c r="FXT10" s="28"/>
      <c r="FXU10" s="28"/>
      <c r="FXV10" s="28"/>
      <c r="FXW10" s="28"/>
      <c r="FXX10" s="28"/>
      <c r="FXY10" s="28"/>
      <c r="FXZ10" s="28"/>
      <c r="FYA10" s="28"/>
      <c r="FYB10" s="28"/>
      <c r="FYC10" s="28"/>
      <c r="FYD10" s="28"/>
      <c r="FYE10" s="28"/>
      <c r="FYF10" s="28"/>
      <c r="FYG10" s="28"/>
      <c r="FYH10" s="28"/>
      <c r="FYI10" s="28"/>
      <c r="FYJ10" s="28"/>
      <c r="FYK10" s="28"/>
      <c r="FYL10" s="28"/>
      <c r="FYM10" s="28"/>
      <c r="FYN10" s="28"/>
      <c r="FYO10" s="28"/>
      <c r="FYP10" s="28"/>
      <c r="FYQ10" s="28"/>
      <c r="FYR10" s="28"/>
      <c r="FYS10" s="28"/>
      <c r="FYT10" s="28"/>
      <c r="FYU10" s="28"/>
      <c r="FYV10" s="28"/>
      <c r="FYW10" s="28"/>
      <c r="FYX10" s="28"/>
      <c r="FYY10" s="28"/>
      <c r="FYZ10" s="28"/>
      <c r="FZA10" s="28"/>
      <c r="FZB10" s="28"/>
      <c r="FZC10" s="28"/>
      <c r="FZD10" s="28"/>
      <c r="FZE10" s="28"/>
      <c r="FZF10" s="28"/>
      <c r="FZG10" s="28"/>
      <c r="FZH10" s="28"/>
      <c r="FZI10" s="28"/>
      <c r="FZJ10" s="28"/>
      <c r="FZK10" s="28"/>
      <c r="FZL10" s="28"/>
      <c r="FZM10" s="28"/>
      <c r="FZN10" s="28"/>
      <c r="FZO10" s="28"/>
      <c r="FZP10" s="28"/>
      <c r="FZQ10" s="28"/>
      <c r="FZR10" s="28"/>
      <c r="FZS10" s="28"/>
      <c r="FZT10" s="28"/>
      <c r="FZU10" s="28"/>
      <c r="FZV10" s="28"/>
      <c r="FZW10" s="28"/>
      <c r="FZX10" s="28"/>
      <c r="FZY10" s="28"/>
      <c r="FZZ10" s="28"/>
      <c r="GAA10" s="28"/>
      <c r="GAB10" s="28"/>
      <c r="GAC10" s="28"/>
      <c r="GAD10" s="28"/>
      <c r="GAE10" s="28"/>
      <c r="GAF10" s="28"/>
      <c r="GAG10" s="28"/>
      <c r="GAH10" s="28"/>
      <c r="GAI10" s="28"/>
      <c r="GAJ10" s="28"/>
      <c r="GAK10" s="28"/>
      <c r="GAL10" s="28"/>
      <c r="GAM10" s="28"/>
      <c r="GAN10" s="28"/>
      <c r="GAO10" s="28"/>
      <c r="GAP10" s="28"/>
      <c r="GAQ10" s="28"/>
      <c r="GAR10" s="28"/>
      <c r="GAS10" s="28"/>
      <c r="GAT10" s="28"/>
      <c r="GAU10" s="28"/>
      <c r="GAV10" s="28"/>
      <c r="GAW10" s="28"/>
      <c r="GAX10" s="28"/>
      <c r="GAY10" s="28"/>
      <c r="GAZ10" s="28"/>
      <c r="GBA10" s="28"/>
      <c r="GBB10" s="28"/>
      <c r="GBC10" s="28"/>
      <c r="GBD10" s="28"/>
      <c r="GBE10" s="28"/>
      <c r="GBF10" s="28"/>
      <c r="GBG10" s="28"/>
      <c r="GBH10" s="28"/>
      <c r="GBI10" s="28"/>
      <c r="GBJ10" s="28"/>
      <c r="GBK10" s="28"/>
      <c r="GBL10" s="28"/>
      <c r="GBM10" s="28"/>
      <c r="GBN10" s="28"/>
      <c r="GBO10" s="28"/>
      <c r="GBP10" s="28"/>
      <c r="GBQ10" s="28"/>
      <c r="GBR10" s="28"/>
      <c r="GBS10" s="28"/>
      <c r="GBT10" s="28"/>
      <c r="GBU10" s="28"/>
      <c r="GBV10" s="28"/>
      <c r="GBW10" s="28"/>
      <c r="GBX10" s="28"/>
      <c r="GBY10" s="28"/>
      <c r="GBZ10" s="28"/>
      <c r="GCA10" s="28"/>
      <c r="GCB10" s="28"/>
      <c r="GCC10" s="28"/>
      <c r="GCD10" s="28"/>
      <c r="GCE10" s="28"/>
      <c r="GCF10" s="28"/>
      <c r="GCG10" s="28"/>
      <c r="GCH10" s="28"/>
      <c r="GCI10" s="28"/>
      <c r="GCJ10" s="28"/>
      <c r="GCK10" s="28"/>
      <c r="GCL10" s="28"/>
      <c r="GCM10" s="28"/>
      <c r="GCN10" s="28"/>
      <c r="GCO10" s="28"/>
      <c r="GCP10" s="28"/>
      <c r="GCQ10" s="28"/>
      <c r="GCR10" s="28"/>
      <c r="GCS10" s="28"/>
      <c r="GCT10" s="28"/>
      <c r="GCU10" s="28"/>
      <c r="GCV10" s="28"/>
      <c r="GCW10" s="28"/>
      <c r="GCX10" s="28"/>
      <c r="GCY10" s="28"/>
      <c r="GCZ10" s="28"/>
      <c r="GDA10" s="28"/>
      <c r="GDB10" s="28"/>
      <c r="GDC10" s="28"/>
      <c r="GDD10" s="28"/>
      <c r="GDE10" s="28"/>
      <c r="GDF10" s="28"/>
      <c r="GDG10" s="28"/>
      <c r="GDH10" s="28"/>
      <c r="GDI10" s="28"/>
      <c r="GDJ10" s="28"/>
      <c r="GDK10" s="28"/>
      <c r="GDL10" s="28"/>
      <c r="GDM10" s="28"/>
      <c r="GDN10" s="28"/>
      <c r="GDO10" s="28"/>
      <c r="GDP10" s="28"/>
      <c r="GDQ10" s="28"/>
      <c r="GDR10" s="28"/>
      <c r="GDS10" s="28"/>
      <c r="GDT10" s="28"/>
      <c r="GDU10" s="28"/>
      <c r="GDV10" s="28"/>
      <c r="GDW10" s="28"/>
      <c r="GDX10" s="28"/>
      <c r="GDY10" s="28"/>
      <c r="GDZ10" s="28"/>
      <c r="GEA10" s="28"/>
      <c r="GEB10" s="28"/>
      <c r="GEC10" s="28"/>
      <c r="GED10" s="28"/>
      <c r="GEE10" s="28"/>
      <c r="GEF10" s="28"/>
      <c r="GEG10" s="28"/>
      <c r="GEH10" s="28"/>
      <c r="GEI10" s="28"/>
      <c r="GEJ10" s="28"/>
      <c r="GEK10" s="28"/>
      <c r="GEL10" s="28"/>
      <c r="GEM10" s="28"/>
      <c r="GEN10" s="28"/>
      <c r="GEO10" s="28"/>
      <c r="GEP10" s="28"/>
      <c r="GEQ10" s="28"/>
      <c r="GER10" s="28"/>
      <c r="GES10" s="28"/>
      <c r="GET10" s="28"/>
      <c r="GEU10" s="28"/>
      <c r="GEV10" s="28"/>
      <c r="GEW10" s="28"/>
      <c r="GEX10" s="28"/>
      <c r="GEY10" s="28"/>
      <c r="GEZ10" s="28"/>
      <c r="GFA10" s="28"/>
      <c r="GFB10" s="28"/>
      <c r="GFC10" s="28"/>
      <c r="GFD10" s="28"/>
      <c r="GFE10" s="28"/>
      <c r="GFF10" s="28"/>
      <c r="GFG10" s="28"/>
      <c r="GFH10" s="28"/>
      <c r="GFI10" s="28"/>
      <c r="GFJ10" s="28"/>
      <c r="GFK10" s="28"/>
      <c r="GFL10" s="28"/>
      <c r="GFM10" s="28"/>
      <c r="GFN10" s="28"/>
      <c r="GFO10" s="28"/>
      <c r="GFP10" s="28"/>
      <c r="GFQ10" s="28"/>
      <c r="GFR10" s="28"/>
      <c r="GFS10" s="28"/>
      <c r="GFT10" s="28"/>
      <c r="GFU10" s="28"/>
      <c r="GFV10" s="28"/>
      <c r="GFW10" s="28"/>
      <c r="GFX10" s="28"/>
      <c r="GFY10" s="28"/>
      <c r="GFZ10" s="28"/>
      <c r="GGA10" s="28"/>
      <c r="GGB10" s="28"/>
      <c r="GGC10" s="28"/>
      <c r="GGD10" s="28"/>
      <c r="GGE10" s="28"/>
      <c r="GGF10" s="28"/>
      <c r="GGG10" s="28"/>
      <c r="GGH10" s="28"/>
      <c r="GGI10" s="28"/>
      <c r="GGJ10" s="28"/>
      <c r="GGK10" s="28"/>
      <c r="GGL10" s="28"/>
      <c r="GGM10" s="28"/>
      <c r="GGN10" s="28"/>
      <c r="GGO10" s="28"/>
      <c r="GGP10" s="28"/>
      <c r="GGQ10" s="28"/>
      <c r="GGR10" s="28"/>
      <c r="GGS10" s="28"/>
      <c r="GGT10" s="28"/>
      <c r="GGU10" s="28"/>
      <c r="GGV10" s="28"/>
      <c r="GGW10" s="28"/>
      <c r="GGX10" s="28"/>
      <c r="GGY10" s="28"/>
      <c r="GGZ10" s="28"/>
      <c r="GHA10" s="28"/>
      <c r="GHB10" s="28"/>
      <c r="GHC10" s="28"/>
      <c r="GHD10" s="28"/>
      <c r="GHE10" s="28"/>
      <c r="GHF10" s="28"/>
      <c r="GHG10" s="28"/>
      <c r="GHH10" s="28"/>
      <c r="GHI10" s="28"/>
      <c r="GHJ10" s="28"/>
      <c r="GHK10" s="28"/>
      <c r="GHL10" s="28"/>
      <c r="GHM10" s="28"/>
      <c r="GHN10" s="28"/>
      <c r="GHO10" s="28"/>
      <c r="GHP10" s="28"/>
      <c r="GHQ10" s="28"/>
      <c r="GHR10" s="28"/>
      <c r="GHS10" s="28"/>
      <c r="GHT10" s="28"/>
      <c r="GHU10" s="28"/>
      <c r="GHV10" s="28"/>
      <c r="GHW10" s="28"/>
      <c r="GHX10" s="28"/>
      <c r="GHY10" s="28"/>
      <c r="GHZ10" s="28"/>
      <c r="GIA10" s="28"/>
      <c r="GIB10" s="28"/>
      <c r="GIC10" s="28"/>
      <c r="GID10" s="28"/>
      <c r="GIE10" s="28"/>
      <c r="GIF10" s="28"/>
      <c r="GIG10" s="28"/>
      <c r="GIH10" s="28"/>
      <c r="GII10" s="28"/>
      <c r="GIJ10" s="28"/>
      <c r="GIK10" s="28"/>
      <c r="GIL10" s="28"/>
      <c r="GIM10" s="28"/>
      <c r="GIN10" s="28"/>
      <c r="GIO10" s="28"/>
      <c r="GIP10" s="28"/>
      <c r="GIQ10" s="28"/>
      <c r="GIR10" s="28"/>
      <c r="GIS10" s="28"/>
      <c r="GIT10" s="28"/>
      <c r="GIU10" s="28"/>
      <c r="GIV10" s="28"/>
      <c r="GIW10" s="28"/>
      <c r="GIX10" s="28"/>
      <c r="GIY10" s="28"/>
      <c r="GIZ10" s="28"/>
      <c r="GJA10" s="28"/>
      <c r="GJB10" s="28"/>
      <c r="GJC10" s="28"/>
      <c r="GJD10" s="28"/>
      <c r="GJE10" s="28"/>
      <c r="GJF10" s="28"/>
      <c r="GJG10" s="28"/>
      <c r="GJH10" s="28"/>
      <c r="GJI10" s="28"/>
      <c r="GJJ10" s="28"/>
      <c r="GJK10" s="28"/>
      <c r="GJL10" s="28"/>
      <c r="GJM10" s="28"/>
      <c r="GJN10" s="28"/>
      <c r="GJO10" s="28"/>
      <c r="GJP10" s="28"/>
      <c r="GJQ10" s="28"/>
      <c r="GJR10" s="28"/>
      <c r="GJS10" s="28"/>
      <c r="GJT10" s="28"/>
      <c r="GJU10" s="28"/>
      <c r="GJV10" s="28"/>
      <c r="GJW10" s="28"/>
      <c r="GJX10" s="28"/>
      <c r="GJY10" s="28"/>
      <c r="GJZ10" s="28"/>
      <c r="GKA10" s="28"/>
      <c r="GKB10" s="28"/>
      <c r="GKC10" s="28"/>
      <c r="GKD10" s="28"/>
      <c r="GKE10" s="28"/>
      <c r="GKF10" s="28"/>
      <c r="GKG10" s="28"/>
      <c r="GKH10" s="28"/>
      <c r="GKI10" s="28"/>
      <c r="GKJ10" s="28"/>
      <c r="GKK10" s="28"/>
      <c r="GKL10" s="28"/>
      <c r="GKM10" s="28"/>
      <c r="GKN10" s="28"/>
      <c r="GKO10" s="28"/>
      <c r="GKP10" s="28"/>
      <c r="GKQ10" s="28"/>
      <c r="GKR10" s="28"/>
      <c r="GKS10" s="28"/>
      <c r="GKT10" s="28"/>
      <c r="GKU10" s="28"/>
      <c r="GKV10" s="28"/>
      <c r="GKW10" s="28"/>
      <c r="GKX10" s="28"/>
      <c r="GKY10" s="28"/>
      <c r="GKZ10" s="28"/>
      <c r="GLA10" s="28"/>
      <c r="GLB10" s="28"/>
      <c r="GLC10" s="28"/>
      <c r="GLD10" s="28"/>
      <c r="GLE10" s="28"/>
      <c r="GLF10" s="28"/>
      <c r="GLG10" s="28"/>
      <c r="GLH10" s="28"/>
      <c r="GLI10" s="28"/>
      <c r="GLJ10" s="28"/>
      <c r="GLK10" s="28"/>
      <c r="GLL10" s="28"/>
      <c r="GLM10" s="28"/>
      <c r="GLN10" s="28"/>
      <c r="GLO10" s="28"/>
      <c r="GLP10" s="28"/>
      <c r="GLQ10" s="28"/>
      <c r="GLR10" s="28"/>
      <c r="GLS10" s="28"/>
      <c r="GLT10" s="28"/>
      <c r="GLU10" s="28"/>
      <c r="GLV10" s="28"/>
      <c r="GLW10" s="28"/>
      <c r="GLX10" s="28"/>
      <c r="GLY10" s="28"/>
      <c r="GLZ10" s="28"/>
      <c r="GMA10" s="28"/>
      <c r="GMB10" s="28"/>
      <c r="GMC10" s="28"/>
      <c r="GMD10" s="28"/>
      <c r="GME10" s="28"/>
      <c r="GMF10" s="28"/>
      <c r="GMG10" s="28"/>
      <c r="GMH10" s="28"/>
      <c r="GMI10" s="28"/>
      <c r="GMJ10" s="28"/>
      <c r="GMK10" s="28"/>
      <c r="GML10" s="28"/>
      <c r="GMM10" s="28"/>
      <c r="GMN10" s="28"/>
      <c r="GMO10" s="28"/>
      <c r="GMP10" s="28"/>
      <c r="GMQ10" s="28"/>
      <c r="GMR10" s="28"/>
      <c r="GMS10" s="28"/>
      <c r="GMT10" s="28"/>
      <c r="GMU10" s="28"/>
      <c r="GMV10" s="28"/>
      <c r="GMW10" s="28"/>
      <c r="GMX10" s="28"/>
      <c r="GMY10" s="28"/>
      <c r="GMZ10" s="28"/>
      <c r="GNA10" s="28"/>
      <c r="GNB10" s="28"/>
      <c r="GNC10" s="28"/>
      <c r="GND10" s="28"/>
      <c r="GNE10" s="28"/>
      <c r="GNF10" s="28"/>
      <c r="GNG10" s="28"/>
      <c r="GNH10" s="28"/>
      <c r="GNI10" s="28"/>
      <c r="GNJ10" s="28"/>
      <c r="GNK10" s="28"/>
      <c r="GNL10" s="28"/>
      <c r="GNM10" s="28"/>
      <c r="GNN10" s="28"/>
      <c r="GNO10" s="28"/>
      <c r="GNP10" s="28"/>
      <c r="GNQ10" s="28"/>
      <c r="GNR10" s="28"/>
      <c r="GNS10" s="28"/>
      <c r="GNT10" s="28"/>
      <c r="GNU10" s="28"/>
      <c r="GNV10" s="28"/>
      <c r="GNW10" s="28"/>
      <c r="GNX10" s="28"/>
      <c r="GNY10" s="28"/>
      <c r="GNZ10" s="28"/>
      <c r="GOA10" s="28"/>
      <c r="GOB10" s="28"/>
      <c r="GOC10" s="28"/>
      <c r="GOD10" s="28"/>
      <c r="GOE10" s="28"/>
      <c r="GOF10" s="28"/>
      <c r="GOG10" s="28"/>
      <c r="GOH10" s="28"/>
      <c r="GOI10" s="28"/>
      <c r="GOJ10" s="28"/>
      <c r="GOK10" s="28"/>
      <c r="GOL10" s="28"/>
      <c r="GOM10" s="28"/>
      <c r="GON10" s="28"/>
      <c r="GOO10" s="28"/>
      <c r="GOP10" s="28"/>
      <c r="GOQ10" s="28"/>
      <c r="GOR10" s="28"/>
      <c r="GOS10" s="28"/>
      <c r="GOT10" s="28"/>
      <c r="GOU10" s="28"/>
      <c r="GOV10" s="28"/>
      <c r="GOW10" s="28"/>
      <c r="GOX10" s="28"/>
      <c r="GOY10" s="28"/>
      <c r="GOZ10" s="28"/>
      <c r="GPA10" s="28"/>
      <c r="GPB10" s="28"/>
      <c r="GPC10" s="28"/>
      <c r="GPD10" s="28"/>
      <c r="GPE10" s="28"/>
      <c r="GPF10" s="28"/>
      <c r="GPG10" s="28"/>
      <c r="GPH10" s="28"/>
      <c r="GPI10" s="28"/>
      <c r="GPJ10" s="28"/>
      <c r="GPK10" s="28"/>
      <c r="GPL10" s="28"/>
      <c r="GPM10" s="28"/>
      <c r="GPN10" s="28"/>
      <c r="GPO10" s="28"/>
      <c r="GPP10" s="28"/>
      <c r="GPQ10" s="28"/>
      <c r="GPR10" s="28"/>
      <c r="GPS10" s="28"/>
      <c r="GPT10" s="28"/>
      <c r="GPU10" s="28"/>
      <c r="GPV10" s="28"/>
      <c r="GPW10" s="28"/>
      <c r="GPX10" s="28"/>
      <c r="GPY10" s="28"/>
      <c r="GPZ10" s="28"/>
      <c r="GQA10" s="28"/>
      <c r="GQB10" s="28"/>
      <c r="GQC10" s="28"/>
      <c r="GQD10" s="28"/>
      <c r="GQE10" s="28"/>
      <c r="GQF10" s="28"/>
      <c r="GQG10" s="28"/>
      <c r="GQH10" s="28"/>
      <c r="GQI10" s="28"/>
      <c r="GQJ10" s="28"/>
      <c r="GQK10" s="28"/>
      <c r="GQL10" s="28"/>
      <c r="GQM10" s="28"/>
      <c r="GQN10" s="28"/>
      <c r="GQO10" s="28"/>
      <c r="GQP10" s="28"/>
      <c r="GQQ10" s="28"/>
      <c r="GQR10" s="28"/>
      <c r="GQS10" s="28"/>
      <c r="GQT10" s="28"/>
      <c r="GQU10" s="28"/>
      <c r="GQV10" s="28"/>
      <c r="GQW10" s="28"/>
      <c r="GQX10" s="28"/>
      <c r="GQY10" s="28"/>
      <c r="GQZ10" s="28"/>
      <c r="GRA10" s="28"/>
      <c r="GRB10" s="28"/>
      <c r="GRC10" s="28"/>
      <c r="GRD10" s="28"/>
      <c r="GRE10" s="28"/>
      <c r="GRF10" s="28"/>
      <c r="GRG10" s="28"/>
      <c r="GRH10" s="28"/>
      <c r="GRI10" s="28"/>
      <c r="GRJ10" s="28"/>
      <c r="GRK10" s="28"/>
      <c r="GRL10" s="28"/>
      <c r="GRM10" s="28"/>
      <c r="GRN10" s="28"/>
      <c r="GRO10" s="28"/>
      <c r="GRP10" s="28"/>
      <c r="GRQ10" s="28"/>
      <c r="GRR10" s="28"/>
      <c r="GRS10" s="28"/>
      <c r="GRT10" s="28"/>
      <c r="GRU10" s="28"/>
      <c r="GRV10" s="28"/>
      <c r="GRW10" s="28"/>
      <c r="GRX10" s="28"/>
      <c r="GRY10" s="28"/>
      <c r="GRZ10" s="28"/>
      <c r="GSA10" s="28"/>
      <c r="GSB10" s="28"/>
      <c r="GSC10" s="28"/>
      <c r="GSD10" s="28"/>
      <c r="GSE10" s="28"/>
      <c r="GSF10" s="28"/>
      <c r="GSG10" s="28"/>
      <c r="GSH10" s="28"/>
      <c r="GSI10" s="28"/>
      <c r="GSJ10" s="28"/>
      <c r="GSK10" s="28"/>
      <c r="GSL10" s="28"/>
      <c r="GSM10" s="28"/>
      <c r="GSN10" s="28"/>
      <c r="GSO10" s="28"/>
      <c r="GSP10" s="28"/>
      <c r="GSQ10" s="28"/>
      <c r="GSR10" s="28"/>
      <c r="GSS10" s="28"/>
      <c r="GST10" s="28"/>
      <c r="GSU10" s="28"/>
      <c r="GSV10" s="28"/>
      <c r="GSW10" s="28"/>
      <c r="GSX10" s="28"/>
      <c r="GSY10" s="28"/>
      <c r="GSZ10" s="28"/>
      <c r="GTA10" s="28"/>
      <c r="GTB10" s="28"/>
      <c r="GTC10" s="28"/>
      <c r="GTD10" s="28"/>
      <c r="GTE10" s="28"/>
      <c r="GTF10" s="28"/>
      <c r="GTG10" s="28"/>
      <c r="GTH10" s="28"/>
      <c r="GTI10" s="28"/>
      <c r="GTJ10" s="28"/>
      <c r="GTK10" s="28"/>
      <c r="GTL10" s="28"/>
      <c r="GTM10" s="28"/>
      <c r="GTN10" s="28"/>
      <c r="GTO10" s="28"/>
      <c r="GTP10" s="28"/>
      <c r="GTQ10" s="28"/>
      <c r="GTR10" s="28"/>
      <c r="GTS10" s="28"/>
      <c r="GTT10" s="28"/>
      <c r="GTU10" s="28"/>
      <c r="GTV10" s="28"/>
      <c r="GTW10" s="28"/>
      <c r="GTX10" s="28"/>
      <c r="GTY10" s="28"/>
      <c r="GTZ10" s="28"/>
      <c r="GUA10" s="28"/>
      <c r="GUB10" s="28"/>
      <c r="GUC10" s="28"/>
      <c r="GUD10" s="28"/>
      <c r="GUE10" s="28"/>
      <c r="GUF10" s="28"/>
      <c r="GUG10" s="28"/>
      <c r="GUH10" s="28"/>
      <c r="GUI10" s="28"/>
      <c r="GUJ10" s="28"/>
      <c r="GUK10" s="28"/>
      <c r="GUL10" s="28"/>
      <c r="GUM10" s="28"/>
      <c r="GUN10" s="28"/>
      <c r="GUO10" s="28"/>
      <c r="GUP10" s="28"/>
      <c r="GUQ10" s="28"/>
      <c r="GUR10" s="28"/>
      <c r="GUS10" s="28"/>
      <c r="GUT10" s="28"/>
      <c r="GUU10" s="28"/>
      <c r="GUV10" s="28"/>
      <c r="GUW10" s="28"/>
      <c r="GUX10" s="28"/>
      <c r="GUY10" s="28"/>
      <c r="GUZ10" s="28"/>
      <c r="GVA10" s="28"/>
      <c r="GVB10" s="28"/>
      <c r="GVC10" s="28"/>
      <c r="GVD10" s="28"/>
      <c r="GVE10" s="28"/>
      <c r="GVF10" s="28"/>
      <c r="GVG10" s="28"/>
      <c r="GVH10" s="28"/>
      <c r="GVI10" s="28"/>
      <c r="GVJ10" s="28"/>
      <c r="GVK10" s="28"/>
      <c r="GVL10" s="28"/>
      <c r="GVM10" s="28"/>
      <c r="GVN10" s="28"/>
      <c r="GVO10" s="28"/>
      <c r="GVP10" s="28"/>
      <c r="GVQ10" s="28"/>
      <c r="GVR10" s="28"/>
      <c r="GVS10" s="28"/>
      <c r="GVT10" s="28"/>
      <c r="GVU10" s="28"/>
      <c r="GVV10" s="28"/>
      <c r="GVW10" s="28"/>
      <c r="GVX10" s="28"/>
      <c r="GVY10" s="28"/>
      <c r="GVZ10" s="28"/>
      <c r="GWA10" s="28"/>
      <c r="GWB10" s="28"/>
      <c r="GWC10" s="28"/>
      <c r="GWD10" s="28"/>
      <c r="GWE10" s="28"/>
      <c r="GWF10" s="28"/>
      <c r="GWG10" s="28"/>
      <c r="GWH10" s="28"/>
      <c r="GWI10" s="28"/>
      <c r="GWJ10" s="28"/>
      <c r="GWK10" s="28"/>
      <c r="GWL10" s="28"/>
      <c r="GWM10" s="28"/>
      <c r="GWN10" s="28"/>
      <c r="GWO10" s="28"/>
      <c r="GWP10" s="28"/>
      <c r="GWQ10" s="28"/>
      <c r="GWR10" s="28"/>
      <c r="GWS10" s="28"/>
      <c r="GWT10" s="28"/>
      <c r="GWU10" s="28"/>
      <c r="GWV10" s="28"/>
      <c r="GWW10" s="28"/>
      <c r="GWX10" s="28"/>
      <c r="GWY10" s="28"/>
      <c r="GWZ10" s="28"/>
      <c r="GXA10" s="28"/>
      <c r="GXB10" s="28"/>
      <c r="GXC10" s="28"/>
      <c r="GXD10" s="28"/>
      <c r="GXE10" s="28"/>
      <c r="GXF10" s="28"/>
      <c r="GXG10" s="28"/>
      <c r="GXH10" s="28"/>
      <c r="GXI10" s="28"/>
      <c r="GXJ10" s="28"/>
      <c r="GXK10" s="28"/>
      <c r="GXL10" s="28"/>
      <c r="GXM10" s="28"/>
      <c r="GXN10" s="28"/>
      <c r="GXO10" s="28"/>
      <c r="GXP10" s="28"/>
      <c r="GXQ10" s="28"/>
      <c r="GXR10" s="28"/>
      <c r="GXS10" s="28"/>
      <c r="GXT10" s="28"/>
      <c r="GXU10" s="28"/>
      <c r="GXV10" s="28"/>
      <c r="GXW10" s="28"/>
      <c r="GXX10" s="28"/>
      <c r="GXY10" s="28"/>
      <c r="GXZ10" s="28"/>
      <c r="GYA10" s="28"/>
      <c r="GYB10" s="28"/>
      <c r="GYC10" s="28"/>
      <c r="GYD10" s="28"/>
      <c r="GYE10" s="28"/>
      <c r="GYF10" s="28"/>
      <c r="GYG10" s="28"/>
      <c r="GYH10" s="28"/>
      <c r="GYI10" s="28"/>
      <c r="GYJ10" s="28"/>
      <c r="GYK10" s="28"/>
      <c r="GYL10" s="28"/>
      <c r="GYM10" s="28"/>
      <c r="GYN10" s="28"/>
      <c r="GYO10" s="28"/>
      <c r="GYP10" s="28"/>
      <c r="GYQ10" s="28"/>
      <c r="GYR10" s="28"/>
      <c r="GYS10" s="28"/>
      <c r="GYT10" s="28"/>
      <c r="GYU10" s="28"/>
      <c r="GYV10" s="28"/>
      <c r="GYW10" s="28"/>
      <c r="GYX10" s="28"/>
      <c r="GYY10" s="28"/>
      <c r="GYZ10" s="28"/>
      <c r="GZA10" s="28"/>
      <c r="GZB10" s="28"/>
      <c r="GZC10" s="28"/>
      <c r="GZD10" s="28"/>
      <c r="GZE10" s="28"/>
      <c r="GZF10" s="28"/>
      <c r="GZG10" s="28"/>
      <c r="GZH10" s="28"/>
      <c r="GZI10" s="28"/>
      <c r="GZJ10" s="28"/>
      <c r="GZK10" s="28"/>
      <c r="GZL10" s="28"/>
      <c r="GZM10" s="28"/>
      <c r="GZN10" s="28"/>
      <c r="GZO10" s="28"/>
      <c r="GZP10" s="28"/>
      <c r="GZQ10" s="28"/>
      <c r="GZR10" s="28"/>
      <c r="GZS10" s="28"/>
      <c r="GZT10" s="28"/>
      <c r="GZU10" s="28"/>
      <c r="GZV10" s="28"/>
      <c r="GZW10" s="28"/>
      <c r="GZX10" s="28"/>
      <c r="GZY10" s="28"/>
      <c r="GZZ10" s="28"/>
      <c r="HAA10" s="28"/>
      <c r="HAB10" s="28"/>
      <c r="HAC10" s="28"/>
      <c r="HAD10" s="28"/>
      <c r="HAE10" s="28"/>
      <c r="HAF10" s="28"/>
      <c r="HAG10" s="28"/>
      <c r="HAH10" s="28"/>
      <c r="HAI10" s="28"/>
      <c r="HAJ10" s="28"/>
      <c r="HAK10" s="28"/>
      <c r="HAL10" s="28"/>
      <c r="HAM10" s="28"/>
      <c r="HAN10" s="28"/>
      <c r="HAO10" s="28"/>
      <c r="HAP10" s="28"/>
      <c r="HAQ10" s="28"/>
      <c r="HAR10" s="28"/>
      <c r="HAS10" s="28"/>
      <c r="HAT10" s="28"/>
      <c r="HAU10" s="28"/>
      <c r="HAV10" s="28"/>
      <c r="HAW10" s="28"/>
      <c r="HAX10" s="28"/>
      <c r="HAY10" s="28"/>
      <c r="HAZ10" s="28"/>
      <c r="HBA10" s="28"/>
      <c r="HBB10" s="28"/>
      <c r="HBC10" s="28"/>
      <c r="HBD10" s="28"/>
      <c r="HBE10" s="28"/>
      <c r="HBF10" s="28"/>
      <c r="HBG10" s="28"/>
      <c r="HBH10" s="28"/>
      <c r="HBI10" s="28"/>
      <c r="HBJ10" s="28"/>
      <c r="HBK10" s="28"/>
      <c r="HBL10" s="28"/>
      <c r="HBM10" s="28"/>
      <c r="HBN10" s="28"/>
      <c r="HBO10" s="28"/>
      <c r="HBP10" s="28"/>
      <c r="HBQ10" s="28"/>
      <c r="HBR10" s="28"/>
      <c r="HBS10" s="28"/>
      <c r="HBT10" s="28"/>
      <c r="HBU10" s="28"/>
      <c r="HBV10" s="28"/>
      <c r="HBW10" s="28"/>
      <c r="HBX10" s="28"/>
      <c r="HBY10" s="28"/>
      <c r="HBZ10" s="28"/>
      <c r="HCA10" s="28"/>
      <c r="HCB10" s="28"/>
      <c r="HCC10" s="28"/>
      <c r="HCD10" s="28"/>
      <c r="HCE10" s="28"/>
      <c r="HCF10" s="28"/>
      <c r="HCG10" s="28"/>
      <c r="HCH10" s="28"/>
      <c r="HCI10" s="28"/>
      <c r="HCJ10" s="28"/>
      <c r="HCK10" s="28"/>
      <c r="HCL10" s="28"/>
      <c r="HCM10" s="28"/>
      <c r="HCN10" s="28"/>
      <c r="HCO10" s="28"/>
      <c r="HCP10" s="28"/>
      <c r="HCQ10" s="28"/>
      <c r="HCR10" s="28"/>
      <c r="HCS10" s="28"/>
      <c r="HCT10" s="28"/>
      <c r="HCU10" s="28"/>
      <c r="HCV10" s="28"/>
      <c r="HCW10" s="28"/>
      <c r="HCX10" s="28"/>
      <c r="HCY10" s="28"/>
      <c r="HCZ10" s="28"/>
      <c r="HDA10" s="28"/>
      <c r="HDB10" s="28"/>
      <c r="HDC10" s="28"/>
      <c r="HDD10" s="28"/>
      <c r="HDE10" s="28"/>
      <c r="HDF10" s="28"/>
      <c r="HDG10" s="28"/>
      <c r="HDH10" s="28"/>
      <c r="HDI10" s="28"/>
      <c r="HDJ10" s="28"/>
      <c r="HDK10" s="28"/>
      <c r="HDL10" s="28"/>
      <c r="HDM10" s="28"/>
      <c r="HDN10" s="28"/>
      <c r="HDO10" s="28"/>
      <c r="HDP10" s="28"/>
      <c r="HDQ10" s="28"/>
      <c r="HDR10" s="28"/>
      <c r="HDS10" s="28"/>
      <c r="HDT10" s="28"/>
      <c r="HDU10" s="28"/>
      <c r="HDV10" s="28"/>
      <c r="HDW10" s="28"/>
      <c r="HDX10" s="28"/>
      <c r="HDY10" s="28"/>
      <c r="HDZ10" s="28"/>
      <c r="HEA10" s="28"/>
      <c r="HEB10" s="28"/>
      <c r="HEC10" s="28"/>
      <c r="HED10" s="28"/>
      <c r="HEE10" s="28"/>
      <c r="HEF10" s="28"/>
      <c r="HEG10" s="28"/>
      <c r="HEH10" s="28"/>
      <c r="HEI10" s="28"/>
      <c r="HEJ10" s="28"/>
      <c r="HEK10" s="28"/>
      <c r="HEL10" s="28"/>
      <c r="HEM10" s="28"/>
      <c r="HEN10" s="28"/>
      <c r="HEO10" s="28"/>
      <c r="HEP10" s="28"/>
      <c r="HEQ10" s="28"/>
      <c r="HER10" s="28"/>
      <c r="HES10" s="28"/>
      <c r="HET10" s="28"/>
      <c r="HEU10" s="28"/>
      <c r="HEV10" s="28"/>
      <c r="HEW10" s="28"/>
      <c r="HEX10" s="28"/>
      <c r="HEY10" s="28"/>
      <c r="HEZ10" s="28"/>
      <c r="HFA10" s="28"/>
      <c r="HFB10" s="28"/>
      <c r="HFC10" s="28"/>
      <c r="HFD10" s="28"/>
      <c r="HFE10" s="28"/>
      <c r="HFF10" s="28"/>
      <c r="HFG10" s="28"/>
      <c r="HFH10" s="28"/>
      <c r="HFI10" s="28"/>
      <c r="HFJ10" s="28"/>
      <c r="HFK10" s="28"/>
      <c r="HFL10" s="28"/>
      <c r="HFM10" s="28"/>
      <c r="HFN10" s="28"/>
      <c r="HFO10" s="28"/>
      <c r="HFP10" s="28"/>
      <c r="HFQ10" s="28"/>
      <c r="HFR10" s="28"/>
      <c r="HFS10" s="28"/>
      <c r="HFT10" s="28"/>
      <c r="HFU10" s="28"/>
      <c r="HFV10" s="28"/>
      <c r="HFW10" s="28"/>
      <c r="HFX10" s="28"/>
      <c r="HFY10" s="28"/>
      <c r="HFZ10" s="28"/>
      <c r="HGA10" s="28"/>
      <c r="HGB10" s="28"/>
      <c r="HGC10" s="28"/>
      <c r="HGD10" s="28"/>
      <c r="HGE10" s="28"/>
      <c r="HGF10" s="28"/>
      <c r="HGG10" s="28"/>
      <c r="HGH10" s="28"/>
      <c r="HGI10" s="28"/>
      <c r="HGJ10" s="28"/>
      <c r="HGK10" s="28"/>
      <c r="HGL10" s="28"/>
      <c r="HGM10" s="28"/>
      <c r="HGN10" s="28"/>
      <c r="HGO10" s="28"/>
      <c r="HGP10" s="28"/>
      <c r="HGQ10" s="28"/>
      <c r="HGR10" s="28"/>
      <c r="HGS10" s="28"/>
      <c r="HGT10" s="28"/>
      <c r="HGU10" s="28"/>
      <c r="HGV10" s="28"/>
      <c r="HGW10" s="28"/>
      <c r="HGX10" s="28"/>
      <c r="HGY10" s="28"/>
      <c r="HGZ10" s="28"/>
      <c r="HHA10" s="28"/>
      <c r="HHB10" s="28"/>
      <c r="HHC10" s="28"/>
      <c r="HHD10" s="28"/>
      <c r="HHE10" s="28"/>
      <c r="HHF10" s="28"/>
      <c r="HHG10" s="28"/>
      <c r="HHH10" s="28"/>
      <c r="HHI10" s="28"/>
      <c r="HHJ10" s="28"/>
      <c r="HHK10" s="28"/>
      <c r="HHL10" s="28"/>
      <c r="HHM10" s="28"/>
      <c r="HHN10" s="28"/>
      <c r="HHO10" s="28"/>
      <c r="HHP10" s="28"/>
      <c r="HHQ10" s="28"/>
      <c r="HHR10" s="28"/>
      <c r="HHS10" s="28"/>
      <c r="HHT10" s="28"/>
      <c r="HHU10" s="28"/>
      <c r="HHV10" s="28"/>
      <c r="HHW10" s="28"/>
      <c r="HHX10" s="28"/>
      <c r="HHY10" s="28"/>
      <c r="HHZ10" s="28"/>
      <c r="HIA10" s="28"/>
      <c r="HIB10" s="28"/>
      <c r="HIC10" s="28"/>
      <c r="HID10" s="28"/>
      <c r="HIE10" s="28"/>
      <c r="HIF10" s="28"/>
      <c r="HIG10" s="28"/>
      <c r="HIH10" s="28"/>
      <c r="HII10" s="28"/>
      <c r="HIJ10" s="28"/>
      <c r="HIK10" s="28"/>
      <c r="HIL10" s="28"/>
      <c r="HIM10" s="28"/>
      <c r="HIN10" s="28"/>
      <c r="HIO10" s="28"/>
      <c r="HIP10" s="28"/>
      <c r="HIQ10" s="28"/>
      <c r="HIR10" s="28"/>
      <c r="HIS10" s="28"/>
      <c r="HIT10" s="28"/>
      <c r="HIU10" s="28"/>
      <c r="HIV10" s="28"/>
      <c r="HIW10" s="28"/>
      <c r="HIX10" s="28"/>
      <c r="HIY10" s="28"/>
      <c r="HIZ10" s="28"/>
      <c r="HJA10" s="28"/>
      <c r="HJB10" s="28"/>
      <c r="HJC10" s="28"/>
      <c r="HJD10" s="28"/>
      <c r="HJE10" s="28"/>
      <c r="HJF10" s="28"/>
      <c r="HJG10" s="28"/>
      <c r="HJH10" s="28"/>
      <c r="HJI10" s="28"/>
      <c r="HJJ10" s="28"/>
      <c r="HJK10" s="28"/>
      <c r="HJL10" s="28"/>
      <c r="HJM10" s="28"/>
      <c r="HJN10" s="28"/>
      <c r="HJO10" s="28"/>
      <c r="HJP10" s="28"/>
      <c r="HJQ10" s="28"/>
      <c r="HJR10" s="28"/>
      <c r="HJS10" s="28"/>
      <c r="HJT10" s="28"/>
      <c r="HJU10" s="28"/>
      <c r="HJV10" s="28"/>
      <c r="HJW10" s="28"/>
      <c r="HJX10" s="28"/>
      <c r="HJY10" s="28"/>
      <c r="HJZ10" s="28"/>
      <c r="HKA10" s="28"/>
      <c r="HKB10" s="28"/>
      <c r="HKC10" s="28"/>
      <c r="HKD10" s="28"/>
      <c r="HKE10" s="28"/>
      <c r="HKF10" s="28"/>
      <c r="HKG10" s="28"/>
      <c r="HKH10" s="28"/>
      <c r="HKI10" s="28"/>
      <c r="HKJ10" s="28"/>
      <c r="HKK10" s="28"/>
      <c r="HKL10" s="28"/>
      <c r="HKM10" s="28"/>
      <c r="HKN10" s="28"/>
      <c r="HKO10" s="28"/>
      <c r="HKP10" s="28"/>
      <c r="HKQ10" s="28"/>
      <c r="HKR10" s="28"/>
      <c r="HKS10" s="28"/>
      <c r="HKT10" s="28"/>
      <c r="HKU10" s="28"/>
      <c r="HKV10" s="28"/>
      <c r="HKW10" s="28"/>
      <c r="HKX10" s="28"/>
      <c r="HKY10" s="28"/>
      <c r="HKZ10" s="28"/>
      <c r="HLA10" s="28"/>
      <c r="HLB10" s="28"/>
      <c r="HLC10" s="28"/>
      <c r="HLD10" s="28"/>
      <c r="HLE10" s="28"/>
      <c r="HLF10" s="28"/>
      <c r="HLG10" s="28"/>
      <c r="HLH10" s="28"/>
      <c r="HLI10" s="28"/>
      <c r="HLJ10" s="28"/>
      <c r="HLK10" s="28"/>
      <c r="HLL10" s="28"/>
      <c r="HLM10" s="28"/>
      <c r="HLN10" s="28"/>
      <c r="HLO10" s="28"/>
      <c r="HLP10" s="28"/>
      <c r="HLQ10" s="28"/>
      <c r="HLR10" s="28"/>
      <c r="HLS10" s="28"/>
      <c r="HLT10" s="28"/>
      <c r="HLU10" s="28"/>
      <c r="HLV10" s="28"/>
      <c r="HLW10" s="28"/>
      <c r="HLX10" s="28"/>
      <c r="HLY10" s="28"/>
      <c r="HLZ10" s="28"/>
      <c r="HMA10" s="28"/>
      <c r="HMB10" s="28"/>
      <c r="HMC10" s="28"/>
      <c r="HMD10" s="28"/>
      <c r="HME10" s="28"/>
      <c r="HMF10" s="28"/>
      <c r="HMG10" s="28"/>
      <c r="HMH10" s="28"/>
      <c r="HMI10" s="28"/>
      <c r="HMJ10" s="28"/>
      <c r="HMK10" s="28"/>
      <c r="HML10" s="28"/>
      <c r="HMM10" s="28"/>
      <c r="HMN10" s="28"/>
      <c r="HMO10" s="28"/>
      <c r="HMP10" s="28"/>
      <c r="HMQ10" s="28"/>
      <c r="HMR10" s="28"/>
      <c r="HMS10" s="28"/>
      <c r="HMT10" s="28"/>
      <c r="HMU10" s="28"/>
      <c r="HMV10" s="28"/>
      <c r="HMW10" s="28"/>
      <c r="HMX10" s="28"/>
      <c r="HMY10" s="28"/>
      <c r="HMZ10" s="28"/>
      <c r="HNA10" s="28"/>
      <c r="HNB10" s="28"/>
      <c r="HNC10" s="28"/>
      <c r="HND10" s="28"/>
      <c r="HNE10" s="28"/>
      <c r="HNF10" s="28"/>
      <c r="HNG10" s="28"/>
      <c r="HNH10" s="28"/>
      <c r="HNI10" s="28"/>
      <c r="HNJ10" s="28"/>
      <c r="HNK10" s="28"/>
      <c r="HNL10" s="28"/>
      <c r="HNM10" s="28"/>
      <c r="HNN10" s="28"/>
      <c r="HNO10" s="28"/>
      <c r="HNP10" s="28"/>
      <c r="HNQ10" s="28"/>
      <c r="HNR10" s="28"/>
      <c r="HNS10" s="28"/>
      <c r="HNT10" s="28"/>
      <c r="HNU10" s="28"/>
      <c r="HNV10" s="28"/>
      <c r="HNW10" s="28"/>
      <c r="HNX10" s="28"/>
      <c r="HNY10" s="28"/>
      <c r="HNZ10" s="28"/>
      <c r="HOA10" s="28"/>
      <c r="HOB10" s="28"/>
      <c r="HOC10" s="28"/>
      <c r="HOD10" s="28"/>
      <c r="HOE10" s="28"/>
      <c r="HOF10" s="28"/>
      <c r="HOG10" s="28"/>
      <c r="HOH10" s="28"/>
      <c r="HOI10" s="28"/>
      <c r="HOJ10" s="28"/>
      <c r="HOK10" s="28"/>
      <c r="HOL10" s="28"/>
      <c r="HOM10" s="28"/>
      <c r="HON10" s="28"/>
      <c r="HOO10" s="28"/>
      <c r="HOP10" s="28"/>
      <c r="HOQ10" s="28"/>
      <c r="HOR10" s="28"/>
      <c r="HOS10" s="28"/>
      <c r="HOT10" s="28"/>
      <c r="HOU10" s="28"/>
      <c r="HOV10" s="28"/>
      <c r="HOW10" s="28"/>
      <c r="HOX10" s="28"/>
      <c r="HOY10" s="28"/>
      <c r="HOZ10" s="28"/>
      <c r="HPA10" s="28"/>
      <c r="HPB10" s="28"/>
      <c r="HPC10" s="28"/>
      <c r="HPD10" s="28"/>
      <c r="HPE10" s="28"/>
      <c r="HPF10" s="28"/>
      <c r="HPG10" s="28"/>
      <c r="HPH10" s="28"/>
      <c r="HPI10" s="28"/>
      <c r="HPJ10" s="28"/>
      <c r="HPK10" s="28"/>
      <c r="HPL10" s="28"/>
      <c r="HPM10" s="28"/>
      <c r="HPN10" s="28"/>
      <c r="HPO10" s="28"/>
      <c r="HPP10" s="28"/>
      <c r="HPQ10" s="28"/>
      <c r="HPR10" s="28"/>
      <c r="HPS10" s="28"/>
      <c r="HPT10" s="28"/>
      <c r="HPU10" s="28"/>
      <c r="HPV10" s="28"/>
      <c r="HPW10" s="28"/>
      <c r="HPX10" s="28"/>
      <c r="HPY10" s="28"/>
      <c r="HPZ10" s="28"/>
      <c r="HQA10" s="28"/>
      <c r="HQB10" s="28"/>
      <c r="HQC10" s="28"/>
      <c r="HQD10" s="28"/>
      <c r="HQE10" s="28"/>
      <c r="HQF10" s="28"/>
      <c r="HQG10" s="28"/>
      <c r="HQH10" s="28"/>
      <c r="HQI10" s="28"/>
      <c r="HQJ10" s="28"/>
      <c r="HQK10" s="28"/>
      <c r="HQL10" s="28"/>
      <c r="HQM10" s="28"/>
      <c r="HQN10" s="28"/>
      <c r="HQO10" s="28"/>
      <c r="HQP10" s="28"/>
      <c r="HQQ10" s="28"/>
      <c r="HQR10" s="28"/>
      <c r="HQS10" s="28"/>
      <c r="HQT10" s="28"/>
      <c r="HQU10" s="28"/>
      <c r="HQV10" s="28"/>
      <c r="HQW10" s="28"/>
      <c r="HQX10" s="28"/>
      <c r="HQY10" s="28"/>
      <c r="HQZ10" s="28"/>
      <c r="HRA10" s="28"/>
      <c r="HRB10" s="28"/>
      <c r="HRC10" s="28"/>
      <c r="HRD10" s="28"/>
      <c r="HRE10" s="28"/>
      <c r="HRF10" s="28"/>
      <c r="HRG10" s="28"/>
      <c r="HRH10" s="28"/>
      <c r="HRI10" s="28"/>
      <c r="HRJ10" s="28"/>
      <c r="HRK10" s="28"/>
      <c r="HRL10" s="28"/>
      <c r="HRM10" s="28"/>
      <c r="HRN10" s="28"/>
      <c r="HRO10" s="28"/>
      <c r="HRP10" s="28"/>
      <c r="HRQ10" s="28"/>
      <c r="HRR10" s="28"/>
      <c r="HRS10" s="28"/>
      <c r="HRT10" s="28"/>
      <c r="HRU10" s="28"/>
      <c r="HRV10" s="28"/>
      <c r="HRW10" s="28"/>
      <c r="HRX10" s="28"/>
      <c r="HRY10" s="28"/>
      <c r="HRZ10" s="28"/>
      <c r="HSA10" s="28"/>
      <c r="HSB10" s="28"/>
      <c r="HSC10" s="28"/>
      <c r="HSD10" s="28"/>
      <c r="HSE10" s="28"/>
      <c r="HSF10" s="28"/>
      <c r="HSG10" s="28"/>
      <c r="HSH10" s="28"/>
      <c r="HSI10" s="28"/>
      <c r="HSJ10" s="28"/>
      <c r="HSK10" s="28"/>
      <c r="HSL10" s="28"/>
      <c r="HSM10" s="28"/>
      <c r="HSN10" s="28"/>
      <c r="HSO10" s="28"/>
      <c r="HSP10" s="28"/>
      <c r="HSQ10" s="28"/>
      <c r="HSR10" s="28"/>
      <c r="HSS10" s="28"/>
      <c r="HST10" s="28"/>
      <c r="HSU10" s="28"/>
      <c r="HSV10" s="28"/>
      <c r="HSW10" s="28"/>
      <c r="HSX10" s="28"/>
      <c r="HSY10" s="28"/>
      <c r="HSZ10" s="28"/>
      <c r="HTA10" s="28"/>
      <c r="HTB10" s="28"/>
      <c r="HTC10" s="28"/>
      <c r="HTD10" s="28"/>
      <c r="HTE10" s="28"/>
      <c r="HTF10" s="28"/>
      <c r="HTG10" s="28"/>
      <c r="HTH10" s="28"/>
      <c r="HTI10" s="28"/>
      <c r="HTJ10" s="28"/>
      <c r="HTK10" s="28"/>
      <c r="HTL10" s="28"/>
      <c r="HTM10" s="28"/>
      <c r="HTN10" s="28"/>
      <c r="HTO10" s="28"/>
      <c r="HTP10" s="28"/>
      <c r="HTQ10" s="28"/>
      <c r="HTR10" s="28"/>
      <c r="HTS10" s="28"/>
      <c r="HTT10" s="28"/>
      <c r="HTU10" s="28"/>
      <c r="HTV10" s="28"/>
      <c r="HTW10" s="28"/>
      <c r="HTX10" s="28"/>
      <c r="HTY10" s="28"/>
      <c r="HTZ10" s="28"/>
      <c r="HUA10" s="28"/>
      <c r="HUB10" s="28"/>
      <c r="HUC10" s="28"/>
      <c r="HUD10" s="28"/>
      <c r="HUE10" s="28"/>
      <c r="HUF10" s="28"/>
      <c r="HUG10" s="28"/>
      <c r="HUH10" s="28"/>
      <c r="HUI10" s="28"/>
      <c r="HUJ10" s="28"/>
      <c r="HUK10" s="28"/>
      <c r="HUL10" s="28"/>
      <c r="HUM10" s="28"/>
      <c r="HUN10" s="28"/>
      <c r="HUO10" s="28"/>
      <c r="HUP10" s="28"/>
      <c r="HUQ10" s="28"/>
      <c r="HUR10" s="28"/>
      <c r="HUS10" s="28"/>
      <c r="HUT10" s="28"/>
      <c r="HUU10" s="28"/>
      <c r="HUV10" s="28"/>
      <c r="HUW10" s="28"/>
      <c r="HUX10" s="28"/>
      <c r="HUY10" s="28"/>
      <c r="HUZ10" s="28"/>
      <c r="HVA10" s="28"/>
      <c r="HVB10" s="28"/>
      <c r="HVC10" s="28"/>
      <c r="HVD10" s="28"/>
      <c r="HVE10" s="28"/>
      <c r="HVF10" s="28"/>
      <c r="HVG10" s="28"/>
      <c r="HVH10" s="28"/>
      <c r="HVI10" s="28"/>
      <c r="HVJ10" s="28"/>
      <c r="HVK10" s="28"/>
      <c r="HVL10" s="28"/>
      <c r="HVM10" s="28"/>
      <c r="HVN10" s="28"/>
      <c r="HVO10" s="28"/>
      <c r="HVP10" s="28"/>
      <c r="HVQ10" s="28"/>
      <c r="HVR10" s="28"/>
      <c r="HVS10" s="28"/>
      <c r="HVT10" s="28"/>
      <c r="HVU10" s="28"/>
      <c r="HVV10" s="28"/>
      <c r="HVW10" s="28"/>
      <c r="HVX10" s="28"/>
      <c r="HVY10" s="28"/>
      <c r="HVZ10" s="28"/>
      <c r="HWA10" s="28"/>
      <c r="HWB10" s="28"/>
      <c r="HWC10" s="28"/>
      <c r="HWD10" s="28"/>
      <c r="HWE10" s="28"/>
      <c r="HWF10" s="28"/>
      <c r="HWG10" s="28"/>
      <c r="HWH10" s="28"/>
      <c r="HWI10" s="28"/>
      <c r="HWJ10" s="28"/>
      <c r="HWK10" s="28"/>
      <c r="HWL10" s="28"/>
      <c r="HWM10" s="28"/>
      <c r="HWN10" s="28"/>
      <c r="HWO10" s="28"/>
      <c r="HWP10" s="28"/>
      <c r="HWQ10" s="28"/>
      <c r="HWR10" s="28"/>
      <c r="HWS10" s="28"/>
      <c r="HWT10" s="28"/>
      <c r="HWU10" s="28"/>
      <c r="HWV10" s="28"/>
      <c r="HWW10" s="28"/>
      <c r="HWX10" s="28"/>
      <c r="HWY10" s="28"/>
      <c r="HWZ10" s="28"/>
      <c r="HXA10" s="28"/>
      <c r="HXB10" s="28"/>
      <c r="HXC10" s="28"/>
      <c r="HXD10" s="28"/>
      <c r="HXE10" s="28"/>
      <c r="HXF10" s="28"/>
      <c r="HXG10" s="28"/>
      <c r="HXH10" s="28"/>
      <c r="HXI10" s="28"/>
      <c r="HXJ10" s="28"/>
      <c r="HXK10" s="28"/>
      <c r="HXL10" s="28"/>
      <c r="HXM10" s="28"/>
      <c r="HXN10" s="28"/>
      <c r="HXO10" s="28"/>
      <c r="HXP10" s="28"/>
      <c r="HXQ10" s="28"/>
      <c r="HXR10" s="28"/>
      <c r="HXS10" s="28"/>
      <c r="HXT10" s="28"/>
      <c r="HXU10" s="28"/>
      <c r="HXV10" s="28"/>
      <c r="HXW10" s="28"/>
      <c r="HXX10" s="28"/>
      <c r="HXY10" s="28"/>
      <c r="HXZ10" s="28"/>
      <c r="HYA10" s="28"/>
      <c r="HYB10" s="28"/>
      <c r="HYC10" s="28"/>
      <c r="HYD10" s="28"/>
      <c r="HYE10" s="28"/>
      <c r="HYF10" s="28"/>
      <c r="HYG10" s="28"/>
      <c r="HYH10" s="28"/>
      <c r="HYI10" s="28"/>
      <c r="HYJ10" s="28"/>
      <c r="HYK10" s="28"/>
      <c r="HYL10" s="28"/>
      <c r="HYM10" s="28"/>
      <c r="HYN10" s="28"/>
      <c r="HYO10" s="28"/>
      <c r="HYP10" s="28"/>
      <c r="HYQ10" s="28"/>
      <c r="HYR10" s="28"/>
      <c r="HYS10" s="28"/>
      <c r="HYT10" s="28"/>
      <c r="HYU10" s="28"/>
      <c r="HYV10" s="28"/>
      <c r="HYW10" s="28"/>
      <c r="HYX10" s="28"/>
      <c r="HYY10" s="28"/>
      <c r="HYZ10" s="28"/>
      <c r="HZA10" s="28"/>
      <c r="HZB10" s="28"/>
      <c r="HZC10" s="28"/>
      <c r="HZD10" s="28"/>
      <c r="HZE10" s="28"/>
      <c r="HZF10" s="28"/>
      <c r="HZG10" s="28"/>
      <c r="HZH10" s="28"/>
      <c r="HZI10" s="28"/>
      <c r="HZJ10" s="28"/>
      <c r="HZK10" s="28"/>
      <c r="HZL10" s="28"/>
      <c r="HZM10" s="28"/>
      <c r="HZN10" s="28"/>
      <c r="HZO10" s="28"/>
      <c r="HZP10" s="28"/>
      <c r="HZQ10" s="28"/>
      <c r="HZR10" s="28"/>
      <c r="HZS10" s="28"/>
      <c r="HZT10" s="28"/>
      <c r="HZU10" s="28"/>
      <c r="HZV10" s="28"/>
      <c r="HZW10" s="28"/>
      <c r="HZX10" s="28"/>
      <c r="HZY10" s="28"/>
      <c r="HZZ10" s="28"/>
      <c r="IAA10" s="28"/>
      <c r="IAB10" s="28"/>
      <c r="IAC10" s="28"/>
      <c r="IAD10" s="28"/>
      <c r="IAE10" s="28"/>
      <c r="IAF10" s="28"/>
      <c r="IAG10" s="28"/>
      <c r="IAH10" s="28"/>
      <c r="IAI10" s="28"/>
      <c r="IAJ10" s="28"/>
      <c r="IAK10" s="28"/>
      <c r="IAL10" s="28"/>
      <c r="IAM10" s="28"/>
      <c r="IAN10" s="28"/>
      <c r="IAO10" s="28"/>
      <c r="IAP10" s="28"/>
      <c r="IAQ10" s="28"/>
      <c r="IAR10" s="28"/>
      <c r="IAS10" s="28"/>
      <c r="IAT10" s="28"/>
      <c r="IAU10" s="28"/>
      <c r="IAV10" s="28"/>
      <c r="IAW10" s="28"/>
      <c r="IAX10" s="28"/>
      <c r="IAY10" s="28"/>
      <c r="IAZ10" s="28"/>
      <c r="IBA10" s="28"/>
      <c r="IBB10" s="28"/>
      <c r="IBC10" s="28"/>
      <c r="IBD10" s="28"/>
      <c r="IBE10" s="28"/>
      <c r="IBF10" s="28"/>
      <c r="IBG10" s="28"/>
      <c r="IBH10" s="28"/>
      <c r="IBI10" s="28"/>
      <c r="IBJ10" s="28"/>
      <c r="IBK10" s="28"/>
      <c r="IBL10" s="28"/>
      <c r="IBM10" s="28"/>
      <c r="IBN10" s="28"/>
      <c r="IBO10" s="28"/>
      <c r="IBP10" s="28"/>
      <c r="IBQ10" s="28"/>
      <c r="IBR10" s="28"/>
      <c r="IBS10" s="28"/>
      <c r="IBT10" s="28"/>
      <c r="IBU10" s="28"/>
      <c r="IBV10" s="28"/>
      <c r="IBW10" s="28"/>
      <c r="IBX10" s="28"/>
      <c r="IBY10" s="28"/>
      <c r="IBZ10" s="28"/>
      <c r="ICA10" s="28"/>
      <c r="ICB10" s="28"/>
      <c r="ICC10" s="28"/>
      <c r="ICD10" s="28"/>
      <c r="ICE10" s="28"/>
      <c r="ICF10" s="28"/>
      <c r="ICG10" s="28"/>
      <c r="ICH10" s="28"/>
      <c r="ICI10" s="28"/>
      <c r="ICJ10" s="28"/>
      <c r="ICK10" s="28"/>
      <c r="ICL10" s="28"/>
      <c r="ICM10" s="28"/>
      <c r="ICN10" s="28"/>
      <c r="ICO10" s="28"/>
      <c r="ICP10" s="28"/>
      <c r="ICQ10" s="28"/>
      <c r="ICR10" s="28"/>
      <c r="ICS10" s="28"/>
      <c r="ICT10" s="28"/>
      <c r="ICU10" s="28"/>
      <c r="ICV10" s="28"/>
      <c r="ICW10" s="28"/>
      <c r="ICX10" s="28"/>
      <c r="ICY10" s="28"/>
      <c r="ICZ10" s="28"/>
      <c r="IDA10" s="28"/>
      <c r="IDB10" s="28"/>
      <c r="IDC10" s="28"/>
      <c r="IDD10" s="28"/>
      <c r="IDE10" s="28"/>
      <c r="IDF10" s="28"/>
      <c r="IDG10" s="28"/>
      <c r="IDH10" s="28"/>
      <c r="IDI10" s="28"/>
      <c r="IDJ10" s="28"/>
      <c r="IDK10" s="28"/>
      <c r="IDL10" s="28"/>
      <c r="IDM10" s="28"/>
      <c r="IDN10" s="28"/>
      <c r="IDO10" s="28"/>
      <c r="IDP10" s="28"/>
      <c r="IDQ10" s="28"/>
      <c r="IDR10" s="28"/>
      <c r="IDS10" s="28"/>
      <c r="IDT10" s="28"/>
      <c r="IDU10" s="28"/>
      <c r="IDV10" s="28"/>
      <c r="IDW10" s="28"/>
      <c r="IDX10" s="28"/>
      <c r="IDY10" s="28"/>
      <c r="IDZ10" s="28"/>
      <c r="IEA10" s="28"/>
      <c r="IEB10" s="28"/>
      <c r="IEC10" s="28"/>
      <c r="IED10" s="28"/>
      <c r="IEE10" s="28"/>
      <c r="IEF10" s="28"/>
      <c r="IEG10" s="28"/>
      <c r="IEH10" s="28"/>
      <c r="IEI10" s="28"/>
      <c r="IEJ10" s="28"/>
      <c r="IEK10" s="28"/>
      <c r="IEL10" s="28"/>
      <c r="IEM10" s="28"/>
      <c r="IEN10" s="28"/>
      <c r="IEO10" s="28"/>
      <c r="IEP10" s="28"/>
      <c r="IEQ10" s="28"/>
      <c r="IER10" s="28"/>
      <c r="IES10" s="28"/>
      <c r="IET10" s="28"/>
      <c r="IEU10" s="28"/>
      <c r="IEV10" s="28"/>
      <c r="IEW10" s="28"/>
      <c r="IEX10" s="28"/>
      <c r="IEY10" s="28"/>
      <c r="IEZ10" s="28"/>
      <c r="IFA10" s="28"/>
      <c r="IFB10" s="28"/>
      <c r="IFC10" s="28"/>
      <c r="IFD10" s="28"/>
      <c r="IFE10" s="28"/>
      <c r="IFF10" s="28"/>
      <c r="IFG10" s="28"/>
      <c r="IFH10" s="28"/>
      <c r="IFI10" s="28"/>
      <c r="IFJ10" s="28"/>
      <c r="IFK10" s="28"/>
      <c r="IFL10" s="28"/>
      <c r="IFM10" s="28"/>
      <c r="IFN10" s="28"/>
      <c r="IFO10" s="28"/>
      <c r="IFP10" s="28"/>
      <c r="IFQ10" s="28"/>
      <c r="IFR10" s="28"/>
      <c r="IFS10" s="28"/>
      <c r="IFT10" s="28"/>
      <c r="IFU10" s="28"/>
      <c r="IFV10" s="28"/>
      <c r="IFW10" s="28"/>
      <c r="IFX10" s="28"/>
      <c r="IFY10" s="28"/>
      <c r="IFZ10" s="28"/>
      <c r="IGA10" s="28"/>
      <c r="IGB10" s="28"/>
      <c r="IGC10" s="28"/>
      <c r="IGD10" s="28"/>
      <c r="IGE10" s="28"/>
      <c r="IGF10" s="28"/>
      <c r="IGG10" s="28"/>
      <c r="IGH10" s="28"/>
      <c r="IGI10" s="28"/>
      <c r="IGJ10" s="28"/>
      <c r="IGK10" s="28"/>
      <c r="IGL10" s="28"/>
      <c r="IGM10" s="28"/>
      <c r="IGN10" s="28"/>
      <c r="IGO10" s="28"/>
      <c r="IGP10" s="28"/>
      <c r="IGQ10" s="28"/>
      <c r="IGR10" s="28"/>
      <c r="IGS10" s="28"/>
      <c r="IGT10" s="28"/>
      <c r="IGU10" s="28"/>
      <c r="IGV10" s="28"/>
      <c r="IGW10" s="28"/>
      <c r="IGX10" s="28"/>
      <c r="IGY10" s="28"/>
      <c r="IGZ10" s="28"/>
      <c r="IHA10" s="28"/>
      <c r="IHB10" s="28"/>
      <c r="IHC10" s="28"/>
      <c r="IHD10" s="28"/>
      <c r="IHE10" s="28"/>
      <c r="IHF10" s="28"/>
      <c r="IHG10" s="28"/>
      <c r="IHH10" s="28"/>
      <c r="IHI10" s="28"/>
      <c r="IHJ10" s="28"/>
      <c r="IHK10" s="28"/>
      <c r="IHL10" s="28"/>
      <c r="IHM10" s="28"/>
      <c r="IHN10" s="28"/>
      <c r="IHO10" s="28"/>
      <c r="IHP10" s="28"/>
      <c r="IHQ10" s="28"/>
      <c r="IHR10" s="28"/>
      <c r="IHS10" s="28"/>
      <c r="IHT10" s="28"/>
      <c r="IHU10" s="28"/>
      <c r="IHV10" s="28"/>
      <c r="IHW10" s="28"/>
      <c r="IHX10" s="28"/>
      <c r="IHY10" s="28"/>
      <c r="IHZ10" s="28"/>
      <c r="IIA10" s="28"/>
      <c r="IIB10" s="28"/>
      <c r="IIC10" s="28"/>
      <c r="IID10" s="28"/>
      <c r="IIE10" s="28"/>
      <c r="IIF10" s="28"/>
      <c r="IIG10" s="28"/>
      <c r="IIH10" s="28"/>
      <c r="III10" s="28"/>
      <c r="IIJ10" s="28"/>
      <c r="IIK10" s="28"/>
      <c r="IIL10" s="28"/>
      <c r="IIM10" s="28"/>
      <c r="IIN10" s="28"/>
      <c r="IIO10" s="28"/>
      <c r="IIP10" s="28"/>
      <c r="IIQ10" s="28"/>
      <c r="IIR10" s="28"/>
      <c r="IIS10" s="28"/>
      <c r="IIT10" s="28"/>
      <c r="IIU10" s="28"/>
      <c r="IIV10" s="28"/>
      <c r="IIW10" s="28"/>
      <c r="IIX10" s="28"/>
      <c r="IIY10" s="28"/>
      <c r="IIZ10" s="28"/>
      <c r="IJA10" s="28"/>
      <c r="IJB10" s="28"/>
      <c r="IJC10" s="28"/>
      <c r="IJD10" s="28"/>
      <c r="IJE10" s="28"/>
      <c r="IJF10" s="28"/>
      <c r="IJG10" s="28"/>
      <c r="IJH10" s="28"/>
      <c r="IJI10" s="28"/>
      <c r="IJJ10" s="28"/>
      <c r="IJK10" s="28"/>
      <c r="IJL10" s="28"/>
      <c r="IJM10" s="28"/>
      <c r="IJN10" s="28"/>
      <c r="IJO10" s="28"/>
      <c r="IJP10" s="28"/>
      <c r="IJQ10" s="28"/>
      <c r="IJR10" s="28"/>
      <c r="IJS10" s="28"/>
      <c r="IJT10" s="28"/>
      <c r="IJU10" s="28"/>
      <c r="IJV10" s="28"/>
      <c r="IJW10" s="28"/>
      <c r="IJX10" s="28"/>
      <c r="IJY10" s="28"/>
      <c r="IJZ10" s="28"/>
      <c r="IKA10" s="28"/>
      <c r="IKB10" s="28"/>
      <c r="IKC10" s="28"/>
      <c r="IKD10" s="28"/>
      <c r="IKE10" s="28"/>
      <c r="IKF10" s="28"/>
      <c r="IKG10" s="28"/>
      <c r="IKH10" s="28"/>
      <c r="IKI10" s="28"/>
      <c r="IKJ10" s="28"/>
      <c r="IKK10" s="28"/>
      <c r="IKL10" s="28"/>
      <c r="IKM10" s="28"/>
      <c r="IKN10" s="28"/>
      <c r="IKO10" s="28"/>
      <c r="IKP10" s="28"/>
      <c r="IKQ10" s="28"/>
      <c r="IKR10" s="28"/>
      <c r="IKS10" s="28"/>
      <c r="IKT10" s="28"/>
      <c r="IKU10" s="28"/>
      <c r="IKV10" s="28"/>
      <c r="IKW10" s="28"/>
      <c r="IKX10" s="28"/>
      <c r="IKY10" s="28"/>
      <c r="IKZ10" s="28"/>
      <c r="ILA10" s="28"/>
      <c r="ILB10" s="28"/>
      <c r="ILC10" s="28"/>
      <c r="ILD10" s="28"/>
      <c r="ILE10" s="28"/>
      <c r="ILF10" s="28"/>
      <c r="ILG10" s="28"/>
      <c r="ILH10" s="28"/>
      <c r="ILI10" s="28"/>
      <c r="ILJ10" s="28"/>
      <c r="ILK10" s="28"/>
      <c r="ILL10" s="28"/>
      <c r="ILM10" s="28"/>
      <c r="ILN10" s="28"/>
      <c r="ILO10" s="28"/>
      <c r="ILP10" s="28"/>
      <c r="ILQ10" s="28"/>
      <c r="ILR10" s="28"/>
      <c r="ILS10" s="28"/>
      <c r="ILT10" s="28"/>
      <c r="ILU10" s="28"/>
      <c r="ILV10" s="28"/>
      <c r="ILW10" s="28"/>
      <c r="ILX10" s="28"/>
      <c r="ILY10" s="28"/>
      <c r="ILZ10" s="28"/>
      <c r="IMA10" s="28"/>
      <c r="IMB10" s="28"/>
      <c r="IMC10" s="28"/>
      <c r="IMD10" s="28"/>
      <c r="IME10" s="28"/>
      <c r="IMF10" s="28"/>
      <c r="IMG10" s="28"/>
      <c r="IMH10" s="28"/>
      <c r="IMI10" s="28"/>
      <c r="IMJ10" s="28"/>
      <c r="IMK10" s="28"/>
      <c r="IML10" s="28"/>
      <c r="IMM10" s="28"/>
      <c r="IMN10" s="28"/>
      <c r="IMO10" s="28"/>
      <c r="IMP10" s="28"/>
      <c r="IMQ10" s="28"/>
      <c r="IMR10" s="28"/>
      <c r="IMS10" s="28"/>
      <c r="IMT10" s="28"/>
      <c r="IMU10" s="28"/>
      <c r="IMV10" s="28"/>
      <c r="IMW10" s="28"/>
      <c r="IMX10" s="28"/>
      <c r="IMY10" s="28"/>
      <c r="IMZ10" s="28"/>
      <c r="INA10" s="28"/>
      <c r="INB10" s="28"/>
      <c r="INC10" s="28"/>
      <c r="IND10" s="28"/>
      <c r="INE10" s="28"/>
      <c r="INF10" s="28"/>
      <c r="ING10" s="28"/>
      <c r="INH10" s="28"/>
      <c r="INI10" s="28"/>
      <c r="INJ10" s="28"/>
      <c r="INK10" s="28"/>
      <c r="INL10" s="28"/>
      <c r="INM10" s="28"/>
      <c r="INN10" s="28"/>
      <c r="INO10" s="28"/>
      <c r="INP10" s="28"/>
      <c r="INQ10" s="28"/>
      <c r="INR10" s="28"/>
      <c r="INS10" s="28"/>
      <c r="INT10" s="28"/>
      <c r="INU10" s="28"/>
      <c r="INV10" s="28"/>
      <c r="INW10" s="28"/>
      <c r="INX10" s="28"/>
      <c r="INY10" s="28"/>
      <c r="INZ10" s="28"/>
      <c r="IOA10" s="28"/>
      <c r="IOB10" s="28"/>
      <c r="IOC10" s="28"/>
      <c r="IOD10" s="28"/>
      <c r="IOE10" s="28"/>
      <c r="IOF10" s="28"/>
      <c r="IOG10" s="28"/>
      <c r="IOH10" s="28"/>
      <c r="IOI10" s="28"/>
      <c r="IOJ10" s="28"/>
      <c r="IOK10" s="28"/>
      <c r="IOL10" s="28"/>
      <c r="IOM10" s="28"/>
      <c r="ION10" s="28"/>
      <c r="IOO10" s="28"/>
      <c r="IOP10" s="28"/>
      <c r="IOQ10" s="28"/>
      <c r="IOR10" s="28"/>
      <c r="IOS10" s="28"/>
      <c r="IOT10" s="28"/>
      <c r="IOU10" s="28"/>
      <c r="IOV10" s="28"/>
      <c r="IOW10" s="28"/>
      <c r="IOX10" s="28"/>
      <c r="IOY10" s="28"/>
      <c r="IOZ10" s="28"/>
      <c r="IPA10" s="28"/>
      <c r="IPB10" s="28"/>
      <c r="IPC10" s="28"/>
      <c r="IPD10" s="28"/>
      <c r="IPE10" s="28"/>
      <c r="IPF10" s="28"/>
      <c r="IPG10" s="28"/>
      <c r="IPH10" s="28"/>
      <c r="IPI10" s="28"/>
      <c r="IPJ10" s="28"/>
      <c r="IPK10" s="28"/>
      <c r="IPL10" s="28"/>
      <c r="IPM10" s="28"/>
      <c r="IPN10" s="28"/>
      <c r="IPO10" s="28"/>
      <c r="IPP10" s="28"/>
      <c r="IPQ10" s="28"/>
      <c r="IPR10" s="28"/>
      <c r="IPS10" s="28"/>
      <c r="IPT10" s="28"/>
      <c r="IPU10" s="28"/>
      <c r="IPV10" s="28"/>
      <c r="IPW10" s="28"/>
      <c r="IPX10" s="28"/>
      <c r="IPY10" s="28"/>
      <c r="IPZ10" s="28"/>
      <c r="IQA10" s="28"/>
      <c r="IQB10" s="28"/>
      <c r="IQC10" s="28"/>
      <c r="IQD10" s="28"/>
      <c r="IQE10" s="28"/>
      <c r="IQF10" s="28"/>
      <c r="IQG10" s="28"/>
      <c r="IQH10" s="28"/>
      <c r="IQI10" s="28"/>
      <c r="IQJ10" s="28"/>
      <c r="IQK10" s="28"/>
      <c r="IQL10" s="28"/>
      <c r="IQM10" s="28"/>
      <c r="IQN10" s="28"/>
      <c r="IQO10" s="28"/>
      <c r="IQP10" s="28"/>
      <c r="IQQ10" s="28"/>
      <c r="IQR10" s="28"/>
      <c r="IQS10" s="28"/>
      <c r="IQT10" s="28"/>
      <c r="IQU10" s="28"/>
      <c r="IQV10" s="28"/>
      <c r="IQW10" s="28"/>
      <c r="IQX10" s="28"/>
      <c r="IQY10" s="28"/>
      <c r="IQZ10" s="28"/>
      <c r="IRA10" s="28"/>
      <c r="IRB10" s="28"/>
      <c r="IRC10" s="28"/>
      <c r="IRD10" s="28"/>
      <c r="IRE10" s="28"/>
      <c r="IRF10" s="28"/>
      <c r="IRG10" s="28"/>
      <c r="IRH10" s="28"/>
      <c r="IRI10" s="28"/>
      <c r="IRJ10" s="28"/>
      <c r="IRK10" s="28"/>
      <c r="IRL10" s="28"/>
      <c r="IRM10" s="28"/>
      <c r="IRN10" s="28"/>
      <c r="IRO10" s="28"/>
      <c r="IRP10" s="28"/>
      <c r="IRQ10" s="28"/>
      <c r="IRR10" s="28"/>
      <c r="IRS10" s="28"/>
      <c r="IRT10" s="28"/>
      <c r="IRU10" s="28"/>
      <c r="IRV10" s="28"/>
      <c r="IRW10" s="28"/>
      <c r="IRX10" s="28"/>
      <c r="IRY10" s="28"/>
      <c r="IRZ10" s="28"/>
      <c r="ISA10" s="28"/>
      <c r="ISB10" s="28"/>
      <c r="ISC10" s="28"/>
      <c r="ISD10" s="28"/>
      <c r="ISE10" s="28"/>
      <c r="ISF10" s="28"/>
      <c r="ISG10" s="28"/>
      <c r="ISH10" s="28"/>
      <c r="ISI10" s="28"/>
      <c r="ISJ10" s="28"/>
      <c r="ISK10" s="28"/>
      <c r="ISL10" s="28"/>
      <c r="ISM10" s="28"/>
      <c r="ISN10" s="28"/>
      <c r="ISO10" s="28"/>
      <c r="ISP10" s="28"/>
      <c r="ISQ10" s="28"/>
      <c r="ISR10" s="28"/>
      <c r="ISS10" s="28"/>
      <c r="IST10" s="28"/>
      <c r="ISU10" s="28"/>
      <c r="ISV10" s="28"/>
      <c r="ISW10" s="28"/>
      <c r="ISX10" s="28"/>
      <c r="ISY10" s="28"/>
      <c r="ISZ10" s="28"/>
      <c r="ITA10" s="28"/>
      <c r="ITB10" s="28"/>
      <c r="ITC10" s="28"/>
      <c r="ITD10" s="28"/>
      <c r="ITE10" s="28"/>
      <c r="ITF10" s="28"/>
      <c r="ITG10" s="28"/>
      <c r="ITH10" s="28"/>
      <c r="ITI10" s="28"/>
      <c r="ITJ10" s="28"/>
      <c r="ITK10" s="28"/>
      <c r="ITL10" s="28"/>
      <c r="ITM10" s="28"/>
      <c r="ITN10" s="28"/>
      <c r="ITO10" s="28"/>
      <c r="ITP10" s="28"/>
      <c r="ITQ10" s="28"/>
      <c r="ITR10" s="28"/>
      <c r="ITS10" s="28"/>
      <c r="ITT10" s="28"/>
      <c r="ITU10" s="28"/>
      <c r="ITV10" s="28"/>
      <c r="ITW10" s="28"/>
      <c r="ITX10" s="28"/>
      <c r="ITY10" s="28"/>
      <c r="ITZ10" s="28"/>
      <c r="IUA10" s="28"/>
      <c r="IUB10" s="28"/>
      <c r="IUC10" s="28"/>
      <c r="IUD10" s="28"/>
      <c r="IUE10" s="28"/>
      <c r="IUF10" s="28"/>
      <c r="IUG10" s="28"/>
      <c r="IUH10" s="28"/>
      <c r="IUI10" s="28"/>
      <c r="IUJ10" s="28"/>
      <c r="IUK10" s="28"/>
      <c r="IUL10" s="28"/>
      <c r="IUM10" s="28"/>
      <c r="IUN10" s="28"/>
      <c r="IUO10" s="28"/>
      <c r="IUP10" s="28"/>
      <c r="IUQ10" s="28"/>
      <c r="IUR10" s="28"/>
      <c r="IUS10" s="28"/>
      <c r="IUT10" s="28"/>
      <c r="IUU10" s="28"/>
      <c r="IUV10" s="28"/>
      <c r="IUW10" s="28"/>
      <c r="IUX10" s="28"/>
      <c r="IUY10" s="28"/>
      <c r="IUZ10" s="28"/>
      <c r="IVA10" s="28"/>
      <c r="IVB10" s="28"/>
      <c r="IVC10" s="28"/>
      <c r="IVD10" s="28"/>
      <c r="IVE10" s="28"/>
      <c r="IVF10" s="28"/>
      <c r="IVG10" s="28"/>
      <c r="IVH10" s="28"/>
      <c r="IVI10" s="28"/>
      <c r="IVJ10" s="28"/>
      <c r="IVK10" s="28"/>
      <c r="IVL10" s="28"/>
      <c r="IVM10" s="28"/>
      <c r="IVN10" s="28"/>
      <c r="IVO10" s="28"/>
      <c r="IVP10" s="28"/>
      <c r="IVQ10" s="28"/>
      <c r="IVR10" s="28"/>
      <c r="IVS10" s="28"/>
      <c r="IVT10" s="28"/>
      <c r="IVU10" s="28"/>
      <c r="IVV10" s="28"/>
      <c r="IVW10" s="28"/>
      <c r="IVX10" s="28"/>
      <c r="IVY10" s="28"/>
      <c r="IVZ10" s="28"/>
      <c r="IWA10" s="28"/>
      <c r="IWB10" s="28"/>
      <c r="IWC10" s="28"/>
      <c r="IWD10" s="28"/>
      <c r="IWE10" s="28"/>
      <c r="IWF10" s="28"/>
      <c r="IWG10" s="28"/>
      <c r="IWH10" s="28"/>
      <c r="IWI10" s="28"/>
      <c r="IWJ10" s="28"/>
      <c r="IWK10" s="28"/>
      <c r="IWL10" s="28"/>
      <c r="IWM10" s="28"/>
      <c r="IWN10" s="28"/>
      <c r="IWO10" s="28"/>
      <c r="IWP10" s="28"/>
      <c r="IWQ10" s="28"/>
      <c r="IWR10" s="28"/>
      <c r="IWS10" s="28"/>
      <c r="IWT10" s="28"/>
      <c r="IWU10" s="28"/>
      <c r="IWV10" s="28"/>
      <c r="IWW10" s="28"/>
      <c r="IWX10" s="28"/>
      <c r="IWY10" s="28"/>
      <c r="IWZ10" s="28"/>
      <c r="IXA10" s="28"/>
      <c r="IXB10" s="28"/>
      <c r="IXC10" s="28"/>
      <c r="IXD10" s="28"/>
      <c r="IXE10" s="28"/>
      <c r="IXF10" s="28"/>
      <c r="IXG10" s="28"/>
      <c r="IXH10" s="28"/>
      <c r="IXI10" s="28"/>
      <c r="IXJ10" s="28"/>
      <c r="IXK10" s="28"/>
      <c r="IXL10" s="28"/>
      <c r="IXM10" s="28"/>
      <c r="IXN10" s="28"/>
      <c r="IXO10" s="28"/>
      <c r="IXP10" s="28"/>
      <c r="IXQ10" s="28"/>
      <c r="IXR10" s="28"/>
      <c r="IXS10" s="28"/>
      <c r="IXT10" s="28"/>
      <c r="IXU10" s="28"/>
      <c r="IXV10" s="28"/>
      <c r="IXW10" s="28"/>
      <c r="IXX10" s="28"/>
      <c r="IXY10" s="28"/>
      <c r="IXZ10" s="28"/>
      <c r="IYA10" s="28"/>
      <c r="IYB10" s="28"/>
      <c r="IYC10" s="28"/>
      <c r="IYD10" s="28"/>
      <c r="IYE10" s="28"/>
      <c r="IYF10" s="28"/>
      <c r="IYG10" s="28"/>
      <c r="IYH10" s="28"/>
      <c r="IYI10" s="28"/>
      <c r="IYJ10" s="28"/>
      <c r="IYK10" s="28"/>
      <c r="IYL10" s="28"/>
      <c r="IYM10" s="28"/>
      <c r="IYN10" s="28"/>
      <c r="IYO10" s="28"/>
      <c r="IYP10" s="28"/>
      <c r="IYQ10" s="28"/>
      <c r="IYR10" s="28"/>
      <c r="IYS10" s="28"/>
      <c r="IYT10" s="28"/>
      <c r="IYU10" s="28"/>
      <c r="IYV10" s="28"/>
      <c r="IYW10" s="28"/>
      <c r="IYX10" s="28"/>
      <c r="IYY10" s="28"/>
      <c r="IYZ10" s="28"/>
      <c r="IZA10" s="28"/>
      <c r="IZB10" s="28"/>
      <c r="IZC10" s="28"/>
      <c r="IZD10" s="28"/>
      <c r="IZE10" s="28"/>
      <c r="IZF10" s="28"/>
      <c r="IZG10" s="28"/>
      <c r="IZH10" s="28"/>
      <c r="IZI10" s="28"/>
      <c r="IZJ10" s="28"/>
      <c r="IZK10" s="28"/>
      <c r="IZL10" s="28"/>
      <c r="IZM10" s="28"/>
      <c r="IZN10" s="28"/>
      <c r="IZO10" s="28"/>
      <c r="IZP10" s="28"/>
      <c r="IZQ10" s="28"/>
      <c r="IZR10" s="28"/>
      <c r="IZS10" s="28"/>
      <c r="IZT10" s="28"/>
      <c r="IZU10" s="28"/>
      <c r="IZV10" s="28"/>
      <c r="IZW10" s="28"/>
      <c r="IZX10" s="28"/>
      <c r="IZY10" s="28"/>
      <c r="IZZ10" s="28"/>
      <c r="JAA10" s="28"/>
      <c r="JAB10" s="28"/>
      <c r="JAC10" s="28"/>
      <c r="JAD10" s="28"/>
      <c r="JAE10" s="28"/>
      <c r="JAF10" s="28"/>
      <c r="JAG10" s="28"/>
      <c r="JAH10" s="28"/>
      <c r="JAI10" s="28"/>
      <c r="JAJ10" s="28"/>
      <c r="JAK10" s="28"/>
      <c r="JAL10" s="28"/>
      <c r="JAM10" s="28"/>
      <c r="JAN10" s="28"/>
      <c r="JAO10" s="28"/>
      <c r="JAP10" s="28"/>
      <c r="JAQ10" s="28"/>
      <c r="JAR10" s="28"/>
      <c r="JAS10" s="28"/>
      <c r="JAT10" s="28"/>
      <c r="JAU10" s="28"/>
      <c r="JAV10" s="28"/>
      <c r="JAW10" s="28"/>
      <c r="JAX10" s="28"/>
      <c r="JAY10" s="28"/>
      <c r="JAZ10" s="28"/>
      <c r="JBA10" s="28"/>
      <c r="JBB10" s="28"/>
      <c r="JBC10" s="28"/>
      <c r="JBD10" s="28"/>
      <c r="JBE10" s="28"/>
      <c r="JBF10" s="28"/>
      <c r="JBG10" s="28"/>
      <c r="JBH10" s="28"/>
      <c r="JBI10" s="28"/>
      <c r="JBJ10" s="28"/>
      <c r="JBK10" s="28"/>
      <c r="JBL10" s="28"/>
      <c r="JBM10" s="28"/>
      <c r="JBN10" s="28"/>
      <c r="JBO10" s="28"/>
      <c r="JBP10" s="28"/>
      <c r="JBQ10" s="28"/>
      <c r="JBR10" s="28"/>
      <c r="JBS10" s="28"/>
      <c r="JBT10" s="28"/>
      <c r="JBU10" s="28"/>
      <c r="JBV10" s="28"/>
      <c r="JBW10" s="28"/>
      <c r="JBX10" s="28"/>
      <c r="JBY10" s="28"/>
      <c r="JBZ10" s="28"/>
      <c r="JCA10" s="28"/>
      <c r="JCB10" s="28"/>
      <c r="JCC10" s="28"/>
      <c r="JCD10" s="28"/>
      <c r="JCE10" s="28"/>
      <c r="JCF10" s="28"/>
      <c r="JCG10" s="28"/>
      <c r="JCH10" s="28"/>
      <c r="JCI10" s="28"/>
      <c r="JCJ10" s="28"/>
      <c r="JCK10" s="28"/>
      <c r="JCL10" s="28"/>
      <c r="JCM10" s="28"/>
      <c r="JCN10" s="28"/>
      <c r="JCO10" s="28"/>
      <c r="JCP10" s="28"/>
      <c r="JCQ10" s="28"/>
      <c r="JCR10" s="28"/>
      <c r="JCS10" s="28"/>
      <c r="JCT10" s="28"/>
      <c r="JCU10" s="28"/>
      <c r="JCV10" s="28"/>
      <c r="JCW10" s="28"/>
      <c r="JCX10" s="28"/>
      <c r="JCY10" s="28"/>
      <c r="JCZ10" s="28"/>
      <c r="JDA10" s="28"/>
      <c r="JDB10" s="28"/>
      <c r="JDC10" s="28"/>
      <c r="JDD10" s="28"/>
      <c r="JDE10" s="28"/>
      <c r="JDF10" s="28"/>
      <c r="JDG10" s="28"/>
      <c r="JDH10" s="28"/>
      <c r="JDI10" s="28"/>
      <c r="JDJ10" s="28"/>
      <c r="JDK10" s="28"/>
      <c r="JDL10" s="28"/>
      <c r="JDM10" s="28"/>
      <c r="JDN10" s="28"/>
      <c r="JDO10" s="28"/>
      <c r="JDP10" s="28"/>
      <c r="JDQ10" s="28"/>
      <c r="JDR10" s="28"/>
      <c r="JDS10" s="28"/>
      <c r="JDT10" s="28"/>
      <c r="JDU10" s="28"/>
      <c r="JDV10" s="28"/>
      <c r="JDW10" s="28"/>
      <c r="JDX10" s="28"/>
      <c r="JDY10" s="28"/>
      <c r="JDZ10" s="28"/>
      <c r="JEA10" s="28"/>
      <c r="JEB10" s="28"/>
      <c r="JEC10" s="28"/>
      <c r="JED10" s="28"/>
      <c r="JEE10" s="28"/>
      <c r="JEF10" s="28"/>
      <c r="JEG10" s="28"/>
      <c r="JEH10" s="28"/>
      <c r="JEI10" s="28"/>
      <c r="JEJ10" s="28"/>
      <c r="JEK10" s="28"/>
      <c r="JEL10" s="28"/>
      <c r="JEM10" s="28"/>
      <c r="JEN10" s="28"/>
      <c r="JEO10" s="28"/>
      <c r="JEP10" s="28"/>
      <c r="JEQ10" s="28"/>
      <c r="JER10" s="28"/>
      <c r="JES10" s="28"/>
      <c r="JET10" s="28"/>
      <c r="JEU10" s="28"/>
      <c r="JEV10" s="28"/>
      <c r="JEW10" s="28"/>
      <c r="JEX10" s="28"/>
      <c r="JEY10" s="28"/>
      <c r="JEZ10" s="28"/>
      <c r="JFA10" s="28"/>
      <c r="JFB10" s="28"/>
      <c r="JFC10" s="28"/>
      <c r="JFD10" s="28"/>
      <c r="JFE10" s="28"/>
      <c r="JFF10" s="28"/>
      <c r="JFG10" s="28"/>
      <c r="JFH10" s="28"/>
      <c r="JFI10" s="28"/>
      <c r="JFJ10" s="28"/>
      <c r="JFK10" s="28"/>
      <c r="JFL10" s="28"/>
      <c r="JFM10" s="28"/>
      <c r="JFN10" s="28"/>
      <c r="JFO10" s="28"/>
      <c r="JFP10" s="28"/>
      <c r="JFQ10" s="28"/>
      <c r="JFR10" s="28"/>
      <c r="JFS10" s="28"/>
      <c r="JFT10" s="28"/>
      <c r="JFU10" s="28"/>
      <c r="JFV10" s="28"/>
      <c r="JFW10" s="28"/>
      <c r="JFX10" s="28"/>
      <c r="JFY10" s="28"/>
      <c r="JFZ10" s="28"/>
      <c r="JGA10" s="28"/>
      <c r="JGB10" s="28"/>
      <c r="JGC10" s="28"/>
      <c r="JGD10" s="28"/>
      <c r="JGE10" s="28"/>
      <c r="JGF10" s="28"/>
      <c r="JGG10" s="28"/>
      <c r="JGH10" s="28"/>
      <c r="JGI10" s="28"/>
      <c r="JGJ10" s="28"/>
      <c r="JGK10" s="28"/>
      <c r="JGL10" s="28"/>
      <c r="JGM10" s="28"/>
      <c r="JGN10" s="28"/>
      <c r="JGO10" s="28"/>
      <c r="JGP10" s="28"/>
      <c r="JGQ10" s="28"/>
      <c r="JGR10" s="28"/>
      <c r="JGS10" s="28"/>
      <c r="JGT10" s="28"/>
      <c r="JGU10" s="28"/>
      <c r="JGV10" s="28"/>
      <c r="JGW10" s="28"/>
      <c r="JGX10" s="28"/>
      <c r="JGY10" s="28"/>
      <c r="JGZ10" s="28"/>
      <c r="JHA10" s="28"/>
      <c r="JHB10" s="28"/>
      <c r="JHC10" s="28"/>
      <c r="JHD10" s="28"/>
      <c r="JHE10" s="28"/>
      <c r="JHF10" s="28"/>
      <c r="JHG10" s="28"/>
      <c r="JHH10" s="28"/>
      <c r="JHI10" s="28"/>
      <c r="JHJ10" s="28"/>
      <c r="JHK10" s="28"/>
      <c r="JHL10" s="28"/>
      <c r="JHM10" s="28"/>
      <c r="JHN10" s="28"/>
      <c r="JHO10" s="28"/>
      <c r="JHP10" s="28"/>
      <c r="JHQ10" s="28"/>
      <c r="JHR10" s="28"/>
      <c r="JHS10" s="28"/>
      <c r="JHT10" s="28"/>
      <c r="JHU10" s="28"/>
      <c r="JHV10" s="28"/>
      <c r="JHW10" s="28"/>
      <c r="JHX10" s="28"/>
      <c r="JHY10" s="28"/>
      <c r="JHZ10" s="28"/>
      <c r="JIA10" s="28"/>
      <c r="JIB10" s="28"/>
      <c r="JIC10" s="28"/>
      <c r="JID10" s="28"/>
      <c r="JIE10" s="28"/>
      <c r="JIF10" s="28"/>
      <c r="JIG10" s="28"/>
      <c r="JIH10" s="28"/>
      <c r="JII10" s="28"/>
      <c r="JIJ10" s="28"/>
      <c r="JIK10" s="28"/>
      <c r="JIL10" s="28"/>
      <c r="JIM10" s="28"/>
      <c r="JIN10" s="28"/>
      <c r="JIO10" s="28"/>
      <c r="JIP10" s="28"/>
      <c r="JIQ10" s="28"/>
      <c r="JIR10" s="28"/>
      <c r="JIS10" s="28"/>
      <c r="JIT10" s="28"/>
      <c r="JIU10" s="28"/>
      <c r="JIV10" s="28"/>
      <c r="JIW10" s="28"/>
      <c r="JIX10" s="28"/>
      <c r="JIY10" s="28"/>
      <c r="JIZ10" s="28"/>
      <c r="JJA10" s="28"/>
      <c r="JJB10" s="28"/>
      <c r="JJC10" s="28"/>
      <c r="JJD10" s="28"/>
      <c r="JJE10" s="28"/>
      <c r="JJF10" s="28"/>
      <c r="JJG10" s="28"/>
      <c r="JJH10" s="28"/>
      <c r="JJI10" s="28"/>
      <c r="JJJ10" s="28"/>
      <c r="JJK10" s="28"/>
      <c r="JJL10" s="28"/>
      <c r="JJM10" s="28"/>
      <c r="JJN10" s="28"/>
      <c r="JJO10" s="28"/>
      <c r="JJP10" s="28"/>
      <c r="JJQ10" s="28"/>
      <c r="JJR10" s="28"/>
      <c r="JJS10" s="28"/>
      <c r="JJT10" s="28"/>
      <c r="JJU10" s="28"/>
      <c r="JJV10" s="28"/>
      <c r="JJW10" s="28"/>
      <c r="JJX10" s="28"/>
      <c r="JJY10" s="28"/>
      <c r="JJZ10" s="28"/>
      <c r="JKA10" s="28"/>
      <c r="JKB10" s="28"/>
      <c r="JKC10" s="28"/>
      <c r="JKD10" s="28"/>
      <c r="JKE10" s="28"/>
      <c r="JKF10" s="28"/>
      <c r="JKG10" s="28"/>
      <c r="JKH10" s="28"/>
      <c r="JKI10" s="28"/>
      <c r="JKJ10" s="28"/>
      <c r="JKK10" s="28"/>
      <c r="JKL10" s="28"/>
      <c r="JKM10" s="28"/>
      <c r="JKN10" s="28"/>
      <c r="JKO10" s="28"/>
      <c r="JKP10" s="28"/>
      <c r="JKQ10" s="28"/>
      <c r="JKR10" s="28"/>
      <c r="JKS10" s="28"/>
      <c r="JKT10" s="28"/>
      <c r="JKU10" s="28"/>
      <c r="JKV10" s="28"/>
      <c r="JKW10" s="28"/>
      <c r="JKX10" s="28"/>
      <c r="JKY10" s="28"/>
      <c r="JKZ10" s="28"/>
      <c r="JLA10" s="28"/>
      <c r="JLB10" s="28"/>
      <c r="JLC10" s="28"/>
      <c r="JLD10" s="28"/>
      <c r="JLE10" s="28"/>
      <c r="JLF10" s="28"/>
      <c r="JLG10" s="28"/>
      <c r="JLH10" s="28"/>
      <c r="JLI10" s="28"/>
      <c r="JLJ10" s="28"/>
      <c r="JLK10" s="28"/>
      <c r="JLL10" s="28"/>
      <c r="JLM10" s="28"/>
      <c r="JLN10" s="28"/>
      <c r="JLO10" s="28"/>
      <c r="JLP10" s="28"/>
      <c r="JLQ10" s="28"/>
      <c r="JLR10" s="28"/>
      <c r="JLS10" s="28"/>
      <c r="JLT10" s="28"/>
      <c r="JLU10" s="28"/>
      <c r="JLV10" s="28"/>
      <c r="JLW10" s="28"/>
      <c r="JLX10" s="28"/>
      <c r="JLY10" s="28"/>
      <c r="JLZ10" s="28"/>
      <c r="JMA10" s="28"/>
      <c r="JMB10" s="28"/>
      <c r="JMC10" s="28"/>
      <c r="JMD10" s="28"/>
      <c r="JME10" s="28"/>
      <c r="JMF10" s="28"/>
      <c r="JMG10" s="28"/>
      <c r="JMH10" s="28"/>
      <c r="JMI10" s="28"/>
      <c r="JMJ10" s="28"/>
      <c r="JMK10" s="28"/>
      <c r="JML10" s="28"/>
      <c r="JMM10" s="28"/>
      <c r="JMN10" s="28"/>
      <c r="JMO10" s="28"/>
      <c r="JMP10" s="28"/>
      <c r="JMQ10" s="28"/>
      <c r="JMR10" s="28"/>
      <c r="JMS10" s="28"/>
      <c r="JMT10" s="28"/>
      <c r="JMU10" s="28"/>
      <c r="JMV10" s="28"/>
      <c r="JMW10" s="28"/>
      <c r="JMX10" s="28"/>
      <c r="JMY10" s="28"/>
      <c r="JMZ10" s="28"/>
      <c r="JNA10" s="28"/>
      <c r="JNB10" s="28"/>
      <c r="JNC10" s="28"/>
      <c r="JND10" s="28"/>
      <c r="JNE10" s="28"/>
      <c r="JNF10" s="28"/>
      <c r="JNG10" s="28"/>
      <c r="JNH10" s="28"/>
      <c r="JNI10" s="28"/>
      <c r="JNJ10" s="28"/>
      <c r="JNK10" s="28"/>
      <c r="JNL10" s="28"/>
      <c r="JNM10" s="28"/>
      <c r="JNN10" s="28"/>
      <c r="JNO10" s="28"/>
      <c r="JNP10" s="28"/>
      <c r="JNQ10" s="28"/>
      <c r="JNR10" s="28"/>
      <c r="JNS10" s="28"/>
      <c r="JNT10" s="28"/>
      <c r="JNU10" s="28"/>
      <c r="JNV10" s="28"/>
      <c r="JNW10" s="28"/>
      <c r="JNX10" s="28"/>
      <c r="JNY10" s="28"/>
      <c r="JNZ10" s="28"/>
      <c r="JOA10" s="28"/>
      <c r="JOB10" s="28"/>
      <c r="JOC10" s="28"/>
      <c r="JOD10" s="28"/>
      <c r="JOE10" s="28"/>
      <c r="JOF10" s="28"/>
      <c r="JOG10" s="28"/>
      <c r="JOH10" s="28"/>
      <c r="JOI10" s="28"/>
      <c r="JOJ10" s="28"/>
      <c r="JOK10" s="28"/>
      <c r="JOL10" s="28"/>
      <c r="JOM10" s="28"/>
      <c r="JON10" s="28"/>
      <c r="JOO10" s="28"/>
      <c r="JOP10" s="28"/>
      <c r="JOQ10" s="28"/>
      <c r="JOR10" s="28"/>
      <c r="JOS10" s="28"/>
      <c r="JOT10" s="28"/>
      <c r="JOU10" s="28"/>
      <c r="JOV10" s="28"/>
      <c r="JOW10" s="28"/>
      <c r="JOX10" s="28"/>
      <c r="JOY10" s="28"/>
      <c r="JOZ10" s="28"/>
      <c r="JPA10" s="28"/>
      <c r="JPB10" s="28"/>
      <c r="JPC10" s="28"/>
      <c r="JPD10" s="28"/>
      <c r="JPE10" s="28"/>
      <c r="JPF10" s="28"/>
      <c r="JPG10" s="28"/>
      <c r="JPH10" s="28"/>
      <c r="JPI10" s="28"/>
      <c r="JPJ10" s="28"/>
      <c r="JPK10" s="28"/>
      <c r="JPL10" s="28"/>
      <c r="JPM10" s="28"/>
      <c r="JPN10" s="28"/>
      <c r="JPO10" s="28"/>
      <c r="JPP10" s="28"/>
      <c r="JPQ10" s="28"/>
      <c r="JPR10" s="28"/>
      <c r="JPS10" s="28"/>
      <c r="JPT10" s="28"/>
      <c r="JPU10" s="28"/>
      <c r="JPV10" s="28"/>
      <c r="JPW10" s="28"/>
      <c r="JPX10" s="28"/>
      <c r="JPY10" s="28"/>
      <c r="JPZ10" s="28"/>
      <c r="JQA10" s="28"/>
      <c r="JQB10" s="28"/>
      <c r="JQC10" s="28"/>
      <c r="JQD10" s="28"/>
      <c r="JQE10" s="28"/>
      <c r="JQF10" s="28"/>
      <c r="JQG10" s="28"/>
      <c r="JQH10" s="28"/>
      <c r="JQI10" s="28"/>
      <c r="JQJ10" s="28"/>
      <c r="JQK10" s="28"/>
      <c r="JQL10" s="28"/>
      <c r="JQM10" s="28"/>
      <c r="JQN10" s="28"/>
      <c r="JQO10" s="28"/>
      <c r="JQP10" s="28"/>
      <c r="JQQ10" s="28"/>
      <c r="JQR10" s="28"/>
      <c r="JQS10" s="28"/>
      <c r="JQT10" s="28"/>
      <c r="JQU10" s="28"/>
      <c r="JQV10" s="28"/>
      <c r="JQW10" s="28"/>
      <c r="JQX10" s="28"/>
      <c r="JQY10" s="28"/>
      <c r="JQZ10" s="28"/>
      <c r="JRA10" s="28"/>
      <c r="JRB10" s="28"/>
      <c r="JRC10" s="28"/>
      <c r="JRD10" s="28"/>
      <c r="JRE10" s="28"/>
      <c r="JRF10" s="28"/>
      <c r="JRG10" s="28"/>
      <c r="JRH10" s="28"/>
      <c r="JRI10" s="28"/>
      <c r="JRJ10" s="28"/>
      <c r="JRK10" s="28"/>
      <c r="JRL10" s="28"/>
      <c r="JRM10" s="28"/>
      <c r="JRN10" s="28"/>
      <c r="JRO10" s="28"/>
      <c r="JRP10" s="28"/>
      <c r="JRQ10" s="28"/>
      <c r="JRR10" s="28"/>
      <c r="JRS10" s="28"/>
      <c r="JRT10" s="28"/>
      <c r="JRU10" s="28"/>
      <c r="JRV10" s="28"/>
      <c r="JRW10" s="28"/>
      <c r="JRX10" s="28"/>
      <c r="JRY10" s="28"/>
      <c r="JRZ10" s="28"/>
      <c r="JSA10" s="28"/>
      <c r="JSB10" s="28"/>
      <c r="JSC10" s="28"/>
      <c r="JSD10" s="28"/>
      <c r="JSE10" s="28"/>
      <c r="JSF10" s="28"/>
      <c r="JSG10" s="28"/>
      <c r="JSH10" s="28"/>
      <c r="JSI10" s="28"/>
      <c r="JSJ10" s="28"/>
      <c r="JSK10" s="28"/>
      <c r="JSL10" s="28"/>
      <c r="JSM10" s="28"/>
      <c r="JSN10" s="28"/>
      <c r="JSO10" s="28"/>
      <c r="JSP10" s="28"/>
      <c r="JSQ10" s="28"/>
      <c r="JSR10" s="28"/>
      <c r="JSS10" s="28"/>
      <c r="JST10" s="28"/>
      <c r="JSU10" s="28"/>
      <c r="JSV10" s="28"/>
      <c r="JSW10" s="28"/>
      <c r="JSX10" s="28"/>
      <c r="JSY10" s="28"/>
      <c r="JSZ10" s="28"/>
      <c r="JTA10" s="28"/>
      <c r="JTB10" s="28"/>
      <c r="JTC10" s="28"/>
      <c r="JTD10" s="28"/>
      <c r="JTE10" s="28"/>
      <c r="JTF10" s="28"/>
      <c r="JTG10" s="28"/>
      <c r="JTH10" s="28"/>
      <c r="JTI10" s="28"/>
      <c r="JTJ10" s="28"/>
      <c r="JTK10" s="28"/>
      <c r="JTL10" s="28"/>
      <c r="JTM10" s="28"/>
      <c r="JTN10" s="28"/>
      <c r="JTO10" s="28"/>
      <c r="JTP10" s="28"/>
      <c r="JTQ10" s="28"/>
      <c r="JTR10" s="28"/>
      <c r="JTS10" s="28"/>
      <c r="JTT10" s="28"/>
      <c r="JTU10" s="28"/>
      <c r="JTV10" s="28"/>
      <c r="JTW10" s="28"/>
      <c r="JTX10" s="28"/>
      <c r="JTY10" s="28"/>
      <c r="JTZ10" s="28"/>
      <c r="JUA10" s="28"/>
      <c r="JUB10" s="28"/>
      <c r="JUC10" s="28"/>
      <c r="JUD10" s="28"/>
      <c r="JUE10" s="28"/>
      <c r="JUF10" s="28"/>
      <c r="JUG10" s="28"/>
      <c r="JUH10" s="28"/>
      <c r="JUI10" s="28"/>
      <c r="JUJ10" s="28"/>
      <c r="JUK10" s="28"/>
      <c r="JUL10" s="28"/>
      <c r="JUM10" s="28"/>
      <c r="JUN10" s="28"/>
      <c r="JUO10" s="28"/>
      <c r="JUP10" s="28"/>
      <c r="JUQ10" s="28"/>
      <c r="JUR10" s="28"/>
      <c r="JUS10" s="28"/>
      <c r="JUT10" s="28"/>
      <c r="JUU10" s="28"/>
      <c r="JUV10" s="28"/>
      <c r="JUW10" s="28"/>
      <c r="JUX10" s="28"/>
      <c r="JUY10" s="28"/>
      <c r="JUZ10" s="28"/>
      <c r="JVA10" s="28"/>
      <c r="JVB10" s="28"/>
      <c r="JVC10" s="28"/>
      <c r="JVD10" s="28"/>
      <c r="JVE10" s="28"/>
      <c r="JVF10" s="28"/>
      <c r="JVG10" s="28"/>
      <c r="JVH10" s="28"/>
      <c r="JVI10" s="28"/>
      <c r="JVJ10" s="28"/>
      <c r="JVK10" s="28"/>
      <c r="JVL10" s="28"/>
      <c r="JVM10" s="28"/>
      <c r="JVN10" s="28"/>
      <c r="JVO10" s="28"/>
      <c r="JVP10" s="28"/>
      <c r="JVQ10" s="28"/>
      <c r="JVR10" s="28"/>
      <c r="JVS10" s="28"/>
      <c r="JVT10" s="28"/>
      <c r="JVU10" s="28"/>
      <c r="JVV10" s="28"/>
      <c r="JVW10" s="28"/>
      <c r="JVX10" s="28"/>
      <c r="JVY10" s="28"/>
      <c r="JVZ10" s="28"/>
      <c r="JWA10" s="28"/>
      <c r="JWB10" s="28"/>
      <c r="JWC10" s="28"/>
      <c r="JWD10" s="28"/>
      <c r="JWE10" s="28"/>
      <c r="JWF10" s="28"/>
      <c r="JWG10" s="28"/>
      <c r="JWH10" s="28"/>
      <c r="JWI10" s="28"/>
      <c r="JWJ10" s="28"/>
      <c r="JWK10" s="28"/>
      <c r="JWL10" s="28"/>
      <c r="JWM10" s="28"/>
      <c r="JWN10" s="28"/>
      <c r="JWO10" s="28"/>
      <c r="JWP10" s="28"/>
      <c r="JWQ10" s="28"/>
      <c r="JWR10" s="28"/>
      <c r="JWS10" s="28"/>
      <c r="JWT10" s="28"/>
      <c r="JWU10" s="28"/>
      <c r="JWV10" s="28"/>
      <c r="JWW10" s="28"/>
      <c r="JWX10" s="28"/>
      <c r="JWY10" s="28"/>
      <c r="JWZ10" s="28"/>
      <c r="JXA10" s="28"/>
      <c r="JXB10" s="28"/>
      <c r="JXC10" s="28"/>
      <c r="JXD10" s="28"/>
      <c r="JXE10" s="28"/>
      <c r="JXF10" s="28"/>
      <c r="JXG10" s="28"/>
      <c r="JXH10" s="28"/>
      <c r="JXI10" s="28"/>
      <c r="JXJ10" s="28"/>
      <c r="JXK10" s="28"/>
      <c r="JXL10" s="28"/>
      <c r="JXM10" s="28"/>
      <c r="JXN10" s="28"/>
      <c r="JXO10" s="28"/>
      <c r="JXP10" s="28"/>
      <c r="JXQ10" s="28"/>
      <c r="JXR10" s="28"/>
      <c r="JXS10" s="28"/>
      <c r="JXT10" s="28"/>
      <c r="JXU10" s="28"/>
      <c r="JXV10" s="28"/>
      <c r="JXW10" s="28"/>
      <c r="JXX10" s="28"/>
      <c r="JXY10" s="28"/>
      <c r="JXZ10" s="28"/>
      <c r="JYA10" s="28"/>
      <c r="JYB10" s="28"/>
      <c r="JYC10" s="28"/>
      <c r="JYD10" s="28"/>
      <c r="JYE10" s="28"/>
      <c r="JYF10" s="28"/>
      <c r="JYG10" s="28"/>
      <c r="JYH10" s="28"/>
      <c r="JYI10" s="28"/>
      <c r="JYJ10" s="28"/>
      <c r="JYK10" s="28"/>
      <c r="JYL10" s="28"/>
      <c r="JYM10" s="28"/>
      <c r="JYN10" s="28"/>
      <c r="JYO10" s="28"/>
      <c r="JYP10" s="28"/>
      <c r="JYQ10" s="28"/>
      <c r="JYR10" s="28"/>
      <c r="JYS10" s="28"/>
      <c r="JYT10" s="28"/>
      <c r="JYU10" s="28"/>
      <c r="JYV10" s="28"/>
      <c r="JYW10" s="28"/>
      <c r="JYX10" s="28"/>
      <c r="JYY10" s="28"/>
      <c r="JYZ10" s="28"/>
      <c r="JZA10" s="28"/>
      <c r="JZB10" s="28"/>
      <c r="JZC10" s="28"/>
      <c r="JZD10" s="28"/>
      <c r="JZE10" s="28"/>
      <c r="JZF10" s="28"/>
      <c r="JZG10" s="28"/>
      <c r="JZH10" s="28"/>
      <c r="JZI10" s="28"/>
      <c r="JZJ10" s="28"/>
      <c r="JZK10" s="28"/>
      <c r="JZL10" s="28"/>
      <c r="JZM10" s="28"/>
      <c r="JZN10" s="28"/>
      <c r="JZO10" s="28"/>
      <c r="JZP10" s="28"/>
      <c r="JZQ10" s="28"/>
      <c r="JZR10" s="28"/>
      <c r="JZS10" s="28"/>
      <c r="JZT10" s="28"/>
      <c r="JZU10" s="28"/>
      <c r="JZV10" s="28"/>
      <c r="JZW10" s="28"/>
      <c r="JZX10" s="28"/>
      <c r="JZY10" s="28"/>
      <c r="JZZ10" s="28"/>
      <c r="KAA10" s="28"/>
      <c r="KAB10" s="28"/>
      <c r="KAC10" s="28"/>
      <c r="KAD10" s="28"/>
      <c r="KAE10" s="28"/>
      <c r="KAF10" s="28"/>
      <c r="KAG10" s="28"/>
      <c r="KAH10" s="28"/>
      <c r="KAI10" s="28"/>
      <c r="KAJ10" s="28"/>
      <c r="KAK10" s="28"/>
      <c r="KAL10" s="28"/>
      <c r="KAM10" s="28"/>
      <c r="KAN10" s="28"/>
      <c r="KAO10" s="28"/>
      <c r="KAP10" s="28"/>
      <c r="KAQ10" s="28"/>
      <c r="KAR10" s="28"/>
      <c r="KAS10" s="28"/>
      <c r="KAT10" s="28"/>
      <c r="KAU10" s="28"/>
      <c r="KAV10" s="28"/>
      <c r="KAW10" s="28"/>
      <c r="KAX10" s="28"/>
      <c r="KAY10" s="28"/>
      <c r="KAZ10" s="28"/>
      <c r="KBA10" s="28"/>
      <c r="KBB10" s="28"/>
      <c r="KBC10" s="28"/>
      <c r="KBD10" s="28"/>
      <c r="KBE10" s="28"/>
      <c r="KBF10" s="28"/>
      <c r="KBG10" s="28"/>
      <c r="KBH10" s="28"/>
      <c r="KBI10" s="28"/>
      <c r="KBJ10" s="28"/>
      <c r="KBK10" s="28"/>
      <c r="KBL10" s="28"/>
      <c r="KBM10" s="28"/>
      <c r="KBN10" s="28"/>
      <c r="KBO10" s="28"/>
      <c r="KBP10" s="28"/>
      <c r="KBQ10" s="28"/>
      <c r="KBR10" s="28"/>
      <c r="KBS10" s="28"/>
      <c r="KBT10" s="28"/>
      <c r="KBU10" s="28"/>
      <c r="KBV10" s="28"/>
      <c r="KBW10" s="28"/>
      <c r="KBX10" s="28"/>
      <c r="KBY10" s="28"/>
      <c r="KBZ10" s="28"/>
      <c r="KCA10" s="28"/>
      <c r="KCB10" s="28"/>
      <c r="KCC10" s="28"/>
      <c r="KCD10" s="28"/>
      <c r="KCE10" s="28"/>
      <c r="KCF10" s="28"/>
      <c r="KCG10" s="28"/>
      <c r="KCH10" s="28"/>
      <c r="KCI10" s="28"/>
      <c r="KCJ10" s="28"/>
      <c r="KCK10" s="28"/>
      <c r="KCL10" s="28"/>
      <c r="KCM10" s="28"/>
      <c r="KCN10" s="28"/>
      <c r="KCO10" s="28"/>
      <c r="KCP10" s="28"/>
      <c r="KCQ10" s="28"/>
      <c r="KCR10" s="28"/>
      <c r="KCS10" s="28"/>
      <c r="KCT10" s="28"/>
      <c r="KCU10" s="28"/>
      <c r="KCV10" s="28"/>
      <c r="KCW10" s="28"/>
      <c r="KCX10" s="28"/>
      <c r="KCY10" s="28"/>
      <c r="KCZ10" s="28"/>
      <c r="KDA10" s="28"/>
      <c r="KDB10" s="28"/>
      <c r="KDC10" s="28"/>
      <c r="KDD10" s="28"/>
      <c r="KDE10" s="28"/>
      <c r="KDF10" s="28"/>
      <c r="KDG10" s="28"/>
      <c r="KDH10" s="28"/>
      <c r="KDI10" s="28"/>
      <c r="KDJ10" s="28"/>
      <c r="KDK10" s="28"/>
      <c r="KDL10" s="28"/>
      <c r="KDM10" s="28"/>
      <c r="KDN10" s="28"/>
      <c r="KDO10" s="28"/>
      <c r="KDP10" s="28"/>
      <c r="KDQ10" s="28"/>
      <c r="KDR10" s="28"/>
      <c r="KDS10" s="28"/>
      <c r="KDT10" s="28"/>
      <c r="KDU10" s="28"/>
      <c r="KDV10" s="28"/>
      <c r="KDW10" s="28"/>
      <c r="KDX10" s="28"/>
      <c r="KDY10" s="28"/>
      <c r="KDZ10" s="28"/>
      <c r="KEA10" s="28"/>
      <c r="KEB10" s="28"/>
      <c r="KEC10" s="28"/>
      <c r="KED10" s="28"/>
      <c r="KEE10" s="28"/>
      <c r="KEF10" s="28"/>
      <c r="KEG10" s="28"/>
      <c r="KEH10" s="28"/>
      <c r="KEI10" s="28"/>
      <c r="KEJ10" s="28"/>
      <c r="KEK10" s="28"/>
      <c r="KEL10" s="28"/>
      <c r="KEM10" s="28"/>
      <c r="KEN10" s="28"/>
      <c r="KEO10" s="28"/>
      <c r="KEP10" s="28"/>
      <c r="KEQ10" s="28"/>
      <c r="KER10" s="28"/>
      <c r="KES10" s="28"/>
      <c r="KET10" s="28"/>
      <c r="KEU10" s="28"/>
      <c r="KEV10" s="28"/>
      <c r="KEW10" s="28"/>
      <c r="KEX10" s="28"/>
      <c r="KEY10" s="28"/>
      <c r="KEZ10" s="28"/>
      <c r="KFA10" s="28"/>
      <c r="KFB10" s="28"/>
      <c r="KFC10" s="28"/>
      <c r="KFD10" s="28"/>
      <c r="KFE10" s="28"/>
      <c r="KFF10" s="28"/>
      <c r="KFG10" s="28"/>
      <c r="KFH10" s="28"/>
      <c r="KFI10" s="28"/>
      <c r="KFJ10" s="28"/>
      <c r="KFK10" s="28"/>
      <c r="KFL10" s="28"/>
      <c r="KFM10" s="28"/>
      <c r="KFN10" s="28"/>
      <c r="KFO10" s="28"/>
      <c r="KFP10" s="28"/>
      <c r="KFQ10" s="28"/>
      <c r="KFR10" s="28"/>
      <c r="KFS10" s="28"/>
      <c r="KFT10" s="28"/>
      <c r="KFU10" s="28"/>
      <c r="KFV10" s="28"/>
      <c r="KFW10" s="28"/>
      <c r="KFX10" s="28"/>
      <c r="KFY10" s="28"/>
      <c r="KFZ10" s="28"/>
      <c r="KGA10" s="28"/>
      <c r="KGB10" s="28"/>
      <c r="KGC10" s="28"/>
      <c r="KGD10" s="28"/>
      <c r="KGE10" s="28"/>
      <c r="KGF10" s="28"/>
      <c r="KGG10" s="28"/>
      <c r="KGH10" s="28"/>
      <c r="KGI10" s="28"/>
      <c r="KGJ10" s="28"/>
      <c r="KGK10" s="28"/>
      <c r="KGL10" s="28"/>
      <c r="KGM10" s="28"/>
      <c r="KGN10" s="28"/>
      <c r="KGO10" s="28"/>
      <c r="KGP10" s="28"/>
      <c r="KGQ10" s="28"/>
      <c r="KGR10" s="28"/>
      <c r="KGS10" s="28"/>
      <c r="KGT10" s="28"/>
      <c r="KGU10" s="28"/>
      <c r="KGV10" s="28"/>
      <c r="KGW10" s="28"/>
      <c r="KGX10" s="28"/>
      <c r="KGY10" s="28"/>
      <c r="KGZ10" s="28"/>
      <c r="KHA10" s="28"/>
      <c r="KHB10" s="28"/>
      <c r="KHC10" s="28"/>
      <c r="KHD10" s="28"/>
      <c r="KHE10" s="28"/>
      <c r="KHF10" s="28"/>
      <c r="KHG10" s="28"/>
      <c r="KHH10" s="28"/>
      <c r="KHI10" s="28"/>
      <c r="KHJ10" s="28"/>
      <c r="KHK10" s="28"/>
      <c r="KHL10" s="28"/>
      <c r="KHM10" s="28"/>
      <c r="KHN10" s="28"/>
      <c r="KHO10" s="28"/>
      <c r="KHP10" s="28"/>
      <c r="KHQ10" s="28"/>
      <c r="KHR10" s="28"/>
      <c r="KHS10" s="28"/>
      <c r="KHT10" s="28"/>
      <c r="KHU10" s="28"/>
      <c r="KHV10" s="28"/>
      <c r="KHW10" s="28"/>
      <c r="KHX10" s="28"/>
      <c r="KHY10" s="28"/>
      <c r="KHZ10" s="28"/>
      <c r="KIA10" s="28"/>
      <c r="KIB10" s="28"/>
      <c r="KIC10" s="28"/>
      <c r="KID10" s="28"/>
      <c r="KIE10" s="28"/>
      <c r="KIF10" s="28"/>
      <c r="KIG10" s="28"/>
      <c r="KIH10" s="28"/>
      <c r="KII10" s="28"/>
      <c r="KIJ10" s="28"/>
      <c r="KIK10" s="28"/>
      <c r="KIL10" s="28"/>
      <c r="KIM10" s="28"/>
      <c r="KIN10" s="28"/>
      <c r="KIO10" s="28"/>
      <c r="KIP10" s="28"/>
      <c r="KIQ10" s="28"/>
      <c r="KIR10" s="28"/>
      <c r="KIS10" s="28"/>
      <c r="KIT10" s="28"/>
      <c r="KIU10" s="28"/>
      <c r="KIV10" s="28"/>
      <c r="KIW10" s="28"/>
      <c r="KIX10" s="28"/>
      <c r="KIY10" s="28"/>
      <c r="KIZ10" s="28"/>
      <c r="KJA10" s="28"/>
      <c r="KJB10" s="28"/>
      <c r="KJC10" s="28"/>
      <c r="KJD10" s="28"/>
      <c r="KJE10" s="28"/>
      <c r="KJF10" s="28"/>
      <c r="KJG10" s="28"/>
      <c r="KJH10" s="28"/>
      <c r="KJI10" s="28"/>
      <c r="KJJ10" s="28"/>
      <c r="KJK10" s="28"/>
      <c r="KJL10" s="28"/>
      <c r="KJM10" s="28"/>
      <c r="KJN10" s="28"/>
      <c r="KJO10" s="28"/>
      <c r="KJP10" s="28"/>
      <c r="KJQ10" s="28"/>
      <c r="KJR10" s="28"/>
      <c r="KJS10" s="28"/>
      <c r="KJT10" s="28"/>
      <c r="KJU10" s="28"/>
      <c r="KJV10" s="28"/>
      <c r="KJW10" s="28"/>
      <c r="KJX10" s="28"/>
      <c r="KJY10" s="28"/>
      <c r="KJZ10" s="28"/>
      <c r="KKA10" s="28"/>
      <c r="KKB10" s="28"/>
      <c r="KKC10" s="28"/>
      <c r="KKD10" s="28"/>
      <c r="KKE10" s="28"/>
      <c r="KKF10" s="28"/>
      <c r="KKG10" s="28"/>
      <c r="KKH10" s="28"/>
      <c r="KKI10" s="28"/>
      <c r="KKJ10" s="28"/>
      <c r="KKK10" s="28"/>
      <c r="KKL10" s="28"/>
      <c r="KKM10" s="28"/>
      <c r="KKN10" s="28"/>
      <c r="KKO10" s="28"/>
      <c r="KKP10" s="28"/>
      <c r="KKQ10" s="28"/>
      <c r="KKR10" s="28"/>
      <c r="KKS10" s="28"/>
      <c r="KKT10" s="28"/>
      <c r="KKU10" s="28"/>
      <c r="KKV10" s="28"/>
      <c r="KKW10" s="28"/>
      <c r="KKX10" s="28"/>
      <c r="KKY10" s="28"/>
      <c r="KKZ10" s="28"/>
      <c r="KLA10" s="28"/>
      <c r="KLB10" s="28"/>
      <c r="KLC10" s="28"/>
      <c r="KLD10" s="28"/>
      <c r="KLE10" s="28"/>
      <c r="KLF10" s="28"/>
      <c r="KLG10" s="28"/>
      <c r="KLH10" s="28"/>
      <c r="KLI10" s="28"/>
      <c r="KLJ10" s="28"/>
      <c r="KLK10" s="28"/>
      <c r="KLL10" s="28"/>
      <c r="KLM10" s="28"/>
      <c r="KLN10" s="28"/>
      <c r="KLO10" s="28"/>
      <c r="KLP10" s="28"/>
      <c r="KLQ10" s="28"/>
      <c r="KLR10" s="28"/>
      <c r="KLS10" s="28"/>
      <c r="KLT10" s="28"/>
      <c r="KLU10" s="28"/>
      <c r="KLV10" s="28"/>
      <c r="KLW10" s="28"/>
      <c r="KLX10" s="28"/>
      <c r="KLY10" s="28"/>
      <c r="KLZ10" s="28"/>
      <c r="KMA10" s="28"/>
      <c r="KMB10" s="28"/>
      <c r="KMC10" s="28"/>
      <c r="KMD10" s="28"/>
      <c r="KME10" s="28"/>
      <c r="KMF10" s="28"/>
      <c r="KMG10" s="28"/>
      <c r="KMH10" s="28"/>
      <c r="KMI10" s="28"/>
      <c r="KMJ10" s="28"/>
      <c r="KMK10" s="28"/>
      <c r="KML10" s="28"/>
      <c r="KMM10" s="28"/>
      <c r="KMN10" s="28"/>
      <c r="KMO10" s="28"/>
      <c r="KMP10" s="28"/>
      <c r="KMQ10" s="28"/>
      <c r="KMR10" s="28"/>
      <c r="KMS10" s="28"/>
      <c r="KMT10" s="28"/>
      <c r="KMU10" s="28"/>
      <c r="KMV10" s="28"/>
      <c r="KMW10" s="28"/>
      <c r="KMX10" s="28"/>
      <c r="KMY10" s="28"/>
      <c r="KMZ10" s="28"/>
      <c r="KNA10" s="28"/>
      <c r="KNB10" s="28"/>
      <c r="KNC10" s="28"/>
      <c r="KND10" s="28"/>
      <c r="KNE10" s="28"/>
      <c r="KNF10" s="28"/>
      <c r="KNG10" s="28"/>
      <c r="KNH10" s="28"/>
      <c r="KNI10" s="28"/>
      <c r="KNJ10" s="28"/>
      <c r="KNK10" s="28"/>
      <c r="KNL10" s="28"/>
      <c r="KNM10" s="28"/>
      <c r="KNN10" s="28"/>
      <c r="KNO10" s="28"/>
      <c r="KNP10" s="28"/>
      <c r="KNQ10" s="28"/>
      <c r="KNR10" s="28"/>
      <c r="KNS10" s="28"/>
      <c r="KNT10" s="28"/>
      <c r="KNU10" s="28"/>
      <c r="KNV10" s="28"/>
      <c r="KNW10" s="28"/>
      <c r="KNX10" s="28"/>
      <c r="KNY10" s="28"/>
      <c r="KNZ10" s="28"/>
      <c r="KOA10" s="28"/>
      <c r="KOB10" s="28"/>
      <c r="KOC10" s="28"/>
      <c r="KOD10" s="28"/>
      <c r="KOE10" s="28"/>
      <c r="KOF10" s="28"/>
      <c r="KOG10" s="28"/>
      <c r="KOH10" s="28"/>
      <c r="KOI10" s="28"/>
      <c r="KOJ10" s="28"/>
      <c r="KOK10" s="28"/>
      <c r="KOL10" s="28"/>
      <c r="KOM10" s="28"/>
      <c r="KON10" s="28"/>
      <c r="KOO10" s="28"/>
      <c r="KOP10" s="28"/>
      <c r="KOQ10" s="28"/>
      <c r="KOR10" s="28"/>
      <c r="KOS10" s="28"/>
      <c r="KOT10" s="28"/>
      <c r="KOU10" s="28"/>
      <c r="KOV10" s="28"/>
      <c r="KOW10" s="28"/>
      <c r="KOX10" s="28"/>
      <c r="KOY10" s="28"/>
      <c r="KOZ10" s="28"/>
      <c r="KPA10" s="28"/>
      <c r="KPB10" s="28"/>
      <c r="KPC10" s="28"/>
      <c r="KPD10" s="28"/>
      <c r="KPE10" s="28"/>
      <c r="KPF10" s="28"/>
      <c r="KPG10" s="28"/>
      <c r="KPH10" s="28"/>
      <c r="KPI10" s="28"/>
      <c r="KPJ10" s="28"/>
      <c r="KPK10" s="28"/>
      <c r="KPL10" s="28"/>
      <c r="KPM10" s="28"/>
      <c r="KPN10" s="28"/>
      <c r="KPO10" s="28"/>
      <c r="KPP10" s="28"/>
      <c r="KPQ10" s="28"/>
      <c r="KPR10" s="28"/>
      <c r="KPS10" s="28"/>
      <c r="KPT10" s="28"/>
      <c r="KPU10" s="28"/>
      <c r="KPV10" s="28"/>
      <c r="KPW10" s="28"/>
      <c r="KPX10" s="28"/>
      <c r="KPY10" s="28"/>
      <c r="KPZ10" s="28"/>
      <c r="KQA10" s="28"/>
      <c r="KQB10" s="28"/>
      <c r="KQC10" s="28"/>
      <c r="KQD10" s="28"/>
      <c r="KQE10" s="28"/>
      <c r="KQF10" s="28"/>
      <c r="KQG10" s="28"/>
      <c r="KQH10" s="28"/>
      <c r="KQI10" s="28"/>
      <c r="KQJ10" s="28"/>
      <c r="KQK10" s="28"/>
      <c r="KQL10" s="28"/>
      <c r="KQM10" s="28"/>
      <c r="KQN10" s="28"/>
      <c r="KQO10" s="28"/>
      <c r="KQP10" s="28"/>
      <c r="KQQ10" s="28"/>
      <c r="KQR10" s="28"/>
      <c r="KQS10" s="28"/>
      <c r="KQT10" s="28"/>
      <c r="KQU10" s="28"/>
      <c r="KQV10" s="28"/>
      <c r="KQW10" s="28"/>
      <c r="KQX10" s="28"/>
      <c r="KQY10" s="28"/>
      <c r="KQZ10" s="28"/>
      <c r="KRA10" s="28"/>
      <c r="KRB10" s="28"/>
      <c r="KRC10" s="28"/>
      <c r="KRD10" s="28"/>
      <c r="KRE10" s="28"/>
      <c r="KRF10" s="28"/>
      <c r="KRG10" s="28"/>
      <c r="KRH10" s="28"/>
      <c r="KRI10" s="28"/>
      <c r="KRJ10" s="28"/>
      <c r="KRK10" s="28"/>
      <c r="KRL10" s="28"/>
      <c r="KRM10" s="28"/>
      <c r="KRN10" s="28"/>
      <c r="KRO10" s="28"/>
      <c r="KRP10" s="28"/>
      <c r="KRQ10" s="28"/>
      <c r="KRR10" s="28"/>
      <c r="KRS10" s="28"/>
      <c r="KRT10" s="28"/>
      <c r="KRU10" s="28"/>
      <c r="KRV10" s="28"/>
      <c r="KRW10" s="28"/>
      <c r="KRX10" s="28"/>
      <c r="KRY10" s="28"/>
      <c r="KRZ10" s="28"/>
      <c r="KSA10" s="28"/>
      <c r="KSB10" s="28"/>
      <c r="KSC10" s="28"/>
      <c r="KSD10" s="28"/>
      <c r="KSE10" s="28"/>
      <c r="KSF10" s="28"/>
      <c r="KSG10" s="28"/>
      <c r="KSH10" s="28"/>
      <c r="KSI10" s="28"/>
      <c r="KSJ10" s="28"/>
      <c r="KSK10" s="28"/>
      <c r="KSL10" s="28"/>
      <c r="KSM10" s="28"/>
      <c r="KSN10" s="28"/>
      <c r="KSO10" s="28"/>
      <c r="KSP10" s="28"/>
      <c r="KSQ10" s="28"/>
      <c r="KSR10" s="28"/>
      <c r="KSS10" s="28"/>
      <c r="KST10" s="28"/>
      <c r="KSU10" s="28"/>
      <c r="KSV10" s="28"/>
      <c r="KSW10" s="28"/>
      <c r="KSX10" s="28"/>
      <c r="KSY10" s="28"/>
      <c r="KSZ10" s="28"/>
      <c r="KTA10" s="28"/>
      <c r="KTB10" s="28"/>
      <c r="KTC10" s="28"/>
      <c r="KTD10" s="28"/>
      <c r="KTE10" s="28"/>
      <c r="KTF10" s="28"/>
      <c r="KTG10" s="28"/>
      <c r="KTH10" s="28"/>
      <c r="KTI10" s="28"/>
      <c r="KTJ10" s="28"/>
      <c r="KTK10" s="28"/>
      <c r="KTL10" s="28"/>
      <c r="KTM10" s="28"/>
      <c r="KTN10" s="28"/>
      <c r="KTO10" s="28"/>
      <c r="KTP10" s="28"/>
      <c r="KTQ10" s="28"/>
      <c r="KTR10" s="28"/>
      <c r="KTS10" s="28"/>
      <c r="KTT10" s="28"/>
      <c r="KTU10" s="28"/>
      <c r="KTV10" s="28"/>
      <c r="KTW10" s="28"/>
      <c r="KTX10" s="28"/>
      <c r="KTY10" s="28"/>
      <c r="KTZ10" s="28"/>
      <c r="KUA10" s="28"/>
      <c r="KUB10" s="28"/>
      <c r="KUC10" s="28"/>
      <c r="KUD10" s="28"/>
      <c r="KUE10" s="28"/>
      <c r="KUF10" s="28"/>
      <c r="KUG10" s="28"/>
      <c r="KUH10" s="28"/>
      <c r="KUI10" s="28"/>
      <c r="KUJ10" s="28"/>
      <c r="KUK10" s="28"/>
      <c r="KUL10" s="28"/>
      <c r="KUM10" s="28"/>
      <c r="KUN10" s="28"/>
      <c r="KUO10" s="28"/>
      <c r="KUP10" s="28"/>
      <c r="KUQ10" s="28"/>
      <c r="KUR10" s="28"/>
      <c r="KUS10" s="28"/>
      <c r="KUT10" s="28"/>
      <c r="KUU10" s="28"/>
      <c r="KUV10" s="28"/>
      <c r="KUW10" s="28"/>
      <c r="KUX10" s="28"/>
      <c r="KUY10" s="28"/>
      <c r="KUZ10" s="28"/>
      <c r="KVA10" s="28"/>
      <c r="KVB10" s="28"/>
      <c r="KVC10" s="28"/>
      <c r="KVD10" s="28"/>
      <c r="KVE10" s="28"/>
      <c r="KVF10" s="28"/>
      <c r="KVG10" s="28"/>
      <c r="KVH10" s="28"/>
      <c r="KVI10" s="28"/>
      <c r="KVJ10" s="28"/>
      <c r="KVK10" s="28"/>
      <c r="KVL10" s="28"/>
      <c r="KVM10" s="28"/>
      <c r="KVN10" s="28"/>
      <c r="KVO10" s="28"/>
      <c r="KVP10" s="28"/>
      <c r="KVQ10" s="28"/>
      <c r="KVR10" s="28"/>
      <c r="KVS10" s="28"/>
      <c r="KVT10" s="28"/>
      <c r="KVU10" s="28"/>
      <c r="KVV10" s="28"/>
      <c r="KVW10" s="28"/>
      <c r="KVX10" s="28"/>
      <c r="KVY10" s="28"/>
      <c r="KVZ10" s="28"/>
      <c r="KWA10" s="28"/>
      <c r="KWB10" s="28"/>
      <c r="KWC10" s="28"/>
      <c r="KWD10" s="28"/>
      <c r="KWE10" s="28"/>
      <c r="KWF10" s="28"/>
      <c r="KWG10" s="28"/>
      <c r="KWH10" s="28"/>
      <c r="KWI10" s="28"/>
      <c r="KWJ10" s="28"/>
      <c r="KWK10" s="28"/>
      <c r="KWL10" s="28"/>
      <c r="KWM10" s="28"/>
      <c r="KWN10" s="28"/>
      <c r="KWO10" s="28"/>
      <c r="KWP10" s="28"/>
      <c r="KWQ10" s="28"/>
      <c r="KWR10" s="28"/>
      <c r="KWS10" s="28"/>
      <c r="KWT10" s="28"/>
      <c r="KWU10" s="28"/>
      <c r="KWV10" s="28"/>
      <c r="KWW10" s="28"/>
      <c r="KWX10" s="28"/>
      <c r="KWY10" s="28"/>
      <c r="KWZ10" s="28"/>
      <c r="KXA10" s="28"/>
      <c r="KXB10" s="28"/>
      <c r="KXC10" s="28"/>
      <c r="KXD10" s="28"/>
      <c r="KXE10" s="28"/>
      <c r="KXF10" s="28"/>
      <c r="KXG10" s="28"/>
      <c r="KXH10" s="28"/>
      <c r="KXI10" s="28"/>
      <c r="KXJ10" s="28"/>
      <c r="KXK10" s="28"/>
      <c r="KXL10" s="28"/>
      <c r="KXM10" s="28"/>
      <c r="KXN10" s="28"/>
      <c r="KXO10" s="28"/>
      <c r="KXP10" s="28"/>
      <c r="KXQ10" s="28"/>
      <c r="KXR10" s="28"/>
      <c r="KXS10" s="28"/>
      <c r="KXT10" s="28"/>
      <c r="KXU10" s="28"/>
      <c r="KXV10" s="28"/>
      <c r="KXW10" s="28"/>
      <c r="KXX10" s="28"/>
      <c r="KXY10" s="28"/>
      <c r="KXZ10" s="28"/>
      <c r="KYA10" s="28"/>
      <c r="KYB10" s="28"/>
      <c r="KYC10" s="28"/>
      <c r="KYD10" s="28"/>
      <c r="KYE10" s="28"/>
      <c r="KYF10" s="28"/>
      <c r="KYG10" s="28"/>
      <c r="KYH10" s="28"/>
      <c r="KYI10" s="28"/>
      <c r="KYJ10" s="28"/>
      <c r="KYK10" s="28"/>
      <c r="KYL10" s="28"/>
      <c r="KYM10" s="28"/>
      <c r="KYN10" s="28"/>
      <c r="KYO10" s="28"/>
      <c r="KYP10" s="28"/>
      <c r="KYQ10" s="28"/>
      <c r="KYR10" s="28"/>
      <c r="KYS10" s="28"/>
      <c r="KYT10" s="28"/>
      <c r="KYU10" s="28"/>
      <c r="KYV10" s="28"/>
      <c r="KYW10" s="28"/>
      <c r="KYX10" s="28"/>
      <c r="KYY10" s="28"/>
      <c r="KYZ10" s="28"/>
      <c r="KZA10" s="28"/>
      <c r="KZB10" s="28"/>
      <c r="KZC10" s="28"/>
      <c r="KZD10" s="28"/>
      <c r="KZE10" s="28"/>
      <c r="KZF10" s="28"/>
      <c r="KZG10" s="28"/>
      <c r="KZH10" s="28"/>
      <c r="KZI10" s="28"/>
      <c r="KZJ10" s="28"/>
      <c r="KZK10" s="28"/>
      <c r="KZL10" s="28"/>
      <c r="KZM10" s="28"/>
      <c r="KZN10" s="28"/>
      <c r="KZO10" s="28"/>
      <c r="KZP10" s="28"/>
      <c r="KZQ10" s="28"/>
      <c r="KZR10" s="28"/>
      <c r="KZS10" s="28"/>
      <c r="KZT10" s="28"/>
      <c r="KZU10" s="28"/>
      <c r="KZV10" s="28"/>
      <c r="KZW10" s="28"/>
      <c r="KZX10" s="28"/>
      <c r="KZY10" s="28"/>
      <c r="KZZ10" s="28"/>
      <c r="LAA10" s="28"/>
      <c r="LAB10" s="28"/>
      <c r="LAC10" s="28"/>
      <c r="LAD10" s="28"/>
      <c r="LAE10" s="28"/>
      <c r="LAF10" s="28"/>
      <c r="LAG10" s="28"/>
      <c r="LAH10" s="28"/>
      <c r="LAI10" s="28"/>
      <c r="LAJ10" s="28"/>
      <c r="LAK10" s="28"/>
      <c r="LAL10" s="28"/>
      <c r="LAM10" s="28"/>
      <c r="LAN10" s="28"/>
      <c r="LAO10" s="28"/>
      <c r="LAP10" s="28"/>
      <c r="LAQ10" s="28"/>
      <c r="LAR10" s="28"/>
      <c r="LAS10" s="28"/>
      <c r="LAT10" s="28"/>
      <c r="LAU10" s="28"/>
      <c r="LAV10" s="28"/>
      <c r="LAW10" s="28"/>
      <c r="LAX10" s="28"/>
      <c r="LAY10" s="28"/>
      <c r="LAZ10" s="28"/>
      <c r="LBA10" s="28"/>
      <c r="LBB10" s="28"/>
      <c r="LBC10" s="28"/>
      <c r="LBD10" s="28"/>
      <c r="LBE10" s="28"/>
      <c r="LBF10" s="28"/>
      <c r="LBG10" s="28"/>
      <c r="LBH10" s="28"/>
      <c r="LBI10" s="28"/>
      <c r="LBJ10" s="28"/>
      <c r="LBK10" s="28"/>
      <c r="LBL10" s="28"/>
      <c r="LBM10" s="28"/>
      <c r="LBN10" s="28"/>
      <c r="LBO10" s="28"/>
      <c r="LBP10" s="28"/>
      <c r="LBQ10" s="28"/>
      <c r="LBR10" s="28"/>
      <c r="LBS10" s="28"/>
      <c r="LBT10" s="28"/>
      <c r="LBU10" s="28"/>
      <c r="LBV10" s="28"/>
      <c r="LBW10" s="28"/>
      <c r="LBX10" s="28"/>
      <c r="LBY10" s="28"/>
      <c r="LBZ10" s="28"/>
      <c r="LCA10" s="28"/>
      <c r="LCB10" s="28"/>
      <c r="LCC10" s="28"/>
      <c r="LCD10" s="28"/>
      <c r="LCE10" s="28"/>
      <c r="LCF10" s="28"/>
      <c r="LCG10" s="28"/>
      <c r="LCH10" s="28"/>
      <c r="LCI10" s="28"/>
      <c r="LCJ10" s="28"/>
      <c r="LCK10" s="28"/>
      <c r="LCL10" s="28"/>
      <c r="LCM10" s="28"/>
      <c r="LCN10" s="28"/>
      <c r="LCO10" s="28"/>
      <c r="LCP10" s="28"/>
      <c r="LCQ10" s="28"/>
      <c r="LCR10" s="28"/>
      <c r="LCS10" s="28"/>
      <c r="LCT10" s="28"/>
      <c r="LCU10" s="28"/>
      <c r="LCV10" s="28"/>
      <c r="LCW10" s="28"/>
      <c r="LCX10" s="28"/>
      <c r="LCY10" s="28"/>
      <c r="LCZ10" s="28"/>
      <c r="LDA10" s="28"/>
      <c r="LDB10" s="28"/>
      <c r="LDC10" s="28"/>
      <c r="LDD10" s="28"/>
      <c r="LDE10" s="28"/>
      <c r="LDF10" s="28"/>
      <c r="LDG10" s="28"/>
      <c r="LDH10" s="28"/>
      <c r="LDI10" s="28"/>
      <c r="LDJ10" s="28"/>
      <c r="LDK10" s="28"/>
      <c r="LDL10" s="28"/>
      <c r="LDM10" s="28"/>
      <c r="LDN10" s="28"/>
      <c r="LDO10" s="28"/>
      <c r="LDP10" s="28"/>
      <c r="LDQ10" s="28"/>
      <c r="LDR10" s="28"/>
      <c r="LDS10" s="28"/>
      <c r="LDT10" s="28"/>
      <c r="LDU10" s="28"/>
      <c r="LDV10" s="28"/>
      <c r="LDW10" s="28"/>
      <c r="LDX10" s="28"/>
      <c r="LDY10" s="28"/>
      <c r="LDZ10" s="28"/>
      <c r="LEA10" s="28"/>
      <c r="LEB10" s="28"/>
      <c r="LEC10" s="28"/>
      <c r="LED10" s="28"/>
      <c r="LEE10" s="28"/>
      <c r="LEF10" s="28"/>
      <c r="LEG10" s="28"/>
      <c r="LEH10" s="28"/>
      <c r="LEI10" s="28"/>
      <c r="LEJ10" s="28"/>
      <c r="LEK10" s="28"/>
      <c r="LEL10" s="28"/>
      <c r="LEM10" s="28"/>
      <c r="LEN10" s="28"/>
      <c r="LEO10" s="28"/>
      <c r="LEP10" s="28"/>
      <c r="LEQ10" s="28"/>
      <c r="LER10" s="28"/>
      <c r="LES10" s="28"/>
      <c r="LET10" s="28"/>
      <c r="LEU10" s="28"/>
      <c r="LEV10" s="28"/>
      <c r="LEW10" s="28"/>
      <c r="LEX10" s="28"/>
      <c r="LEY10" s="28"/>
      <c r="LEZ10" s="28"/>
      <c r="LFA10" s="28"/>
      <c r="LFB10" s="28"/>
      <c r="LFC10" s="28"/>
      <c r="LFD10" s="28"/>
      <c r="LFE10" s="28"/>
      <c r="LFF10" s="28"/>
      <c r="LFG10" s="28"/>
      <c r="LFH10" s="28"/>
      <c r="LFI10" s="28"/>
      <c r="LFJ10" s="28"/>
      <c r="LFK10" s="28"/>
      <c r="LFL10" s="28"/>
      <c r="LFM10" s="28"/>
      <c r="LFN10" s="28"/>
      <c r="LFO10" s="28"/>
      <c r="LFP10" s="28"/>
      <c r="LFQ10" s="28"/>
      <c r="LFR10" s="28"/>
      <c r="LFS10" s="28"/>
      <c r="LFT10" s="28"/>
      <c r="LFU10" s="28"/>
      <c r="LFV10" s="28"/>
      <c r="LFW10" s="28"/>
      <c r="LFX10" s="28"/>
      <c r="LFY10" s="28"/>
      <c r="LFZ10" s="28"/>
      <c r="LGA10" s="28"/>
      <c r="LGB10" s="28"/>
      <c r="LGC10" s="28"/>
      <c r="LGD10" s="28"/>
      <c r="LGE10" s="28"/>
      <c r="LGF10" s="28"/>
      <c r="LGG10" s="28"/>
      <c r="LGH10" s="28"/>
      <c r="LGI10" s="28"/>
      <c r="LGJ10" s="28"/>
      <c r="LGK10" s="28"/>
      <c r="LGL10" s="28"/>
      <c r="LGM10" s="28"/>
      <c r="LGN10" s="28"/>
      <c r="LGO10" s="28"/>
      <c r="LGP10" s="28"/>
      <c r="LGQ10" s="28"/>
      <c r="LGR10" s="28"/>
      <c r="LGS10" s="28"/>
      <c r="LGT10" s="28"/>
      <c r="LGU10" s="28"/>
      <c r="LGV10" s="28"/>
      <c r="LGW10" s="28"/>
      <c r="LGX10" s="28"/>
      <c r="LGY10" s="28"/>
      <c r="LGZ10" s="28"/>
      <c r="LHA10" s="28"/>
      <c r="LHB10" s="28"/>
      <c r="LHC10" s="28"/>
      <c r="LHD10" s="28"/>
      <c r="LHE10" s="28"/>
      <c r="LHF10" s="28"/>
      <c r="LHG10" s="28"/>
      <c r="LHH10" s="28"/>
      <c r="LHI10" s="28"/>
      <c r="LHJ10" s="28"/>
      <c r="LHK10" s="28"/>
      <c r="LHL10" s="28"/>
      <c r="LHM10" s="28"/>
      <c r="LHN10" s="28"/>
      <c r="LHO10" s="28"/>
      <c r="LHP10" s="28"/>
      <c r="LHQ10" s="28"/>
      <c r="LHR10" s="28"/>
      <c r="LHS10" s="28"/>
      <c r="LHT10" s="28"/>
      <c r="LHU10" s="28"/>
      <c r="LHV10" s="28"/>
      <c r="LHW10" s="28"/>
      <c r="LHX10" s="28"/>
      <c r="LHY10" s="28"/>
      <c r="LHZ10" s="28"/>
      <c r="LIA10" s="28"/>
      <c r="LIB10" s="28"/>
      <c r="LIC10" s="28"/>
      <c r="LID10" s="28"/>
      <c r="LIE10" s="28"/>
      <c r="LIF10" s="28"/>
      <c r="LIG10" s="28"/>
      <c r="LIH10" s="28"/>
      <c r="LII10" s="28"/>
      <c r="LIJ10" s="28"/>
      <c r="LIK10" s="28"/>
      <c r="LIL10" s="28"/>
      <c r="LIM10" s="28"/>
      <c r="LIN10" s="28"/>
      <c r="LIO10" s="28"/>
      <c r="LIP10" s="28"/>
      <c r="LIQ10" s="28"/>
      <c r="LIR10" s="28"/>
      <c r="LIS10" s="28"/>
      <c r="LIT10" s="28"/>
      <c r="LIU10" s="28"/>
      <c r="LIV10" s="28"/>
      <c r="LIW10" s="28"/>
      <c r="LIX10" s="28"/>
      <c r="LIY10" s="28"/>
      <c r="LIZ10" s="28"/>
      <c r="LJA10" s="28"/>
      <c r="LJB10" s="28"/>
      <c r="LJC10" s="28"/>
      <c r="LJD10" s="28"/>
      <c r="LJE10" s="28"/>
      <c r="LJF10" s="28"/>
      <c r="LJG10" s="28"/>
      <c r="LJH10" s="28"/>
      <c r="LJI10" s="28"/>
      <c r="LJJ10" s="28"/>
      <c r="LJK10" s="28"/>
      <c r="LJL10" s="28"/>
      <c r="LJM10" s="28"/>
      <c r="LJN10" s="28"/>
      <c r="LJO10" s="28"/>
      <c r="LJP10" s="28"/>
      <c r="LJQ10" s="28"/>
      <c r="LJR10" s="28"/>
      <c r="LJS10" s="28"/>
      <c r="LJT10" s="28"/>
      <c r="LJU10" s="28"/>
      <c r="LJV10" s="28"/>
      <c r="LJW10" s="28"/>
      <c r="LJX10" s="28"/>
      <c r="LJY10" s="28"/>
      <c r="LJZ10" s="28"/>
      <c r="LKA10" s="28"/>
      <c r="LKB10" s="28"/>
      <c r="LKC10" s="28"/>
      <c r="LKD10" s="28"/>
      <c r="LKE10" s="28"/>
      <c r="LKF10" s="28"/>
      <c r="LKG10" s="28"/>
      <c r="LKH10" s="28"/>
      <c r="LKI10" s="28"/>
      <c r="LKJ10" s="28"/>
      <c r="LKK10" s="28"/>
      <c r="LKL10" s="28"/>
      <c r="LKM10" s="28"/>
      <c r="LKN10" s="28"/>
      <c r="LKO10" s="28"/>
      <c r="LKP10" s="28"/>
      <c r="LKQ10" s="28"/>
      <c r="LKR10" s="28"/>
      <c r="LKS10" s="28"/>
      <c r="LKT10" s="28"/>
      <c r="LKU10" s="28"/>
      <c r="LKV10" s="28"/>
      <c r="LKW10" s="28"/>
      <c r="LKX10" s="28"/>
      <c r="LKY10" s="28"/>
      <c r="LKZ10" s="28"/>
      <c r="LLA10" s="28"/>
      <c r="LLB10" s="28"/>
      <c r="LLC10" s="28"/>
      <c r="LLD10" s="28"/>
      <c r="LLE10" s="28"/>
      <c r="LLF10" s="28"/>
      <c r="LLG10" s="28"/>
      <c r="LLH10" s="28"/>
      <c r="LLI10" s="28"/>
      <c r="LLJ10" s="28"/>
      <c r="LLK10" s="28"/>
      <c r="LLL10" s="28"/>
      <c r="LLM10" s="28"/>
      <c r="LLN10" s="28"/>
      <c r="LLO10" s="28"/>
      <c r="LLP10" s="28"/>
      <c r="LLQ10" s="28"/>
      <c r="LLR10" s="28"/>
      <c r="LLS10" s="28"/>
      <c r="LLT10" s="28"/>
      <c r="LLU10" s="28"/>
      <c r="LLV10" s="28"/>
      <c r="LLW10" s="28"/>
      <c r="LLX10" s="28"/>
      <c r="LLY10" s="28"/>
      <c r="LLZ10" s="28"/>
      <c r="LMA10" s="28"/>
      <c r="LMB10" s="28"/>
      <c r="LMC10" s="28"/>
      <c r="LMD10" s="28"/>
      <c r="LME10" s="28"/>
      <c r="LMF10" s="28"/>
      <c r="LMG10" s="28"/>
      <c r="LMH10" s="28"/>
      <c r="LMI10" s="28"/>
      <c r="LMJ10" s="28"/>
      <c r="LMK10" s="28"/>
      <c r="LML10" s="28"/>
      <c r="LMM10" s="28"/>
      <c r="LMN10" s="28"/>
      <c r="LMO10" s="28"/>
      <c r="LMP10" s="28"/>
      <c r="LMQ10" s="28"/>
      <c r="LMR10" s="28"/>
      <c r="LMS10" s="28"/>
      <c r="LMT10" s="28"/>
      <c r="LMU10" s="28"/>
      <c r="LMV10" s="28"/>
      <c r="LMW10" s="28"/>
      <c r="LMX10" s="28"/>
      <c r="LMY10" s="28"/>
      <c r="LMZ10" s="28"/>
      <c r="LNA10" s="28"/>
      <c r="LNB10" s="28"/>
      <c r="LNC10" s="28"/>
      <c r="LND10" s="28"/>
      <c r="LNE10" s="28"/>
      <c r="LNF10" s="28"/>
      <c r="LNG10" s="28"/>
      <c r="LNH10" s="28"/>
      <c r="LNI10" s="28"/>
      <c r="LNJ10" s="28"/>
      <c r="LNK10" s="28"/>
      <c r="LNL10" s="28"/>
      <c r="LNM10" s="28"/>
      <c r="LNN10" s="28"/>
      <c r="LNO10" s="28"/>
      <c r="LNP10" s="28"/>
      <c r="LNQ10" s="28"/>
      <c r="LNR10" s="28"/>
      <c r="LNS10" s="28"/>
      <c r="LNT10" s="28"/>
      <c r="LNU10" s="28"/>
      <c r="LNV10" s="28"/>
      <c r="LNW10" s="28"/>
      <c r="LNX10" s="28"/>
      <c r="LNY10" s="28"/>
      <c r="LNZ10" s="28"/>
      <c r="LOA10" s="28"/>
      <c r="LOB10" s="28"/>
      <c r="LOC10" s="28"/>
      <c r="LOD10" s="28"/>
      <c r="LOE10" s="28"/>
      <c r="LOF10" s="28"/>
      <c r="LOG10" s="28"/>
      <c r="LOH10" s="28"/>
      <c r="LOI10" s="28"/>
      <c r="LOJ10" s="28"/>
      <c r="LOK10" s="28"/>
      <c r="LOL10" s="28"/>
      <c r="LOM10" s="28"/>
      <c r="LON10" s="28"/>
      <c r="LOO10" s="28"/>
      <c r="LOP10" s="28"/>
      <c r="LOQ10" s="28"/>
      <c r="LOR10" s="28"/>
      <c r="LOS10" s="28"/>
      <c r="LOT10" s="28"/>
      <c r="LOU10" s="28"/>
      <c r="LOV10" s="28"/>
      <c r="LOW10" s="28"/>
      <c r="LOX10" s="28"/>
      <c r="LOY10" s="28"/>
      <c r="LOZ10" s="28"/>
      <c r="LPA10" s="28"/>
      <c r="LPB10" s="28"/>
      <c r="LPC10" s="28"/>
      <c r="LPD10" s="28"/>
      <c r="LPE10" s="28"/>
      <c r="LPF10" s="28"/>
      <c r="LPG10" s="28"/>
      <c r="LPH10" s="28"/>
      <c r="LPI10" s="28"/>
      <c r="LPJ10" s="28"/>
      <c r="LPK10" s="28"/>
      <c r="LPL10" s="28"/>
      <c r="LPM10" s="28"/>
      <c r="LPN10" s="28"/>
      <c r="LPO10" s="28"/>
      <c r="LPP10" s="28"/>
      <c r="LPQ10" s="28"/>
      <c r="LPR10" s="28"/>
      <c r="LPS10" s="28"/>
      <c r="LPT10" s="28"/>
      <c r="LPU10" s="28"/>
      <c r="LPV10" s="28"/>
      <c r="LPW10" s="28"/>
      <c r="LPX10" s="28"/>
      <c r="LPY10" s="28"/>
      <c r="LPZ10" s="28"/>
      <c r="LQA10" s="28"/>
      <c r="LQB10" s="28"/>
      <c r="LQC10" s="28"/>
      <c r="LQD10" s="28"/>
      <c r="LQE10" s="28"/>
      <c r="LQF10" s="28"/>
      <c r="LQG10" s="28"/>
      <c r="LQH10" s="28"/>
      <c r="LQI10" s="28"/>
      <c r="LQJ10" s="28"/>
      <c r="LQK10" s="28"/>
      <c r="LQL10" s="28"/>
      <c r="LQM10" s="28"/>
      <c r="LQN10" s="28"/>
      <c r="LQO10" s="28"/>
      <c r="LQP10" s="28"/>
      <c r="LQQ10" s="28"/>
      <c r="LQR10" s="28"/>
      <c r="LQS10" s="28"/>
      <c r="LQT10" s="28"/>
      <c r="LQU10" s="28"/>
      <c r="LQV10" s="28"/>
      <c r="LQW10" s="28"/>
      <c r="LQX10" s="28"/>
      <c r="LQY10" s="28"/>
      <c r="LQZ10" s="28"/>
      <c r="LRA10" s="28"/>
      <c r="LRB10" s="28"/>
      <c r="LRC10" s="28"/>
      <c r="LRD10" s="28"/>
      <c r="LRE10" s="28"/>
      <c r="LRF10" s="28"/>
      <c r="LRG10" s="28"/>
      <c r="LRH10" s="28"/>
      <c r="LRI10" s="28"/>
      <c r="LRJ10" s="28"/>
      <c r="LRK10" s="28"/>
      <c r="LRL10" s="28"/>
      <c r="LRM10" s="28"/>
      <c r="LRN10" s="28"/>
      <c r="LRO10" s="28"/>
      <c r="LRP10" s="28"/>
      <c r="LRQ10" s="28"/>
      <c r="LRR10" s="28"/>
      <c r="LRS10" s="28"/>
      <c r="LRT10" s="28"/>
      <c r="LRU10" s="28"/>
      <c r="LRV10" s="28"/>
      <c r="LRW10" s="28"/>
      <c r="LRX10" s="28"/>
      <c r="LRY10" s="28"/>
      <c r="LRZ10" s="28"/>
      <c r="LSA10" s="28"/>
      <c r="LSB10" s="28"/>
      <c r="LSC10" s="28"/>
      <c r="LSD10" s="28"/>
      <c r="LSE10" s="28"/>
      <c r="LSF10" s="28"/>
      <c r="LSG10" s="28"/>
      <c r="LSH10" s="28"/>
      <c r="LSI10" s="28"/>
      <c r="LSJ10" s="28"/>
      <c r="LSK10" s="28"/>
      <c r="LSL10" s="28"/>
      <c r="LSM10" s="28"/>
      <c r="LSN10" s="28"/>
      <c r="LSO10" s="28"/>
      <c r="LSP10" s="28"/>
      <c r="LSQ10" s="28"/>
      <c r="LSR10" s="28"/>
      <c r="LSS10" s="28"/>
      <c r="LST10" s="28"/>
      <c r="LSU10" s="28"/>
      <c r="LSV10" s="28"/>
      <c r="LSW10" s="28"/>
      <c r="LSX10" s="28"/>
      <c r="LSY10" s="28"/>
      <c r="LSZ10" s="28"/>
      <c r="LTA10" s="28"/>
      <c r="LTB10" s="28"/>
      <c r="LTC10" s="28"/>
      <c r="LTD10" s="28"/>
      <c r="LTE10" s="28"/>
      <c r="LTF10" s="28"/>
      <c r="LTG10" s="28"/>
      <c r="LTH10" s="28"/>
      <c r="LTI10" s="28"/>
      <c r="LTJ10" s="28"/>
      <c r="LTK10" s="28"/>
      <c r="LTL10" s="28"/>
      <c r="LTM10" s="28"/>
      <c r="LTN10" s="28"/>
      <c r="LTO10" s="28"/>
      <c r="LTP10" s="28"/>
      <c r="LTQ10" s="28"/>
      <c r="LTR10" s="28"/>
      <c r="LTS10" s="28"/>
      <c r="LTT10" s="28"/>
      <c r="LTU10" s="28"/>
      <c r="LTV10" s="28"/>
      <c r="LTW10" s="28"/>
      <c r="LTX10" s="28"/>
      <c r="LTY10" s="28"/>
      <c r="LTZ10" s="28"/>
      <c r="LUA10" s="28"/>
      <c r="LUB10" s="28"/>
      <c r="LUC10" s="28"/>
      <c r="LUD10" s="28"/>
      <c r="LUE10" s="28"/>
      <c r="LUF10" s="28"/>
      <c r="LUG10" s="28"/>
      <c r="LUH10" s="28"/>
      <c r="LUI10" s="28"/>
      <c r="LUJ10" s="28"/>
      <c r="LUK10" s="28"/>
      <c r="LUL10" s="28"/>
      <c r="LUM10" s="28"/>
      <c r="LUN10" s="28"/>
      <c r="LUO10" s="28"/>
      <c r="LUP10" s="28"/>
      <c r="LUQ10" s="28"/>
      <c r="LUR10" s="28"/>
      <c r="LUS10" s="28"/>
      <c r="LUT10" s="28"/>
      <c r="LUU10" s="28"/>
      <c r="LUV10" s="28"/>
      <c r="LUW10" s="28"/>
      <c r="LUX10" s="28"/>
      <c r="LUY10" s="28"/>
      <c r="LUZ10" s="28"/>
      <c r="LVA10" s="28"/>
      <c r="LVB10" s="28"/>
      <c r="LVC10" s="28"/>
      <c r="LVD10" s="28"/>
      <c r="LVE10" s="28"/>
      <c r="LVF10" s="28"/>
      <c r="LVG10" s="28"/>
      <c r="LVH10" s="28"/>
      <c r="LVI10" s="28"/>
      <c r="LVJ10" s="28"/>
      <c r="LVK10" s="28"/>
      <c r="LVL10" s="28"/>
      <c r="LVM10" s="28"/>
      <c r="LVN10" s="28"/>
      <c r="LVO10" s="28"/>
      <c r="LVP10" s="28"/>
      <c r="LVQ10" s="28"/>
      <c r="LVR10" s="28"/>
      <c r="LVS10" s="28"/>
      <c r="LVT10" s="28"/>
      <c r="LVU10" s="28"/>
      <c r="LVV10" s="28"/>
      <c r="LVW10" s="28"/>
      <c r="LVX10" s="28"/>
      <c r="LVY10" s="28"/>
      <c r="LVZ10" s="28"/>
      <c r="LWA10" s="28"/>
      <c r="LWB10" s="28"/>
      <c r="LWC10" s="28"/>
      <c r="LWD10" s="28"/>
      <c r="LWE10" s="28"/>
      <c r="LWF10" s="28"/>
      <c r="LWG10" s="28"/>
      <c r="LWH10" s="28"/>
      <c r="LWI10" s="28"/>
      <c r="LWJ10" s="28"/>
      <c r="LWK10" s="28"/>
      <c r="LWL10" s="28"/>
      <c r="LWM10" s="28"/>
      <c r="LWN10" s="28"/>
      <c r="LWO10" s="28"/>
      <c r="LWP10" s="28"/>
      <c r="LWQ10" s="28"/>
      <c r="LWR10" s="28"/>
      <c r="LWS10" s="28"/>
      <c r="LWT10" s="28"/>
      <c r="LWU10" s="28"/>
      <c r="LWV10" s="28"/>
      <c r="LWW10" s="28"/>
      <c r="LWX10" s="28"/>
      <c r="LWY10" s="28"/>
      <c r="LWZ10" s="28"/>
      <c r="LXA10" s="28"/>
      <c r="LXB10" s="28"/>
      <c r="LXC10" s="28"/>
      <c r="LXD10" s="28"/>
      <c r="LXE10" s="28"/>
      <c r="LXF10" s="28"/>
      <c r="LXG10" s="28"/>
      <c r="LXH10" s="28"/>
      <c r="LXI10" s="28"/>
      <c r="LXJ10" s="28"/>
      <c r="LXK10" s="28"/>
      <c r="LXL10" s="28"/>
      <c r="LXM10" s="28"/>
      <c r="LXN10" s="28"/>
      <c r="LXO10" s="28"/>
      <c r="LXP10" s="28"/>
      <c r="LXQ10" s="28"/>
      <c r="LXR10" s="28"/>
      <c r="LXS10" s="28"/>
      <c r="LXT10" s="28"/>
      <c r="LXU10" s="28"/>
      <c r="LXV10" s="28"/>
      <c r="LXW10" s="28"/>
      <c r="LXX10" s="28"/>
      <c r="LXY10" s="28"/>
      <c r="LXZ10" s="28"/>
      <c r="LYA10" s="28"/>
      <c r="LYB10" s="28"/>
      <c r="LYC10" s="28"/>
      <c r="LYD10" s="28"/>
      <c r="LYE10" s="28"/>
      <c r="LYF10" s="28"/>
      <c r="LYG10" s="28"/>
      <c r="LYH10" s="28"/>
      <c r="LYI10" s="28"/>
      <c r="LYJ10" s="28"/>
      <c r="LYK10" s="28"/>
      <c r="LYL10" s="28"/>
      <c r="LYM10" s="28"/>
      <c r="LYN10" s="28"/>
      <c r="LYO10" s="28"/>
      <c r="LYP10" s="28"/>
      <c r="LYQ10" s="28"/>
      <c r="LYR10" s="28"/>
      <c r="LYS10" s="28"/>
      <c r="LYT10" s="28"/>
      <c r="LYU10" s="28"/>
      <c r="LYV10" s="28"/>
      <c r="LYW10" s="28"/>
      <c r="LYX10" s="28"/>
      <c r="LYY10" s="28"/>
      <c r="LYZ10" s="28"/>
      <c r="LZA10" s="28"/>
      <c r="LZB10" s="28"/>
      <c r="LZC10" s="28"/>
      <c r="LZD10" s="28"/>
      <c r="LZE10" s="28"/>
      <c r="LZF10" s="28"/>
      <c r="LZG10" s="28"/>
      <c r="LZH10" s="28"/>
      <c r="LZI10" s="28"/>
      <c r="LZJ10" s="28"/>
      <c r="LZK10" s="28"/>
      <c r="LZL10" s="28"/>
      <c r="LZM10" s="28"/>
      <c r="LZN10" s="28"/>
      <c r="LZO10" s="28"/>
      <c r="LZP10" s="28"/>
      <c r="LZQ10" s="28"/>
      <c r="LZR10" s="28"/>
      <c r="LZS10" s="28"/>
      <c r="LZT10" s="28"/>
      <c r="LZU10" s="28"/>
      <c r="LZV10" s="28"/>
      <c r="LZW10" s="28"/>
      <c r="LZX10" s="28"/>
      <c r="LZY10" s="28"/>
      <c r="LZZ10" s="28"/>
      <c r="MAA10" s="28"/>
      <c r="MAB10" s="28"/>
      <c r="MAC10" s="28"/>
      <c r="MAD10" s="28"/>
      <c r="MAE10" s="28"/>
      <c r="MAF10" s="28"/>
      <c r="MAG10" s="28"/>
      <c r="MAH10" s="28"/>
      <c r="MAI10" s="28"/>
      <c r="MAJ10" s="28"/>
      <c r="MAK10" s="28"/>
      <c r="MAL10" s="28"/>
      <c r="MAM10" s="28"/>
      <c r="MAN10" s="28"/>
      <c r="MAO10" s="28"/>
      <c r="MAP10" s="28"/>
      <c r="MAQ10" s="28"/>
      <c r="MAR10" s="28"/>
      <c r="MAS10" s="28"/>
      <c r="MAT10" s="28"/>
      <c r="MAU10" s="28"/>
      <c r="MAV10" s="28"/>
      <c r="MAW10" s="28"/>
      <c r="MAX10" s="28"/>
      <c r="MAY10" s="28"/>
      <c r="MAZ10" s="28"/>
      <c r="MBA10" s="28"/>
      <c r="MBB10" s="28"/>
      <c r="MBC10" s="28"/>
      <c r="MBD10" s="28"/>
      <c r="MBE10" s="28"/>
      <c r="MBF10" s="28"/>
      <c r="MBG10" s="28"/>
      <c r="MBH10" s="28"/>
      <c r="MBI10" s="28"/>
      <c r="MBJ10" s="28"/>
      <c r="MBK10" s="28"/>
      <c r="MBL10" s="28"/>
      <c r="MBM10" s="28"/>
      <c r="MBN10" s="28"/>
      <c r="MBO10" s="28"/>
      <c r="MBP10" s="28"/>
      <c r="MBQ10" s="28"/>
      <c r="MBR10" s="28"/>
      <c r="MBS10" s="28"/>
      <c r="MBT10" s="28"/>
      <c r="MBU10" s="28"/>
      <c r="MBV10" s="28"/>
      <c r="MBW10" s="28"/>
      <c r="MBX10" s="28"/>
      <c r="MBY10" s="28"/>
      <c r="MBZ10" s="28"/>
      <c r="MCA10" s="28"/>
      <c r="MCB10" s="28"/>
      <c r="MCC10" s="28"/>
      <c r="MCD10" s="28"/>
      <c r="MCE10" s="28"/>
      <c r="MCF10" s="28"/>
      <c r="MCG10" s="28"/>
      <c r="MCH10" s="28"/>
      <c r="MCI10" s="28"/>
      <c r="MCJ10" s="28"/>
      <c r="MCK10" s="28"/>
      <c r="MCL10" s="28"/>
      <c r="MCM10" s="28"/>
      <c r="MCN10" s="28"/>
      <c r="MCO10" s="28"/>
      <c r="MCP10" s="28"/>
      <c r="MCQ10" s="28"/>
      <c r="MCR10" s="28"/>
      <c r="MCS10" s="28"/>
      <c r="MCT10" s="28"/>
      <c r="MCU10" s="28"/>
      <c r="MCV10" s="28"/>
      <c r="MCW10" s="28"/>
      <c r="MCX10" s="28"/>
      <c r="MCY10" s="28"/>
      <c r="MCZ10" s="28"/>
      <c r="MDA10" s="28"/>
      <c r="MDB10" s="28"/>
      <c r="MDC10" s="28"/>
      <c r="MDD10" s="28"/>
      <c r="MDE10" s="28"/>
      <c r="MDF10" s="28"/>
      <c r="MDG10" s="28"/>
      <c r="MDH10" s="28"/>
      <c r="MDI10" s="28"/>
      <c r="MDJ10" s="28"/>
      <c r="MDK10" s="28"/>
      <c r="MDL10" s="28"/>
      <c r="MDM10" s="28"/>
      <c r="MDN10" s="28"/>
      <c r="MDO10" s="28"/>
      <c r="MDP10" s="28"/>
      <c r="MDQ10" s="28"/>
      <c r="MDR10" s="28"/>
      <c r="MDS10" s="28"/>
      <c r="MDT10" s="28"/>
      <c r="MDU10" s="28"/>
      <c r="MDV10" s="28"/>
      <c r="MDW10" s="28"/>
      <c r="MDX10" s="28"/>
      <c r="MDY10" s="28"/>
      <c r="MDZ10" s="28"/>
      <c r="MEA10" s="28"/>
      <c r="MEB10" s="28"/>
      <c r="MEC10" s="28"/>
      <c r="MED10" s="28"/>
      <c r="MEE10" s="28"/>
      <c r="MEF10" s="28"/>
      <c r="MEG10" s="28"/>
      <c r="MEH10" s="28"/>
      <c r="MEI10" s="28"/>
      <c r="MEJ10" s="28"/>
      <c r="MEK10" s="28"/>
      <c r="MEL10" s="28"/>
      <c r="MEM10" s="28"/>
      <c r="MEN10" s="28"/>
      <c r="MEO10" s="28"/>
      <c r="MEP10" s="28"/>
      <c r="MEQ10" s="28"/>
      <c r="MER10" s="28"/>
      <c r="MES10" s="28"/>
      <c r="MET10" s="28"/>
      <c r="MEU10" s="28"/>
      <c r="MEV10" s="28"/>
      <c r="MEW10" s="28"/>
      <c r="MEX10" s="28"/>
      <c r="MEY10" s="28"/>
      <c r="MEZ10" s="28"/>
      <c r="MFA10" s="28"/>
      <c r="MFB10" s="28"/>
      <c r="MFC10" s="28"/>
      <c r="MFD10" s="28"/>
      <c r="MFE10" s="28"/>
      <c r="MFF10" s="28"/>
      <c r="MFG10" s="28"/>
      <c r="MFH10" s="28"/>
      <c r="MFI10" s="28"/>
      <c r="MFJ10" s="28"/>
      <c r="MFK10" s="28"/>
      <c r="MFL10" s="28"/>
      <c r="MFM10" s="28"/>
      <c r="MFN10" s="28"/>
      <c r="MFO10" s="28"/>
      <c r="MFP10" s="28"/>
      <c r="MFQ10" s="28"/>
      <c r="MFR10" s="28"/>
      <c r="MFS10" s="28"/>
      <c r="MFT10" s="28"/>
      <c r="MFU10" s="28"/>
      <c r="MFV10" s="28"/>
      <c r="MFW10" s="28"/>
      <c r="MFX10" s="28"/>
      <c r="MFY10" s="28"/>
      <c r="MFZ10" s="28"/>
      <c r="MGA10" s="28"/>
      <c r="MGB10" s="28"/>
      <c r="MGC10" s="28"/>
      <c r="MGD10" s="28"/>
      <c r="MGE10" s="28"/>
      <c r="MGF10" s="28"/>
      <c r="MGG10" s="28"/>
      <c r="MGH10" s="28"/>
      <c r="MGI10" s="28"/>
      <c r="MGJ10" s="28"/>
      <c r="MGK10" s="28"/>
      <c r="MGL10" s="28"/>
      <c r="MGM10" s="28"/>
      <c r="MGN10" s="28"/>
      <c r="MGO10" s="28"/>
      <c r="MGP10" s="28"/>
      <c r="MGQ10" s="28"/>
      <c r="MGR10" s="28"/>
      <c r="MGS10" s="28"/>
      <c r="MGT10" s="28"/>
      <c r="MGU10" s="28"/>
      <c r="MGV10" s="28"/>
      <c r="MGW10" s="28"/>
      <c r="MGX10" s="28"/>
      <c r="MGY10" s="28"/>
      <c r="MGZ10" s="28"/>
      <c r="MHA10" s="28"/>
      <c r="MHB10" s="28"/>
      <c r="MHC10" s="28"/>
      <c r="MHD10" s="28"/>
      <c r="MHE10" s="28"/>
      <c r="MHF10" s="28"/>
      <c r="MHG10" s="28"/>
      <c r="MHH10" s="28"/>
      <c r="MHI10" s="28"/>
      <c r="MHJ10" s="28"/>
      <c r="MHK10" s="28"/>
      <c r="MHL10" s="28"/>
      <c r="MHM10" s="28"/>
      <c r="MHN10" s="28"/>
      <c r="MHO10" s="28"/>
      <c r="MHP10" s="28"/>
      <c r="MHQ10" s="28"/>
      <c r="MHR10" s="28"/>
      <c r="MHS10" s="28"/>
      <c r="MHT10" s="28"/>
      <c r="MHU10" s="28"/>
      <c r="MHV10" s="28"/>
      <c r="MHW10" s="28"/>
      <c r="MHX10" s="28"/>
      <c r="MHY10" s="28"/>
      <c r="MHZ10" s="28"/>
      <c r="MIA10" s="28"/>
      <c r="MIB10" s="28"/>
      <c r="MIC10" s="28"/>
      <c r="MID10" s="28"/>
      <c r="MIE10" s="28"/>
      <c r="MIF10" s="28"/>
      <c r="MIG10" s="28"/>
      <c r="MIH10" s="28"/>
      <c r="MII10" s="28"/>
      <c r="MIJ10" s="28"/>
      <c r="MIK10" s="28"/>
      <c r="MIL10" s="28"/>
      <c r="MIM10" s="28"/>
      <c r="MIN10" s="28"/>
      <c r="MIO10" s="28"/>
      <c r="MIP10" s="28"/>
      <c r="MIQ10" s="28"/>
      <c r="MIR10" s="28"/>
      <c r="MIS10" s="28"/>
      <c r="MIT10" s="28"/>
      <c r="MIU10" s="28"/>
      <c r="MIV10" s="28"/>
      <c r="MIW10" s="28"/>
      <c r="MIX10" s="28"/>
      <c r="MIY10" s="28"/>
      <c r="MIZ10" s="28"/>
      <c r="MJA10" s="28"/>
      <c r="MJB10" s="28"/>
      <c r="MJC10" s="28"/>
      <c r="MJD10" s="28"/>
      <c r="MJE10" s="28"/>
      <c r="MJF10" s="28"/>
      <c r="MJG10" s="28"/>
      <c r="MJH10" s="28"/>
      <c r="MJI10" s="28"/>
      <c r="MJJ10" s="28"/>
      <c r="MJK10" s="28"/>
      <c r="MJL10" s="28"/>
      <c r="MJM10" s="28"/>
      <c r="MJN10" s="28"/>
      <c r="MJO10" s="28"/>
      <c r="MJP10" s="28"/>
      <c r="MJQ10" s="28"/>
      <c r="MJR10" s="28"/>
      <c r="MJS10" s="28"/>
      <c r="MJT10" s="28"/>
      <c r="MJU10" s="28"/>
      <c r="MJV10" s="28"/>
      <c r="MJW10" s="28"/>
      <c r="MJX10" s="28"/>
      <c r="MJY10" s="28"/>
      <c r="MJZ10" s="28"/>
      <c r="MKA10" s="28"/>
      <c r="MKB10" s="28"/>
      <c r="MKC10" s="28"/>
      <c r="MKD10" s="28"/>
      <c r="MKE10" s="28"/>
      <c r="MKF10" s="28"/>
      <c r="MKG10" s="28"/>
      <c r="MKH10" s="28"/>
      <c r="MKI10" s="28"/>
      <c r="MKJ10" s="28"/>
      <c r="MKK10" s="28"/>
      <c r="MKL10" s="28"/>
      <c r="MKM10" s="28"/>
      <c r="MKN10" s="28"/>
      <c r="MKO10" s="28"/>
      <c r="MKP10" s="28"/>
      <c r="MKQ10" s="28"/>
      <c r="MKR10" s="28"/>
      <c r="MKS10" s="28"/>
      <c r="MKT10" s="28"/>
      <c r="MKU10" s="28"/>
      <c r="MKV10" s="28"/>
      <c r="MKW10" s="28"/>
      <c r="MKX10" s="28"/>
      <c r="MKY10" s="28"/>
      <c r="MKZ10" s="28"/>
      <c r="MLA10" s="28"/>
      <c r="MLB10" s="28"/>
      <c r="MLC10" s="28"/>
      <c r="MLD10" s="28"/>
      <c r="MLE10" s="28"/>
      <c r="MLF10" s="28"/>
      <c r="MLG10" s="28"/>
      <c r="MLH10" s="28"/>
      <c r="MLI10" s="28"/>
      <c r="MLJ10" s="28"/>
      <c r="MLK10" s="28"/>
      <c r="MLL10" s="28"/>
      <c r="MLM10" s="28"/>
      <c r="MLN10" s="28"/>
      <c r="MLO10" s="28"/>
      <c r="MLP10" s="28"/>
      <c r="MLQ10" s="28"/>
      <c r="MLR10" s="28"/>
      <c r="MLS10" s="28"/>
      <c r="MLT10" s="28"/>
      <c r="MLU10" s="28"/>
      <c r="MLV10" s="28"/>
      <c r="MLW10" s="28"/>
      <c r="MLX10" s="28"/>
      <c r="MLY10" s="28"/>
      <c r="MLZ10" s="28"/>
      <c r="MMA10" s="28"/>
      <c r="MMB10" s="28"/>
      <c r="MMC10" s="28"/>
      <c r="MMD10" s="28"/>
      <c r="MME10" s="28"/>
      <c r="MMF10" s="28"/>
      <c r="MMG10" s="28"/>
      <c r="MMH10" s="28"/>
      <c r="MMI10" s="28"/>
      <c r="MMJ10" s="28"/>
      <c r="MMK10" s="28"/>
      <c r="MML10" s="28"/>
      <c r="MMM10" s="28"/>
      <c r="MMN10" s="28"/>
      <c r="MMO10" s="28"/>
      <c r="MMP10" s="28"/>
      <c r="MMQ10" s="28"/>
      <c r="MMR10" s="28"/>
      <c r="MMS10" s="28"/>
      <c r="MMT10" s="28"/>
      <c r="MMU10" s="28"/>
      <c r="MMV10" s="28"/>
      <c r="MMW10" s="28"/>
      <c r="MMX10" s="28"/>
      <c r="MMY10" s="28"/>
      <c r="MMZ10" s="28"/>
      <c r="MNA10" s="28"/>
      <c r="MNB10" s="28"/>
      <c r="MNC10" s="28"/>
      <c r="MND10" s="28"/>
      <c r="MNE10" s="28"/>
      <c r="MNF10" s="28"/>
      <c r="MNG10" s="28"/>
      <c r="MNH10" s="28"/>
      <c r="MNI10" s="28"/>
      <c r="MNJ10" s="28"/>
      <c r="MNK10" s="28"/>
      <c r="MNL10" s="28"/>
      <c r="MNM10" s="28"/>
      <c r="MNN10" s="28"/>
      <c r="MNO10" s="28"/>
      <c r="MNP10" s="28"/>
      <c r="MNQ10" s="28"/>
      <c r="MNR10" s="28"/>
      <c r="MNS10" s="28"/>
      <c r="MNT10" s="28"/>
      <c r="MNU10" s="28"/>
      <c r="MNV10" s="28"/>
      <c r="MNW10" s="28"/>
      <c r="MNX10" s="28"/>
      <c r="MNY10" s="28"/>
      <c r="MNZ10" s="28"/>
      <c r="MOA10" s="28"/>
      <c r="MOB10" s="28"/>
      <c r="MOC10" s="28"/>
      <c r="MOD10" s="28"/>
      <c r="MOE10" s="28"/>
      <c r="MOF10" s="28"/>
      <c r="MOG10" s="28"/>
      <c r="MOH10" s="28"/>
      <c r="MOI10" s="28"/>
      <c r="MOJ10" s="28"/>
      <c r="MOK10" s="28"/>
      <c r="MOL10" s="28"/>
      <c r="MOM10" s="28"/>
      <c r="MON10" s="28"/>
      <c r="MOO10" s="28"/>
      <c r="MOP10" s="28"/>
      <c r="MOQ10" s="28"/>
      <c r="MOR10" s="28"/>
      <c r="MOS10" s="28"/>
      <c r="MOT10" s="28"/>
      <c r="MOU10" s="28"/>
      <c r="MOV10" s="28"/>
      <c r="MOW10" s="28"/>
      <c r="MOX10" s="28"/>
      <c r="MOY10" s="28"/>
      <c r="MOZ10" s="28"/>
      <c r="MPA10" s="28"/>
      <c r="MPB10" s="28"/>
      <c r="MPC10" s="28"/>
      <c r="MPD10" s="28"/>
      <c r="MPE10" s="28"/>
      <c r="MPF10" s="28"/>
      <c r="MPG10" s="28"/>
      <c r="MPH10" s="28"/>
      <c r="MPI10" s="28"/>
      <c r="MPJ10" s="28"/>
      <c r="MPK10" s="28"/>
      <c r="MPL10" s="28"/>
      <c r="MPM10" s="28"/>
      <c r="MPN10" s="28"/>
      <c r="MPO10" s="28"/>
      <c r="MPP10" s="28"/>
      <c r="MPQ10" s="28"/>
      <c r="MPR10" s="28"/>
      <c r="MPS10" s="28"/>
      <c r="MPT10" s="28"/>
      <c r="MPU10" s="28"/>
      <c r="MPV10" s="28"/>
      <c r="MPW10" s="28"/>
      <c r="MPX10" s="28"/>
      <c r="MPY10" s="28"/>
      <c r="MPZ10" s="28"/>
      <c r="MQA10" s="28"/>
      <c r="MQB10" s="28"/>
      <c r="MQC10" s="28"/>
      <c r="MQD10" s="28"/>
      <c r="MQE10" s="28"/>
      <c r="MQF10" s="28"/>
      <c r="MQG10" s="28"/>
      <c r="MQH10" s="28"/>
      <c r="MQI10" s="28"/>
      <c r="MQJ10" s="28"/>
      <c r="MQK10" s="28"/>
      <c r="MQL10" s="28"/>
      <c r="MQM10" s="28"/>
      <c r="MQN10" s="28"/>
      <c r="MQO10" s="28"/>
      <c r="MQP10" s="28"/>
      <c r="MQQ10" s="28"/>
      <c r="MQR10" s="28"/>
      <c r="MQS10" s="28"/>
      <c r="MQT10" s="28"/>
      <c r="MQU10" s="28"/>
      <c r="MQV10" s="28"/>
      <c r="MQW10" s="28"/>
      <c r="MQX10" s="28"/>
      <c r="MQY10" s="28"/>
      <c r="MQZ10" s="28"/>
      <c r="MRA10" s="28"/>
      <c r="MRB10" s="28"/>
      <c r="MRC10" s="28"/>
      <c r="MRD10" s="28"/>
      <c r="MRE10" s="28"/>
      <c r="MRF10" s="28"/>
      <c r="MRG10" s="28"/>
      <c r="MRH10" s="28"/>
      <c r="MRI10" s="28"/>
      <c r="MRJ10" s="28"/>
      <c r="MRK10" s="28"/>
      <c r="MRL10" s="28"/>
      <c r="MRM10" s="28"/>
      <c r="MRN10" s="28"/>
      <c r="MRO10" s="28"/>
      <c r="MRP10" s="28"/>
      <c r="MRQ10" s="28"/>
      <c r="MRR10" s="28"/>
      <c r="MRS10" s="28"/>
      <c r="MRT10" s="28"/>
      <c r="MRU10" s="28"/>
      <c r="MRV10" s="28"/>
      <c r="MRW10" s="28"/>
      <c r="MRX10" s="28"/>
      <c r="MRY10" s="28"/>
      <c r="MRZ10" s="28"/>
      <c r="MSA10" s="28"/>
      <c r="MSB10" s="28"/>
      <c r="MSC10" s="28"/>
      <c r="MSD10" s="28"/>
      <c r="MSE10" s="28"/>
      <c r="MSF10" s="28"/>
      <c r="MSG10" s="28"/>
      <c r="MSH10" s="28"/>
      <c r="MSI10" s="28"/>
      <c r="MSJ10" s="28"/>
      <c r="MSK10" s="28"/>
      <c r="MSL10" s="28"/>
      <c r="MSM10" s="28"/>
      <c r="MSN10" s="28"/>
      <c r="MSO10" s="28"/>
      <c r="MSP10" s="28"/>
      <c r="MSQ10" s="28"/>
      <c r="MSR10" s="28"/>
      <c r="MSS10" s="28"/>
      <c r="MST10" s="28"/>
      <c r="MSU10" s="28"/>
      <c r="MSV10" s="28"/>
      <c r="MSW10" s="28"/>
      <c r="MSX10" s="28"/>
      <c r="MSY10" s="28"/>
      <c r="MSZ10" s="28"/>
      <c r="MTA10" s="28"/>
      <c r="MTB10" s="28"/>
      <c r="MTC10" s="28"/>
      <c r="MTD10" s="28"/>
      <c r="MTE10" s="28"/>
      <c r="MTF10" s="28"/>
      <c r="MTG10" s="28"/>
      <c r="MTH10" s="28"/>
      <c r="MTI10" s="28"/>
      <c r="MTJ10" s="28"/>
      <c r="MTK10" s="28"/>
      <c r="MTL10" s="28"/>
      <c r="MTM10" s="28"/>
      <c r="MTN10" s="28"/>
      <c r="MTO10" s="28"/>
      <c r="MTP10" s="28"/>
      <c r="MTQ10" s="28"/>
      <c r="MTR10" s="28"/>
      <c r="MTS10" s="28"/>
      <c r="MTT10" s="28"/>
      <c r="MTU10" s="28"/>
      <c r="MTV10" s="28"/>
      <c r="MTW10" s="28"/>
      <c r="MTX10" s="28"/>
      <c r="MTY10" s="28"/>
      <c r="MTZ10" s="28"/>
      <c r="MUA10" s="28"/>
      <c r="MUB10" s="28"/>
      <c r="MUC10" s="28"/>
      <c r="MUD10" s="28"/>
      <c r="MUE10" s="28"/>
      <c r="MUF10" s="28"/>
      <c r="MUG10" s="28"/>
      <c r="MUH10" s="28"/>
      <c r="MUI10" s="28"/>
      <c r="MUJ10" s="28"/>
      <c r="MUK10" s="28"/>
      <c r="MUL10" s="28"/>
      <c r="MUM10" s="28"/>
      <c r="MUN10" s="28"/>
      <c r="MUO10" s="28"/>
      <c r="MUP10" s="28"/>
      <c r="MUQ10" s="28"/>
      <c r="MUR10" s="28"/>
      <c r="MUS10" s="28"/>
      <c r="MUT10" s="28"/>
      <c r="MUU10" s="28"/>
      <c r="MUV10" s="28"/>
      <c r="MUW10" s="28"/>
      <c r="MUX10" s="28"/>
      <c r="MUY10" s="28"/>
      <c r="MUZ10" s="28"/>
      <c r="MVA10" s="28"/>
      <c r="MVB10" s="28"/>
      <c r="MVC10" s="28"/>
      <c r="MVD10" s="28"/>
      <c r="MVE10" s="28"/>
      <c r="MVF10" s="28"/>
      <c r="MVG10" s="28"/>
      <c r="MVH10" s="28"/>
      <c r="MVI10" s="28"/>
      <c r="MVJ10" s="28"/>
      <c r="MVK10" s="28"/>
      <c r="MVL10" s="28"/>
      <c r="MVM10" s="28"/>
      <c r="MVN10" s="28"/>
      <c r="MVO10" s="28"/>
      <c r="MVP10" s="28"/>
      <c r="MVQ10" s="28"/>
      <c r="MVR10" s="28"/>
      <c r="MVS10" s="28"/>
      <c r="MVT10" s="28"/>
      <c r="MVU10" s="28"/>
      <c r="MVV10" s="28"/>
      <c r="MVW10" s="28"/>
      <c r="MVX10" s="28"/>
      <c r="MVY10" s="28"/>
      <c r="MVZ10" s="28"/>
      <c r="MWA10" s="28"/>
      <c r="MWB10" s="28"/>
      <c r="MWC10" s="28"/>
      <c r="MWD10" s="28"/>
      <c r="MWE10" s="28"/>
      <c r="MWF10" s="28"/>
      <c r="MWG10" s="28"/>
      <c r="MWH10" s="28"/>
      <c r="MWI10" s="28"/>
      <c r="MWJ10" s="28"/>
      <c r="MWK10" s="28"/>
      <c r="MWL10" s="28"/>
      <c r="MWM10" s="28"/>
      <c r="MWN10" s="28"/>
      <c r="MWO10" s="28"/>
      <c r="MWP10" s="28"/>
      <c r="MWQ10" s="28"/>
      <c r="MWR10" s="28"/>
      <c r="MWS10" s="28"/>
      <c r="MWT10" s="28"/>
      <c r="MWU10" s="28"/>
      <c r="MWV10" s="28"/>
      <c r="MWW10" s="28"/>
      <c r="MWX10" s="28"/>
      <c r="MWY10" s="28"/>
      <c r="MWZ10" s="28"/>
      <c r="MXA10" s="28"/>
      <c r="MXB10" s="28"/>
      <c r="MXC10" s="28"/>
      <c r="MXD10" s="28"/>
      <c r="MXE10" s="28"/>
      <c r="MXF10" s="28"/>
      <c r="MXG10" s="28"/>
      <c r="MXH10" s="28"/>
      <c r="MXI10" s="28"/>
      <c r="MXJ10" s="28"/>
      <c r="MXK10" s="28"/>
      <c r="MXL10" s="28"/>
      <c r="MXM10" s="28"/>
      <c r="MXN10" s="28"/>
      <c r="MXO10" s="28"/>
      <c r="MXP10" s="28"/>
      <c r="MXQ10" s="28"/>
      <c r="MXR10" s="28"/>
      <c r="MXS10" s="28"/>
      <c r="MXT10" s="28"/>
      <c r="MXU10" s="28"/>
      <c r="MXV10" s="28"/>
      <c r="MXW10" s="28"/>
      <c r="MXX10" s="28"/>
      <c r="MXY10" s="28"/>
      <c r="MXZ10" s="28"/>
      <c r="MYA10" s="28"/>
      <c r="MYB10" s="28"/>
      <c r="MYC10" s="28"/>
      <c r="MYD10" s="28"/>
      <c r="MYE10" s="28"/>
      <c r="MYF10" s="28"/>
      <c r="MYG10" s="28"/>
      <c r="MYH10" s="28"/>
      <c r="MYI10" s="28"/>
      <c r="MYJ10" s="28"/>
      <c r="MYK10" s="28"/>
      <c r="MYL10" s="28"/>
      <c r="MYM10" s="28"/>
      <c r="MYN10" s="28"/>
      <c r="MYO10" s="28"/>
      <c r="MYP10" s="28"/>
      <c r="MYQ10" s="28"/>
      <c r="MYR10" s="28"/>
      <c r="MYS10" s="28"/>
      <c r="MYT10" s="28"/>
      <c r="MYU10" s="28"/>
      <c r="MYV10" s="28"/>
      <c r="MYW10" s="28"/>
      <c r="MYX10" s="28"/>
      <c r="MYY10" s="28"/>
      <c r="MYZ10" s="28"/>
      <c r="MZA10" s="28"/>
      <c r="MZB10" s="28"/>
      <c r="MZC10" s="28"/>
      <c r="MZD10" s="28"/>
      <c r="MZE10" s="28"/>
      <c r="MZF10" s="28"/>
      <c r="MZG10" s="28"/>
      <c r="MZH10" s="28"/>
      <c r="MZI10" s="28"/>
      <c r="MZJ10" s="28"/>
      <c r="MZK10" s="28"/>
      <c r="MZL10" s="28"/>
      <c r="MZM10" s="28"/>
      <c r="MZN10" s="28"/>
      <c r="MZO10" s="28"/>
      <c r="MZP10" s="28"/>
      <c r="MZQ10" s="28"/>
      <c r="MZR10" s="28"/>
      <c r="MZS10" s="28"/>
      <c r="MZT10" s="28"/>
      <c r="MZU10" s="28"/>
      <c r="MZV10" s="28"/>
      <c r="MZW10" s="28"/>
      <c r="MZX10" s="28"/>
      <c r="MZY10" s="28"/>
      <c r="MZZ10" s="28"/>
      <c r="NAA10" s="28"/>
      <c r="NAB10" s="28"/>
      <c r="NAC10" s="28"/>
      <c r="NAD10" s="28"/>
      <c r="NAE10" s="28"/>
      <c r="NAF10" s="28"/>
      <c r="NAG10" s="28"/>
      <c r="NAH10" s="28"/>
      <c r="NAI10" s="28"/>
      <c r="NAJ10" s="28"/>
      <c r="NAK10" s="28"/>
      <c r="NAL10" s="28"/>
      <c r="NAM10" s="28"/>
      <c r="NAN10" s="28"/>
      <c r="NAO10" s="28"/>
      <c r="NAP10" s="28"/>
      <c r="NAQ10" s="28"/>
      <c r="NAR10" s="28"/>
      <c r="NAS10" s="28"/>
      <c r="NAT10" s="28"/>
      <c r="NAU10" s="28"/>
      <c r="NAV10" s="28"/>
      <c r="NAW10" s="28"/>
      <c r="NAX10" s="28"/>
      <c r="NAY10" s="28"/>
      <c r="NAZ10" s="28"/>
      <c r="NBA10" s="28"/>
      <c r="NBB10" s="28"/>
      <c r="NBC10" s="28"/>
      <c r="NBD10" s="28"/>
      <c r="NBE10" s="28"/>
      <c r="NBF10" s="28"/>
      <c r="NBG10" s="28"/>
      <c r="NBH10" s="28"/>
      <c r="NBI10" s="28"/>
      <c r="NBJ10" s="28"/>
      <c r="NBK10" s="28"/>
      <c r="NBL10" s="28"/>
      <c r="NBM10" s="28"/>
      <c r="NBN10" s="28"/>
      <c r="NBO10" s="28"/>
      <c r="NBP10" s="28"/>
      <c r="NBQ10" s="28"/>
      <c r="NBR10" s="28"/>
      <c r="NBS10" s="28"/>
      <c r="NBT10" s="28"/>
      <c r="NBU10" s="28"/>
      <c r="NBV10" s="28"/>
      <c r="NBW10" s="28"/>
      <c r="NBX10" s="28"/>
      <c r="NBY10" s="28"/>
      <c r="NBZ10" s="28"/>
      <c r="NCA10" s="28"/>
      <c r="NCB10" s="28"/>
      <c r="NCC10" s="28"/>
      <c r="NCD10" s="28"/>
      <c r="NCE10" s="28"/>
      <c r="NCF10" s="28"/>
      <c r="NCG10" s="28"/>
      <c r="NCH10" s="28"/>
      <c r="NCI10" s="28"/>
      <c r="NCJ10" s="28"/>
      <c r="NCK10" s="28"/>
      <c r="NCL10" s="28"/>
      <c r="NCM10" s="28"/>
      <c r="NCN10" s="28"/>
      <c r="NCO10" s="28"/>
      <c r="NCP10" s="28"/>
      <c r="NCQ10" s="28"/>
      <c r="NCR10" s="28"/>
      <c r="NCS10" s="28"/>
      <c r="NCT10" s="28"/>
      <c r="NCU10" s="28"/>
      <c r="NCV10" s="28"/>
      <c r="NCW10" s="28"/>
      <c r="NCX10" s="28"/>
      <c r="NCY10" s="28"/>
      <c r="NCZ10" s="28"/>
      <c r="NDA10" s="28"/>
      <c r="NDB10" s="28"/>
      <c r="NDC10" s="28"/>
      <c r="NDD10" s="28"/>
      <c r="NDE10" s="28"/>
      <c r="NDF10" s="28"/>
      <c r="NDG10" s="28"/>
      <c r="NDH10" s="28"/>
      <c r="NDI10" s="28"/>
      <c r="NDJ10" s="28"/>
      <c r="NDK10" s="28"/>
      <c r="NDL10" s="28"/>
      <c r="NDM10" s="28"/>
      <c r="NDN10" s="28"/>
      <c r="NDO10" s="28"/>
      <c r="NDP10" s="28"/>
      <c r="NDQ10" s="28"/>
      <c r="NDR10" s="28"/>
      <c r="NDS10" s="28"/>
      <c r="NDT10" s="28"/>
      <c r="NDU10" s="28"/>
      <c r="NDV10" s="28"/>
      <c r="NDW10" s="28"/>
      <c r="NDX10" s="28"/>
      <c r="NDY10" s="28"/>
      <c r="NDZ10" s="28"/>
      <c r="NEA10" s="28"/>
      <c r="NEB10" s="28"/>
      <c r="NEC10" s="28"/>
      <c r="NED10" s="28"/>
      <c r="NEE10" s="28"/>
      <c r="NEF10" s="28"/>
      <c r="NEG10" s="28"/>
      <c r="NEH10" s="28"/>
      <c r="NEI10" s="28"/>
      <c r="NEJ10" s="28"/>
      <c r="NEK10" s="28"/>
      <c r="NEL10" s="28"/>
      <c r="NEM10" s="28"/>
      <c r="NEN10" s="28"/>
      <c r="NEO10" s="28"/>
      <c r="NEP10" s="28"/>
      <c r="NEQ10" s="28"/>
      <c r="NER10" s="28"/>
      <c r="NES10" s="28"/>
      <c r="NET10" s="28"/>
      <c r="NEU10" s="28"/>
      <c r="NEV10" s="28"/>
      <c r="NEW10" s="28"/>
      <c r="NEX10" s="28"/>
      <c r="NEY10" s="28"/>
      <c r="NEZ10" s="28"/>
      <c r="NFA10" s="28"/>
      <c r="NFB10" s="28"/>
      <c r="NFC10" s="28"/>
      <c r="NFD10" s="28"/>
      <c r="NFE10" s="28"/>
      <c r="NFF10" s="28"/>
      <c r="NFG10" s="28"/>
      <c r="NFH10" s="28"/>
      <c r="NFI10" s="28"/>
      <c r="NFJ10" s="28"/>
      <c r="NFK10" s="28"/>
      <c r="NFL10" s="28"/>
      <c r="NFM10" s="28"/>
      <c r="NFN10" s="28"/>
      <c r="NFO10" s="28"/>
      <c r="NFP10" s="28"/>
      <c r="NFQ10" s="28"/>
      <c r="NFR10" s="28"/>
      <c r="NFS10" s="28"/>
      <c r="NFT10" s="28"/>
      <c r="NFU10" s="28"/>
      <c r="NFV10" s="28"/>
      <c r="NFW10" s="28"/>
      <c r="NFX10" s="28"/>
      <c r="NFY10" s="28"/>
      <c r="NFZ10" s="28"/>
      <c r="NGA10" s="28"/>
      <c r="NGB10" s="28"/>
      <c r="NGC10" s="28"/>
      <c r="NGD10" s="28"/>
      <c r="NGE10" s="28"/>
      <c r="NGF10" s="28"/>
      <c r="NGG10" s="28"/>
      <c r="NGH10" s="28"/>
      <c r="NGI10" s="28"/>
      <c r="NGJ10" s="28"/>
      <c r="NGK10" s="28"/>
      <c r="NGL10" s="28"/>
      <c r="NGM10" s="28"/>
      <c r="NGN10" s="28"/>
      <c r="NGO10" s="28"/>
      <c r="NGP10" s="28"/>
      <c r="NGQ10" s="28"/>
      <c r="NGR10" s="28"/>
      <c r="NGS10" s="28"/>
      <c r="NGT10" s="28"/>
      <c r="NGU10" s="28"/>
      <c r="NGV10" s="28"/>
      <c r="NGW10" s="28"/>
      <c r="NGX10" s="28"/>
      <c r="NGY10" s="28"/>
      <c r="NGZ10" s="28"/>
      <c r="NHA10" s="28"/>
      <c r="NHB10" s="28"/>
      <c r="NHC10" s="28"/>
      <c r="NHD10" s="28"/>
      <c r="NHE10" s="28"/>
      <c r="NHF10" s="28"/>
      <c r="NHG10" s="28"/>
      <c r="NHH10" s="28"/>
      <c r="NHI10" s="28"/>
      <c r="NHJ10" s="28"/>
      <c r="NHK10" s="28"/>
      <c r="NHL10" s="28"/>
      <c r="NHM10" s="28"/>
      <c r="NHN10" s="28"/>
      <c r="NHO10" s="28"/>
      <c r="NHP10" s="28"/>
      <c r="NHQ10" s="28"/>
      <c r="NHR10" s="28"/>
      <c r="NHS10" s="28"/>
      <c r="NHT10" s="28"/>
      <c r="NHU10" s="28"/>
      <c r="NHV10" s="28"/>
      <c r="NHW10" s="28"/>
      <c r="NHX10" s="28"/>
      <c r="NHY10" s="28"/>
      <c r="NHZ10" s="28"/>
      <c r="NIA10" s="28"/>
      <c r="NIB10" s="28"/>
      <c r="NIC10" s="28"/>
      <c r="NID10" s="28"/>
      <c r="NIE10" s="28"/>
      <c r="NIF10" s="28"/>
      <c r="NIG10" s="28"/>
      <c r="NIH10" s="28"/>
      <c r="NII10" s="28"/>
      <c r="NIJ10" s="28"/>
      <c r="NIK10" s="28"/>
      <c r="NIL10" s="28"/>
      <c r="NIM10" s="28"/>
      <c r="NIN10" s="28"/>
      <c r="NIO10" s="28"/>
      <c r="NIP10" s="28"/>
      <c r="NIQ10" s="28"/>
      <c r="NIR10" s="28"/>
      <c r="NIS10" s="28"/>
      <c r="NIT10" s="28"/>
      <c r="NIU10" s="28"/>
      <c r="NIV10" s="28"/>
      <c r="NIW10" s="28"/>
      <c r="NIX10" s="28"/>
      <c r="NIY10" s="28"/>
      <c r="NIZ10" s="28"/>
      <c r="NJA10" s="28"/>
      <c r="NJB10" s="28"/>
      <c r="NJC10" s="28"/>
      <c r="NJD10" s="28"/>
      <c r="NJE10" s="28"/>
      <c r="NJF10" s="28"/>
      <c r="NJG10" s="28"/>
      <c r="NJH10" s="28"/>
      <c r="NJI10" s="28"/>
      <c r="NJJ10" s="28"/>
      <c r="NJK10" s="28"/>
      <c r="NJL10" s="28"/>
      <c r="NJM10" s="28"/>
      <c r="NJN10" s="28"/>
      <c r="NJO10" s="28"/>
      <c r="NJP10" s="28"/>
      <c r="NJQ10" s="28"/>
      <c r="NJR10" s="28"/>
      <c r="NJS10" s="28"/>
      <c r="NJT10" s="28"/>
      <c r="NJU10" s="28"/>
      <c r="NJV10" s="28"/>
      <c r="NJW10" s="28"/>
      <c r="NJX10" s="28"/>
      <c r="NJY10" s="28"/>
      <c r="NJZ10" s="28"/>
      <c r="NKA10" s="28"/>
      <c r="NKB10" s="28"/>
      <c r="NKC10" s="28"/>
      <c r="NKD10" s="28"/>
      <c r="NKE10" s="28"/>
      <c r="NKF10" s="28"/>
      <c r="NKG10" s="28"/>
      <c r="NKH10" s="28"/>
      <c r="NKI10" s="28"/>
      <c r="NKJ10" s="28"/>
      <c r="NKK10" s="28"/>
      <c r="NKL10" s="28"/>
      <c r="NKM10" s="28"/>
      <c r="NKN10" s="28"/>
      <c r="NKO10" s="28"/>
      <c r="NKP10" s="28"/>
      <c r="NKQ10" s="28"/>
      <c r="NKR10" s="28"/>
      <c r="NKS10" s="28"/>
      <c r="NKT10" s="28"/>
      <c r="NKU10" s="28"/>
      <c r="NKV10" s="28"/>
      <c r="NKW10" s="28"/>
      <c r="NKX10" s="28"/>
      <c r="NKY10" s="28"/>
      <c r="NKZ10" s="28"/>
      <c r="NLA10" s="28"/>
      <c r="NLB10" s="28"/>
      <c r="NLC10" s="28"/>
      <c r="NLD10" s="28"/>
      <c r="NLE10" s="28"/>
      <c r="NLF10" s="28"/>
      <c r="NLG10" s="28"/>
      <c r="NLH10" s="28"/>
      <c r="NLI10" s="28"/>
      <c r="NLJ10" s="28"/>
      <c r="NLK10" s="28"/>
      <c r="NLL10" s="28"/>
      <c r="NLM10" s="28"/>
      <c r="NLN10" s="28"/>
      <c r="NLO10" s="28"/>
      <c r="NLP10" s="28"/>
      <c r="NLQ10" s="28"/>
      <c r="NLR10" s="28"/>
      <c r="NLS10" s="28"/>
      <c r="NLT10" s="28"/>
      <c r="NLU10" s="28"/>
      <c r="NLV10" s="28"/>
      <c r="NLW10" s="28"/>
      <c r="NLX10" s="28"/>
      <c r="NLY10" s="28"/>
      <c r="NLZ10" s="28"/>
      <c r="NMA10" s="28"/>
      <c r="NMB10" s="28"/>
      <c r="NMC10" s="28"/>
      <c r="NMD10" s="28"/>
      <c r="NME10" s="28"/>
      <c r="NMF10" s="28"/>
      <c r="NMG10" s="28"/>
      <c r="NMH10" s="28"/>
      <c r="NMI10" s="28"/>
      <c r="NMJ10" s="28"/>
      <c r="NMK10" s="28"/>
      <c r="NML10" s="28"/>
      <c r="NMM10" s="28"/>
      <c r="NMN10" s="28"/>
      <c r="NMO10" s="28"/>
      <c r="NMP10" s="28"/>
      <c r="NMQ10" s="28"/>
      <c r="NMR10" s="28"/>
      <c r="NMS10" s="28"/>
      <c r="NMT10" s="28"/>
      <c r="NMU10" s="28"/>
      <c r="NMV10" s="28"/>
      <c r="NMW10" s="28"/>
      <c r="NMX10" s="28"/>
      <c r="NMY10" s="28"/>
      <c r="NMZ10" s="28"/>
      <c r="NNA10" s="28"/>
      <c r="NNB10" s="28"/>
      <c r="NNC10" s="28"/>
      <c r="NND10" s="28"/>
      <c r="NNE10" s="28"/>
      <c r="NNF10" s="28"/>
      <c r="NNG10" s="28"/>
      <c r="NNH10" s="28"/>
      <c r="NNI10" s="28"/>
      <c r="NNJ10" s="28"/>
      <c r="NNK10" s="28"/>
      <c r="NNL10" s="28"/>
      <c r="NNM10" s="28"/>
      <c r="NNN10" s="28"/>
      <c r="NNO10" s="28"/>
      <c r="NNP10" s="28"/>
      <c r="NNQ10" s="28"/>
      <c r="NNR10" s="28"/>
      <c r="NNS10" s="28"/>
      <c r="NNT10" s="28"/>
      <c r="NNU10" s="28"/>
      <c r="NNV10" s="28"/>
      <c r="NNW10" s="28"/>
      <c r="NNX10" s="28"/>
      <c r="NNY10" s="28"/>
      <c r="NNZ10" s="28"/>
      <c r="NOA10" s="28"/>
      <c r="NOB10" s="28"/>
      <c r="NOC10" s="28"/>
      <c r="NOD10" s="28"/>
      <c r="NOE10" s="28"/>
      <c r="NOF10" s="28"/>
      <c r="NOG10" s="28"/>
      <c r="NOH10" s="28"/>
      <c r="NOI10" s="28"/>
      <c r="NOJ10" s="28"/>
      <c r="NOK10" s="28"/>
      <c r="NOL10" s="28"/>
      <c r="NOM10" s="28"/>
      <c r="NON10" s="28"/>
      <c r="NOO10" s="28"/>
      <c r="NOP10" s="28"/>
      <c r="NOQ10" s="28"/>
      <c r="NOR10" s="28"/>
      <c r="NOS10" s="28"/>
      <c r="NOT10" s="28"/>
      <c r="NOU10" s="28"/>
      <c r="NOV10" s="28"/>
      <c r="NOW10" s="28"/>
      <c r="NOX10" s="28"/>
      <c r="NOY10" s="28"/>
      <c r="NOZ10" s="28"/>
      <c r="NPA10" s="28"/>
      <c r="NPB10" s="28"/>
      <c r="NPC10" s="28"/>
      <c r="NPD10" s="28"/>
      <c r="NPE10" s="28"/>
      <c r="NPF10" s="28"/>
      <c r="NPG10" s="28"/>
      <c r="NPH10" s="28"/>
      <c r="NPI10" s="28"/>
      <c r="NPJ10" s="28"/>
      <c r="NPK10" s="28"/>
      <c r="NPL10" s="28"/>
      <c r="NPM10" s="28"/>
      <c r="NPN10" s="28"/>
      <c r="NPO10" s="28"/>
      <c r="NPP10" s="28"/>
      <c r="NPQ10" s="28"/>
      <c r="NPR10" s="28"/>
      <c r="NPS10" s="28"/>
      <c r="NPT10" s="28"/>
      <c r="NPU10" s="28"/>
      <c r="NPV10" s="28"/>
      <c r="NPW10" s="28"/>
      <c r="NPX10" s="28"/>
      <c r="NPY10" s="28"/>
      <c r="NPZ10" s="28"/>
      <c r="NQA10" s="28"/>
      <c r="NQB10" s="28"/>
      <c r="NQC10" s="28"/>
      <c r="NQD10" s="28"/>
      <c r="NQE10" s="28"/>
      <c r="NQF10" s="28"/>
      <c r="NQG10" s="28"/>
      <c r="NQH10" s="28"/>
      <c r="NQI10" s="28"/>
      <c r="NQJ10" s="28"/>
      <c r="NQK10" s="28"/>
      <c r="NQL10" s="28"/>
      <c r="NQM10" s="28"/>
      <c r="NQN10" s="28"/>
      <c r="NQO10" s="28"/>
      <c r="NQP10" s="28"/>
      <c r="NQQ10" s="28"/>
      <c r="NQR10" s="28"/>
      <c r="NQS10" s="28"/>
      <c r="NQT10" s="28"/>
      <c r="NQU10" s="28"/>
      <c r="NQV10" s="28"/>
      <c r="NQW10" s="28"/>
      <c r="NQX10" s="28"/>
      <c r="NQY10" s="28"/>
      <c r="NQZ10" s="28"/>
      <c r="NRA10" s="28"/>
      <c r="NRB10" s="28"/>
      <c r="NRC10" s="28"/>
      <c r="NRD10" s="28"/>
      <c r="NRE10" s="28"/>
      <c r="NRF10" s="28"/>
      <c r="NRG10" s="28"/>
      <c r="NRH10" s="28"/>
      <c r="NRI10" s="28"/>
      <c r="NRJ10" s="28"/>
      <c r="NRK10" s="28"/>
      <c r="NRL10" s="28"/>
      <c r="NRM10" s="28"/>
      <c r="NRN10" s="28"/>
      <c r="NRO10" s="28"/>
      <c r="NRP10" s="28"/>
      <c r="NRQ10" s="28"/>
      <c r="NRR10" s="28"/>
      <c r="NRS10" s="28"/>
      <c r="NRT10" s="28"/>
      <c r="NRU10" s="28"/>
      <c r="NRV10" s="28"/>
      <c r="NRW10" s="28"/>
      <c r="NRX10" s="28"/>
      <c r="NRY10" s="28"/>
      <c r="NRZ10" s="28"/>
      <c r="NSA10" s="28"/>
      <c r="NSB10" s="28"/>
      <c r="NSC10" s="28"/>
      <c r="NSD10" s="28"/>
      <c r="NSE10" s="28"/>
      <c r="NSF10" s="28"/>
      <c r="NSG10" s="28"/>
      <c r="NSH10" s="28"/>
      <c r="NSI10" s="28"/>
      <c r="NSJ10" s="28"/>
      <c r="NSK10" s="28"/>
      <c r="NSL10" s="28"/>
      <c r="NSM10" s="28"/>
      <c r="NSN10" s="28"/>
      <c r="NSO10" s="28"/>
      <c r="NSP10" s="28"/>
      <c r="NSQ10" s="28"/>
      <c r="NSR10" s="28"/>
      <c r="NSS10" s="28"/>
      <c r="NST10" s="28"/>
      <c r="NSU10" s="28"/>
      <c r="NSV10" s="28"/>
      <c r="NSW10" s="28"/>
      <c r="NSX10" s="28"/>
      <c r="NSY10" s="28"/>
      <c r="NSZ10" s="28"/>
      <c r="NTA10" s="28"/>
      <c r="NTB10" s="28"/>
      <c r="NTC10" s="28"/>
      <c r="NTD10" s="28"/>
      <c r="NTE10" s="28"/>
      <c r="NTF10" s="28"/>
      <c r="NTG10" s="28"/>
      <c r="NTH10" s="28"/>
      <c r="NTI10" s="28"/>
      <c r="NTJ10" s="28"/>
      <c r="NTK10" s="28"/>
      <c r="NTL10" s="28"/>
      <c r="NTM10" s="28"/>
      <c r="NTN10" s="28"/>
      <c r="NTO10" s="28"/>
      <c r="NTP10" s="28"/>
      <c r="NTQ10" s="28"/>
      <c r="NTR10" s="28"/>
      <c r="NTS10" s="28"/>
      <c r="NTT10" s="28"/>
      <c r="NTU10" s="28"/>
      <c r="NTV10" s="28"/>
      <c r="NTW10" s="28"/>
      <c r="NTX10" s="28"/>
      <c r="NTY10" s="28"/>
      <c r="NTZ10" s="28"/>
      <c r="NUA10" s="28"/>
      <c r="NUB10" s="28"/>
      <c r="NUC10" s="28"/>
      <c r="NUD10" s="28"/>
      <c r="NUE10" s="28"/>
      <c r="NUF10" s="28"/>
      <c r="NUG10" s="28"/>
      <c r="NUH10" s="28"/>
      <c r="NUI10" s="28"/>
      <c r="NUJ10" s="28"/>
      <c r="NUK10" s="28"/>
      <c r="NUL10" s="28"/>
      <c r="NUM10" s="28"/>
      <c r="NUN10" s="28"/>
      <c r="NUO10" s="28"/>
      <c r="NUP10" s="28"/>
      <c r="NUQ10" s="28"/>
      <c r="NUR10" s="28"/>
      <c r="NUS10" s="28"/>
      <c r="NUT10" s="28"/>
      <c r="NUU10" s="28"/>
      <c r="NUV10" s="28"/>
      <c r="NUW10" s="28"/>
      <c r="NUX10" s="28"/>
      <c r="NUY10" s="28"/>
      <c r="NUZ10" s="28"/>
      <c r="NVA10" s="28"/>
      <c r="NVB10" s="28"/>
      <c r="NVC10" s="28"/>
      <c r="NVD10" s="28"/>
      <c r="NVE10" s="28"/>
      <c r="NVF10" s="28"/>
      <c r="NVG10" s="28"/>
      <c r="NVH10" s="28"/>
      <c r="NVI10" s="28"/>
      <c r="NVJ10" s="28"/>
      <c r="NVK10" s="28"/>
      <c r="NVL10" s="28"/>
      <c r="NVM10" s="28"/>
      <c r="NVN10" s="28"/>
      <c r="NVO10" s="28"/>
      <c r="NVP10" s="28"/>
      <c r="NVQ10" s="28"/>
      <c r="NVR10" s="28"/>
      <c r="NVS10" s="28"/>
      <c r="NVT10" s="28"/>
      <c r="NVU10" s="28"/>
      <c r="NVV10" s="28"/>
      <c r="NVW10" s="28"/>
      <c r="NVX10" s="28"/>
      <c r="NVY10" s="28"/>
      <c r="NVZ10" s="28"/>
      <c r="NWA10" s="28"/>
      <c r="NWB10" s="28"/>
      <c r="NWC10" s="28"/>
      <c r="NWD10" s="28"/>
      <c r="NWE10" s="28"/>
      <c r="NWF10" s="28"/>
      <c r="NWG10" s="28"/>
      <c r="NWH10" s="28"/>
      <c r="NWI10" s="28"/>
      <c r="NWJ10" s="28"/>
      <c r="NWK10" s="28"/>
      <c r="NWL10" s="28"/>
      <c r="NWM10" s="28"/>
      <c r="NWN10" s="28"/>
      <c r="NWO10" s="28"/>
      <c r="NWP10" s="28"/>
      <c r="NWQ10" s="28"/>
      <c r="NWR10" s="28"/>
      <c r="NWS10" s="28"/>
      <c r="NWT10" s="28"/>
      <c r="NWU10" s="28"/>
      <c r="NWV10" s="28"/>
      <c r="NWW10" s="28"/>
      <c r="NWX10" s="28"/>
      <c r="NWY10" s="28"/>
      <c r="NWZ10" s="28"/>
      <c r="NXA10" s="28"/>
      <c r="NXB10" s="28"/>
      <c r="NXC10" s="28"/>
      <c r="NXD10" s="28"/>
      <c r="NXE10" s="28"/>
      <c r="NXF10" s="28"/>
      <c r="NXG10" s="28"/>
      <c r="NXH10" s="28"/>
      <c r="NXI10" s="28"/>
      <c r="NXJ10" s="28"/>
      <c r="NXK10" s="28"/>
      <c r="NXL10" s="28"/>
      <c r="NXM10" s="28"/>
      <c r="NXN10" s="28"/>
      <c r="NXO10" s="28"/>
      <c r="NXP10" s="28"/>
      <c r="NXQ10" s="28"/>
      <c r="NXR10" s="28"/>
      <c r="NXS10" s="28"/>
      <c r="NXT10" s="28"/>
      <c r="NXU10" s="28"/>
      <c r="NXV10" s="28"/>
      <c r="NXW10" s="28"/>
      <c r="NXX10" s="28"/>
      <c r="NXY10" s="28"/>
      <c r="NXZ10" s="28"/>
      <c r="NYA10" s="28"/>
      <c r="NYB10" s="28"/>
      <c r="NYC10" s="28"/>
      <c r="NYD10" s="28"/>
      <c r="NYE10" s="28"/>
      <c r="NYF10" s="28"/>
      <c r="NYG10" s="28"/>
      <c r="NYH10" s="28"/>
      <c r="NYI10" s="28"/>
      <c r="NYJ10" s="28"/>
      <c r="NYK10" s="28"/>
      <c r="NYL10" s="28"/>
      <c r="NYM10" s="28"/>
      <c r="NYN10" s="28"/>
      <c r="NYO10" s="28"/>
      <c r="NYP10" s="28"/>
      <c r="NYQ10" s="28"/>
      <c r="NYR10" s="28"/>
      <c r="NYS10" s="28"/>
      <c r="NYT10" s="28"/>
      <c r="NYU10" s="28"/>
      <c r="NYV10" s="28"/>
      <c r="NYW10" s="28"/>
      <c r="NYX10" s="28"/>
      <c r="NYY10" s="28"/>
      <c r="NYZ10" s="28"/>
      <c r="NZA10" s="28"/>
      <c r="NZB10" s="28"/>
      <c r="NZC10" s="28"/>
      <c r="NZD10" s="28"/>
      <c r="NZE10" s="28"/>
      <c r="NZF10" s="28"/>
      <c r="NZG10" s="28"/>
      <c r="NZH10" s="28"/>
      <c r="NZI10" s="28"/>
      <c r="NZJ10" s="28"/>
      <c r="NZK10" s="28"/>
      <c r="NZL10" s="28"/>
      <c r="NZM10" s="28"/>
      <c r="NZN10" s="28"/>
      <c r="NZO10" s="28"/>
      <c r="NZP10" s="28"/>
      <c r="NZQ10" s="28"/>
      <c r="NZR10" s="28"/>
      <c r="NZS10" s="28"/>
      <c r="NZT10" s="28"/>
      <c r="NZU10" s="28"/>
      <c r="NZV10" s="28"/>
      <c r="NZW10" s="28"/>
      <c r="NZX10" s="28"/>
      <c r="NZY10" s="28"/>
      <c r="NZZ10" s="28"/>
      <c r="OAA10" s="28"/>
      <c r="OAB10" s="28"/>
      <c r="OAC10" s="28"/>
      <c r="OAD10" s="28"/>
      <c r="OAE10" s="28"/>
      <c r="OAF10" s="28"/>
      <c r="OAG10" s="28"/>
      <c r="OAH10" s="28"/>
      <c r="OAI10" s="28"/>
      <c r="OAJ10" s="28"/>
      <c r="OAK10" s="28"/>
      <c r="OAL10" s="28"/>
      <c r="OAM10" s="28"/>
      <c r="OAN10" s="28"/>
      <c r="OAO10" s="28"/>
      <c r="OAP10" s="28"/>
      <c r="OAQ10" s="28"/>
      <c r="OAR10" s="28"/>
      <c r="OAS10" s="28"/>
      <c r="OAT10" s="28"/>
      <c r="OAU10" s="28"/>
      <c r="OAV10" s="28"/>
      <c r="OAW10" s="28"/>
      <c r="OAX10" s="28"/>
      <c r="OAY10" s="28"/>
      <c r="OAZ10" s="28"/>
      <c r="OBA10" s="28"/>
      <c r="OBB10" s="28"/>
      <c r="OBC10" s="28"/>
      <c r="OBD10" s="28"/>
      <c r="OBE10" s="28"/>
      <c r="OBF10" s="28"/>
      <c r="OBG10" s="28"/>
      <c r="OBH10" s="28"/>
      <c r="OBI10" s="28"/>
      <c r="OBJ10" s="28"/>
      <c r="OBK10" s="28"/>
      <c r="OBL10" s="28"/>
      <c r="OBM10" s="28"/>
      <c r="OBN10" s="28"/>
      <c r="OBO10" s="28"/>
      <c r="OBP10" s="28"/>
      <c r="OBQ10" s="28"/>
      <c r="OBR10" s="28"/>
      <c r="OBS10" s="28"/>
      <c r="OBT10" s="28"/>
      <c r="OBU10" s="28"/>
      <c r="OBV10" s="28"/>
      <c r="OBW10" s="28"/>
      <c r="OBX10" s="28"/>
      <c r="OBY10" s="28"/>
      <c r="OBZ10" s="28"/>
      <c r="OCA10" s="28"/>
      <c r="OCB10" s="28"/>
      <c r="OCC10" s="28"/>
      <c r="OCD10" s="28"/>
      <c r="OCE10" s="28"/>
      <c r="OCF10" s="28"/>
      <c r="OCG10" s="28"/>
      <c r="OCH10" s="28"/>
      <c r="OCI10" s="28"/>
      <c r="OCJ10" s="28"/>
      <c r="OCK10" s="28"/>
      <c r="OCL10" s="28"/>
      <c r="OCM10" s="28"/>
      <c r="OCN10" s="28"/>
      <c r="OCO10" s="28"/>
      <c r="OCP10" s="28"/>
      <c r="OCQ10" s="28"/>
      <c r="OCR10" s="28"/>
      <c r="OCS10" s="28"/>
      <c r="OCT10" s="28"/>
      <c r="OCU10" s="28"/>
      <c r="OCV10" s="28"/>
      <c r="OCW10" s="28"/>
      <c r="OCX10" s="28"/>
      <c r="OCY10" s="28"/>
      <c r="OCZ10" s="28"/>
      <c r="ODA10" s="28"/>
      <c r="ODB10" s="28"/>
      <c r="ODC10" s="28"/>
      <c r="ODD10" s="28"/>
      <c r="ODE10" s="28"/>
      <c r="ODF10" s="28"/>
      <c r="ODG10" s="28"/>
      <c r="ODH10" s="28"/>
      <c r="ODI10" s="28"/>
      <c r="ODJ10" s="28"/>
      <c r="ODK10" s="28"/>
      <c r="ODL10" s="28"/>
      <c r="ODM10" s="28"/>
      <c r="ODN10" s="28"/>
      <c r="ODO10" s="28"/>
      <c r="ODP10" s="28"/>
      <c r="ODQ10" s="28"/>
      <c r="ODR10" s="28"/>
      <c r="ODS10" s="28"/>
      <c r="ODT10" s="28"/>
      <c r="ODU10" s="28"/>
      <c r="ODV10" s="28"/>
      <c r="ODW10" s="28"/>
      <c r="ODX10" s="28"/>
      <c r="ODY10" s="28"/>
      <c r="ODZ10" s="28"/>
      <c r="OEA10" s="28"/>
      <c r="OEB10" s="28"/>
      <c r="OEC10" s="28"/>
      <c r="OED10" s="28"/>
      <c r="OEE10" s="28"/>
      <c r="OEF10" s="28"/>
      <c r="OEG10" s="28"/>
      <c r="OEH10" s="28"/>
      <c r="OEI10" s="28"/>
      <c r="OEJ10" s="28"/>
      <c r="OEK10" s="28"/>
      <c r="OEL10" s="28"/>
      <c r="OEM10" s="28"/>
      <c r="OEN10" s="28"/>
      <c r="OEO10" s="28"/>
      <c r="OEP10" s="28"/>
      <c r="OEQ10" s="28"/>
      <c r="OER10" s="28"/>
      <c r="OES10" s="28"/>
      <c r="OET10" s="28"/>
      <c r="OEU10" s="28"/>
      <c r="OEV10" s="28"/>
      <c r="OEW10" s="28"/>
      <c r="OEX10" s="28"/>
      <c r="OEY10" s="28"/>
      <c r="OEZ10" s="28"/>
      <c r="OFA10" s="28"/>
      <c r="OFB10" s="28"/>
      <c r="OFC10" s="28"/>
      <c r="OFD10" s="28"/>
      <c r="OFE10" s="28"/>
      <c r="OFF10" s="28"/>
      <c r="OFG10" s="28"/>
      <c r="OFH10" s="28"/>
      <c r="OFI10" s="28"/>
      <c r="OFJ10" s="28"/>
      <c r="OFK10" s="28"/>
      <c r="OFL10" s="28"/>
      <c r="OFM10" s="28"/>
      <c r="OFN10" s="28"/>
      <c r="OFO10" s="28"/>
      <c r="OFP10" s="28"/>
      <c r="OFQ10" s="28"/>
      <c r="OFR10" s="28"/>
      <c r="OFS10" s="28"/>
      <c r="OFT10" s="28"/>
      <c r="OFU10" s="28"/>
      <c r="OFV10" s="28"/>
      <c r="OFW10" s="28"/>
      <c r="OFX10" s="28"/>
      <c r="OFY10" s="28"/>
      <c r="OFZ10" s="28"/>
      <c r="OGA10" s="28"/>
      <c r="OGB10" s="28"/>
      <c r="OGC10" s="28"/>
      <c r="OGD10" s="28"/>
      <c r="OGE10" s="28"/>
      <c r="OGF10" s="28"/>
      <c r="OGG10" s="28"/>
      <c r="OGH10" s="28"/>
      <c r="OGI10" s="28"/>
      <c r="OGJ10" s="28"/>
      <c r="OGK10" s="28"/>
      <c r="OGL10" s="28"/>
      <c r="OGM10" s="28"/>
      <c r="OGN10" s="28"/>
      <c r="OGO10" s="28"/>
      <c r="OGP10" s="28"/>
      <c r="OGQ10" s="28"/>
      <c r="OGR10" s="28"/>
      <c r="OGS10" s="28"/>
      <c r="OGT10" s="28"/>
      <c r="OGU10" s="28"/>
      <c r="OGV10" s="28"/>
      <c r="OGW10" s="28"/>
      <c r="OGX10" s="28"/>
      <c r="OGY10" s="28"/>
      <c r="OGZ10" s="28"/>
      <c r="OHA10" s="28"/>
      <c r="OHB10" s="28"/>
      <c r="OHC10" s="28"/>
      <c r="OHD10" s="28"/>
      <c r="OHE10" s="28"/>
      <c r="OHF10" s="28"/>
      <c r="OHG10" s="28"/>
      <c r="OHH10" s="28"/>
      <c r="OHI10" s="28"/>
      <c r="OHJ10" s="28"/>
      <c r="OHK10" s="28"/>
      <c r="OHL10" s="28"/>
      <c r="OHM10" s="28"/>
      <c r="OHN10" s="28"/>
      <c r="OHO10" s="28"/>
      <c r="OHP10" s="28"/>
      <c r="OHQ10" s="28"/>
      <c r="OHR10" s="28"/>
      <c r="OHS10" s="28"/>
      <c r="OHT10" s="28"/>
      <c r="OHU10" s="28"/>
      <c r="OHV10" s="28"/>
      <c r="OHW10" s="28"/>
      <c r="OHX10" s="28"/>
      <c r="OHY10" s="28"/>
      <c r="OHZ10" s="28"/>
      <c r="OIA10" s="28"/>
      <c r="OIB10" s="28"/>
      <c r="OIC10" s="28"/>
      <c r="OID10" s="28"/>
      <c r="OIE10" s="28"/>
      <c r="OIF10" s="28"/>
      <c r="OIG10" s="28"/>
      <c r="OIH10" s="28"/>
      <c r="OII10" s="28"/>
      <c r="OIJ10" s="28"/>
      <c r="OIK10" s="28"/>
      <c r="OIL10" s="28"/>
      <c r="OIM10" s="28"/>
      <c r="OIN10" s="28"/>
      <c r="OIO10" s="28"/>
      <c r="OIP10" s="28"/>
      <c r="OIQ10" s="28"/>
      <c r="OIR10" s="28"/>
      <c r="OIS10" s="28"/>
      <c r="OIT10" s="28"/>
      <c r="OIU10" s="28"/>
      <c r="OIV10" s="28"/>
      <c r="OIW10" s="28"/>
      <c r="OIX10" s="28"/>
      <c r="OIY10" s="28"/>
      <c r="OIZ10" s="28"/>
      <c r="OJA10" s="28"/>
      <c r="OJB10" s="28"/>
      <c r="OJC10" s="28"/>
      <c r="OJD10" s="28"/>
      <c r="OJE10" s="28"/>
      <c r="OJF10" s="28"/>
      <c r="OJG10" s="28"/>
      <c r="OJH10" s="28"/>
      <c r="OJI10" s="28"/>
      <c r="OJJ10" s="28"/>
      <c r="OJK10" s="28"/>
      <c r="OJL10" s="28"/>
      <c r="OJM10" s="28"/>
      <c r="OJN10" s="28"/>
      <c r="OJO10" s="28"/>
      <c r="OJP10" s="28"/>
      <c r="OJQ10" s="28"/>
      <c r="OJR10" s="28"/>
      <c r="OJS10" s="28"/>
      <c r="OJT10" s="28"/>
      <c r="OJU10" s="28"/>
      <c r="OJV10" s="28"/>
      <c r="OJW10" s="28"/>
      <c r="OJX10" s="28"/>
      <c r="OJY10" s="28"/>
      <c r="OJZ10" s="28"/>
      <c r="OKA10" s="28"/>
      <c r="OKB10" s="28"/>
      <c r="OKC10" s="28"/>
      <c r="OKD10" s="28"/>
      <c r="OKE10" s="28"/>
      <c r="OKF10" s="28"/>
      <c r="OKG10" s="28"/>
      <c r="OKH10" s="28"/>
      <c r="OKI10" s="28"/>
      <c r="OKJ10" s="28"/>
      <c r="OKK10" s="28"/>
      <c r="OKL10" s="28"/>
      <c r="OKM10" s="28"/>
      <c r="OKN10" s="28"/>
      <c r="OKO10" s="28"/>
      <c r="OKP10" s="28"/>
      <c r="OKQ10" s="28"/>
      <c r="OKR10" s="28"/>
      <c r="OKS10" s="28"/>
      <c r="OKT10" s="28"/>
      <c r="OKU10" s="28"/>
      <c r="OKV10" s="28"/>
      <c r="OKW10" s="28"/>
      <c r="OKX10" s="28"/>
      <c r="OKY10" s="28"/>
      <c r="OKZ10" s="28"/>
      <c r="OLA10" s="28"/>
      <c r="OLB10" s="28"/>
      <c r="OLC10" s="28"/>
      <c r="OLD10" s="28"/>
      <c r="OLE10" s="28"/>
      <c r="OLF10" s="28"/>
      <c r="OLG10" s="28"/>
      <c r="OLH10" s="28"/>
      <c r="OLI10" s="28"/>
      <c r="OLJ10" s="28"/>
      <c r="OLK10" s="28"/>
      <c r="OLL10" s="28"/>
      <c r="OLM10" s="28"/>
      <c r="OLN10" s="28"/>
      <c r="OLO10" s="28"/>
      <c r="OLP10" s="28"/>
      <c r="OLQ10" s="28"/>
      <c r="OLR10" s="28"/>
      <c r="OLS10" s="28"/>
      <c r="OLT10" s="28"/>
      <c r="OLU10" s="28"/>
      <c r="OLV10" s="28"/>
      <c r="OLW10" s="28"/>
      <c r="OLX10" s="28"/>
      <c r="OLY10" s="28"/>
      <c r="OLZ10" s="28"/>
      <c r="OMA10" s="28"/>
      <c r="OMB10" s="28"/>
      <c r="OMC10" s="28"/>
      <c r="OMD10" s="28"/>
      <c r="OME10" s="28"/>
      <c r="OMF10" s="28"/>
      <c r="OMG10" s="28"/>
      <c r="OMH10" s="28"/>
      <c r="OMI10" s="28"/>
      <c r="OMJ10" s="28"/>
      <c r="OMK10" s="28"/>
      <c r="OML10" s="28"/>
      <c r="OMM10" s="28"/>
      <c r="OMN10" s="28"/>
      <c r="OMO10" s="28"/>
      <c r="OMP10" s="28"/>
      <c r="OMQ10" s="28"/>
      <c r="OMR10" s="28"/>
      <c r="OMS10" s="28"/>
      <c r="OMT10" s="28"/>
      <c r="OMU10" s="28"/>
      <c r="OMV10" s="28"/>
      <c r="OMW10" s="28"/>
      <c r="OMX10" s="28"/>
      <c r="OMY10" s="28"/>
      <c r="OMZ10" s="28"/>
      <c r="ONA10" s="28"/>
      <c r="ONB10" s="28"/>
      <c r="ONC10" s="28"/>
      <c r="OND10" s="28"/>
      <c r="ONE10" s="28"/>
      <c r="ONF10" s="28"/>
      <c r="ONG10" s="28"/>
      <c r="ONH10" s="28"/>
      <c r="ONI10" s="28"/>
      <c r="ONJ10" s="28"/>
      <c r="ONK10" s="28"/>
      <c r="ONL10" s="28"/>
      <c r="ONM10" s="28"/>
      <c r="ONN10" s="28"/>
      <c r="ONO10" s="28"/>
      <c r="ONP10" s="28"/>
      <c r="ONQ10" s="28"/>
      <c r="ONR10" s="28"/>
      <c r="ONS10" s="28"/>
      <c r="ONT10" s="28"/>
      <c r="ONU10" s="28"/>
      <c r="ONV10" s="28"/>
      <c r="ONW10" s="28"/>
      <c r="ONX10" s="28"/>
      <c r="ONY10" s="28"/>
      <c r="ONZ10" s="28"/>
      <c r="OOA10" s="28"/>
      <c r="OOB10" s="28"/>
      <c r="OOC10" s="28"/>
      <c r="OOD10" s="28"/>
      <c r="OOE10" s="28"/>
      <c r="OOF10" s="28"/>
      <c r="OOG10" s="28"/>
      <c r="OOH10" s="28"/>
      <c r="OOI10" s="28"/>
      <c r="OOJ10" s="28"/>
      <c r="OOK10" s="28"/>
      <c r="OOL10" s="28"/>
      <c r="OOM10" s="28"/>
      <c r="OON10" s="28"/>
      <c r="OOO10" s="28"/>
      <c r="OOP10" s="28"/>
      <c r="OOQ10" s="28"/>
      <c r="OOR10" s="28"/>
      <c r="OOS10" s="28"/>
      <c r="OOT10" s="28"/>
      <c r="OOU10" s="28"/>
      <c r="OOV10" s="28"/>
      <c r="OOW10" s="28"/>
      <c r="OOX10" s="28"/>
      <c r="OOY10" s="28"/>
      <c r="OOZ10" s="28"/>
      <c r="OPA10" s="28"/>
      <c r="OPB10" s="28"/>
      <c r="OPC10" s="28"/>
      <c r="OPD10" s="28"/>
      <c r="OPE10" s="28"/>
      <c r="OPF10" s="28"/>
      <c r="OPG10" s="28"/>
      <c r="OPH10" s="28"/>
      <c r="OPI10" s="28"/>
      <c r="OPJ10" s="28"/>
      <c r="OPK10" s="28"/>
      <c r="OPL10" s="28"/>
      <c r="OPM10" s="28"/>
      <c r="OPN10" s="28"/>
      <c r="OPO10" s="28"/>
      <c r="OPP10" s="28"/>
      <c r="OPQ10" s="28"/>
      <c r="OPR10" s="28"/>
      <c r="OPS10" s="28"/>
      <c r="OPT10" s="28"/>
      <c r="OPU10" s="28"/>
      <c r="OPV10" s="28"/>
      <c r="OPW10" s="28"/>
      <c r="OPX10" s="28"/>
      <c r="OPY10" s="28"/>
      <c r="OPZ10" s="28"/>
      <c r="OQA10" s="28"/>
      <c r="OQB10" s="28"/>
      <c r="OQC10" s="28"/>
      <c r="OQD10" s="28"/>
      <c r="OQE10" s="28"/>
      <c r="OQF10" s="28"/>
      <c r="OQG10" s="28"/>
      <c r="OQH10" s="28"/>
      <c r="OQI10" s="28"/>
      <c r="OQJ10" s="28"/>
      <c r="OQK10" s="28"/>
      <c r="OQL10" s="28"/>
      <c r="OQM10" s="28"/>
      <c r="OQN10" s="28"/>
      <c r="OQO10" s="28"/>
      <c r="OQP10" s="28"/>
      <c r="OQQ10" s="28"/>
      <c r="OQR10" s="28"/>
      <c r="OQS10" s="28"/>
      <c r="OQT10" s="28"/>
      <c r="OQU10" s="28"/>
      <c r="OQV10" s="28"/>
      <c r="OQW10" s="28"/>
      <c r="OQX10" s="28"/>
      <c r="OQY10" s="28"/>
      <c r="OQZ10" s="28"/>
      <c r="ORA10" s="28"/>
      <c r="ORB10" s="28"/>
      <c r="ORC10" s="28"/>
      <c r="ORD10" s="28"/>
      <c r="ORE10" s="28"/>
      <c r="ORF10" s="28"/>
      <c r="ORG10" s="28"/>
      <c r="ORH10" s="28"/>
      <c r="ORI10" s="28"/>
      <c r="ORJ10" s="28"/>
      <c r="ORK10" s="28"/>
      <c r="ORL10" s="28"/>
      <c r="ORM10" s="28"/>
      <c r="ORN10" s="28"/>
      <c r="ORO10" s="28"/>
      <c r="ORP10" s="28"/>
      <c r="ORQ10" s="28"/>
      <c r="ORR10" s="28"/>
      <c r="ORS10" s="28"/>
      <c r="ORT10" s="28"/>
      <c r="ORU10" s="28"/>
      <c r="ORV10" s="28"/>
      <c r="ORW10" s="28"/>
      <c r="ORX10" s="28"/>
      <c r="ORY10" s="28"/>
      <c r="ORZ10" s="28"/>
      <c r="OSA10" s="28"/>
      <c r="OSB10" s="28"/>
      <c r="OSC10" s="28"/>
      <c r="OSD10" s="28"/>
      <c r="OSE10" s="28"/>
      <c r="OSF10" s="28"/>
      <c r="OSG10" s="28"/>
      <c r="OSH10" s="28"/>
      <c r="OSI10" s="28"/>
      <c r="OSJ10" s="28"/>
      <c r="OSK10" s="28"/>
      <c r="OSL10" s="28"/>
      <c r="OSM10" s="28"/>
      <c r="OSN10" s="28"/>
      <c r="OSO10" s="28"/>
      <c r="OSP10" s="28"/>
      <c r="OSQ10" s="28"/>
      <c r="OSR10" s="28"/>
      <c r="OSS10" s="28"/>
      <c r="OST10" s="28"/>
      <c r="OSU10" s="28"/>
      <c r="OSV10" s="28"/>
      <c r="OSW10" s="28"/>
      <c r="OSX10" s="28"/>
      <c r="OSY10" s="28"/>
      <c r="OSZ10" s="28"/>
      <c r="OTA10" s="28"/>
      <c r="OTB10" s="28"/>
      <c r="OTC10" s="28"/>
      <c r="OTD10" s="28"/>
      <c r="OTE10" s="28"/>
      <c r="OTF10" s="28"/>
      <c r="OTG10" s="28"/>
      <c r="OTH10" s="28"/>
      <c r="OTI10" s="28"/>
      <c r="OTJ10" s="28"/>
      <c r="OTK10" s="28"/>
      <c r="OTL10" s="28"/>
      <c r="OTM10" s="28"/>
      <c r="OTN10" s="28"/>
      <c r="OTO10" s="28"/>
      <c r="OTP10" s="28"/>
      <c r="OTQ10" s="28"/>
      <c r="OTR10" s="28"/>
      <c r="OTS10" s="28"/>
      <c r="OTT10" s="28"/>
      <c r="OTU10" s="28"/>
      <c r="OTV10" s="28"/>
      <c r="OTW10" s="28"/>
      <c r="OTX10" s="28"/>
      <c r="OTY10" s="28"/>
      <c r="OTZ10" s="28"/>
      <c r="OUA10" s="28"/>
      <c r="OUB10" s="28"/>
      <c r="OUC10" s="28"/>
      <c r="OUD10" s="28"/>
      <c r="OUE10" s="28"/>
      <c r="OUF10" s="28"/>
      <c r="OUG10" s="28"/>
      <c r="OUH10" s="28"/>
      <c r="OUI10" s="28"/>
      <c r="OUJ10" s="28"/>
      <c r="OUK10" s="28"/>
      <c r="OUL10" s="28"/>
      <c r="OUM10" s="28"/>
      <c r="OUN10" s="28"/>
      <c r="OUO10" s="28"/>
      <c r="OUP10" s="28"/>
      <c r="OUQ10" s="28"/>
      <c r="OUR10" s="28"/>
      <c r="OUS10" s="28"/>
      <c r="OUT10" s="28"/>
      <c r="OUU10" s="28"/>
      <c r="OUV10" s="28"/>
      <c r="OUW10" s="28"/>
      <c r="OUX10" s="28"/>
      <c r="OUY10" s="28"/>
      <c r="OUZ10" s="28"/>
      <c r="OVA10" s="28"/>
      <c r="OVB10" s="28"/>
      <c r="OVC10" s="28"/>
      <c r="OVD10" s="28"/>
      <c r="OVE10" s="28"/>
      <c r="OVF10" s="28"/>
      <c r="OVG10" s="28"/>
      <c r="OVH10" s="28"/>
      <c r="OVI10" s="28"/>
      <c r="OVJ10" s="28"/>
      <c r="OVK10" s="28"/>
      <c r="OVL10" s="28"/>
      <c r="OVM10" s="28"/>
      <c r="OVN10" s="28"/>
      <c r="OVO10" s="28"/>
      <c r="OVP10" s="28"/>
      <c r="OVQ10" s="28"/>
      <c r="OVR10" s="28"/>
      <c r="OVS10" s="28"/>
      <c r="OVT10" s="28"/>
      <c r="OVU10" s="28"/>
      <c r="OVV10" s="28"/>
      <c r="OVW10" s="28"/>
      <c r="OVX10" s="28"/>
      <c r="OVY10" s="28"/>
      <c r="OVZ10" s="28"/>
      <c r="OWA10" s="28"/>
      <c r="OWB10" s="28"/>
      <c r="OWC10" s="28"/>
      <c r="OWD10" s="28"/>
      <c r="OWE10" s="28"/>
      <c r="OWF10" s="28"/>
      <c r="OWG10" s="28"/>
      <c r="OWH10" s="28"/>
      <c r="OWI10" s="28"/>
      <c r="OWJ10" s="28"/>
      <c r="OWK10" s="28"/>
      <c r="OWL10" s="28"/>
      <c r="OWM10" s="28"/>
      <c r="OWN10" s="28"/>
      <c r="OWO10" s="28"/>
      <c r="OWP10" s="28"/>
      <c r="OWQ10" s="28"/>
      <c r="OWR10" s="28"/>
      <c r="OWS10" s="28"/>
      <c r="OWT10" s="28"/>
      <c r="OWU10" s="28"/>
      <c r="OWV10" s="28"/>
      <c r="OWW10" s="28"/>
      <c r="OWX10" s="28"/>
      <c r="OWY10" s="28"/>
      <c r="OWZ10" s="28"/>
      <c r="OXA10" s="28"/>
      <c r="OXB10" s="28"/>
      <c r="OXC10" s="28"/>
      <c r="OXD10" s="28"/>
      <c r="OXE10" s="28"/>
      <c r="OXF10" s="28"/>
      <c r="OXG10" s="28"/>
      <c r="OXH10" s="28"/>
      <c r="OXI10" s="28"/>
      <c r="OXJ10" s="28"/>
      <c r="OXK10" s="28"/>
      <c r="OXL10" s="28"/>
      <c r="OXM10" s="28"/>
      <c r="OXN10" s="28"/>
      <c r="OXO10" s="28"/>
      <c r="OXP10" s="28"/>
      <c r="OXQ10" s="28"/>
      <c r="OXR10" s="28"/>
      <c r="OXS10" s="28"/>
      <c r="OXT10" s="28"/>
      <c r="OXU10" s="28"/>
      <c r="OXV10" s="28"/>
      <c r="OXW10" s="28"/>
      <c r="OXX10" s="28"/>
      <c r="OXY10" s="28"/>
      <c r="OXZ10" s="28"/>
      <c r="OYA10" s="28"/>
      <c r="OYB10" s="28"/>
      <c r="OYC10" s="28"/>
      <c r="OYD10" s="28"/>
      <c r="OYE10" s="28"/>
      <c r="OYF10" s="28"/>
      <c r="OYG10" s="28"/>
      <c r="OYH10" s="28"/>
      <c r="OYI10" s="28"/>
      <c r="OYJ10" s="28"/>
      <c r="OYK10" s="28"/>
      <c r="OYL10" s="28"/>
      <c r="OYM10" s="28"/>
      <c r="OYN10" s="28"/>
      <c r="OYO10" s="28"/>
      <c r="OYP10" s="28"/>
      <c r="OYQ10" s="28"/>
      <c r="OYR10" s="28"/>
      <c r="OYS10" s="28"/>
      <c r="OYT10" s="28"/>
      <c r="OYU10" s="28"/>
      <c r="OYV10" s="28"/>
      <c r="OYW10" s="28"/>
      <c r="OYX10" s="28"/>
      <c r="OYY10" s="28"/>
      <c r="OYZ10" s="28"/>
      <c r="OZA10" s="28"/>
      <c r="OZB10" s="28"/>
      <c r="OZC10" s="28"/>
      <c r="OZD10" s="28"/>
      <c r="OZE10" s="28"/>
      <c r="OZF10" s="28"/>
      <c r="OZG10" s="28"/>
      <c r="OZH10" s="28"/>
      <c r="OZI10" s="28"/>
      <c r="OZJ10" s="28"/>
      <c r="OZK10" s="28"/>
      <c r="OZL10" s="28"/>
      <c r="OZM10" s="28"/>
      <c r="OZN10" s="28"/>
      <c r="OZO10" s="28"/>
      <c r="OZP10" s="28"/>
      <c r="OZQ10" s="28"/>
      <c r="OZR10" s="28"/>
      <c r="OZS10" s="28"/>
      <c r="OZT10" s="28"/>
      <c r="OZU10" s="28"/>
      <c r="OZV10" s="28"/>
      <c r="OZW10" s="28"/>
      <c r="OZX10" s="28"/>
      <c r="OZY10" s="28"/>
      <c r="OZZ10" s="28"/>
      <c r="PAA10" s="28"/>
      <c r="PAB10" s="28"/>
      <c r="PAC10" s="28"/>
      <c r="PAD10" s="28"/>
      <c r="PAE10" s="28"/>
      <c r="PAF10" s="28"/>
      <c r="PAG10" s="28"/>
      <c r="PAH10" s="28"/>
      <c r="PAI10" s="28"/>
      <c r="PAJ10" s="28"/>
      <c r="PAK10" s="28"/>
      <c r="PAL10" s="28"/>
      <c r="PAM10" s="28"/>
      <c r="PAN10" s="28"/>
      <c r="PAO10" s="28"/>
      <c r="PAP10" s="28"/>
      <c r="PAQ10" s="28"/>
      <c r="PAR10" s="28"/>
      <c r="PAS10" s="28"/>
      <c r="PAT10" s="28"/>
      <c r="PAU10" s="28"/>
      <c r="PAV10" s="28"/>
      <c r="PAW10" s="28"/>
      <c r="PAX10" s="28"/>
      <c r="PAY10" s="28"/>
      <c r="PAZ10" s="28"/>
      <c r="PBA10" s="28"/>
      <c r="PBB10" s="28"/>
      <c r="PBC10" s="28"/>
      <c r="PBD10" s="28"/>
      <c r="PBE10" s="28"/>
      <c r="PBF10" s="28"/>
      <c r="PBG10" s="28"/>
      <c r="PBH10" s="28"/>
      <c r="PBI10" s="28"/>
      <c r="PBJ10" s="28"/>
      <c r="PBK10" s="28"/>
      <c r="PBL10" s="28"/>
      <c r="PBM10" s="28"/>
      <c r="PBN10" s="28"/>
      <c r="PBO10" s="28"/>
      <c r="PBP10" s="28"/>
      <c r="PBQ10" s="28"/>
      <c r="PBR10" s="28"/>
      <c r="PBS10" s="28"/>
      <c r="PBT10" s="28"/>
      <c r="PBU10" s="28"/>
      <c r="PBV10" s="28"/>
      <c r="PBW10" s="28"/>
      <c r="PBX10" s="28"/>
      <c r="PBY10" s="28"/>
      <c r="PBZ10" s="28"/>
      <c r="PCA10" s="28"/>
      <c r="PCB10" s="28"/>
      <c r="PCC10" s="28"/>
      <c r="PCD10" s="28"/>
      <c r="PCE10" s="28"/>
      <c r="PCF10" s="28"/>
      <c r="PCG10" s="28"/>
      <c r="PCH10" s="28"/>
      <c r="PCI10" s="28"/>
      <c r="PCJ10" s="28"/>
      <c r="PCK10" s="28"/>
      <c r="PCL10" s="28"/>
      <c r="PCM10" s="28"/>
      <c r="PCN10" s="28"/>
      <c r="PCO10" s="28"/>
      <c r="PCP10" s="28"/>
      <c r="PCQ10" s="28"/>
      <c r="PCR10" s="28"/>
      <c r="PCS10" s="28"/>
      <c r="PCT10" s="28"/>
      <c r="PCU10" s="28"/>
      <c r="PCV10" s="28"/>
      <c r="PCW10" s="28"/>
      <c r="PCX10" s="28"/>
      <c r="PCY10" s="28"/>
      <c r="PCZ10" s="28"/>
      <c r="PDA10" s="28"/>
      <c r="PDB10" s="28"/>
      <c r="PDC10" s="28"/>
      <c r="PDD10" s="28"/>
      <c r="PDE10" s="28"/>
      <c r="PDF10" s="28"/>
      <c r="PDG10" s="28"/>
      <c r="PDH10" s="28"/>
      <c r="PDI10" s="28"/>
      <c r="PDJ10" s="28"/>
      <c r="PDK10" s="28"/>
      <c r="PDL10" s="28"/>
      <c r="PDM10" s="28"/>
      <c r="PDN10" s="28"/>
      <c r="PDO10" s="28"/>
      <c r="PDP10" s="28"/>
      <c r="PDQ10" s="28"/>
      <c r="PDR10" s="28"/>
      <c r="PDS10" s="28"/>
      <c r="PDT10" s="28"/>
      <c r="PDU10" s="28"/>
      <c r="PDV10" s="28"/>
      <c r="PDW10" s="28"/>
      <c r="PDX10" s="28"/>
      <c r="PDY10" s="28"/>
      <c r="PDZ10" s="28"/>
      <c r="PEA10" s="28"/>
      <c r="PEB10" s="28"/>
      <c r="PEC10" s="28"/>
      <c r="PED10" s="28"/>
      <c r="PEE10" s="28"/>
      <c r="PEF10" s="28"/>
      <c r="PEG10" s="28"/>
      <c r="PEH10" s="28"/>
      <c r="PEI10" s="28"/>
      <c r="PEJ10" s="28"/>
      <c r="PEK10" s="28"/>
      <c r="PEL10" s="28"/>
      <c r="PEM10" s="28"/>
      <c r="PEN10" s="28"/>
      <c r="PEO10" s="28"/>
      <c r="PEP10" s="28"/>
      <c r="PEQ10" s="28"/>
      <c r="PER10" s="28"/>
      <c r="PES10" s="28"/>
      <c r="PET10" s="28"/>
      <c r="PEU10" s="28"/>
      <c r="PEV10" s="28"/>
      <c r="PEW10" s="28"/>
      <c r="PEX10" s="28"/>
      <c r="PEY10" s="28"/>
      <c r="PEZ10" s="28"/>
      <c r="PFA10" s="28"/>
      <c r="PFB10" s="28"/>
      <c r="PFC10" s="28"/>
      <c r="PFD10" s="28"/>
      <c r="PFE10" s="28"/>
      <c r="PFF10" s="28"/>
      <c r="PFG10" s="28"/>
      <c r="PFH10" s="28"/>
      <c r="PFI10" s="28"/>
      <c r="PFJ10" s="28"/>
      <c r="PFK10" s="28"/>
      <c r="PFL10" s="28"/>
      <c r="PFM10" s="28"/>
      <c r="PFN10" s="28"/>
      <c r="PFO10" s="28"/>
      <c r="PFP10" s="28"/>
      <c r="PFQ10" s="28"/>
      <c r="PFR10" s="28"/>
      <c r="PFS10" s="28"/>
      <c r="PFT10" s="28"/>
      <c r="PFU10" s="28"/>
      <c r="PFV10" s="28"/>
      <c r="PFW10" s="28"/>
      <c r="PFX10" s="28"/>
      <c r="PFY10" s="28"/>
      <c r="PFZ10" s="28"/>
      <c r="PGA10" s="28"/>
      <c r="PGB10" s="28"/>
      <c r="PGC10" s="28"/>
      <c r="PGD10" s="28"/>
      <c r="PGE10" s="28"/>
      <c r="PGF10" s="28"/>
      <c r="PGG10" s="28"/>
      <c r="PGH10" s="28"/>
      <c r="PGI10" s="28"/>
      <c r="PGJ10" s="28"/>
      <c r="PGK10" s="28"/>
      <c r="PGL10" s="28"/>
      <c r="PGM10" s="28"/>
      <c r="PGN10" s="28"/>
      <c r="PGO10" s="28"/>
      <c r="PGP10" s="28"/>
      <c r="PGQ10" s="28"/>
      <c r="PGR10" s="28"/>
      <c r="PGS10" s="28"/>
      <c r="PGT10" s="28"/>
      <c r="PGU10" s="28"/>
      <c r="PGV10" s="28"/>
      <c r="PGW10" s="28"/>
      <c r="PGX10" s="28"/>
      <c r="PGY10" s="28"/>
      <c r="PGZ10" s="28"/>
      <c r="PHA10" s="28"/>
      <c r="PHB10" s="28"/>
      <c r="PHC10" s="28"/>
      <c r="PHD10" s="28"/>
      <c r="PHE10" s="28"/>
      <c r="PHF10" s="28"/>
      <c r="PHG10" s="28"/>
      <c r="PHH10" s="28"/>
      <c r="PHI10" s="28"/>
      <c r="PHJ10" s="28"/>
      <c r="PHK10" s="28"/>
      <c r="PHL10" s="28"/>
      <c r="PHM10" s="28"/>
      <c r="PHN10" s="28"/>
      <c r="PHO10" s="28"/>
      <c r="PHP10" s="28"/>
      <c r="PHQ10" s="28"/>
      <c r="PHR10" s="28"/>
      <c r="PHS10" s="28"/>
      <c r="PHT10" s="28"/>
      <c r="PHU10" s="28"/>
      <c r="PHV10" s="28"/>
      <c r="PHW10" s="28"/>
      <c r="PHX10" s="28"/>
      <c r="PHY10" s="28"/>
      <c r="PHZ10" s="28"/>
      <c r="PIA10" s="28"/>
      <c r="PIB10" s="28"/>
      <c r="PIC10" s="28"/>
      <c r="PID10" s="28"/>
      <c r="PIE10" s="28"/>
      <c r="PIF10" s="28"/>
      <c r="PIG10" s="28"/>
      <c r="PIH10" s="28"/>
      <c r="PII10" s="28"/>
      <c r="PIJ10" s="28"/>
      <c r="PIK10" s="28"/>
      <c r="PIL10" s="28"/>
      <c r="PIM10" s="28"/>
      <c r="PIN10" s="28"/>
      <c r="PIO10" s="28"/>
      <c r="PIP10" s="28"/>
      <c r="PIQ10" s="28"/>
      <c r="PIR10" s="28"/>
      <c r="PIS10" s="28"/>
      <c r="PIT10" s="28"/>
      <c r="PIU10" s="28"/>
      <c r="PIV10" s="28"/>
      <c r="PIW10" s="28"/>
      <c r="PIX10" s="28"/>
      <c r="PIY10" s="28"/>
      <c r="PIZ10" s="28"/>
      <c r="PJA10" s="28"/>
      <c r="PJB10" s="28"/>
      <c r="PJC10" s="28"/>
      <c r="PJD10" s="28"/>
      <c r="PJE10" s="28"/>
      <c r="PJF10" s="28"/>
      <c r="PJG10" s="28"/>
      <c r="PJH10" s="28"/>
      <c r="PJI10" s="28"/>
      <c r="PJJ10" s="28"/>
      <c r="PJK10" s="28"/>
      <c r="PJL10" s="28"/>
      <c r="PJM10" s="28"/>
      <c r="PJN10" s="28"/>
      <c r="PJO10" s="28"/>
      <c r="PJP10" s="28"/>
      <c r="PJQ10" s="28"/>
      <c r="PJR10" s="28"/>
      <c r="PJS10" s="28"/>
      <c r="PJT10" s="28"/>
      <c r="PJU10" s="28"/>
      <c r="PJV10" s="28"/>
      <c r="PJW10" s="28"/>
      <c r="PJX10" s="28"/>
      <c r="PJY10" s="28"/>
      <c r="PJZ10" s="28"/>
      <c r="PKA10" s="28"/>
      <c r="PKB10" s="28"/>
      <c r="PKC10" s="28"/>
      <c r="PKD10" s="28"/>
      <c r="PKE10" s="28"/>
      <c r="PKF10" s="28"/>
      <c r="PKG10" s="28"/>
      <c r="PKH10" s="28"/>
      <c r="PKI10" s="28"/>
      <c r="PKJ10" s="28"/>
      <c r="PKK10" s="28"/>
      <c r="PKL10" s="28"/>
      <c r="PKM10" s="28"/>
      <c r="PKN10" s="28"/>
      <c r="PKO10" s="28"/>
      <c r="PKP10" s="28"/>
      <c r="PKQ10" s="28"/>
      <c r="PKR10" s="28"/>
      <c r="PKS10" s="28"/>
      <c r="PKT10" s="28"/>
      <c r="PKU10" s="28"/>
      <c r="PKV10" s="28"/>
      <c r="PKW10" s="28"/>
      <c r="PKX10" s="28"/>
      <c r="PKY10" s="28"/>
      <c r="PKZ10" s="28"/>
      <c r="PLA10" s="28"/>
      <c r="PLB10" s="28"/>
      <c r="PLC10" s="28"/>
      <c r="PLD10" s="28"/>
      <c r="PLE10" s="28"/>
      <c r="PLF10" s="28"/>
      <c r="PLG10" s="28"/>
      <c r="PLH10" s="28"/>
      <c r="PLI10" s="28"/>
      <c r="PLJ10" s="28"/>
      <c r="PLK10" s="28"/>
      <c r="PLL10" s="28"/>
      <c r="PLM10" s="28"/>
      <c r="PLN10" s="28"/>
      <c r="PLO10" s="28"/>
      <c r="PLP10" s="28"/>
      <c r="PLQ10" s="28"/>
      <c r="PLR10" s="28"/>
      <c r="PLS10" s="28"/>
      <c r="PLT10" s="28"/>
      <c r="PLU10" s="28"/>
      <c r="PLV10" s="28"/>
      <c r="PLW10" s="28"/>
      <c r="PLX10" s="28"/>
      <c r="PLY10" s="28"/>
      <c r="PLZ10" s="28"/>
      <c r="PMA10" s="28"/>
      <c r="PMB10" s="28"/>
      <c r="PMC10" s="28"/>
      <c r="PMD10" s="28"/>
      <c r="PME10" s="28"/>
      <c r="PMF10" s="28"/>
      <c r="PMG10" s="28"/>
      <c r="PMH10" s="28"/>
      <c r="PMI10" s="28"/>
      <c r="PMJ10" s="28"/>
      <c r="PMK10" s="28"/>
      <c r="PML10" s="28"/>
      <c r="PMM10" s="28"/>
      <c r="PMN10" s="28"/>
      <c r="PMO10" s="28"/>
      <c r="PMP10" s="28"/>
      <c r="PMQ10" s="28"/>
      <c r="PMR10" s="28"/>
      <c r="PMS10" s="28"/>
      <c r="PMT10" s="28"/>
      <c r="PMU10" s="28"/>
      <c r="PMV10" s="28"/>
      <c r="PMW10" s="28"/>
      <c r="PMX10" s="28"/>
      <c r="PMY10" s="28"/>
      <c r="PMZ10" s="28"/>
      <c r="PNA10" s="28"/>
      <c r="PNB10" s="28"/>
      <c r="PNC10" s="28"/>
      <c r="PND10" s="28"/>
      <c r="PNE10" s="28"/>
      <c r="PNF10" s="28"/>
      <c r="PNG10" s="28"/>
      <c r="PNH10" s="28"/>
      <c r="PNI10" s="28"/>
      <c r="PNJ10" s="28"/>
      <c r="PNK10" s="28"/>
      <c r="PNL10" s="28"/>
      <c r="PNM10" s="28"/>
      <c r="PNN10" s="28"/>
      <c r="PNO10" s="28"/>
      <c r="PNP10" s="28"/>
      <c r="PNQ10" s="28"/>
      <c r="PNR10" s="28"/>
      <c r="PNS10" s="28"/>
      <c r="PNT10" s="28"/>
      <c r="PNU10" s="28"/>
      <c r="PNV10" s="28"/>
      <c r="PNW10" s="28"/>
      <c r="PNX10" s="28"/>
      <c r="PNY10" s="28"/>
      <c r="PNZ10" s="28"/>
      <c r="POA10" s="28"/>
      <c r="POB10" s="28"/>
      <c r="POC10" s="28"/>
      <c r="POD10" s="28"/>
      <c r="POE10" s="28"/>
      <c r="POF10" s="28"/>
      <c r="POG10" s="28"/>
      <c r="POH10" s="28"/>
      <c r="POI10" s="28"/>
      <c r="POJ10" s="28"/>
      <c r="POK10" s="28"/>
      <c r="POL10" s="28"/>
      <c r="POM10" s="28"/>
      <c r="PON10" s="28"/>
      <c r="POO10" s="28"/>
      <c r="POP10" s="28"/>
      <c r="POQ10" s="28"/>
      <c r="POR10" s="28"/>
      <c r="POS10" s="28"/>
      <c r="POT10" s="28"/>
      <c r="POU10" s="28"/>
      <c r="POV10" s="28"/>
      <c r="POW10" s="28"/>
      <c r="POX10" s="28"/>
      <c r="POY10" s="28"/>
      <c r="POZ10" s="28"/>
      <c r="PPA10" s="28"/>
      <c r="PPB10" s="28"/>
      <c r="PPC10" s="28"/>
      <c r="PPD10" s="28"/>
      <c r="PPE10" s="28"/>
      <c r="PPF10" s="28"/>
      <c r="PPG10" s="28"/>
      <c r="PPH10" s="28"/>
      <c r="PPI10" s="28"/>
      <c r="PPJ10" s="28"/>
      <c r="PPK10" s="28"/>
      <c r="PPL10" s="28"/>
      <c r="PPM10" s="28"/>
      <c r="PPN10" s="28"/>
      <c r="PPO10" s="28"/>
      <c r="PPP10" s="28"/>
      <c r="PPQ10" s="28"/>
      <c r="PPR10" s="28"/>
      <c r="PPS10" s="28"/>
      <c r="PPT10" s="28"/>
      <c r="PPU10" s="28"/>
      <c r="PPV10" s="28"/>
      <c r="PPW10" s="28"/>
      <c r="PPX10" s="28"/>
      <c r="PPY10" s="28"/>
      <c r="PPZ10" s="28"/>
      <c r="PQA10" s="28"/>
      <c r="PQB10" s="28"/>
      <c r="PQC10" s="28"/>
      <c r="PQD10" s="28"/>
      <c r="PQE10" s="28"/>
      <c r="PQF10" s="28"/>
      <c r="PQG10" s="28"/>
      <c r="PQH10" s="28"/>
      <c r="PQI10" s="28"/>
      <c r="PQJ10" s="28"/>
      <c r="PQK10" s="28"/>
      <c r="PQL10" s="28"/>
      <c r="PQM10" s="28"/>
      <c r="PQN10" s="28"/>
      <c r="PQO10" s="28"/>
      <c r="PQP10" s="28"/>
      <c r="PQQ10" s="28"/>
      <c r="PQR10" s="28"/>
      <c r="PQS10" s="28"/>
      <c r="PQT10" s="28"/>
      <c r="PQU10" s="28"/>
      <c r="PQV10" s="28"/>
      <c r="PQW10" s="28"/>
      <c r="PQX10" s="28"/>
      <c r="PQY10" s="28"/>
      <c r="PQZ10" s="28"/>
      <c r="PRA10" s="28"/>
      <c r="PRB10" s="28"/>
      <c r="PRC10" s="28"/>
      <c r="PRD10" s="28"/>
      <c r="PRE10" s="28"/>
      <c r="PRF10" s="28"/>
      <c r="PRG10" s="28"/>
      <c r="PRH10" s="28"/>
      <c r="PRI10" s="28"/>
      <c r="PRJ10" s="28"/>
      <c r="PRK10" s="28"/>
      <c r="PRL10" s="28"/>
      <c r="PRM10" s="28"/>
      <c r="PRN10" s="28"/>
      <c r="PRO10" s="28"/>
      <c r="PRP10" s="28"/>
      <c r="PRQ10" s="28"/>
      <c r="PRR10" s="28"/>
      <c r="PRS10" s="28"/>
      <c r="PRT10" s="28"/>
      <c r="PRU10" s="28"/>
      <c r="PRV10" s="28"/>
      <c r="PRW10" s="28"/>
      <c r="PRX10" s="28"/>
      <c r="PRY10" s="28"/>
      <c r="PRZ10" s="28"/>
      <c r="PSA10" s="28"/>
      <c r="PSB10" s="28"/>
      <c r="PSC10" s="28"/>
      <c r="PSD10" s="28"/>
      <c r="PSE10" s="28"/>
      <c r="PSF10" s="28"/>
      <c r="PSG10" s="28"/>
      <c r="PSH10" s="28"/>
      <c r="PSI10" s="28"/>
      <c r="PSJ10" s="28"/>
      <c r="PSK10" s="28"/>
      <c r="PSL10" s="28"/>
      <c r="PSM10" s="28"/>
      <c r="PSN10" s="28"/>
      <c r="PSO10" s="28"/>
      <c r="PSP10" s="28"/>
      <c r="PSQ10" s="28"/>
      <c r="PSR10" s="28"/>
      <c r="PSS10" s="28"/>
      <c r="PST10" s="28"/>
      <c r="PSU10" s="28"/>
      <c r="PSV10" s="28"/>
      <c r="PSW10" s="28"/>
      <c r="PSX10" s="28"/>
      <c r="PSY10" s="28"/>
      <c r="PSZ10" s="28"/>
      <c r="PTA10" s="28"/>
      <c r="PTB10" s="28"/>
      <c r="PTC10" s="28"/>
      <c r="PTD10" s="28"/>
      <c r="PTE10" s="28"/>
      <c r="PTF10" s="28"/>
      <c r="PTG10" s="28"/>
      <c r="PTH10" s="28"/>
      <c r="PTI10" s="28"/>
      <c r="PTJ10" s="28"/>
      <c r="PTK10" s="28"/>
      <c r="PTL10" s="28"/>
      <c r="PTM10" s="28"/>
      <c r="PTN10" s="28"/>
      <c r="PTO10" s="28"/>
      <c r="PTP10" s="28"/>
      <c r="PTQ10" s="28"/>
      <c r="PTR10" s="28"/>
      <c r="PTS10" s="28"/>
      <c r="PTT10" s="28"/>
      <c r="PTU10" s="28"/>
      <c r="PTV10" s="28"/>
      <c r="PTW10" s="28"/>
      <c r="PTX10" s="28"/>
      <c r="PTY10" s="28"/>
      <c r="PTZ10" s="28"/>
      <c r="PUA10" s="28"/>
      <c r="PUB10" s="28"/>
      <c r="PUC10" s="28"/>
      <c r="PUD10" s="28"/>
      <c r="PUE10" s="28"/>
      <c r="PUF10" s="28"/>
      <c r="PUG10" s="28"/>
      <c r="PUH10" s="28"/>
      <c r="PUI10" s="28"/>
      <c r="PUJ10" s="28"/>
      <c r="PUK10" s="28"/>
      <c r="PUL10" s="28"/>
      <c r="PUM10" s="28"/>
      <c r="PUN10" s="28"/>
      <c r="PUO10" s="28"/>
      <c r="PUP10" s="28"/>
      <c r="PUQ10" s="28"/>
      <c r="PUR10" s="28"/>
      <c r="PUS10" s="28"/>
      <c r="PUT10" s="28"/>
      <c r="PUU10" s="28"/>
      <c r="PUV10" s="28"/>
      <c r="PUW10" s="28"/>
      <c r="PUX10" s="28"/>
      <c r="PUY10" s="28"/>
      <c r="PUZ10" s="28"/>
      <c r="PVA10" s="28"/>
      <c r="PVB10" s="28"/>
      <c r="PVC10" s="28"/>
      <c r="PVD10" s="28"/>
      <c r="PVE10" s="28"/>
      <c r="PVF10" s="28"/>
      <c r="PVG10" s="28"/>
      <c r="PVH10" s="28"/>
      <c r="PVI10" s="28"/>
      <c r="PVJ10" s="28"/>
      <c r="PVK10" s="28"/>
      <c r="PVL10" s="28"/>
      <c r="PVM10" s="28"/>
      <c r="PVN10" s="28"/>
      <c r="PVO10" s="28"/>
      <c r="PVP10" s="28"/>
      <c r="PVQ10" s="28"/>
      <c r="PVR10" s="28"/>
      <c r="PVS10" s="28"/>
      <c r="PVT10" s="28"/>
      <c r="PVU10" s="28"/>
      <c r="PVV10" s="28"/>
      <c r="PVW10" s="28"/>
      <c r="PVX10" s="28"/>
      <c r="PVY10" s="28"/>
      <c r="PVZ10" s="28"/>
      <c r="PWA10" s="28"/>
      <c r="PWB10" s="28"/>
      <c r="PWC10" s="28"/>
      <c r="PWD10" s="28"/>
      <c r="PWE10" s="28"/>
      <c r="PWF10" s="28"/>
      <c r="PWG10" s="28"/>
      <c r="PWH10" s="28"/>
      <c r="PWI10" s="28"/>
      <c r="PWJ10" s="28"/>
      <c r="PWK10" s="28"/>
      <c r="PWL10" s="28"/>
      <c r="PWM10" s="28"/>
      <c r="PWN10" s="28"/>
      <c r="PWO10" s="28"/>
      <c r="PWP10" s="28"/>
      <c r="PWQ10" s="28"/>
      <c r="PWR10" s="28"/>
      <c r="PWS10" s="28"/>
      <c r="PWT10" s="28"/>
      <c r="PWU10" s="28"/>
      <c r="PWV10" s="28"/>
      <c r="PWW10" s="28"/>
      <c r="PWX10" s="28"/>
      <c r="PWY10" s="28"/>
      <c r="PWZ10" s="28"/>
      <c r="PXA10" s="28"/>
      <c r="PXB10" s="28"/>
      <c r="PXC10" s="28"/>
      <c r="PXD10" s="28"/>
      <c r="PXE10" s="28"/>
      <c r="PXF10" s="28"/>
      <c r="PXG10" s="28"/>
      <c r="PXH10" s="28"/>
      <c r="PXI10" s="28"/>
      <c r="PXJ10" s="28"/>
      <c r="PXK10" s="28"/>
      <c r="PXL10" s="28"/>
      <c r="PXM10" s="28"/>
      <c r="PXN10" s="28"/>
      <c r="PXO10" s="28"/>
      <c r="PXP10" s="28"/>
      <c r="PXQ10" s="28"/>
      <c r="PXR10" s="28"/>
      <c r="PXS10" s="28"/>
      <c r="PXT10" s="28"/>
      <c r="PXU10" s="28"/>
      <c r="PXV10" s="28"/>
      <c r="PXW10" s="28"/>
      <c r="PXX10" s="28"/>
      <c r="PXY10" s="28"/>
      <c r="PXZ10" s="28"/>
      <c r="PYA10" s="28"/>
      <c r="PYB10" s="28"/>
      <c r="PYC10" s="28"/>
      <c r="PYD10" s="28"/>
      <c r="PYE10" s="28"/>
      <c r="PYF10" s="28"/>
      <c r="PYG10" s="28"/>
      <c r="PYH10" s="28"/>
      <c r="PYI10" s="28"/>
      <c r="PYJ10" s="28"/>
      <c r="PYK10" s="28"/>
      <c r="PYL10" s="28"/>
      <c r="PYM10" s="28"/>
      <c r="PYN10" s="28"/>
      <c r="PYO10" s="28"/>
      <c r="PYP10" s="28"/>
      <c r="PYQ10" s="28"/>
      <c r="PYR10" s="28"/>
      <c r="PYS10" s="28"/>
      <c r="PYT10" s="28"/>
      <c r="PYU10" s="28"/>
      <c r="PYV10" s="28"/>
      <c r="PYW10" s="28"/>
      <c r="PYX10" s="28"/>
      <c r="PYY10" s="28"/>
      <c r="PYZ10" s="28"/>
      <c r="PZA10" s="28"/>
      <c r="PZB10" s="28"/>
      <c r="PZC10" s="28"/>
      <c r="PZD10" s="28"/>
      <c r="PZE10" s="28"/>
      <c r="PZF10" s="28"/>
      <c r="PZG10" s="28"/>
      <c r="PZH10" s="28"/>
      <c r="PZI10" s="28"/>
      <c r="PZJ10" s="28"/>
      <c r="PZK10" s="28"/>
      <c r="PZL10" s="28"/>
      <c r="PZM10" s="28"/>
      <c r="PZN10" s="28"/>
      <c r="PZO10" s="28"/>
      <c r="PZP10" s="28"/>
      <c r="PZQ10" s="28"/>
      <c r="PZR10" s="28"/>
      <c r="PZS10" s="28"/>
      <c r="PZT10" s="28"/>
      <c r="PZU10" s="28"/>
      <c r="PZV10" s="28"/>
      <c r="PZW10" s="28"/>
      <c r="PZX10" s="28"/>
      <c r="PZY10" s="28"/>
      <c r="PZZ10" s="28"/>
      <c r="QAA10" s="28"/>
      <c r="QAB10" s="28"/>
      <c r="QAC10" s="28"/>
      <c r="QAD10" s="28"/>
      <c r="QAE10" s="28"/>
      <c r="QAF10" s="28"/>
      <c r="QAG10" s="28"/>
      <c r="QAH10" s="28"/>
      <c r="QAI10" s="28"/>
      <c r="QAJ10" s="28"/>
      <c r="QAK10" s="28"/>
      <c r="QAL10" s="28"/>
      <c r="QAM10" s="28"/>
      <c r="QAN10" s="28"/>
      <c r="QAO10" s="28"/>
      <c r="QAP10" s="28"/>
      <c r="QAQ10" s="28"/>
      <c r="QAR10" s="28"/>
      <c r="QAS10" s="28"/>
      <c r="QAT10" s="28"/>
      <c r="QAU10" s="28"/>
      <c r="QAV10" s="28"/>
      <c r="QAW10" s="28"/>
      <c r="QAX10" s="28"/>
      <c r="QAY10" s="28"/>
      <c r="QAZ10" s="28"/>
      <c r="QBA10" s="28"/>
      <c r="QBB10" s="28"/>
      <c r="QBC10" s="28"/>
      <c r="QBD10" s="28"/>
      <c r="QBE10" s="28"/>
      <c r="QBF10" s="28"/>
      <c r="QBG10" s="28"/>
      <c r="QBH10" s="28"/>
      <c r="QBI10" s="28"/>
      <c r="QBJ10" s="28"/>
      <c r="QBK10" s="28"/>
      <c r="QBL10" s="28"/>
      <c r="QBM10" s="28"/>
      <c r="QBN10" s="28"/>
      <c r="QBO10" s="28"/>
      <c r="QBP10" s="28"/>
      <c r="QBQ10" s="28"/>
      <c r="QBR10" s="28"/>
      <c r="QBS10" s="28"/>
      <c r="QBT10" s="28"/>
      <c r="QBU10" s="28"/>
      <c r="QBV10" s="28"/>
      <c r="QBW10" s="28"/>
      <c r="QBX10" s="28"/>
      <c r="QBY10" s="28"/>
      <c r="QBZ10" s="28"/>
      <c r="QCA10" s="28"/>
      <c r="QCB10" s="28"/>
      <c r="QCC10" s="28"/>
      <c r="QCD10" s="28"/>
      <c r="QCE10" s="28"/>
      <c r="QCF10" s="28"/>
      <c r="QCG10" s="28"/>
      <c r="QCH10" s="28"/>
      <c r="QCI10" s="28"/>
      <c r="QCJ10" s="28"/>
      <c r="QCK10" s="28"/>
      <c r="QCL10" s="28"/>
      <c r="QCM10" s="28"/>
      <c r="QCN10" s="28"/>
      <c r="QCO10" s="28"/>
      <c r="QCP10" s="28"/>
      <c r="QCQ10" s="28"/>
      <c r="QCR10" s="28"/>
      <c r="QCS10" s="28"/>
      <c r="QCT10" s="28"/>
      <c r="QCU10" s="28"/>
      <c r="QCV10" s="28"/>
      <c r="QCW10" s="28"/>
      <c r="QCX10" s="28"/>
      <c r="QCY10" s="28"/>
      <c r="QCZ10" s="28"/>
      <c r="QDA10" s="28"/>
      <c r="QDB10" s="28"/>
      <c r="QDC10" s="28"/>
      <c r="QDD10" s="28"/>
      <c r="QDE10" s="28"/>
      <c r="QDF10" s="28"/>
      <c r="QDG10" s="28"/>
      <c r="QDH10" s="28"/>
      <c r="QDI10" s="28"/>
      <c r="QDJ10" s="28"/>
      <c r="QDK10" s="28"/>
      <c r="QDL10" s="28"/>
      <c r="QDM10" s="28"/>
      <c r="QDN10" s="28"/>
      <c r="QDO10" s="28"/>
      <c r="QDP10" s="28"/>
      <c r="QDQ10" s="28"/>
      <c r="QDR10" s="28"/>
      <c r="QDS10" s="28"/>
      <c r="QDT10" s="28"/>
      <c r="QDU10" s="28"/>
      <c r="QDV10" s="28"/>
      <c r="QDW10" s="28"/>
      <c r="QDX10" s="28"/>
      <c r="QDY10" s="28"/>
      <c r="QDZ10" s="28"/>
      <c r="QEA10" s="28"/>
      <c r="QEB10" s="28"/>
      <c r="QEC10" s="28"/>
      <c r="QED10" s="28"/>
      <c r="QEE10" s="28"/>
      <c r="QEF10" s="28"/>
      <c r="QEG10" s="28"/>
      <c r="QEH10" s="28"/>
      <c r="QEI10" s="28"/>
      <c r="QEJ10" s="28"/>
      <c r="QEK10" s="28"/>
      <c r="QEL10" s="28"/>
      <c r="QEM10" s="28"/>
      <c r="QEN10" s="28"/>
      <c r="QEO10" s="28"/>
      <c r="QEP10" s="28"/>
      <c r="QEQ10" s="28"/>
      <c r="QER10" s="28"/>
      <c r="QES10" s="28"/>
      <c r="QET10" s="28"/>
      <c r="QEU10" s="28"/>
      <c r="QEV10" s="28"/>
      <c r="QEW10" s="28"/>
      <c r="QEX10" s="28"/>
      <c r="QEY10" s="28"/>
      <c r="QEZ10" s="28"/>
      <c r="QFA10" s="28"/>
      <c r="QFB10" s="28"/>
      <c r="QFC10" s="28"/>
      <c r="QFD10" s="28"/>
      <c r="QFE10" s="28"/>
      <c r="QFF10" s="28"/>
      <c r="QFG10" s="28"/>
      <c r="QFH10" s="28"/>
      <c r="QFI10" s="28"/>
      <c r="QFJ10" s="28"/>
      <c r="QFK10" s="28"/>
      <c r="QFL10" s="28"/>
      <c r="QFM10" s="28"/>
      <c r="QFN10" s="28"/>
      <c r="QFO10" s="28"/>
      <c r="QFP10" s="28"/>
      <c r="QFQ10" s="28"/>
      <c r="QFR10" s="28"/>
      <c r="QFS10" s="28"/>
      <c r="QFT10" s="28"/>
      <c r="QFU10" s="28"/>
      <c r="QFV10" s="28"/>
      <c r="QFW10" s="28"/>
      <c r="QFX10" s="28"/>
      <c r="QFY10" s="28"/>
      <c r="QFZ10" s="28"/>
      <c r="QGA10" s="28"/>
      <c r="QGB10" s="28"/>
      <c r="QGC10" s="28"/>
      <c r="QGD10" s="28"/>
      <c r="QGE10" s="28"/>
      <c r="QGF10" s="28"/>
      <c r="QGG10" s="28"/>
      <c r="QGH10" s="28"/>
      <c r="QGI10" s="28"/>
      <c r="QGJ10" s="28"/>
      <c r="QGK10" s="28"/>
      <c r="QGL10" s="28"/>
      <c r="QGM10" s="28"/>
      <c r="QGN10" s="28"/>
      <c r="QGO10" s="28"/>
      <c r="QGP10" s="28"/>
      <c r="QGQ10" s="28"/>
      <c r="QGR10" s="28"/>
      <c r="QGS10" s="28"/>
      <c r="QGT10" s="28"/>
      <c r="QGU10" s="28"/>
      <c r="QGV10" s="28"/>
      <c r="QGW10" s="28"/>
      <c r="QGX10" s="28"/>
      <c r="QGY10" s="28"/>
      <c r="QGZ10" s="28"/>
      <c r="QHA10" s="28"/>
      <c r="QHB10" s="28"/>
      <c r="QHC10" s="28"/>
      <c r="QHD10" s="28"/>
      <c r="QHE10" s="28"/>
      <c r="QHF10" s="28"/>
      <c r="QHG10" s="28"/>
      <c r="QHH10" s="28"/>
      <c r="QHI10" s="28"/>
      <c r="QHJ10" s="28"/>
      <c r="QHK10" s="28"/>
      <c r="QHL10" s="28"/>
      <c r="QHM10" s="28"/>
      <c r="QHN10" s="28"/>
      <c r="QHO10" s="28"/>
      <c r="QHP10" s="28"/>
      <c r="QHQ10" s="28"/>
      <c r="QHR10" s="28"/>
      <c r="QHS10" s="28"/>
      <c r="QHT10" s="28"/>
      <c r="QHU10" s="28"/>
      <c r="QHV10" s="28"/>
      <c r="QHW10" s="28"/>
      <c r="QHX10" s="28"/>
      <c r="QHY10" s="28"/>
      <c r="QHZ10" s="28"/>
      <c r="QIA10" s="28"/>
      <c r="QIB10" s="28"/>
      <c r="QIC10" s="28"/>
      <c r="QID10" s="28"/>
      <c r="QIE10" s="28"/>
      <c r="QIF10" s="28"/>
      <c r="QIG10" s="28"/>
      <c r="QIH10" s="28"/>
      <c r="QII10" s="28"/>
      <c r="QIJ10" s="28"/>
      <c r="QIK10" s="28"/>
      <c r="QIL10" s="28"/>
      <c r="QIM10" s="28"/>
      <c r="QIN10" s="28"/>
      <c r="QIO10" s="28"/>
      <c r="QIP10" s="28"/>
      <c r="QIQ10" s="28"/>
      <c r="QIR10" s="28"/>
      <c r="QIS10" s="28"/>
      <c r="QIT10" s="28"/>
      <c r="QIU10" s="28"/>
      <c r="QIV10" s="28"/>
      <c r="QIW10" s="28"/>
      <c r="QIX10" s="28"/>
      <c r="QIY10" s="28"/>
      <c r="QIZ10" s="28"/>
      <c r="QJA10" s="28"/>
      <c r="QJB10" s="28"/>
      <c r="QJC10" s="28"/>
      <c r="QJD10" s="28"/>
      <c r="QJE10" s="28"/>
      <c r="QJF10" s="28"/>
      <c r="QJG10" s="28"/>
      <c r="QJH10" s="28"/>
      <c r="QJI10" s="28"/>
      <c r="QJJ10" s="28"/>
      <c r="QJK10" s="28"/>
      <c r="QJL10" s="28"/>
      <c r="QJM10" s="28"/>
      <c r="QJN10" s="28"/>
      <c r="QJO10" s="28"/>
      <c r="QJP10" s="28"/>
      <c r="QJQ10" s="28"/>
      <c r="QJR10" s="28"/>
      <c r="QJS10" s="28"/>
      <c r="QJT10" s="28"/>
      <c r="QJU10" s="28"/>
      <c r="QJV10" s="28"/>
      <c r="QJW10" s="28"/>
      <c r="QJX10" s="28"/>
      <c r="QJY10" s="28"/>
      <c r="QJZ10" s="28"/>
      <c r="QKA10" s="28"/>
      <c r="QKB10" s="28"/>
      <c r="QKC10" s="28"/>
      <c r="QKD10" s="28"/>
      <c r="QKE10" s="28"/>
      <c r="QKF10" s="28"/>
      <c r="QKG10" s="28"/>
      <c r="QKH10" s="28"/>
      <c r="QKI10" s="28"/>
      <c r="QKJ10" s="28"/>
      <c r="QKK10" s="28"/>
      <c r="QKL10" s="28"/>
      <c r="QKM10" s="28"/>
      <c r="QKN10" s="28"/>
      <c r="QKO10" s="28"/>
      <c r="QKP10" s="28"/>
      <c r="QKQ10" s="28"/>
      <c r="QKR10" s="28"/>
      <c r="QKS10" s="28"/>
      <c r="QKT10" s="28"/>
      <c r="QKU10" s="28"/>
      <c r="QKV10" s="28"/>
      <c r="QKW10" s="28"/>
      <c r="QKX10" s="28"/>
      <c r="QKY10" s="28"/>
      <c r="QKZ10" s="28"/>
      <c r="QLA10" s="28"/>
      <c r="QLB10" s="28"/>
      <c r="QLC10" s="28"/>
      <c r="QLD10" s="28"/>
      <c r="QLE10" s="28"/>
      <c r="QLF10" s="28"/>
      <c r="QLG10" s="28"/>
      <c r="QLH10" s="28"/>
      <c r="QLI10" s="28"/>
      <c r="QLJ10" s="28"/>
      <c r="QLK10" s="28"/>
      <c r="QLL10" s="28"/>
      <c r="QLM10" s="28"/>
      <c r="QLN10" s="28"/>
      <c r="QLO10" s="28"/>
      <c r="QLP10" s="28"/>
      <c r="QLQ10" s="28"/>
      <c r="QLR10" s="28"/>
      <c r="QLS10" s="28"/>
      <c r="QLT10" s="28"/>
      <c r="QLU10" s="28"/>
      <c r="QLV10" s="28"/>
      <c r="QLW10" s="28"/>
      <c r="QLX10" s="28"/>
      <c r="QLY10" s="28"/>
      <c r="QLZ10" s="28"/>
      <c r="QMA10" s="28"/>
      <c r="QMB10" s="28"/>
      <c r="QMC10" s="28"/>
      <c r="QMD10" s="28"/>
      <c r="QME10" s="28"/>
      <c r="QMF10" s="28"/>
      <c r="QMG10" s="28"/>
      <c r="QMH10" s="28"/>
      <c r="QMI10" s="28"/>
      <c r="QMJ10" s="28"/>
      <c r="QMK10" s="28"/>
      <c r="QML10" s="28"/>
      <c r="QMM10" s="28"/>
      <c r="QMN10" s="28"/>
      <c r="QMO10" s="28"/>
      <c r="QMP10" s="28"/>
      <c r="QMQ10" s="28"/>
      <c r="QMR10" s="28"/>
      <c r="QMS10" s="28"/>
      <c r="QMT10" s="28"/>
      <c r="QMU10" s="28"/>
      <c r="QMV10" s="28"/>
      <c r="QMW10" s="28"/>
      <c r="QMX10" s="28"/>
      <c r="QMY10" s="28"/>
      <c r="QMZ10" s="28"/>
      <c r="QNA10" s="28"/>
      <c r="QNB10" s="28"/>
      <c r="QNC10" s="28"/>
      <c r="QND10" s="28"/>
      <c r="QNE10" s="28"/>
      <c r="QNF10" s="28"/>
      <c r="QNG10" s="28"/>
      <c r="QNH10" s="28"/>
      <c r="QNI10" s="28"/>
      <c r="QNJ10" s="28"/>
      <c r="QNK10" s="28"/>
      <c r="QNL10" s="28"/>
      <c r="QNM10" s="28"/>
      <c r="QNN10" s="28"/>
      <c r="QNO10" s="28"/>
      <c r="QNP10" s="28"/>
      <c r="QNQ10" s="28"/>
      <c r="QNR10" s="28"/>
      <c r="QNS10" s="28"/>
      <c r="QNT10" s="28"/>
      <c r="QNU10" s="28"/>
      <c r="QNV10" s="28"/>
      <c r="QNW10" s="28"/>
      <c r="QNX10" s="28"/>
      <c r="QNY10" s="28"/>
      <c r="QNZ10" s="28"/>
      <c r="QOA10" s="28"/>
      <c r="QOB10" s="28"/>
      <c r="QOC10" s="28"/>
      <c r="QOD10" s="28"/>
      <c r="QOE10" s="28"/>
      <c r="QOF10" s="28"/>
      <c r="QOG10" s="28"/>
      <c r="QOH10" s="28"/>
      <c r="QOI10" s="28"/>
      <c r="QOJ10" s="28"/>
      <c r="QOK10" s="28"/>
      <c r="QOL10" s="28"/>
      <c r="QOM10" s="28"/>
      <c r="QON10" s="28"/>
      <c r="QOO10" s="28"/>
      <c r="QOP10" s="28"/>
      <c r="QOQ10" s="28"/>
      <c r="QOR10" s="28"/>
      <c r="QOS10" s="28"/>
      <c r="QOT10" s="28"/>
      <c r="QOU10" s="28"/>
      <c r="QOV10" s="28"/>
      <c r="QOW10" s="28"/>
      <c r="QOX10" s="28"/>
      <c r="QOY10" s="28"/>
      <c r="QOZ10" s="28"/>
      <c r="QPA10" s="28"/>
      <c r="QPB10" s="28"/>
      <c r="QPC10" s="28"/>
      <c r="QPD10" s="28"/>
      <c r="QPE10" s="28"/>
      <c r="QPF10" s="28"/>
      <c r="QPG10" s="28"/>
      <c r="QPH10" s="28"/>
      <c r="QPI10" s="28"/>
      <c r="QPJ10" s="28"/>
      <c r="QPK10" s="28"/>
      <c r="QPL10" s="28"/>
      <c r="QPM10" s="28"/>
      <c r="QPN10" s="28"/>
      <c r="QPO10" s="28"/>
      <c r="QPP10" s="28"/>
      <c r="QPQ10" s="28"/>
      <c r="QPR10" s="28"/>
      <c r="QPS10" s="28"/>
      <c r="QPT10" s="28"/>
      <c r="QPU10" s="28"/>
      <c r="QPV10" s="28"/>
      <c r="QPW10" s="28"/>
      <c r="QPX10" s="28"/>
      <c r="QPY10" s="28"/>
      <c r="QPZ10" s="28"/>
      <c r="QQA10" s="28"/>
      <c r="QQB10" s="28"/>
      <c r="QQC10" s="28"/>
      <c r="QQD10" s="28"/>
      <c r="QQE10" s="28"/>
      <c r="QQF10" s="28"/>
      <c r="QQG10" s="28"/>
      <c r="QQH10" s="28"/>
      <c r="QQI10" s="28"/>
      <c r="QQJ10" s="28"/>
      <c r="QQK10" s="28"/>
      <c r="QQL10" s="28"/>
      <c r="QQM10" s="28"/>
      <c r="QQN10" s="28"/>
      <c r="QQO10" s="28"/>
      <c r="QQP10" s="28"/>
      <c r="QQQ10" s="28"/>
      <c r="QQR10" s="28"/>
      <c r="QQS10" s="28"/>
      <c r="QQT10" s="28"/>
      <c r="QQU10" s="28"/>
      <c r="QQV10" s="28"/>
      <c r="QQW10" s="28"/>
      <c r="QQX10" s="28"/>
      <c r="QQY10" s="28"/>
      <c r="QQZ10" s="28"/>
      <c r="QRA10" s="28"/>
      <c r="QRB10" s="28"/>
      <c r="QRC10" s="28"/>
      <c r="QRD10" s="28"/>
      <c r="QRE10" s="28"/>
      <c r="QRF10" s="28"/>
      <c r="QRG10" s="28"/>
      <c r="QRH10" s="28"/>
      <c r="QRI10" s="28"/>
      <c r="QRJ10" s="28"/>
      <c r="QRK10" s="28"/>
      <c r="QRL10" s="28"/>
      <c r="QRM10" s="28"/>
      <c r="QRN10" s="28"/>
      <c r="QRO10" s="28"/>
      <c r="QRP10" s="28"/>
      <c r="QRQ10" s="28"/>
      <c r="QRR10" s="28"/>
      <c r="QRS10" s="28"/>
      <c r="QRT10" s="28"/>
      <c r="QRU10" s="28"/>
      <c r="QRV10" s="28"/>
      <c r="QRW10" s="28"/>
      <c r="QRX10" s="28"/>
      <c r="QRY10" s="28"/>
      <c r="QRZ10" s="28"/>
      <c r="QSA10" s="28"/>
      <c r="QSB10" s="28"/>
      <c r="QSC10" s="28"/>
      <c r="QSD10" s="28"/>
      <c r="QSE10" s="28"/>
      <c r="QSF10" s="28"/>
      <c r="QSG10" s="28"/>
      <c r="QSH10" s="28"/>
      <c r="QSI10" s="28"/>
      <c r="QSJ10" s="28"/>
      <c r="QSK10" s="28"/>
      <c r="QSL10" s="28"/>
      <c r="QSM10" s="28"/>
      <c r="QSN10" s="28"/>
      <c r="QSO10" s="28"/>
      <c r="QSP10" s="28"/>
      <c r="QSQ10" s="28"/>
      <c r="QSR10" s="28"/>
      <c r="QSS10" s="28"/>
      <c r="QST10" s="28"/>
      <c r="QSU10" s="28"/>
      <c r="QSV10" s="28"/>
      <c r="QSW10" s="28"/>
      <c r="QSX10" s="28"/>
      <c r="QSY10" s="28"/>
      <c r="QSZ10" s="28"/>
      <c r="QTA10" s="28"/>
      <c r="QTB10" s="28"/>
      <c r="QTC10" s="28"/>
      <c r="QTD10" s="28"/>
      <c r="QTE10" s="28"/>
      <c r="QTF10" s="28"/>
      <c r="QTG10" s="28"/>
      <c r="QTH10" s="28"/>
      <c r="QTI10" s="28"/>
      <c r="QTJ10" s="28"/>
      <c r="QTK10" s="28"/>
      <c r="QTL10" s="28"/>
      <c r="QTM10" s="28"/>
      <c r="QTN10" s="28"/>
      <c r="QTO10" s="28"/>
      <c r="QTP10" s="28"/>
      <c r="QTQ10" s="28"/>
      <c r="QTR10" s="28"/>
      <c r="QTS10" s="28"/>
      <c r="QTT10" s="28"/>
      <c r="QTU10" s="28"/>
      <c r="QTV10" s="28"/>
      <c r="QTW10" s="28"/>
      <c r="QTX10" s="28"/>
      <c r="QTY10" s="28"/>
      <c r="QTZ10" s="28"/>
      <c r="QUA10" s="28"/>
      <c r="QUB10" s="28"/>
      <c r="QUC10" s="28"/>
      <c r="QUD10" s="28"/>
      <c r="QUE10" s="28"/>
      <c r="QUF10" s="28"/>
      <c r="QUG10" s="28"/>
      <c r="QUH10" s="28"/>
      <c r="QUI10" s="28"/>
      <c r="QUJ10" s="28"/>
      <c r="QUK10" s="28"/>
      <c r="QUL10" s="28"/>
      <c r="QUM10" s="28"/>
      <c r="QUN10" s="28"/>
      <c r="QUO10" s="28"/>
      <c r="QUP10" s="28"/>
      <c r="QUQ10" s="28"/>
      <c r="QUR10" s="28"/>
      <c r="QUS10" s="28"/>
      <c r="QUT10" s="28"/>
      <c r="QUU10" s="28"/>
      <c r="QUV10" s="28"/>
      <c r="QUW10" s="28"/>
      <c r="QUX10" s="28"/>
      <c r="QUY10" s="28"/>
      <c r="QUZ10" s="28"/>
      <c r="QVA10" s="28"/>
      <c r="QVB10" s="28"/>
      <c r="QVC10" s="28"/>
      <c r="QVD10" s="28"/>
      <c r="QVE10" s="28"/>
      <c r="QVF10" s="28"/>
      <c r="QVG10" s="28"/>
      <c r="QVH10" s="28"/>
      <c r="QVI10" s="28"/>
      <c r="QVJ10" s="28"/>
      <c r="QVK10" s="28"/>
      <c r="QVL10" s="28"/>
      <c r="QVM10" s="28"/>
      <c r="QVN10" s="28"/>
      <c r="QVO10" s="28"/>
      <c r="QVP10" s="28"/>
      <c r="QVQ10" s="28"/>
      <c r="QVR10" s="28"/>
      <c r="QVS10" s="28"/>
      <c r="QVT10" s="28"/>
      <c r="QVU10" s="28"/>
      <c r="QVV10" s="28"/>
      <c r="QVW10" s="28"/>
      <c r="QVX10" s="28"/>
      <c r="QVY10" s="28"/>
      <c r="QVZ10" s="28"/>
      <c r="QWA10" s="28"/>
      <c r="QWB10" s="28"/>
      <c r="QWC10" s="28"/>
      <c r="QWD10" s="28"/>
      <c r="QWE10" s="28"/>
      <c r="QWF10" s="28"/>
      <c r="QWG10" s="28"/>
      <c r="QWH10" s="28"/>
      <c r="QWI10" s="28"/>
      <c r="QWJ10" s="28"/>
      <c r="QWK10" s="28"/>
      <c r="QWL10" s="28"/>
      <c r="QWM10" s="28"/>
      <c r="QWN10" s="28"/>
      <c r="QWO10" s="28"/>
      <c r="QWP10" s="28"/>
      <c r="QWQ10" s="28"/>
      <c r="QWR10" s="28"/>
      <c r="QWS10" s="28"/>
      <c r="QWT10" s="28"/>
      <c r="QWU10" s="28"/>
      <c r="QWV10" s="28"/>
      <c r="QWW10" s="28"/>
      <c r="QWX10" s="28"/>
      <c r="QWY10" s="28"/>
      <c r="QWZ10" s="28"/>
      <c r="QXA10" s="28"/>
      <c r="QXB10" s="28"/>
      <c r="QXC10" s="28"/>
      <c r="QXD10" s="28"/>
      <c r="QXE10" s="28"/>
      <c r="QXF10" s="28"/>
      <c r="QXG10" s="28"/>
      <c r="QXH10" s="28"/>
      <c r="QXI10" s="28"/>
      <c r="QXJ10" s="28"/>
      <c r="QXK10" s="28"/>
      <c r="QXL10" s="28"/>
      <c r="QXM10" s="28"/>
      <c r="QXN10" s="28"/>
      <c r="QXO10" s="28"/>
      <c r="QXP10" s="28"/>
      <c r="QXQ10" s="28"/>
      <c r="QXR10" s="28"/>
      <c r="QXS10" s="28"/>
      <c r="QXT10" s="28"/>
      <c r="QXU10" s="28"/>
      <c r="QXV10" s="28"/>
      <c r="QXW10" s="28"/>
      <c r="QXX10" s="28"/>
      <c r="QXY10" s="28"/>
      <c r="QXZ10" s="28"/>
      <c r="QYA10" s="28"/>
      <c r="QYB10" s="28"/>
      <c r="QYC10" s="28"/>
      <c r="QYD10" s="28"/>
      <c r="QYE10" s="28"/>
      <c r="QYF10" s="28"/>
      <c r="QYG10" s="28"/>
      <c r="QYH10" s="28"/>
      <c r="QYI10" s="28"/>
      <c r="QYJ10" s="28"/>
      <c r="QYK10" s="28"/>
      <c r="QYL10" s="28"/>
      <c r="QYM10" s="28"/>
      <c r="QYN10" s="28"/>
      <c r="QYO10" s="28"/>
      <c r="QYP10" s="28"/>
      <c r="QYQ10" s="28"/>
      <c r="QYR10" s="28"/>
      <c r="QYS10" s="28"/>
      <c r="QYT10" s="28"/>
      <c r="QYU10" s="28"/>
      <c r="QYV10" s="28"/>
      <c r="QYW10" s="28"/>
      <c r="QYX10" s="28"/>
      <c r="QYY10" s="28"/>
      <c r="QYZ10" s="28"/>
      <c r="QZA10" s="28"/>
      <c r="QZB10" s="28"/>
      <c r="QZC10" s="28"/>
      <c r="QZD10" s="28"/>
      <c r="QZE10" s="28"/>
      <c r="QZF10" s="28"/>
      <c r="QZG10" s="28"/>
      <c r="QZH10" s="28"/>
      <c r="QZI10" s="28"/>
      <c r="QZJ10" s="28"/>
      <c r="QZK10" s="28"/>
      <c r="QZL10" s="28"/>
      <c r="QZM10" s="28"/>
      <c r="QZN10" s="28"/>
      <c r="QZO10" s="28"/>
      <c r="QZP10" s="28"/>
      <c r="QZQ10" s="28"/>
      <c r="QZR10" s="28"/>
      <c r="QZS10" s="28"/>
      <c r="QZT10" s="28"/>
      <c r="QZU10" s="28"/>
      <c r="QZV10" s="28"/>
      <c r="QZW10" s="28"/>
      <c r="QZX10" s="28"/>
      <c r="QZY10" s="28"/>
      <c r="QZZ10" s="28"/>
      <c r="RAA10" s="28"/>
      <c r="RAB10" s="28"/>
      <c r="RAC10" s="28"/>
      <c r="RAD10" s="28"/>
      <c r="RAE10" s="28"/>
      <c r="RAF10" s="28"/>
      <c r="RAG10" s="28"/>
      <c r="RAH10" s="28"/>
      <c r="RAI10" s="28"/>
      <c r="RAJ10" s="28"/>
      <c r="RAK10" s="28"/>
      <c r="RAL10" s="28"/>
      <c r="RAM10" s="28"/>
      <c r="RAN10" s="28"/>
      <c r="RAO10" s="28"/>
      <c r="RAP10" s="28"/>
      <c r="RAQ10" s="28"/>
      <c r="RAR10" s="28"/>
      <c r="RAS10" s="28"/>
      <c r="RAT10" s="28"/>
      <c r="RAU10" s="28"/>
      <c r="RAV10" s="28"/>
      <c r="RAW10" s="28"/>
      <c r="RAX10" s="28"/>
      <c r="RAY10" s="28"/>
      <c r="RAZ10" s="28"/>
      <c r="RBA10" s="28"/>
      <c r="RBB10" s="28"/>
      <c r="RBC10" s="28"/>
      <c r="RBD10" s="28"/>
      <c r="RBE10" s="28"/>
      <c r="RBF10" s="28"/>
      <c r="RBG10" s="28"/>
      <c r="RBH10" s="28"/>
      <c r="RBI10" s="28"/>
      <c r="RBJ10" s="28"/>
      <c r="RBK10" s="28"/>
      <c r="RBL10" s="28"/>
      <c r="RBM10" s="28"/>
      <c r="RBN10" s="28"/>
      <c r="RBO10" s="28"/>
      <c r="RBP10" s="28"/>
      <c r="RBQ10" s="28"/>
      <c r="RBR10" s="28"/>
      <c r="RBS10" s="28"/>
      <c r="RBT10" s="28"/>
      <c r="RBU10" s="28"/>
      <c r="RBV10" s="28"/>
      <c r="RBW10" s="28"/>
      <c r="RBX10" s="28"/>
      <c r="RBY10" s="28"/>
      <c r="RBZ10" s="28"/>
      <c r="RCA10" s="28"/>
      <c r="RCB10" s="28"/>
      <c r="RCC10" s="28"/>
      <c r="RCD10" s="28"/>
      <c r="RCE10" s="28"/>
      <c r="RCF10" s="28"/>
      <c r="RCG10" s="28"/>
      <c r="RCH10" s="28"/>
      <c r="RCI10" s="28"/>
      <c r="RCJ10" s="28"/>
      <c r="RCK10" s="28"/>
      <c r="RCL10" s="28"/>
      <c r="RCM10" s="28"/>
      <c r="RCN10" s="28"/>
      <c r="RCO10" s="28"/>
      <c r="RCP10" s="28"/>
      <c r="RCQ10" s="28"/>
      <c r="RCR10" s="28"/>
      <c r="RCS10" s="28"/>
      <c r="RCT10" s="28"/>
      <c r="RCU10" s="28"/>
      <c r="RCV10" s="28"/>
      <c r="RCW10" s="28"/>
      <c r="RCX10" s="28"/>
      <c r="RCY10" s="28"/>
      <c r="RCZ10" s="28"/>
      <c r="RDA10" s="28"/>
      <c r="RDB10" s="28"/>
      <c r="RDC10" s="28"/>
      <c r="RDD10" s="28"/>
      <c r="RDE10" s="28"/>
      <c r="RDF10" s="28"/>
      <c r="RDG10" s="28"/>
      <c r="RDH10" s="28"/>
      <c r="RDI10" s="28"/>
      <c r="RDJ10" s="28"/>
      <c r="RDK10" s="28"/>
      <c r="RDL10" s="28"/>
      <c r="RDM10" s="28"/>
      <c r="RDN10" s="28"/>
      <c r="RDO10" s="28"/>
      <c r="RDP10" s="28"/>
      <c r="RDQ10" s="28"/>
      <c r="RDR10" s="28"/>
      <c r="RDS10" s="28"/>
      <c r="RDT10" s="28"/>
      <c r="RDU10" s="28"/>
      <c r="RDV10" s="28"/>
      <c r="RDW10" s="28"/>
      <c r="RDX10" s="28"/>
      <c r="RDY10" s="28"/>
      <c r="RDZ10" s="28"/>
      <c r="REA10" s="28"/>
      <c r="REB10" s="28"/>
      <c r="REC10" s="28"/>
      <c r="RED10" s="28"/>
      <c r="REE10" s="28"/>
      <c r="REF10" s="28"/>
      <c r="REG10" s="28"/>
      <c r="REH10" s="28"/>
      <c r="REI10" s="28"/>
      <c r="REJ10" s="28"/>
      <c r="REK10" s="28"/>
      <c r="REL10" s="28"/>
      <c r="REM10" s="28"/>
      <c r="REN10" s="28"/>
      <c r="REO10" s="28"/>
      <c r="REP10" s="28"/>
      <c r="REQ10" s="28"/>
      <c r="RER10" s="28"/>
      <c r="RES10" s="28"/>
      <c r="RET10" s="28"/>
      <c r="REU10" s="28"/>
      <c r="REV10" s="28"/>
      <c r="REW10" s="28"/>
      <c r="REX10" s="28"/>
      <c r="REY10" s="28"/>
      <c r="REZ10" s="28"/>
      <c r="RFA10" s="28"/>
      <c r="RFB10" s="28"/>
      <c r="RFC10" s="28"/>
      <c r="RFD10" s="28"/>
      <c r="RFE10" s="28"/>
      <c r="RFF10" s="28"/>
      <c r="RFG10" s="28"/>
      <c r="RFH10" s="28"/>
      <c r="RFI10" s="28"/>
      <c r="RFJ10" s="28"/>
      <c r="RFK10" s="28"/>
      <c r="RFL10" s="28"/>
      <c r="RFM10" s="28"/>
      <c r="RFN10" s="28"/>
      <c r="RFO10" s="28"/>
      <c r="RFP10" s="28"/>
      <c r="RFQ10" s="28"/>
      <c r="RFR10" s="28"/>
      <c r="RFS10" s="28"/>
      <c r="RFT10" s="28"/>
      <c r="RFU10" s="28"/>
      <c r="RFV10" s="28"/>
      <c r="RFW10" s="28"/>
      <c r="RFX10" s="28"/>
      <c r="RFY10" s="28"/>
      <c r="RFZ10" s="28"/>
      <c r="RGA10" s="28"/>
      <c r="RGB10" s="28"/>
      <c r="RGC10" s="28"/>
      <c r="RGD10" s="28"/>
      <c r="RGE10" s="28"/>
      <c r="RGF10" s="28"/>
      <c r="RGG10" s="28"/>
      <c r="RGH10" s="28"/>
      <c r="RGI10" s="28"/>
      <c r="RGJ10" s="28"/>
      <c r="RGK10" s="28"/>
      <c r="RGL10" s="28"/>
      <c r="RGM10" s="28"/>
      <c r="RGN10" s="28"/>
      <c r="RGO10" s="28"/>
      <c r="RGP10" s="28"/>
      <c r="RGQ10" s="28"/>
      <c r="RGR10" s="28"/>
      <c r="RGS10" s="28"/>
      <c r="RGT10" s="28"/>
      <c r="RGU10" s="28"/>
      <c r="RGV10" s="28"/>
      <c r="RGW10" s="28"/>
      <c r="RGX10" s="28"/>
      <c r="RGY10" s="28"/>
      <c r="RGZ10" s="28"/>
      <c r="RHA10" s="28"/>
      <c r="RHB10" s="28"/>
      <c r="RHC10" s="28"/>
      <c r="RHD10" s="28"/>
      <c r="RHE10" s="28"/>
      <c r="RHF10" s="28"/>
      <c r="RHG10" s="28"/>
      <c r="RHH10" s="28"/>
      <c r="RHI10" s="28"/>
      <c r="RHJ10" s="28"/>
      <c r="RHK10" s="28"/>
      <c r="RHL10" s="28"/>
      <c r="RHM10" s="28"/>
      <c r="RHN10" s="28"/>
      <c r="RHO10" s="28"/>
      <c r="RHP10" s="28"/>
      <c r="RHQ10" s="28"/>
      <c r="RHR10" s="28"/>
      <c r="RHS10" s="28"/>
      <c r="RHT10" s="28"/>
      <c r="RHU10" s="28"/>
      <c r="RHV10" s="28"/>
      <c r="RHW10" s="28"/>
      <c r="RHX10" s="28"/>
      <c r="RHY10" s="28"/>
      <c r="RHZ10" s="28"/>
      <c r="RIA10" s="28"/>
      <c r="RIB10" s="28"/>
      <c r="RIC10" s="28"/>
      <c r="RID10" s="28"/>
      <c r="RIE10" s="28"/>
      <c r="RIF10" s="28"/>
      <c r="RIG10" s="28"/>
      <c r="RIH10" s="28"/>
      <c r="RII10" s="28"/>
      <c r="RIJ10" s="28"/>
      <c r="RIK10" s="28"/>
      <c r="RIL10" s="28"/>
      <c r="RIM10" s="28"/>
      <c r="RIN10" s="28"/>
      <c r="RIO10" s="28"/>
      <c r="RIP10" s="28"/>
      <c r="RIQ10" s="28"/>
      <c r="RIR10" s="28"/>
      <c r="RIS10" s="28"/>
      <c r="RIT10" s="28"/>
      <c r="RIU10" s="28"/>
      <c r="RIV10" s="28"/>
      <c r="RIW10" s="28"/>
      <c r="RIX10" s="28"/>
      <c r="RIY10" s="28"/>
      <c r="RIZ10" s="28"/>
      <c r="RJA10" s="28"/>
      <c r="RJB10" s="28"/>
      <c r="RJC10" s="28"/>
      <c r="RJD10" s="28"/>
      <c r="RJE10" s="28"/>
      <c r="RJF10" s="28"/>
      <c r="RJG10" s="28"/>
      <c r="RJH10" s="28"/>
      <c r="RJI10" s="28"/>
      <c r="RJJ10" s="28"/>
      <c r="RJK10" s="28"/>
      <c r="RJL10" s="28"/>
      <c r="RJM10" s="28"/>
      <c r="RJN10" s="28"/>
      <c r="RJO10" s="28"/>
      <c r="RJP10" s="28"/>
      <c r="RJQ10" s="28"/>
      <c r="RJR10" s="28"/>
      <c r="RJS10" s="28"/>
      <c r="RJT10" s="28"/>
      <c r="RJU10" s="28"/>
      <c r="RJV10" s="28"/>
      <c r="RJW10" s="28"/>
      <c r="RJX10" s="28"/>
      <c r="RJY10" s="28"/>
      <c r="RJZ10" s="28"/>
      <c r="RKA10" s="28"/>
      <c r="RKB10" s="28"/>
      <c r="RKC10" s="28"/>
      <c r="RKD10" s="28"/>
      <c r="RKE10" s="28"/>
      <c r="RKF10" s="28"/>
      <c r="RKG10" s="28"/>
      <c r="RKH10" s="28"/>
      <c r="RKI10" s="28"/>
      <c r="RKJ10" s="28"/>
      <c r="RKK10" s="28"/>
      <c r="RKL10" s="28"/>
      <c r="RKM10" s="28"/>
      <c r="RKN10" s="28"/>
      <c r="RKO10" s="28"/>
      <c r="RKP10" s="28"/>
      <c r="RKQ10" s="28"/>
      <c r="RKR10" s="28"/>
      <c r="RKS10" s="28"/>
      <c r="RKT10" s="28"/>
      <c r="RKU10" s="28"/>
      <c r="RKV10" s="28"/>
      <c r="RKW10" s="28"/>
      <c r="RKX10" s="28"/>
      <c r="RKY10" s="28"/>
      <c r="RKZ10" s="28"/>
      <c r="RLA10" s="28"/>
      <c r="RLB10" s="28"/>
      <c r="RLC10" s="28"/>
      <c r="RLD10" s="28"/>
      <c r="RLE10" s="28"/>
      <c r="RLF10" s="28"/>
      <c r="RLG10" s="28"/>
      <c r="RLH10" s="28"/>
      <c r="RLI10" s="28"/>
      <c r="RLJ10" s="28"/>
      <c r="RLK10" s="28"/>
      <c r="RLL10" s="28"/>
      <c r="RLM10" s="28"/>
      <c r="RLN10" s="28"/>
      <c r="RLO10" s="28"/>
      <c r="RLP10" s="28"/>
      <c r="RLQ10" s="28"/>
      <c r="RLR10" s="28"/>
      <c r="RLS10" s="28"/>
      <c r="RLT10" s="28"/>
      <c r="RLU10" s="28"/>
      <c r="RLV10" s="28"/>
      <c r="RLW10" s="28"/>
      <c r="RLX10" s="28"/>
      <c r="RLY10" s="28"/>
      <c r="RLZ10" s="28"/>
      <c r="RMA10" s="28"/>
      <c r="RMB10" s="28"/>
      <c r="RMC10" s="28"/>
      <c r="RMD10" s="28"/>
      <c r="RME10" s="28"/>
      <c r="RMF10" s="28"/>
      <c r="RMG10" s="28"/>
      <c r="RMH10" s="28"/>
      <c r="RMI10" s="28"/>
      <c r="RMJ10" s="28"/>
      <c r="RMK10" s="28"/>
      <c r="RML10" s="28"/>
      <c r="RMM10" s="28"/>
      <c r="RMN10" s="28"/>
      <c r="RMO10" s="28"/>
      <c r="RMP10" s="28"/>
      <c r="RMQ10" s="28"/>
      <c r="RMR10" s="28"/>
      <c r="RMS10" s="28"/>
      <c r="RMT10" s="28"/>
      <c r="RMU10" s="28"/>
      <c r="RMV10" s="28"/>
      <c r="RMW10" s="28"/>
      <c r="RMX10" s="28"/>
      <c r="RMY10" s="28"/>
      <c r="RMZ10" s="28"/>
      <c r="RNA10" s="28"/>
      <c r="RNB10" s="28"/>
      <c r="RNC10" s="28"/>
      <c r="RND10" s="28"/>
      <c r="RNE10" s="28"/>
      <c r="RNF10" s="28"/>
      <c r="RNG10" s="28"/>
      <c r="RNH10" s="28"/>
      <c r="RNI10" s="28"/>
      <c r="RNJ10" s="28"/>
      <c r="RNK10" s="28"/>
      <c r="RNL10" s="28"/>
      <c r="RNM10" s="28"/>
      <c r="RNN10" s="28"/>
      <c r="RNO10" s="28"/>
      <c r="RNP10" s="28"/>
      <c r="RNQ10" s="28"/>
      <c r="RNR10" s="28"/>
      <c r="RNS10" s="28"/>
      <c r="RNT10" s="28"/>
      <c r="RNU10" s="28"/>
      <c r="RNV10" s="28"/>
      <c r="RNW10" s="28"/>
      <c r="RNX10" s="28"/>
      <c r="RNY10" s="28"/>
      <c r="RNZ10" s="28"/>
      <c r="ROA10" s="28"/>
      <c r="ROB10" s="28"/>
      <c r="ROC10" s="28"/>
      <c r="ROD10" s="28"/>
      <c r="ROE10" s="28"/>
      <c r="ROF10" s="28"/>
      <c r="ROG10" s="28"/>
      <c r="ROH10" s="28"/>
      <c r="ROI10" s="28"/>
      <c r="ROJ10" s="28"/>
      <c r="ROK10" s="28"/>
      <c r="ROL10" s="28"/>
      <c r="ROM10" s="28"/>
      <c r="RON10" s="28"/>
      <c r="ROO10" s="28"/>
      <c r="ROP10" s="28"/>
      <c r="ROQ10" s="28"/>
      <c r="ROR10" s="28"/>
      <c r="ROS10" s="28"/>
      <c r="ROT10" s="28"/>
      <c r="ROU10" s="28"/>
      <c r="ROV10" s="28"/>
      <c r="ROW10" s="28"/>
      <c r="ROX10" s="28"/>
      <c r="ROY10" s="28"/>
      <c r="ROZ10" s="28"/>
      <c r="RPA10" s="28"/>
      <c r="RPB10" s="28"/>
      <c r="RPC10" s="28"/>
      <c r="RPD10" s="28"/>
      <c r="RPE10" s="28"/>
      <c r="RPF10" s="28"/>
      <c r="RPG10" s="28"/>
      <c r="RPH10" s="28"/>
      <c r="RPI10" s="28"/>
      <c r="RPJ10" s="28"/>
      <c r="RPK10" s="28"/>
      <c r="RPL10" s="28"/>
      <c r="RPM10" s="28"/>
      <c r="RPN10" s="28"/>
      <c r="RPO10" s="28"/>
      <c r="RPP10" s="28"/>
      <c r="RPQ10" s="28"/>
      <c r="RPR10" s="28"/>
      <c r="RPS10" s="28"/>
      <c r="RPT10" s="28"/>
      <c r="RPU10" s="28"/>
      <c r="RPV10" s="28"/>
      <c r="RPW10" s="28"/>
      <c r="RPX10" s="28"/>
      <c r="RPY10" s="28"/>
      <c r="RPZ10" s="28"/>
      <c r="RQA10" s="28"/>
      <c r="RQB10" s="28"/>
      <c r="RQC10" s="28"/>
      <c r="RQD10" s="28"/>
      <c r="RQE10" s="28"/>
      <c r="RQF10" s="28"/>
      <c r="RQG10" s="28"/>
      <c r="RQH10" s="28"/>
      <c r="RQI10" s="28"/>
      <c r="RQJ10" s="28"/>
      <c r="RQK10" s="28"/>
      <c r="RQL10" s="28"/>
      <c r="RQM10" s="28"/>
      <c r="RQN10" s="28"/>
      <c r="RQO10" s="28"/>
      <c r="RQP10" s="28"/>
      <c r="RQQ10" s="28"/>
      <c r="RQR10" s="28"/>
      <c r="RQS10" s="28"/>
      <c r="RQT10" s="28"/>
      <c r="RQU10" s="28"/>
      <c r="RQV10" s="28"/>
      <c r="RQW10" s="28"/>
      <c r="RQX10" s="28"/>
      <c r="RQY10" s="28"/>
      <c r="RQZ10" s="28"/>
      <c r="RRA10" s="28"/>
      <c r="RRB10" s="28"/>
      <c r="RRC10" s="28"/>
      <c r="RRD10" s="28"/>
      <c r="RRE10" s="28"/>
      <c r="RRF10" s="28"/>
      <c r="RRG10" s="28"/>
      <c r="RRH10" s="28"/>
      <c r="RRI10" s="28"/>
      <c r="RRJ10" s="28"/>
      <c r="RRK10" s="28"/>
      <c r="RRL10" s="28"/>
      <c r="RRM10" s="28"/>
      <c r="RRN10" s="28"/>
      <c r="RRO10" s="28"/>
      <c r="RRP10" s="28"/>
      <c r="RRQ10" s="28"/>
      <c r="RRR10" s="28"/>
      <c r="RRS10" s="28"/>
      <c r="RRT10" s="28"/>
      <c r="RRU10" s="28"/>
      <c r="RRV10" s="28"/>
      <c r="RRW10" s="28"/>
      <c r="RRX10" s="28"/>
      <c r="RRY10" s="28"/>
      <c r="RRZ10" s="28"/>
      <c r="RSA10" s="28"/>
      <c r="RSB10" s="28"/>
      <c r="RSC10" s="28"/>
      <c r="RSD10" s="28"/>
      <c r="RSE10" s="28"/>
      <c r="RSF10" s="28"/>
      <c r="RSG10" s="28"/>
      <c r="RSH10" s="28"/>
      <c r="RSI10" s="28"/>
      <c r="RSJ10" s="28"/>
      <c r="RSK10" s="28"/>
      <c r="RSL10" s="28"/>
      <c r="RSM10" s="28"/>
      <c r="RSN10" s="28"/>
      <c r="RSO10" s="28"/>
      <c r="RSP10" s="28"/>
      <c r="RSQ10" s="28"/>
      <c r="RSR10" s="28"/>
      <c r="RSS10" s="28"/>
      <c r="RST10" s="28"/>
      <c r="RSU10" s="28"/>
      <c r="RSV10" s="28"/>
      <c r="RSW10" s="28"/>
      <c r="RSX10" s="28"/>
      <c r="RSY10" s="28"/>
      <c r="RSZ10" s="28"/>
      <c r="RTA10" s="28"/>
      <c r="RTB10" s="28"/>
      <c r="RTC10" s="28"/>
      <c r="RTD10" s="28"/>
      <c r="RTE10" s="28"/>
      <c r="RTF10" s="28"/>
      <c r="RTG10" s="28"/>
      <c r="RTH10" s="28"/>
      <c r="RTI10" s="28"/>
      <c r="RTJ10" s="28"/>
      <c r="RTK10" s="28"/>
      <c r="RTL10" s="28"/>
      <c r="RTM10" s="28"/>
      <c r="RTN10" s="28"/>
      <c r="RTO10" s="28"/>
      <c r="RTP10" s="28"/>
      <c r="RTQ10" s="28"/>
      <c r="RTR10" s="28"/>
      <c r="RTS10" s="28"/>
      <c r="RTT10" s="28"/>
      <c r="RTU10" s="28"/>
      <c r="RTV10" s="28"/>
      <c r="RTW10" s="28"/>
      <c r="RTX10" s="28"/>
      <c r="RTY10" s="28"/>
      <c r="RTZ10" s="28"/>
      <c r="RUA10" s="28"/>
      <c r="RUB10" s="28"/>
      <c r="RUC10" s="28"/>
      <c r="RUD10" s="28"/>
      <c r="RUE10" s="28"/>
      <c r="RUF10" s="28"/>
      <c r="RUG10" s="28"/>
      <c r="RUH10" s="28"/>
      <c r="RUI10" s="28"/>
      <c r="RUJ10" s="28"/>
      <c r="RUK10" s="28"/>
      <c r="RUL10" s="28"/>
      <c r="RUM10" s="28"/>
      <c r="RUN10" s="28"/>
      <c r="RUO10" s="28"/>
      <c r="RUP10" s="28"/>
      <c r="RUQ10" s="28"/>
      <c r="RUR10" s="28"/>
      <c r="RUS10" s="28"/>
      <c r="RUT10" s="28"/>
      <c r="RUU10" s="28"/>
      <c r="RUV10" s="28"/>
      <c r="RUW10" s="28"/>
      <c r="RUX10" s="28"/>
      <c r="RUY10" s="28"/>
      <c r="RUZ10" s="28"/>
      <c r="RVA10" s="28"/>
      <c r="RVB10" s="28"/>
      <c r="RVC10" s="28"/>
      <c r="RVD10" s="28"/>
      <c r="RVE10" s="28"/>
      <c r="RVF10" s="28"/>
      <c r="RVG10" s="28"/>
      <c r="RVH10" s="28"/>
      <c r="RVI10" s="28"/>
      <c r="RVJ10" s="28"/>
      <c r="RVK10" s="28"/>
      <c r="RVL10" s="28"/>
      <c r="RVM10" s="28"/>
      <c r="RVN10" s="28"/>
      <c r="RVO10" s="28"/>
      <c r="RVP10" s="28"/>
      <c r="RVQ10" s="28"/>
      <c r="RVR10" s="28"/>
      <c r="RVS10" s="28"/>
      <c r="RVT10" s="28"/>
      <c r="RVU10" s="28"/>
      <c r="RVV10" s="28"/>
      <c r="RVW10" s="28"/>
      <c r="RVX10" s="28"/>
      <c r="RVY10" s="28"/>
      <c r="RVZ10" s="28"/>
      <c r="RWA10" s="28"/>
      <c r="RWB10" s="28"/>
      <c r="RWC10" s="28"/>
      <c r="RWD10" s="28"/>
      <c r="RWE10" s="28"/>
      <c r="RWF10" s="28"/>
      <c r="RWG10" s="28"/>
      <c r="RWH10" s="28"/>
      <c r="RWI10" s="28"/>
      <c r="RWJ10" s="28"/>
      <c r="RWK10" s="28"/>
      <c r="RWL10" s="28"/>
      <c r="RWM10" s="28"/>
      <c r="RWN10" s="28"/>
      <c r="RWO10" s="28"/>
      <c r="RWP10" s="28"/>
      <c r="RWQ10" s="28"/>
      <c r="RWR10" s="28"/>
      <c r="RWS10" s="28"/>
      <c r="RWT10" s="28"/>
      <c r="RWU10" s="28"/>
      <c r="RWV10" s="28"/>
      <c r="RWW10" s="28"/>
      <c r="RWX10" s="28"/>
      <c r="RWY10" s="28"/>
      <c r="RWZ10" s="28"/>
      <c r="RXA10" s="28"/>
      <c r="RXB10" s="28"/>
      <c r="RXC10" s="28"/>
      <c r="RXD10" s="28"/>
      <c r="RXE10" s="28"/>
      <c r="RXF10" s="28"/>
      <c r="RXG10" s="28"/>
      <c r="RXH10" s="28"/>
      <c r="RXI10" s="28"/>
      <c r="RXJ10" s="28"/>
      <c r="RXK10" s="28"/>
      <c r="RXL10" s="28"/>
      <c r="RXM10" s="28"/>
      <c r="RXN10" s="28"/>
      <c r="RXO10" s="28"/>
      <c r="RXP10" s="28"/>
      <c r="RXQ10" s="28"/>
      <c r="RXR10" s="28"/>
      <c r="RXS10" s="28"/>
      <c r="RXT10" s="28"/>
      <c r="RXU10" s="28"/>
      <c r="RXV10" s="28"/>
      <c r="RXW10" s="28"/>
      <c r="RXX10" s="28"/>
      <c r="RXY10" s="28"/>
      <c r="RXZ10" s="28"/>
      <c r="RYA10" s="28"/>
      <c r="RYB10" s="28"/>
      <c r="RYC10" s="28"/>
      <c r="RYD10" s="28"/>
      <c r="RYE10" s="28"/>
      <c r="RYF10" s="28"/>
      <c r="RYG10" s="28"/>
      <c r="RYH10" s="28"/>
      <c r="RYI10" s="28"/>
      <c r="RYJ10" s="28"/>
      <c r="RYK10" s="28"/>
      <c r="RYL10" s="28"/>
      <c r="RYM10" s="28"/>
      <c r="RYN10" s="28"/>
      <c r="RYO10" s="28"/>
      <c r="RYP10" s="28"/>
      <c r="RYQ10" s="28"/>
      <c r="RYR10" s="28"/>
      <c r="RYS10" s="28"/>
      <c r="RYT10" s="28"/>
      <c r="RYU10" s="28"/>
      <c r="RYV10" s="28"/>
      <c r="RYW10" s="28"/>
      <c r="RYX10" s="28"/>
      <c r="RYY10" s="28"/>
      <c r="RYZ10" s="28"/>
      <c r="RZA10" s="28"/>
      <c r="RZB10" s="28"/>
      <c r="RZC10" s="28"/>
      <c r="RZD10" s="28"/>
      <c r="RZE10" s="28"/>
      <c r="RZF10" s="28"/>
      <c r="RZG10" s="28"/>
      <c r="RZH10" s="28"/>
      <c r="RZI10" s="28"/>
      <c r="RZJ10" s="28"/>
      <c r="RZK10" s="28"/>
      <c r="RZL10" s="28"/>
      <c r="RZM10" s="28"/>
      <c r="RZN10" s="28"/>
      <c r="RZO10" s="28"/>
      <c r="RZP10" s="28"/>
      <c r="RZQ10" s="28"/>
      <c r="RZR10" s="28"/>
      <c r="RZS10" s="28"/>
      <c r="RZT10" s="28"/>
      <c r="RZU10" s="28"/>
      <c r="RZV10" s="28"/>
      <c r="RZW10" s="28"/>
      <c r="RZX10" s="28"/>
      <c r="RZY10" s="28"/>
      <c r="RZZ10" s="28"/>
      <c r="SAA10" s="28"/>
      <c r="SAB10" s="28"/>
      <c r="SAC10" s="28"/>
      <c r="SAD10" s="28"/>
      <c r="SAE10" s="28"/>
      <c r="SAF10" s="28"/>
      <c r="SAG10" s="28"/>
      <c r="SAH10" s="28"/>
      <c r="SAI10" s="28"/>
      <c r="SAJ10" s="28"/>
      <c r="SAK10" s="28"/>
      <c r="SAL10" s="28"/>
      <c r="SAM10" s="28"/>
      <c r="SAN10" s="28"/>
      <c r="SAO10" s="28"/>
      <c r="SAP10" s="28"/>
      <c r="SAQ10" s="28"/>
      <c r="SAR10" s="28"/>
      <c r="SAS10" s="28"/>
      <c r="SAT10" s="28"/>
      <c r="SAU10" s="28"/>
      <c r="SAV10" s="28"/>
      <c r="SAW10" s="28"/>
      <c r="SAX10" s="28"/>
      <c r="SAY10" s="28"/>
      <c r="SAZ10" s="28"/>
      <c r="SBA10" s="28"/>
      <c r="SBB10" s="28"/>
      <c r="SBC10" s="28"/>
      <c r="SBD10" s="28"/>
      <c r="SBE10" s="28"/>
      <c r="SBF10" s="28"/>
      <c r="SBG10" s="28"/>
      <c r="SBH10" s="28"/>
      <c r="SBI10" s="28"/>
      <c r="SBJ10" s="28"/>
      <c r="SBK10" s="28"/>
      <c r="SBL10" s="28"/>
      <c r="SBM10" s="28"/>
      <c r="SBN10" s="28"/>
      <c r="SBO10" s="28"/>
      <c r="SBP10" s="28"/>
      <c r="SBQ10" s="28"/>
      <c r="SBR10" s="28"/>
      <c r="SBS10" s="28"/>
      <c r="SBT10" s="28"/>
      <c r="SBU10" s="28"/>
      <c r="SBV10" s="28"/>
      <c r="SBW10" s="28"/>
      <c r="SBX10" s="28"/>
      <c r="SBY10" s="28"/>
      <c r="SBZ10" s="28"/>
      <c r="SCA10" s="28"/>
      <c r="SCB10" s="28"/>
      <c r="SCC10" s="28"/>
      <c r="SCD10" s="28"/>
      <c r="SCE10" s="28"/>
      <c r="SCF10" s="28"/>
      <c r="SCG10" s="28"/>
      <c r="SCH10" s="28"/>
      <c r="SCI10" s="28"/>
      <c r="SCJ10" s="28"/>
      <c r="SCK10" s="28"/>
      <c r="SCL10" s="28"/>
      <c r="SCM10" s="28"/>
      <c r="SCN10" s="28"/>
      <c r="SCO10" s="28"/>
      <c r="SCP10" s="28"/>
      <c r="SCQ10" s="28"/>
      <c r="SCR10" s="28"/>
      <c r="SCS10" s="28"/>
      <c r="SCT10" s="28"/>
      <c r="SCU10" s="28"/>
      <c r="SCV10" s="28"/>
      <c r="SCW10" s="28"/>
      <c r="SCX10" s="28"/>
      <c r="SCY10" s="28"/>
      <c r="SCZ10" s="28"/>
      <c r="SDA10" s="28"/>
      <c r="SDB10" s="28"/>
      <c r="SDC10" s="28"/>
      <c r="SDD10" s="28"/>
      <c r="SDE10" s="28"/>
      <c r="SDF10" s="28"/>
      <c r="SDG10" s="28"/>
      <c r="SDH10" s="28"/>
      <c r="SDI10" s="28"/>
      <c r="SDJ10" s="28"/>
      <c r="SDK10" s="28"/>
      <c r="SDL10" s="28"/>
      <c r="SDM10" s="28"/>
      <c r="SDN10" s="28"/>
      <c r="SDO10" s="28"/>
      <c r="SDP10" s="28"/>
      <c r="SDQ10" s="28"/>
      <c r="SDR10" s="28"/>
      <c r="SDS10" s="28"/>
      <c r="SDT10" s="28"/>
      <c r="SDU10" s="28"/>
      <c r="SDV10" s="28"/>
      <c r="SDW10" s="28"/>
      <c r="SDX10" s="28"/>
      <c r="SDY10" s="28"/>
      <c r="SDZ10" s="28"/>
      <c r="SEA10" s="28"/>
      <c r="SEB10" s="28"/>
      <c r="SEC10" s="28"/>
      <c r="SED10" s="28"/>
      <c r="SEE10" s="28"/>
      <c r="SEF10" s="28"/>
      <c r="SEG10" s="28"/>
      <c r="SEH10" s="28"/>
      <c r="SEI10" s="28"/>
      <c r="SEJ10" s="28"/>
      <c r="SEK10" s="28"/>
      <c r="SEL10" s="28"/>
      <c r="SEM10" s="28"/>
      <c r="SEN10" s="28"/>
      <c r="SEO10" s="28"/>
      <c r="SEP10" s="28"/>
      <c r="SEQ10" s="28"/>
      <c r="SER10" s="28"/>
      <c r="SES10" s="28"/>
      <c r="SET10" s="28"/>
      <c r="SEU10" s="28"/>
      <c r="SEV10" s="28"/>
      <c r="SEW10" s="28"/>
      <c r="SEX10" s="28"/>
      <c r="SEY10" s="28"/>
      <c r="SEZ10" s="28"/>
      <c r="SFA10" s="28"/>
      <c r="SFB10" s="28"/>
      <c r="SFC10" s="28"/>
      <c r="SFD10" s="28"/>
      <c r="SFE10" s="28"/>
      <c r="SFF10" s="28"/>
      <c r="SFG10" s="28"/>
      <c r="SFH10" s="28"/>
      <c r="SFI10" s="28"/>
      <c r="SFJ10" s="28"/>
      <c r="SFK10" s="28"/>
      <c r="SFL10" s="28"/>
      <c r="SFM10" s="28"/>
      <c r="SFN10" s="28"/>
      <c r="SFO10" s="28"/>
      <c r="SFP10" s="28"/>
      <c r="SFQ10" s="28"/>
      <c r="SFR10" s="28"/>
      <c r="SFS10" s="28"/>
      <c r="SFT10" s="28"/>
      <c r="SFU10" s="28"/>
      <c r="SFV10" s="28"/>
      <c r="SFW10" s="28"/>
      <c r="SFX10" s="28"/>
      <c r="SFY10" s="28"/>
      <c r="SFZ10" s="28"/>
      <c r="SGA10" s="28"/>
      <c r="SGB10" s="28"/>
      <c r="SGC10" s="28"/>
      <c r="SGD10" s="28"/>
      <c r="SGE10" s="28"/>
      <c r="SGF10" s="28"/>
      <c r="SGG10" s="28"/>
      <c r="SGH10" s="28"/>
      <c r="SGI10" s="28"/>
      <c r="SGJ10" s="28"/>
      <c r="SGK10" s="28"/>
      <c r="SGL10" s="28"/>
      <c r="SGM10" s="28"/>
      <c r="SGN10" s="28"/>
      <c r="SGO10" s="28"/>
      <c r="SGP10" s="28"/>
      <c r="SGQ10" s="28"/>
      <c r="SGR10" s="28"/>
      <c r="SGS10" s="28"/>
      <c r="SGT10" s="28"/>
      <c r="SGU10" s="28"/>
      <c r="SGV10" s="28"/>
      <c r="SGW10" s="28"/>
      <c r="SGX10" s="28"/>
      <c r="SGY10" s="28"/>
      <c r="SGZ10" s="28"/>
      <c r="SHA10" s="28"/>
      <c r="SHB10" s="28"/>
      <c r="SHC10" s="28"/>
      <c r="SHD10" s="28"/>
      <c r="SHE10" s="28"/>
      <c r="SHF10" s="28"/>
      <c r="SHG10" s="28"/>
      <c r="SHH10" s="28"/>
      <c r="SHI10" s="28"/>
      <c r="SHJ10" s="28"/>
      <c r="SHK10" s="28"/>
      <c r="SHL10" s="28"/>
      <c r="SHM10" s="28"/>
      <c r="SHN10" s="28"/>
      <c r="SHO10" s="28"/>
      <c r="SHP10" s="28"/>
      <c r="SHQ10" s="28"/>
      <c r="SHR10" s="28"/>
      <c r="SHS10" s="28"/>
      <c r="SHT10" s="28"/>
      <c r="SHU10" s="28"/>
      <c r="SHV10" s="28"/>
      <c r="SHW10" s="28"/>
      <c r="SHX10" s="28"/>
      <c r="SHY10" s="28"/>
      <c r="SHZ10" s="28"/>
      <c r="SIA10" s="28"/>
      <c r="SIB10" s="28"/>
      <c r="SIC10" s="28"/>
      <c r="SID10" s="28"/>
      <c r="SIE10" s="28"/>
      <c r="SIF10" s="28"/>
      <c r="SIG10" s="28"/>
      <c r="SIH10" s="28"/>
      <c r="SII10" s="28"/>
      <c r="SIJ10" s="28"/>
      <c r="SIK10" s="28"/>
      <c r="SIL10" s="28"/>
      <c r="SIM10" s="28"/>
      <c r="SIN10" s="28"/>
      <c r="SIO10" s="28"/>
      <c r="SIP10" s="28"/>
      <c r="SIQ10" s="28"/>
      <c r="SIR10" s="28"/>
      <c r="SIS10" s="28"/>
      <c r="SIT10" s="28"/>
      <c r="SIU10" s="28"/>
      <c r="SIV10" s="28"/>
      <c r="SIW10" s="28"/>
      <c r="SIX10" s="28"/>
      <c r="SIY10" s="28"/>
      <c r="SIZ10" s="28"/>
      <c r="SJA10" s="28"/>
      <c r="SJB10" s="28"/>
      <c r="SJC10" s="28"/>
      <c r="SJD10" s="28"/>
      <c r="SJE10" s="28"/>
      <c r="SJF10" s="28"/>
      <c r="SJG10" s="28"/>
      <c r="SJH10" s="28"/>
      <c r="SJI10" s="28"/>
      <c r="SJJ10" s="28"/>
      <c r="SJK10" s="28"/>
      <c r="SJL10" s="28"/>
      <c r="SJM10" s="28"/>
      <c r="SJN10" s="28"/>
      <c r="SJO10" s="28"/>
      <c r="SJP10" s="28"/>
      <c r="SJQ10" s="28"/>
      <c r="SJR10" s="28"/>
      <c r="SJS10" s="28"/>
      <c r="SJT10" s="28"/>
      <c r="SJU10" s="28"/>
      <c r="SJV10" s="28"/>
      <c r="SJW10" s="28"/>
      <c r="SJX10" s="28"/>
      <c r="SJY10" s="28"/>
      <c r="SJZ10" s="28"/>
      <c r="SKA10" s="28"/>
      <c r="SKB10" s="28"/>
      <c r="SKC10" s="28"/>
      <c r="SKD10" s="28"/>
      <c r="SKE10" s="28"/>
      <c r="SKF10" s="28"/>
      <c r="SKG10" s="28"/>
      <c r="SKH10" s="28"/>
      <c r="SKI10" s="28"/>
      <c r="SKJ10" s="28"/>
      <c r="SKK10" s="28"/>
      <c r="SKL10" s="28"/>
      <c r="SKM10" s="28"/>
      <c r="SKN10" s="28"/>
      <c r="SKO10" s="28"/>
      <c r="SKP10" s="28"/>
      <c r="SKQ10" s="28"/>
      <c r="SKR10" s="28"/>
      <c r="SKS10" s="28"/>
      <c r="SKT10" s="28"/>
      <c r="SKU10" s="28"/>
      <c r="SKV10" s="28"/>
      <c r="SKW10" s="28"/>
      <c r="SKX10" s="28"/>
      <c r="SKY10" s="28"/>
      <c r="SKZ10" s="28"/>
      <c r="SLA10" s="28"/>
      <c r="SLB10" s="28"/>
      <c r="SLC10" s="28"/>
      <c r="SLD10" s="28"/>
      <c r="SLE10" s="28"/>
      <c r="SLF10" s="28"/>
      <c r="SLG10" s="28"/>
      <c r="SLH10" s="28"/>
      <c r="SLI10" s="28"/>
      <c r="SLJ10" s="28"/>
      <c r="SLK10" s="28"/>
      <c r="SLL10" s="28"/>
      <c r="SLM10" s="28"/>
      <c r="SLN10" s="28"/>
      <c r="SLO10" s="28"/>
      <c r="SLP10" s="28"/>
      <c r="SLQ10" s="28"/>
      <c r="SLR10" s="28"/>
      <c r="SLS10" s="28"/>
      <c r="SLT10" s="28"/>
      <c r="SLU10" s="28"/>
      <c r="SLV10" s="28"/>
      <c r="SLW10" s="28"/>
      <c r="SLX10" s="28"/>
      <c r="SLY10" s="28"/>
      <c r="SLZ10" s="28"/>
      <c r="SMA10" s="28"/>
      <c r="SMB10" s="28"/>
      <c r="SMC10" s="28"/>
      <c r="SMD10" s="28"/>
      <c r="SME10" s="28"/>
      <c r="SMF10" s="28"/>
      <c r="SMG10" s="28"/>
      <c r="SMH10" s="28"/>
      <c r="SMI10" s="28"/>
      <c r="SMJ10" s="28"/>
      <c r="SMK10" s="28"/>
      <c r="SML10" s="28"/>
      <c r="SMM10" s="28"/>
      <c r="SMN10" s="28"/>
      <c r="SMO10" s="28"/>
      <c r="SMP10" s="28"/>
      <c r="SMQ10" s="28"/>
      <c r="SMR10" s="28"/>
      <c r="SMS10" s="28"/>
      <c r="SMT10" s="28"/>
      <c r="SMU10" s="28"/>
      <c r="SMV10" s="28"/>
      <c r="SMW10" s="28"/>
      <c r="SMX10" s="28"/>
      <c r="SMY10" s="28"/>
      <c r="SMZ10" s="28"/>
      <c r="SNA10" s="28"/>
      <c r="SNB10" s="28"/>
      <c r="SNC10" s="28"/>
      <c r="SND10" s="28"/>
      <c r="SNE10" s="28"/>
      <c r="SNF10" s="28"/>
      <c r="SNG10" s="28"/>
      <c r="SNH10" s="28"/>
      <c r="SNI10" s="28"/>
      <c r="SNJ10" s="28"/>
      <c r="SNK10" s="28"/>
      <c r="SNL10" s="28"/>
      <c r="SNM10" s="28"/>
      <c r="SNN10" s="28"/>
      <c r="SNO10" s="28"/>
      <c r="SNP10" s="28"/>
      <c r="SNQ10" s="28"/>
      <c r="SNR10" s="28"/>
      <c r="SNS10" s="28"/>
      <c r="SNT10" s="28"/>
      <c r="SNU10" s="28"/>
      <c r="SNV10" s="28"/>
      <c r="SNW10" s="28"/>
      <c r="SNX10" s="28"/>
      <c r="SNY10" s="28"/>
      <c r="SNZ10" s="28"/>
      <c r="SOA10" s="28"/>
      <c r="SOB10" s="28"/>
      <c r="SOC10" s="28"/>
      <c r="SOD10" s="28"/>
      <c r="SOE10" s="28"/>
      <c r="SOF10" s="28"/>
      <c r="SOG10" s="28"/>
      <c r="SOH10" s="28"/>
      <c r="SOI10" s="28"/>
      <c r="SOJ10" s="28"/>
      <c r="SOK10" s="28"/>
      <c r="SOL10" s="28"/>
      <c r="SOM10" s="28"/>
      <c r="SON10" s="28"/>
      <c r="SOO10" s="28"/>
      <c r="SOP10" s="28"/>
      <c r="SOQ10" s="28"/>
      <c r="SOR10" s="28"/>
      <c r="SOS10" s="28"/>
      <c r="SOT10" s="28"/>
      <c r="SOU10" s="28"/>
      <c r="SOV10" s="28"/>
      <c r="SOW10" s="28"/>
      <c r="SOX10" s="28"/>
      <c r="SOY10" s="28"/>
      <c r="SOZ10" s="28"/>
      <c r="SPA10" s="28"/>
      <c r="SPB10" s="28"/>
      <c r="SPC10" s="28"/>
      <c r="SPD10" s="28"/>
      <c r="SPE10" s="28"/>
      <c r="SPF10" s="28"/>
      <c r="SPG10" s="28"/>
      <c r="SPH10" s="28"/>
      <c r="SPI10" s="28"/>
      <c r="SPJ10" s="28"/>
      <c r="SPK10" s="28"/>
      <c r="SPL10" s="28"/>
      <c r="SPM10" s="28"/>
      <c r="SPN10" s="28"/>
      <c r="SPO10" s="28"/>
      <c r="SPP10" s="28"/>
      <c r="SPQ10" s="28"/>
      <c r="SPR10" s="28"/>
      <c r="SPS10" s="28"/>
      <c r="SPT10" s="28"/>
      <c r="SPU10" s="28"/>
      <c r="SPV10" s="28"/>
      <c r="SPW10" s="28"/>
      <c r="SPX10" s="28"/>
      <c r="SPY10" s="28"/>
      <c r="SPZ10" s="28"/>
      <c r="SQA10" s="28"/>
      <c r="SQB10" s="28"/>
      <c r="SQC10" s="28"/>
      <c r="SQD10" s="28"/>
      <c r="SQE10" s="28"/>
      <c r="SQF10" s="28"/>
      <c r="SQG10" s="28"/>
      <c r="SQH10" s="28"/>
      <c r="SQI10" s="28"/>
      <c r="SQJ10" s="28"/>
      <c r="SQK10" s="28"/>
      <c r="SQL10" s="28"/>
      <c r="SQM10" s="28"/>
      <c r="SQN10" s="28"/>
      <c r="SQO10" s="28"/>
      <c r="SQP10" s="28"/>
      <c r="SQQ10" s="28"/>
      <c r="SQR10" s="28"/>
      <c r="SQS10" s="28"/>
      <c r="SQT10" s="28"/>
      <c r="SQU10" s="28"/>
      <c r="SQV10" s="28"/>
      <c r="SQW10" s="28"/>
      <c r="SQX10" s="28"/>
      <c r="SQY10" s="28"/>
      <c r="SQZ10" s="28"/>
      <c r="SRA10" s="28"/>
      <c r="SRB10" s="28"/>
      <c r="SRC10" s="28"/>
      <c r="SRD10" s="28"/>
      <c r="SRE10" s="28"/>
      <c r="SRF10" s="28"/>
      <c r="SRG10" s="28"/>
      <c r="SRH10" s="28"/>
      <c r="SRI10" s="28"/>
      <c r="SRJ10" s="28"/>
      <c r="SRK10" s="28"/>
      <c r="SRL10" s="28"/>
      <c r="SRM10" s="28"/>
      <c r="SRN10" s="28"/>
      <c r="SRO10" s="28"/>
      <c r="SRP10" s="28"/>
      <c r="SRQ10" s="28"/>
      <c r="SRR10" s="28"/>
      <c r="SRS10" s="28"/>
      <c r="SRT10" s="28"/>
      <c r="SRU10" s="28"/>
      <c r="SRV10" s="28"/>
      <c r="SRW10" s="28"/>
      <c r="SRX10" s="28"/>
      <c r="SRY10" s="28"/>
      <c r="SRZ10" s="28"/>
      <c r="SSA10" s="28"/>
      <c r="SSB10" s="28"/>
      <c r="SSC10" s="28"/>
      <c r="SSD10" s="28"/>
      <c r="SSE10" s="28"/>
      <c r="SSF10" s="28"/>
      <c r="SSG10" s="28"/>
      <c r="SSH10" s="28"/>
      <c r="SSI10" s="28"/>
      <c r="SSJ10" s="28"/>
      <c r="SSK10" s="28"/>
      <c r="SSL10" s="28"/>
      <c r="SSM10" s="28"/>
      <c r="SSN10" s="28"/>
      <c r="SSO10" s="28"/>
      <c r="SSP10" s="28"/>
      <c r="SSQ10" s="28"/>
      <c r="SSR10" s="28"/>
      <c r="SSS10" s="28"/>
      <c r="SST10" s="28"/>
      <c r="SSU10" s="28"/>
      <c r="SSV10" s="28"/>
      <c r="SSW10" s="28"/>
      <c r="SSX10" s="28"/>
      <c r="SSY10" s="28"/>
      <c r="SSZ10" s="28"/>
      <c r="STA10" s="28"/>
      <c r="STB10" s="28"/>
      <c r="STC10" s="28"/>
      <c r="STD10" s="28"/>
      <c r="STE10" s="28"/>
      <c r="STF10" s="28"/>
      <c r="STG10" s="28"/>
      <c r="STH10" s="28"/>
      <c r="STI10" s="28"/>
      <c r="STJ10" s="28"/>
      <c r="STK10" s="28"/>
      <c r="STL10" s="28"/>
      <c r="STM10" s="28"/>
      <c r="STN10" s="28"/>
      <c r="STO10" s="28"/>
      <c r="STP10" s="28"/>
      <c r="STQ10" s="28"/>
      <c r="STR10" s="28"/>
      <c r="STS10" s="28"/>
      <c r="STT10" s="28"/>
      <c r="STU10" s="28"/>
      <c r="STV10" s="28"/>
      <c r="STW10" s="28"/>
      <c r="STX10" s="28"/>
      <c r="STY10" s="28"/>
      <c r="STZ10" s="28"/>
      <c r="SUA10" s="28"/>
      <c r="SUB10" s="28"/>
      <c r="SUC10" s="28"/>
      <c r="SUD10" s="28"/>
      <c r="SUE10" s="28"/>
      <c r="SUF10" s="28"/>
      <c r="SUG10" s="28"/>
      <c r="SUH10" s="28"/>
      <c r="SUI10" s="28"/>
      <c r="SUJ10" s="28"/>
      <c r="SUK10" s="28"/>
      <c r="SUL10" s="28"/>
      <c r="SUM10" s="28"/>
      <c r="SUN10" s="28"/>
      <c r="SUO10" s="28"/>
      <c r="SUP10" s="28"/>
      <c r="SUQ10" s="28"/>
      <c r="SUR10" s="28"/>
      <c r="SUS10" s="28"/>
      <c r="SUT10" s="28"/>
      <c r="SUU10" s="28"/>
      <c r="SUV10" s="28"/>
      <c r="SUW10" s="28"/>
      <c r="SUX10" s="28"/>
      <c r="SUY10" s="28"/>
      <c r="SUZ10" s="28"/>
      <c r="SVA10" s="28"/>
      <c r="SVB10" s="28"/>
      <c r="SVC10" s="28"/>
      <c r="SVD10" s="28"/>
      <c r="SVE10" s="28"/>
      <c r="SVF10" s="28"/>
      <c r="SVG10" s="28"/>
      <c r="SVH10" s="28"/>
      <c r="SVI10" s="28"/>
      <c r="SVJ10" s="28"/>
      <c r="SVK10" s="28"/>
      <c r="SVL10" s="28"/>
      <c r="SVM10" s="28"/>
      <c r="SVN10" s="28"/>
      <c r="SVO10" s="28"/>
      <c r="SVP10" s="28"/>
      <c r="SVQ10" s="28"/>
      <c r="SVR10" s="28"/>
      <c r="SVS10" s="28"/>
      <c r="SVT10" s="28"/>
      <c r="SVU10" s="28"/>
      <c r="SVV10" s="28"/>
      <c r="SVW10" s="28"/>
      <c r="SVX10" s="28"/>
      <c r="SVY10" s="28"/>
      <c r="SVZ10" s="28"/>
      <c r="SWA10" s="28"/>
      <c r="SWB10" s="28"/>
      <c r="SWC10" s="28"/>
      <c r="SWD10" s="28"/>
      <c r="SWE10" s="28"/>
      <c r="SWF10" s="28"/>
      <c r="SWG10" s="28"/>
      <c r="SWH10" s="28"/>
      <c r="SWI10" s="28"/>
      <c r="SWJ10" s="28"/>
      <c r="SWK10" s="28"/>
      <c r="SWL10" s="28"/>
      <c r="SWM10" s="28"/>
      <c r="SWN10" s="28"/>
      <c r="SWO10" s="28"/>
      <c r="SWP10" s="28"/>
      <c r="SWQ10" s="28"/>
      <c r="SWR10" s="28"/>
      <c r="SWS10" s="28"/>
      <c r="SWT10" s="28"/>
      <c r="SWU10" s="28"/>
      <c r="SWV10" s="28"/>
      <c r="SWW10" s="28"/>
      <c r="SWX10" s="28"/>
      <c r="SWY10" s="28"/>
      <c r="SWZ10" s="28"/>
      <c r="SXA10" s="28"/>
      <c r="SXB10" s="28"/>
      <c r="SXC10" s="28"/>
      <c r="SXD10" s="28"/>
      <c r="SXE10" s="28"/>
      <c r="SXF10" s="28"/>
      <c r="SXG10" s="28"/>
      <c r="SXH10" s="28"/>
      <c r="SXI10" s="28"/>
      <c r="SXJ10" s="28"/>
      <c r="SXK10" s="28"/>
      <c r="SXL10" s="28"/>
      <c r="SXM10" s="28"/>
      <c r="SXN10" s="28"/>
      <c r="SXO10" s="28"/>
      <c r="SXP10" s="28"/>
      <c r="SXQ10" s="28"/>
      <c r="SXR10" s="28"/>
      <c r="SXS10" s="28"/>
      <c r="SXT10" s="28"/>
      <c r="SXU10" s="28"/>
      <c r="SXV10" s="28"/>
      <c r="SXW10" s="28"/>
      <c r="SXX10" s="28"/>
      <c r="SXY10" s="28"/>
      <c r="SXZ10" s="28"/>
      <c r="SYA10" s="28"/>
      <c r="SYB10" s="28"/>
      <c r="SYC10" s="28"/>
      <c r="SYD10" s="28"/>
      <c r="SYE10" s="28"/>
      <c r="SYF10" s="28"/>
      <c r="SYG10" s="28"/>
      <c r="SYH10" s="28"/>
      <c r="SYI10" s="28"/>
      <c r="SYJ10" s="28"/>
      <c r="SYK10" s="28"/>
      <c r="SYL10" s="28"/>
      <c r="SYM10" s="28"/>
      <c r="SYN10" s="28"/>
      <c r="SYO10" s="28"/>
      <c r="SYP10" s="28"/>
      <c r="SYQ10" s="28"/>
      <c r="SYR10" s="28"/>
      <c r="SYS10" s="28"/>
      <c r="SYT10" s="28"/>
      <c r="SYU10" s="28"/>
      <c r="SYV10" s="28"/>
      <c r="SYW10" s="28"/>
      <c r="SYX10" s="28"/>
      <c r="SYY10" s="28"/>
      <c r="SYZ10" s="28"/>
      <c r="SZA10" s="28"/>
      <c r="SZB10" s="28"/>
      <c r="SZC10" s="28"/>
      <c r="SZD10" s="28"/>
      <c r="SZE10" s="28"/>
      <c r="SZF10" s="28"/>
      <c r="SZG10" s="28"/>
      <c r="SZH10" s="28"/>
      <c r="SZI10" s="28"/>
      <c r="SZJ10" s="28"/>
      <c r="SZK10" s="28"/>
      <c r="SZL10" s="28"/>
      <c r="SZM10" s="28"/>
      <c r="SZN10" s="28"/>
      <c r="SZO10" s="28"/>
      <c r="SZP10" s="28"/>
      <c r="SZQ10" s="28"/>
      <c r="SZR10" s="28"/>
      <c r="SZS10" s="28"/>
      <c r="SZT10" s="28"/>
      <c r="SZU10" s="28"/>
      <c r="SZV10" s="28"/>
      <c r="SZW10" s="28"/>
      <c r="SZX10" s="28"/>
      <c r="SZY10" s="28"/>
      <c r="SZZ10" s="28"/>
      <c r="TAA10" s="28"/>
      <c r="TAB10" s="28"/>
      <c r="TAC10" s="28"/>
      <c r="TAD10" s="28"/>
      <c r="TAE10" s="28"/>
      <c r="TAF10" s="28"/>
      <c r="TAG10" s="28"/>
      <c r="TAH10" s="28"/>
      <c r="TAI10" s="28"/>
      <c r="TAJ10" s="28"/>
      <c r="TAK10" s="28"/>
      <c r="TAL10" s="28"/>
      <c r="TAM10" s="28"/>
      <c r="TAN10" s="28"/>
      <c r="TAO10" s="28"/>
      <c r="TAP10" s="28"/>
      <c r="TAQ10" s="28"/>
      <c r="TAR10" s="28"/>
      <c r="TAS10" s="28"/>
      <c r="TAT10" s="28"/>
      <c r="TAU10" s="28"/>
      <c r="TAV10" s="28"/>
      <c r="TAW10" s="28"/>
      <c r="TAX10" s="28"/>
      <c r="TAY10" s="28"/>
      <c r="TAZ10" s="28"/>
      <c r="TBA10" s="28"/>
      <c r="TBB10" s="28"/>
      <c r="TBC10" s="28"/>
      <c r="TBD10" s="28"/>
      <c r="TBE10" s="28"/>
      <c r="TBF10" s="28"/>
      <c r="TBG10" s="28"/>
      <c r="TBH10" s="28"/>
      <c r="TBI10" s="28"/>
      <c r="TBJ10" s="28"/>
      <c r="TBK10" s="28"/>
      <c r="TBL10" s="28"/>
      <c r="TBM10" s="28"/>
      <c r="TBN10" s="28"/>
      <c r="TBO10" s="28"/>
      <c r="TBP10" s="28"/>
      <c r="TBQ10" s="28"/>
      <c r="TBR10" s="28"/>
      <c r="TBS10" s="28"/>
      <c r="TBT10" s="28"/>
      <c r="TBU10" s="28"/>
      <c r="TBV10" s="28"/>
      <c r="TBW10" s="28"/>
      <c r="TBX10" s="28"/>
      <c r="TBY10" s="28"/>
      <c r="TBZ10" s="28"/>
      <c r="TCA10" s="28"/>
      <c r="TCB10" s="28"/>
      <c r="TCC10" s="28"/>
      <c r="TCD10" s="28"/>
      <c r="TCE10" s="28"/>
      <c r="TCF10" s="28"/>
      <c r="TCG10" s="28"/>
      <c r="TCH10" s="28"/>
      <c r="TCI10" s="28"/>
      <c r="TCJ10" s="28"/>
      <c r="TCK10" s="28"/>
      <c r="TCL10" s="28"/>
      <c r="TCM10" s="28"/>
      <c r="TCN10" s="28"/>
      <c r="TCO10" s="28"/>
      <c r="TCP10" s="28"/>
      <c r="TCQ10" s="28"/>
      <c r="TCR10" s="28"/>
      <c r="TCS10" s="28"/>
      <c r="TCT10" s="28"/>
      <c r="TCU10" s="28"/>
      <c r="TCV10" s="28"/>
      <c r="TCW10" s="28"/>
      <c r="TCX10" s="28"/>
      <c r="TCY10" s="28"/>
      <c r="TCZ10" s="28"/>
      <c r="TDA10" s="28"/>
      <c r="TDB10" s="28"/>
      <c r="TDC10" s="28"/>
      <c r="TDD10" s="28"/>
      <c r="TDE10" s="28"/>
      <c r="TDF10" s="28"/>
      <c r="TDG10" s="28"/>
      <c r="TDH10" s="28"/>
      <c r="TDI10" s="28"/>
      <c r="TDJ10" s="28"/>
      <c r="TDK10" s="28"/>
      <c r="TDL10" s="28"/>
      <c r="TDM10" s="28"/>
      <c r="TDN10" s="28"/>
      <c r="TDO10" s="28"/>
      <c r="TDP10" s="28"/>
      <c r="TDQ10" s="28"/>
      <c r="TDR10" s="28"/>
      <c r="TDS10" s="28"/>
      <c r="TDT10" s="28"/>
      <c r="TDU10" s="28"/>
      <c r="TDV10" s="28"/>
      <c r="TDW10" s="28"/>
      <c r="TDX10" s="28"/>
      <c r="TDY10" s="28"/>
      <c r="TDZ10" s="28"/>
      <c r="TEA10" s="28"/>
      <c r="TEB10" s="28"/>
      <c r="TEC10" s="28"/>
      <c r="TED10" s="28"/>
      <c r="TEE10" s="28"/>
      <c r="TEF10" s="28"/>
      <c r="TEG10" s="28"/>
      <c r="TEH10" s="28"/>
      <c r="TEI10" s="28"/>
      <c r="TEJ10" s="28"/>
      <c r="TEK10" s="28"/>
      <c r="TEL10" s="28"/>
      <c r="TEM10" s="28"/>
      <c r="TEN10" s="28"/>
      <c r="TEO10" s="28"/>
      <c r="TEP10" s="28"/>
      <c r="TEQ10" s="28"/>
      <c r="TER10" s="28"/>
      <c r="TES10" s="28"/>
      <c r="TET10" s="28"/>
      <c r="TEU10" s="28"/>
      <c r="TEV10" s="28"/>
      <c r="TEW10" s="28"/>
      <c r="TEX10" s="28"/>
      <c r="TEY10" s="28"/>
      <c r="TEZ10" s="28"/>
      <c r="TFA10" s="28"/>
      <c r="TFB10" s="28"/>
      <c r="TFC10" s="28"/>
      <c r="TFD10" s="28"/>
      <c r="TFE10" s="28"/>
      <c r="TFF10" s="28"/>
      <c r="TFG10" s="28"/>
      <c r="TFH10" s="28"/>
      <c r="TFI10" s="28"/>
      <c r="TFJ10" s="28"/>
      <c r="TFK10" s="28"/>
      <c r="TFL10" s="28"/>
      <c r="TFM10" s="28"/>
      <c r="TFN10" s="28"/>
      <c r="TFO10" s="28"/>
      <c r="TFP10" s="28"/>
      <c r="TFQ10" s="28"/>
      <c r="TFR10" s="28"/>
      <c r="TFS10" s="28"/>
      <c r="TFT10" s="28"/>
      <c r="TFU10" s="28"/>
      <c r="TFV10" s="28"/>
      <c r="TFW10" s="28"/>
      <c r="TFX10" s="28"/>
      <c r="TFY10" s="28"/>
      <c r="TFZ10" s="28"/>
      <c r="TGA10" s="28"/>
      <c r="TGB10" s="28"/>
      <c r="TGC10" s="28"/>
      <c r="TGD10" s="28"/>
      <c r="TGE10" s="28"/>
      <c r="TGF10" s="28"/>
      <c r="TGG10" s="28"/>
      <c r="TGH10" s="28"/>
      <c r="TGI10" s="28"/>
      <c r="TGJ10" s="28"/>
      <c r="TGK10" s="28"/>
      <c r="TGL10" s="28"/>
      <c r="TGM10" s="28"/>
      <c r="TGN10" s="28"/>
      <c r="TGO10" s="28"/>
      <c r="TGP10" s="28"/>
      <c r="TGQ10" s="28"/>
      <c r="TGR10" s="28"/>
      <c r="TGS10" s="28"/>
      <c r="TGT10" s="28"/>
      <c r="TGU10" s="28"/>
      <c r="TGV10" s="28"/>
      <c r="TGW10" s="28"/>
      <c r="TGX10" s="28"/>
      <c r="TGY10" s="28"/>
      <c r="TGZ10" s="28"/>
      <c r="THA10" s="28"/>
      <c r="THB10" s="28"/>
      <c r="THC10" s="28"/>
      <c r="THD10" s="28"/>
      <c r="THE10" s="28"/>
      <c r="THF10" s="28"/>
      <c r="THG10" s="28"/>
      <c r="THH10" s="28"/>
      <c r="THI10" s="28"/>
      <c r="THJ10" s="28"/>
      <c r="THK10" s="28"/>
      <c r="THL10" s="28"/>
      <c r="THM10" s="28"/>
      <c r="THN10" s="28"/>
      <c r="THO10" s="28"/>
      <c r="THP10" s="28"/>
      <c r="THQ10" s="28"/>
      <c r="THR10" s="28"/>
      <c r="THS10" s="28"/>
      <c r="THT10" s="28"/>
      <c r="THU10" s="28"/>
      <c r="THV10" s="28"/>
      <c r="THW10" s="28"/>
      <c r="THX10" s="28"/>
      <c r="THY10" s="28"/>
      <c r="THZ10" s="28"/>
      <c r="TIA10" s="28"/>
      <c r="TIB10" s="28"/>
      <c r="TIC10" s="28"/>
      <c r="TID10" s="28"/>
      <c r="TIE10" s="28"/>
      <c r="TIF10" s="28"/>
      <c r="TIG10" s="28"/>
      <c r="TIH10" s="28"/>
      <c r="TII10" s="28"/>
      <c r="TIJ10" s="28"/>
      <c r="TIK10" s="28"/>
      <c r="TIL10" s="28"/>
      <c r="TIM10" s="28"/>
      <c r="TIN10" s="28"/>
      <c r="TIO10" s="28"/>
      <c r="TIP10" s="28"/>
      <c r="TIQ10" s="28"/>
      <c r="TIR10" s="28"/>
      <c r="TIS10" s="28"/>
      <c r="TIT10" s="28"/>
      <c r="TIU10" s="28"/>
      <c r="TIV10" s="28"/>
      <c r="TIW10" s="28"/>
      <c r="TIX10" s="28"/>
      <c r="TIY10" s="28"/>
      <c r="TIZ10" s="28"/>
      <c r="TJA10" s="28"/>
      <c r="TJB10" s="28"/>
      <c r="TJC10" s="28"/>
      <c r="TJD10" s="28"/>
      <c r="TJE10" s="28"/>
      <c r="TJF10" s="28"/>
      <c r="TJG10" s="28"/>
      <c r="TJH10" s="28"/>
      <c r="TJI10" s="28"/>
      <c r="TJJ10" s="28"/>
      <c r="TJK10" s="28"/>
      <c r="TJL10" s="28"/>
      <c r="TJM10" s="28"/>
      <c r="TJN10" s="28"/>
      <c r="TJO10" s="28"/>
      <c r="TJP10" s="28"/>
      <c r="TJQ10" s="28"/>
      <c r="TJR10" s="28"/>
      <c r="TJS10" s="28"/>
      <c r="TJT10" s="28"/>
      <c r="TJU10" s="28"/>
      <c r="TJV10" s="28"/>
      <c r="TJW10" s="28"/>
      <c r="TJX10" s="28"/>
      <c r="TJY10" s="28"/>
      <c r="TJZ10" s="28"/>
      <c r="TKA10" s="28"/>
      <c r="TKB10" s="28"/>
      <c r="TKC10" s="28"/>
      <c r="TKD10" s="28"/>
      <c r="TKE10" s="28"/>
      <c r="TKF10" s="28"/>
      <c r="TKG10" s="28"/>
      <c r="TKH10" s="28"/>
      <c r="TKI10" s="28"/>
      <c r="TKJ10" s="28"/>
      <c r="TKK10" s="28"/>
      <c r="TKL10" s="28"/>
      <c r="TKM10" s="28"/>
      <c r="TKN10" s="28"/>
      <c r="TKO10" s="28"/>
      <c r="TKP10" s="28"/>
      <c r="TKQ10" s="28"/>
      <c r="TKR10" s="28"/>
      <c r="TKS10" s="28"/>
      <c r="TKT10" s="28"/>
      <c r="TKU10" s="28"/>
      <c r="TKV10" s="28"/>
      <c r="TKW10" s="28"/>
      <c r="TKX10" s="28"/>
      <c r="TKY10" s="28"/>
      <c r="TKZ10" s="28"/>
      <c r="TLA10" s="28"/>
      <c r="TLB10" s="28"/>
      <c r="TLC10" s="28"/>
      <c r="TLD10" s="28"/>
      <c r="TLE10" s="28"/>
      <c r="TLF10" s="28"/>
      <c r="TLG10" s="28"/>
      <c r="TLH10" s="28"/>
      <c r="TLI10" s="28"/>
      <c r="TLJ10" s="28"/>
      <c r="TLK10" s="28"/>
      <c r="TLL10" s="28"/>
      <c r="TLM10" s="28"/>
      <c r="TLN10" s="28"/>
      <c r="TLO10" s="28"/>
      <c r="TLP10" s="28"/>
      <c r="TLQ10" s="28"/>
      <c r="TLR10" s="28"/>
      <c r="TLS10" s="28"/>
      <c r="TLT10" s="28"/>
      <c r="TLU10" s="28"/>
      <c r="TLV10" s="28"/>
      <c r="TLW10" s="28"/>
      <c r="TLX10" s="28"/>
      <c r="TLY10" s="28"/>
      <c r="TLZ10" s="28"/>
      <c r="TMA10" s="28"/>
      <c r="TMB10" s="28"/>
      <c r="TMC10" s="28"/>
      <c r="TMD10" s="28"/>
      <c r="TME10" s="28"/>
      <c r="TMF10" s="28"/>
      <c r="TMG10" s="28"/>
      <c r="TMH10" s="28"/>
      <c r="TMI10" s="28"/>
      <c r="TMJ10" s="28"/>
      <c r="TMK10" s="28"/>
      <c r="TML10" s="28"/>
      <c r="TMM10" s="28"/>
      <c r="TMN10" s="28"/>
      <c r="TMO10" s="28"/>
      <c r="TMP10" s="28"/>
      <c r="TMQ10" s="28"/>
      <c r="TMR10" s="28"/>
      <c r="TMS10" s="28"/>
      <c r="TMT10" s="28"/>
      <c r="TMU10" s="28"/>
      <c r="TMV10" s="28"/>
      <c r="TMW10" s="28"/>
      <c r="TMX10" s="28"/>
      <c r="TMY10" s="28"/>
      <c r="TMZ10" s="28"/>
      <c r="TNA10" s="28"/>
      <c r="TNB10" s="28"/>
      <c r="TNC10" s="28"/>
      <c r="TND10" s="28"/>
      <c r="TNE10" s="28"/>
      <c r="TNF10" s="28"/>
      <c r="TNG10" s="28"/>
      <c r="TNH10" s="28"/>
      <c r="TNI10" s="28"/>
      <c r="TNJ10" s="28"/>
      <c r="TNK10" s="28"/>
      <c r="TNL10" s="28"/>
      <c r="TNM10" s="28"/>
      <c r="TNN10" s="28"/>
      <c r="TNO10" s="28"/>
      <c r="TNP10" s="28"/>
      <c r="TNQ10" s="28"/>
      <c r="TNR10" s="28"/>
      <c r="TNS10" s="28"/>
      <c r="TNT10" s="28"/>
      <c r="TNU10" s="28"/>
      <c r="TNV10" s="28"/>
      <c r="TNW10" s="28"/>
      <c r="TNX10" s="28"/>
      <c r="TNY10" s="28"/>
      <c r="TNZ10" s="28"/>
      <c r="TOA10" s="28"/>
      <c r="TOB10" s="28"/>
      <c r="TOC10" s="28"/>
      <c r="TOD10" s="28"/>
      <c r="TOE10" s="28"/>
      <c r="TOF10" s="28"/>
      <c r="TOG10" s="28"/>
      <c r="TOH10" s="28"/>
      <c r="TOI10" s="28"/>
      <c r="TOJ10" s="28"/>
      <c r="TOK10" s="28"/>
      <c r="TOL10" s="28"/>
      <c r="TOM10" s="28"/>
      <c r="TON10" s="28"/>
      <c r="TOO10" s="28"/>
      <c r="TOP10" s="28"/>
      <c r="TOQ10" s="28"/>
      <c r="TOR10" s="28"/>
      <c r="TOS10" s="28"/>
      <c r="TOT10" s="28"/>
      <c r="TOU10" s="28"/>
      <c r="TOV10" s="28"/>
      <c r="TOW10" s="28"/>
      <c r="TOX10" s="28"/>
      <c r="TOY10" s="28"/>
      <c r="TOZ10" s="28"/>
      <c r="TPA10" s="28"/>
      <c r="TPB10" s="28"/>
      <c r="TPC10" s="28"/>
      <c r="TPD10" s="28"/>
      <c r="TPE10" s="28"/>
      <c r="TPF10" s="28"/>
      <c r="TPG10" s="28"/>
      <c r="TPH10" s="28"/>
      <c r="TPI10" s="28"/>
      <c r="TPJ10" s="28"/>
      <c r="TPK10" s="28"/>
      <c r="TPL10" s="28"/>
      <c r="TPM10" s="28"/>
      <c r="TPN10" s="28"/>
      <c r="TPO10" s="28"/>
      <c r="TPP10" s="28"/>
      <c r="TPQ10" s="28"/>
      <c r="TPR10" s="28"/>
      <c r="TPS10" s="28"/>
      <c r="TPT10" s="28"/>
      <c r="TPU10" s="28"/>
      <c r="TPV10" s="28"/>
      <c r="TPW10" s="28"/>
      <c r="TPX10" s="28"/>
      <c r="TPY10" s="28"/>
      <c r="TPZ10" s="28"/>
      <c r="TQA10" s="28"/>
      <c r="TQB10" s="28"/>
      <c r="TQC10" s="28"/>
      <c r="TQD10" s="28"/>
      <c r="TQE10" s="28"/>
      <c r="TQF10" s="28"/>
      <c r="TQG10" s="28"/>
      <c r="TQH10" s="28"/>
      <c r="TQI10" s="28"/>
      <c r="TQJ10" s="28"/>
      <c r="TQK10" s="28"/>
      <c r="TQL10" s="28"/>
      <c r="TQM10" s="28"/>
      <c r="TQN10" s="28"/>
      <c r="TQO10" s="28"/>
      <c r="TQP10" s="28"/>
      <c r="TQQ10" s="28"/>
      <c r="TQR10" s="28"/>
      <c r="TQS10" s="28"/>
      <c r="TQT10" s="28"/>
      <c r="TQU10" s="28"/>
      <c r="TQV10" s="28"/>
      <c r="TQW10" s="28"/>
      <c r="TQX10" s="28"/>
      <c r="TQY10" s="28"/>
      <c r="TQZ10" s="28"/>
      <c r="TRA10" s="28"/>
      <c r="TRB10" s="28"/>
      <c r="TRC10" s="28"/>
      <c r="TRD10" s="28"/>
      <c r="TRE10" s="28"/>
      <c r="TRF10" s="28"/>
      <c r="TRG10" s="28"/>
      <c r="TRH10" s="28"/>
      <c r="TRI10" s="28"/>
      <c r="TRJ10" s="28"/>
      <c r="TRK10" s="28"/>
      <c r="TRL10" s="28"/>
      <c r="TRM10" s="28"/>
      <c r="TRN10" s="28"/>
      <c r="TRO10" s="28"/>
      <c r="TRP10" s="28"/>
      <c r="TRQ10" s="28"/>
      <c r="TRR10" s="28"/>
      <c r="TRS10" s="28"/>
      <c r="TRT10" s="28"/>
      <c r="TRU10" s="28"/>
      <c r="TRV10" s="28"/>
      <c r="TRW10" s="28"/>
      <c r="TRX10" s="28"/>
      <c r="TRY10" s="28"/>
      <c r="TRZ10" s="28"/>
      <c r="TSA10" s="28"/>
      <c r="TSB10" s="28"/>
      <c r="TSC10" s="28"/>
      <c r="TSD10" s="28"/>
      <c r="TSE10" s="28"/>
      <c r="TSF10" s="28"/>
      <c r="TSG10" s="28"/>
      <c r="TSH10" s="28"/>
      <c r="TSI10" s="28"/>
      <c r="TSJ10" s="28"/>
      <c r="TSK10" s="28"/>
      <c r="TSL10" s="28"/>
      <c r="TSM10" s="28"/>
      <c r="TSN10" s="28"/>
      <c r="TSO10" s="28"/>
      <c r="TSP10" s="28"/>
      <c r="TSQ10" s="28"/>
      <c r="TSR10" s="28"/>
      <c r="TSS10" s="28"/>
      <c r="TST10" s="28"/>
      <c r="TSU10" s="28"/>
      <c r="TSV10" s="28"/>
      <c r="TSW10" s="28"/>
      <c r="TSX10" s="28"/>
      <c r="TSY10" s="28"/>
      <c r="TSZ10" s="28"/>
      <c r="TTA10" s="28"/>
      <c r="TTB10" s="28"/>
      <c r="TTC10" s="28"/>
      <c r="TTD10" s="28"/>
      <c r="TTE10" s="28"/>
      <c r="TTF10" s="28"/>
      <c r="TTG10" s="28"/>
      <c r="TTH10" s="28"/>
      <c r="TTI10" s="28"/>
      <c r="TTJ10" s="28"/>
      <c r="TTK10" s="28"/>
      <c r="TTL10" s="28"/>
      <c r="TTM10" s="28"/>
      <c r="TTN10" s="28"/>
      <c r="TTO10" s="28"/>
      <c r="TTP10" s="28"/>
      <c r="TTQ10" s="28"/>
      <c r="TTR10" s="28"/>
      <c r="TTS10" s="28"/>
      <c r="TTT10" s="28"/>
      <c r="TTU10" s="28"/>
      <c r="TTV10" s="28"/>
      <c r="TTW10" s="28"/>
      <c r="TTX10" s="28"/>
      <c r="TTY10" s="28"/>
      <c r="TTZ10" s="28"/>
      <c r="TUA10" s="28"/>
      <c r="TUB10" s="28"/>
      <c r="TUC10" s="28"/>
      <c r="TUD10" s="28"/>
      <c r="TUE10" s="28"/>
      <c r="TUF10" s="28"/>
      <c r="TUG10" s="28"/>
      <c r="TUH10" s="28"/>
      <c r="TUI10" s="28"/>
      <c r="TUJ10" s="28"/>
      <c r="TUK10" s="28"/>
      <c r="TUL10" s="28"/>
      <c r="TUM10" s="28"/>
      <c r="TUN10" s="28"/>
      <c r="TUO10" s="28"/>
      <c r="TUP10" s="28"/>
      <c r="TUQ10" s="28"/>
      <c r="TUR10" s="28"/>
      <c r="TUS10" s="28"/>
      <c r="TUT10" s="28"/>
      <c r="TUU10" s="28"/>
      <c r="TUV10" s="28"/>
      <c r="TUW10" s="28"/>
      <c r="TUX10" s="28"/>
      <c r="TUY10" s="28"/>
      <c r="TUZ10" s="28"/>
      <c r="TVA10" s="28"/>
      <c r="TVB10" s="28"/>
      <c r="TVC10" s="28"/>
      <c r="TVD10" s="28"/>
      <c r="TVE10" s="28"/>
      <c r="TVF10" s="28"/>
      <c r="TVG10" s="28"/>
      <c r="TVH10" s="28"/>
      <c r="TVI10" s="28"/>
      <c r="TVJ10" s="28"/>
      <c r="TVK10" s="28"/>
      <c r="TVL10" s="28"/>
      <c r="TVM10" s="28"/>
      <c r="TVN10" s="28"/>
      <c r="TVO10" s="28"/>
      <c r="TVP10" s="28"/>
      <c r="TVQ10" s="28"/>
      <c r="TVR10" s="28"/>
      <c r="TVS10" s="28"/>
      <c r="TVT10" s="28"/>
      <c r="TVU10" s="28"/>
      <c r="TVV10" s="28"/>
      <c r="TVW10" s="28"/>
      <c r="TVX10" s="28"/>
      <c r="TVY10" s="28"/>
      <c r="TVZ10" s="28"/>
      <c r="TWA10" s="28"/>
      <c r="TWB10" s="28"/>
      <c r="TWC10" s="28"/>
      <c r="TWD10" s="28"/>
      <c r="TWE10" s="28"/>
      <c r="TWF10" s="28"/>
      <c r="TWG10" s="28"/>
      <c r="TWH10" s="28"/>
      <c r="TWI10" s="28"/>
      <c r="TWJ10" s="28"/>
      <c r="TWK10" s="28"/>
      <c r="TWL10" s="28"/>
      <c r="TWM10" s="28"/>
      <c r="TWN10" s="28"/>
      <c r="TWO10" s="28"/>
      <c r="TWP10" s="28"/>
      <c r="TWQ10" s="28"/>
      <c r="TWR10" s="28"/>
      <c r="TWS10" s="28"/>
      <c r="TWT10" s="28"/>
      <c r="TWU10" s="28"/>
      <c r="TWV10" s="28"/>
      <c r="TWW10" s="28"/>
      <c r="TWX10" s="28"/>
      <c r="TWY10" s="28"/>
      <c r="TWZ10" s="28"/>
      <c r="TXA10" s="28"/>
      <c r="TXB10" s="28"/>
      <c r="TXC10" s="28"/>
      <c r="TXD10" s="28"/>
      <c r="TXE10" s="28"/>
      <c r="TXF10" s="28"/>
      <c r="TXG10" s="28"/>
      <c r="TXH10" s="28"/>
      <c r="TXI10" s="28"/>
      <c r="TXJ10" s="28"/>
      <c r="TXK10" s="28"/>
      <c r="TXL10" s="28"/>
      <c r="TXM10" s="28"/>
      <c r="TXN10" s="28"/>
      <c r="TXO10" s="28"/>
      <c r="TXP10" s="28"/>
      <c r="TXQ10" s="28"/>
      <c r="TXR10" s="28"/>
      <c r="TXS10" s="28"/>
      <c r="TXT10" s="28"/>
      <c r="TXU10" s="28"/>
      <c r="TXV10" s="28"/>
      <c r="TXW10" s="28"/>
      <c r="TXX10" s="28"/>
      <c r="TXY10" s="28"/>
      <c r="TXZ10" s="28"/>
      <c r="TYA10" s="28"/>
      <c r="TYB10" s="28"/>
      <c r="TYC10" s="28"/>
      <c r="TYD10" s="28"/>
      <c r="TYE10" s="28"/>
      <c r="TYF10" s="28"/>
      <c r="TYG10" s="28"/>
      <c r="TYH10" s="28"/>
      <c r="TYI10" s="28"/>
      <c r="TYJ10" s="28"/>
      <c r="TYK10" s="28"/>
      <c r="TYL10" s="28"/>
      <c r="TYM10" s="28"/>
      <c r="TYN10" s="28"/>
      <c r="TYO10" s="28"/>
      <c r="TYP10" s="28"/>
      <c r="TYQ10" s="28"/>
      <c r="TYR10" s="28"/>
      <c r="TYS10" s="28"/>
      <c r="TYT10" s="28"/>
      <c r="TYU10" s="28"/>
      <c r="TYV10" s="28"/>
      <c r="TYW10" s="28"/>
      <c r="TYX10" s="28"/>
      <c r="TYY10" s="28"/>
      <c r="TYZ10" s="28"/>
      <c r="TZA10" s="28"/>
      <c r="TZB10" s="28"/>
      <c r="TZC10" s="28"/>
      <c r="TZD10" s="28"/>
      <c r="TZE10" s="28"/>
      <c r="TZF10" s="28"/>
      <c r="TZG10" s="28"/>
      <c r="TZH10" s="28"/>
      <c r="TZI10" s="28"/>
      <c r="TZJ10" s="28"/>
      <c r="TZK10" s="28"/>
      <c r="TZL10" s="28"/>
      <c r="TZM10" s="28"/>
      <c r="TZN10" s="28"/>
      <c r="TZO10" s="28"/>
      <c r="TZP10" s="28"/>
      <c r="TZQ10" s="28"/>
      <c r="TZR10" s="28"/>
      <c r="TZS10" s="28"/>
      <c r="TZT10" s="28"/>
      <c r="TZU10" s="28"/>
      <c r="TZV10" s="28"/>
      <c r="TZW10" s="28"/>
      <c r="TZX10" s="28"/>
      <c r="TZY10" s="28"/>
      <c r="TZZ10" s="28"/>
      <c r="UAA10" s="28"/>
      <c r="UAB10" s="28"/>
      <c r="UAC10" s="28"/>
      <c r="UAD10" s="28"/>
      <c r="UAE10" s="28"/>
      <c r="UAF10" s="28"/>
      <c r="UAG10" s="28"/>
      <c r="UAH10" s="28"/>
      <c r="UAI10" s="28"/>
      <c r="UAJ10" s="28"/>
      <c r="UAK10" s="28"/>
      <c r="UAL10" s="28"/>
      <c r="UAM10" s="28"/>
      <c r="UAN10" s="28"/>
      <c r="UAO10" s="28"/>
      <c r="UAP10" s="28"/>
      <c r="UAQ10" s="28"/>
      <c r="UAR10" s="28"/>
      <c r="UAS10" s="28"/>
      <c r="UAT10" s="28"/>
      <c r="UAU10" s="28"/>
      <c r="UAV10" s="28"/>
      <c r="UAW10" s="28"/>
      <c r="UAX10" s="28"/>
      <c r="UAY10" s="28"/>
      <c r="UAZ10" s="28"/>
      <c r="UBA10" s="28"/>
      <c r="UBB10" s="28"/>
      <c r="UBC10" s="28"/>
      <c r="UBD10" s="28"/>
      <c r="UBE10" s="28"/>
      <c r="UBF10" s="28"/>
      <c r="UBG10" s="28"/>
      <c r="UBH10" s="28"/>
      <c r="UBI10" s="28"/>
      <c r="UBJ10" s="28"/>
      <c r="UBK10" s="28"/>
      <c r="UBL10" s="28"/>
      <c r="UBM10" s="28"/>
      <c r="UBN10" s="28"/>
      <c r="UBO10" s="28"/>
      <c r="UBP10" s="28"/>
      <c r="UBQ10" s="28"/>
      <c r="UBR10" s="28"/>
      <c r="UBS10" s="28"/>
      <c r="UBT10" s="28"/>
      <c r="UBU10" s="28"/>
      <c r="UBV10" s="28"/>
      <c r="UBW10" s="28"/>
      <c r="UBX10" s="28"/>
      <c r="UBY10" s="28"/>
      <c r="UBZ10" s="28"/>
      <c r="UCA10" s="28"/>
      <c r="UCB10" s="28"/>
      <c r="UCC10" s="28"/>
      <c r="UCD10" s="28"/>
      <c r="UCE10" s="28"/>
      <c r="UCF10" s="28"/>
      <c r="UCG10" s="28"/>
      <c r="UCH10" s="28"/>
      <c r="UCI10" s="28"/>
      <c r="UCJ10" s="28"/>
      <c r="UCK10" s="28"/>
      <c r="UCL10" s="28"/>
      <c r="UCM10" s="28"/>
      <c r="UCN10" s="28"/>
      <c r="UCO10" s="28"/>
      <c r="UCP10" s="28"/>
      <c r="UCQ10" s="28"/>
      <c r="UCR10" s="28"/>
      <c r="UCS10" s="28"/>
      <c r="UCT10" s="28"/>
      <c r="UCU10" s="28"/>
      <c r="UCV10" s="28"/>
      <c r="UCW10" s="28"/>
      <c r="UCX10" s="28"/>
      <c r="UCY10" s="28"/>
      <c r="UCZ10" s="28"/>
      <c r="UDA10" s="28"/>
      <c r="UDB10" s="28"/>
      <c r="UDC10" s="28"/>
      <c r="UDD10" s="28"/>
      <c r="UDE10" s="28"/>
      <c r="UDF10" s="28"/>
      <c r="UDG10" s="28"/>
      <c r="UDH10" s="28"/>
      <c r="UDI10" s="28"/>
      <c r="UDJ10" s="28"/>
      <c r="UDK10" s="28"/>
      <c r="UDL10" s="28"/>
      <c r="UDM10" s="28"/>
      <c r="UDN10" s="28"/>
      <c r="UDO10" s="28"/>
      <c r="UDP10" s="28"/>
      <c r="UDQ10" s="28"/>
      <c r="UDR10" s="28"/>
      <c r="UDS10" s="28"/>
      <c r="UDT10" s="28"/>
      <c r="UDU10" s="28"/>
      <c r="UDV10" s="28"/>
      <c r="UDW10" s="28"/>
      <c r="UDX10" s="28"/>
      <c r="UDY10" s="28"/>
      <c r="UDZ10" s="28"/>
      <c r="UEA10" s="28"/>
      <c r="UEB10" s="28"/>
      <c r="UEC10" s="28"/>
      <c r="UED10" s="28"/>
      <c r="UEE10" s="28"/>
      <c r="UEF10" s="28"/>
      <c r="UEG10" s="28"/>
      <c r="UEH10" s="28"/>
      <c r="UEI10" s="28"/>
      <c r="UEJ10" s="28"/>
      <c r="UEK10" s="28"/>
      <c r="UEL10" s="28"/>
      <c r="UEM10" s="28"/>
      <c r="UEN10" s="28"/>
      <c r="UEO10" s="28"/>
      <c r="UEP10" s="28"/>
      <c r="UEQ10" s="28"/>
      <c r="UER10" s="28"/>
      <c r="UES10" s="28"/>
      <c r="UET10" s="28"/>
      <c r="UEU10" s="28"/>
      <c r="UEV10" s="28"/>
      <c r="UEW10" s="28"/>
      <c r="UEX10" s="28"/>
      <c r="UEY10" s="28"/>
      <c r="UEZ10" s="28"/>
      <c r="UFA10" s="28"/>
      <c r="UFB10" s="28"/>
      <c r="UFC10" s="28"/>
      <c r="UFD10" s="28"/>
      <c r="UFE10" s="28"/>
      <c r="UFF10" s="28"/>
      <c r="UFG10" s="28"/>
      <c r="UFH10" s="28"/>
      <c r="UFI10" s="28"/>
      <c r="UFJ10" s="28"/>
      <c r="UFK10" s="28"/>
      <c r="UFL10" s="28"/>
      <c r="UFM10" s="28"/>
      <c r="UFN10" s="28"/>
      <c r="UFO10" s="28"/>
      <c r="UFP10" s="28"/>
      <c r="UFQ10" s="28"/>
      <c r="UFR10" s="28"/>
      <c r="UFS10" s="28"/>
      <c r="UFT10" s="28"/>
      <c r="UFU10" s="28"/>
      <c r="UFV10" s="28"/>
      <c r="UFW10" s="28"/>
      <c r="UFX10" s="28"/>
      <c r="UFY10" s="28"/>
      <c r="UFZ10" s="28"/>
      <c r="UGA10" s="28"/>
      <c r="UGB10" s="28"/>
      <c r="UGC10" s="28"/>
      <c r="UGD10" s="28"/>
      <c r="UGE10" s="28"/>
      <c r="UGF10" s="28"/>
      <c r="UGG10" s="28"/>
      <c r="UGH10" s="28"/>
      <c r="UGI10" s="28"/>
      <c r="UGJ10" s="28"/>
      <c r="UGK10" s="28"/>
      <c r="UGL10" s="28"/>
      <c r="UGM10" s="28"/>
      <c r="UGN10" s="28"/>
      <c r="UGO10" s="28"/>
      <c r="UGP10" s="28"/>
      <c r="UGQ10" s="28"/>
      <c r="UGR10" s="28"/>
      <c r="UGS10" s="28"/>
      <c r="UGT10" s="28"/>
      <c r="UGU10" s="28"/>
      <c r="UGV10" s="28"/>
      <c r="UGW10" s="28"/>
      <c r="UGX10" s="28"/>
      <c r="UGY10" s="28"/>
      <c r="UGZ10" s="28"/>
      <c r="UHA10" s="28"/>
      <c r="UHB10" s="28"/>
      <c r="UHC10" s="28"/>
      <c r="UHD10" s="28"/>
      <c r="UHE10" s="28"/>
      <c r="UHF10" s="28"/>
      <c r="UHG10" s="28"/>
      <c r="UHH10" s="28"/>
      <c r="UHI10" s="28"/>
      <c r="UHJ10" s="28"/>
      <c r="UHK10" s="28"/>
      <c r="UHL10" s="28"/>
      <c r="UHM10" s="28"/>
      <c r="UHN10" s="28"/>
      <c r="UHO10" s="28"/>
      <c r="UHP10" s="28"/>
      <c r="UHQ10" s="28"/>
      <c r="UHR10" s="28"/>
      <c r="UHS10" s="28"/>
      <c r="UHT10" s="28"/>
      <c r="UHU10" s="28"/>
      <c r="UHV10" s="28"/>
      <c r="UHW10" s="28"/>
      <c r="UHX10" s="28"/>
      <c r="UHY10" s="28"/>
      <c r="UHZ10" s="28"/>
      <c r="UIA10" s="28"/>
      <c r="UIB10" s="28"/>
      <c r="UIC10" s="28"/>
      <c r="UID10" s="28"/>
      <c r="UIE10" s="28"/>
      <c r="UIF10" s="28"/>
      <c r="UIG10" s="28"/>
      <c r="UIH10" s="28"/>
      <c r="UII10" s="28"/>
      <c r="UIJ10" s="28"/>
      <c r="UIK10" s="28"/>
      <c r="UIL10" s="28"/>
      <c r="UIM10" s="28"/>
      <c r="UIN10" s="28"/>
      <c r="UIO10" s="28"/>
      <c r="UIP10" s="28"/>
      <c r="UIQ10" s="28"/>
      <c r="UIR10" s="28"/>
      <c r="UIS10" s="28"/>
      <c r="UIT10" s="28"/>
      <c r="UIU10" s="28"/>
      <c r="UIV10" s="28"/>
      <c r="UIW10" s="28"/>
      <c r="UIX10" s="28"/>
      <c r="UIY10" s="28"/>
      <c r="UIZ10" s="28"/>
      <c r="UJA10" s="28"/>
      <c r="UJB10" s="28"/>
      <c r="UJC10" s="28"/>
      <c r="UJD10" s="28"/>
      <c r="UJE10" s="28"/>
      <c r="UJF10" s="28"/>
      <c r="UJG10" s="28"/>
      <c r="UJH10" s="28"/>
      <c r="UJI10" s="28"/>
      <c r="UJJ10" s="28"/>
      <c r="UJK10" s="28"/>
      <c r="UJL10" s="28"/>
      <c r="UJM10" s="28"/>
      <c r="UJN10" s="28"/>
      <c r="UJO10" s="28"/>
      <c r="UJP10" s="28"/>
      <c r="UJQ10" s="28"/>
      <c r="UJR10" s="28"/>
      <c r="UJS10" s="28"/>
      <c r="UJT10" s="28"/>
      <c r="UJU10" s="28"/>
      <c r="UJV10" s="28"/>
      <c r="UJW10" s="28"/>
      <c r="UJX10" s="28"/>
      <c r="UJY10" s="28"/>
      <c r="UJZ10" s="28"/>
      <c r="UKA10" s="28"/>
      <c r="UKB10" s="28"/>
      <c r="UKC10" s="28"/>
      <c r="UKD10" s="28"/>
      <c r="UKE10" s="28"/>
      <c r="UKF10" s="28"/>
      <c r="UKG10" s="28"/>
      <c r="UKH10" s="28"/>
      <c r="UKI10" s="28"/>
      <c r="UKJ10" s="28"/>
      <c r="UKK10" s="28"/>
      <c r="UKL10" s="28"/>
      <c r="UKM10" s="28"/>
      <c r="UKN10" s="28"/>
      <c r="UKO10" s="28"/>
      <c r="UKP10" s="28"/>
      <c r="UKQ10" s="28"/>
      <c r="UKR10" s="28"/>
      <c r="UKS10" s="28"/>
      <c r="UKT10" s="28"/>
      <c r="UKU10" s="28"/>
      <c r="UKV10" s="28"/>
      <c r="UKW10" s="28"/>
      <c r="UKX10" s="28"/>
      <c r="UKY10" s="28"/>
      <c r="UKZ10" s="28"/>
      <c r="ULA10" s="28"/>
      <c r="ULB10" s="28"/>
      <c r="ULC10" s="28"/>
      <c r="ULD10" s="28"/>
      <c r="ULE10" s="28"/>
      <c r="ULF10" s="28"/>
      <c r="ULG10" s="28"/>
      <c r="ULH10" s="28"/>
      <c r="ULI10" s="28"/>
      <c r="ULJ10" s="28"/>
      <c r="ULK10" s="28"/>
      <c r="ULL10" s="28"/>
      <c r="ULM10" s="28"/>
      <c r="ULN10" s="28"/>
      <c r="ULO10" s="28"/>
      <c r="ULP10" s="28"/>
      <c r="ULQ10" s="28"/>
      <c r="ULR10" s="28"/>
      <c r="ULS10" s="28"/>
      <c r="ULT10" s="28"/>
      <c r="ULU10" s="28"/>
      <c r="ULV10" s="28"/>
      <c r="ULW10" s="28"/>
      <c r="ULX10" s="28"/>
      <c r="ULY10" s="28"/>
      <c r="ULZ10" s="28"/>
      <c r="UMA10" s="28"/>
      <c r="UMB10" s="28"/>
      <c r="UMC10" s="28"/>
      <c r="UMD10" s="28"/>
      <c r="UME10" s="28"/>
      <c r="UMF10" s="28"/>
      <c r="UMG10" s="28"/>
      <c r="UMH10" s="28"/>
      <c r="UMI10" s="28"/>
      <c r="UMJ10" s="28"/>
      <c r="UMK10" s="28"/>
      <c r="UML10" s="28"/>
      <c r="UMM10" s="28"/>
      <c r="UMN10" s="28"/>
      <c r="UMO10" s="28"/>
      <c r="UMP10" s="28"/>
      <c r="UMQ10" s="28"/>
      <c r="UMR10" s="28"/>
      <c r="UMS10" s="28"/>
      <c r="UMT10" s="28"/>
      <c r="UMU10" s="28"/>
      <c r="UMV10" s="28"/>
      <c r="UMW10" s="28"/>
      <c r="UMX10" s="28"/>
      <c r="UMY10" s="28"/>
      <c r="UMZ10" s="28"/>
      <c r="UNA10" s="28"/>
      <c r="UNB10" s="28"/>
      <c r="UNC10" s="28"/>
      <c r="UND10" s="28"/>
      <c r="UNE10" s="28"/>
      <c r="UNF10" s="28"/>
      <c r="UNG10" s="28"/>
      <c r="UNH10" s="28"/>
      <c r="UNI10" s="28"/>
      <c r="UNJ10" s="28"/>
      <c r="UNK10" s="28"/>
      <c r="UNL10" s="28"/>
      <c r="UNM10" s="28"/>
      <c r="UNN10" s="28"/>
      <c r="UNO10" s="28"/>
      <c r="UNP10" s="28"/>
      <c r="UNQ10" s="28"/>
      <c r="UNR10" s="28"/>
      <c r="UNS10" s="28"/>
      <c r="UNT10" s="28"/>
      <c r="UNU10" s="28"/>
      <c r="UNV10" s="28"/>
      <c r="UNW10" s="28"/>
      <c r="UNX10" s="28"/>
      <c r="UNY10" s="28"/>
      <c r="UNZ10" s="28"/>
      <c r="UOA10" s="28"/>
      <c r="UOB10" s="28"/>
      <c r="UOC10" s="28"/>
      <c r="UOD10" s="28"/>
      <c r="UOE10" s="28"/>
      <c r="UOF10" s="28"/>
      <c r="UOG10" s="28"/>
      <c r="UOH10" s="28"/>
      <c r="UOI10" s="28"/>
      <c r="UOJ10" s="28"/>
      <c r="UOK10" s="28"/>
      <c r="UOL10" s="28"/>
      <c r="UOM10" s="28"/>
      <c r="UON10" s="28"/>
      <c r="UOO10" s="28"/>
      <c r="UOP10" s="28"/>
      <c r="UOQ10" s="28"/>
      <c r="UOR10" s="28"/>
      <c r="UOS10" s="28"/>
      <c r="UOT10" s="28"/>
      <c r="UOU10" s="28"/>
      <c r="UOV10" s="28"/>
      <c r="UOW10" s="28"/>
      <c r="UOX10" s="28"/>
      <c r="UOY10" s="28"/>
      <c r="UOZ10" s="28"/>
      <c r="UPA10" s="28"/>
      <c r="UPB10" s="28"/>
      <c r="UPC10" s="28"/>
      <c r="UPD10" s="28"/>
      <c r="UPE10" s="28"/>
      <c r="UPF10" s="28"/>
      <c r="UPG10" s="28"/>
      <c r="UPH10" s="28"/>
      <c r="UPI10" s="28"/>
      <c r="UPJ10" s="28"/>
      <c r="UPK10" s="28"/>
      <c r="UPL10" s="28"/>
      <c r="UPM10" s="28"/>
      <c r="UPN10" s="28"/>
      <c r="UPO10" s="28"/>
      <c r="UPP10" s="28"/>
      <c r="UPQ10" s="28"/>
      <c r="UPR10" s="28"/>
      <c r="UPS10" s="28"/>
      <c r="UPT10" s="28"/>
      <c r="UPU10" s="28"/>
      <c r="UPV10" s="28"/>
      <c r="UPW10" s="28"/>
      <c r="UPX10" s="28"/>
      <c r="UPY10" s="28"/>
      <c r="UPZ10" s="28"/>
      <c r="UQA10" s="28"/>
      <c r="UQB10" s="28"/>
      <c r="UQC10" s="28"/>
      <c r="UQD10" s="28"/>
      <c r="UQE10" s="28"/>
      <c r="UQF10" s="28"/>
      <c r="UQG10" s="28"/>
      <c r="UQH10" s="28"/>
      <c r="UQI10" s="28"/>
      <c r="UQJ10" s="28"/>
      <c r="UQK10" s="28"/>
      <c r="UQL10" s="28"/>
      <c r="UQM10" s="28"/>
      <c r="UQN10" s="28"/>
      <c r="UQO10" s="28"/>
      <c r="UQP10" s="28"/>
      <c r="UQQ10" s="28"/>
      <c r="UQR10" s="28"/>
      <c r="UQS10" s="28"/>
      <c r="UQT10" s="28"/>
      <c r="UQU10" s="28"/>
      <c r="UQV10" s="28"/>
      <c r="UQW10" s="28"/>
      <c r="UQX10" s="28"/>
      <c r="UQY10" s="28"/>
      <c r="UQZ10" s="28"/>
      <c r="URA10" s="28"/>
      <c r="URB10" s="28"/>
      <c r="URC10" s="28"/>
      <c r="URD10" s="28"/>
      <c r="URE10" s="28"/>
      <c r="URF10" s="28"/>
      <c r="URG10" s="28"/>
      <c r="URH10" s="28"/>
      <c r="URI10" s="28"/>
      <c r="URJ10" s="28"/>
      <c r="URK10" s="28"/>
      <c r="URL10" s="28"/>
      <c r="URM10" s="28"/>
      <c r="URN10" s="28"/>
      <c r="URO10" s="28"/>
      <c r="URP10" s="28"/>
      <c r="URQ10" s="28"/>
      <c r="URR10" s="28"/>
      <c r="URS10" s="28"/>
      <c r="URT10" s="28"/>
      <c r="URU10" s="28"/>
      <c r="URV10" s="28"/>
      <c r="URW10" s="28"/>
      <c r="URX10" s="28"/>
      <c r="URY10" s="28"/>
      <c r="URZ10" s="28"/>
      <c r="USA10" s="28"/>
      <c r="USB10" s="28"/>
      <c r="USC10" s="28"/>
      <c r="USD10" s="28"/>
      <c r="USE10" s="28"/>
      <c r="USF10" s="28"/>
      <c r="USG10" s="28"/>
      <c r="USH10" s="28"/>
      <c r="USI10" s="28"/>
      <c r="USJ10" s="28"/>
      <c r="USK10" s="28"/>
      <c r="USL10" s="28"/>
      <c r="USM10" s="28"/>
      <c r="USN10" s="28"/>
      <c r="USO10" s="28"/>
      <c r="USP10" s="28"/>
      <c r="USQ10" s="28"/>
      <c r="USR10" s="28"/>
      <c r="USS10" s="28"/>
      <c r="UST10" s="28"/>
      <c r="USU10" s="28"/>
      <c r="USV10" s="28"/>
      <c r="USW10" s="28"/>
      <c r="USX10" s="28"/>
      <c r="USY10" s="28"/>
      <c r="USZ10" s="28"/>
      <c r="UTA10" s="28"/>
      <c r="UTB10" s="28"/>
      <c r="UTC10" s="28"/>
      <c r="UTD10" s="28"/>
      <c r="UTE10" s="28"/>
      <c r="UTF10" s="28"/>
      <c r="UTG10" s="28"/>
      <c r="UTH10" s="28"/>
      <c r="UTI10" s="28"/>
      <c r="UTJ10" s="28"/>
      <c r="UTK10" s="28"/>
      <c r="UTL10" s="28"/>
      <c r="UTM10" s="28"/>
      <c r="UTN10" s="28"/>
      <c r="UTO10" s="28"/>
      <c r="UTP10" s="28"/>
      <c r="UTQ10" s="28"/>
      <c r="UTR10" s="28"/>
      <c r="UTS10" s="28"/>
      <c r="UTT10" s="28"/>
      <c r="UTU10" s="28"/>
      <c r="UTV10" s="28"/>
      <c r="UTW10" s="28"/>
      <c r="UTX10" s="28"/>
      <c r="UTY10" s="28"/>
      <c r="UTZ10" s="28"/>
      <c r="UUA10" s="28"/>
      <c r="UUB10" s="28"/>
      <c r="UUC10" s="28"/>
      <c r="UUD10" s="28"/>
      <c r="UUE10" s="28"/>
      <c r="UUF10" s="28"/>
      <c r="UUG10" s="28"/>
      <c r="UUH10" s="28"/>
      <c r="UUI10" s="28"/>
      <c r="UUJ10" s="28"/>
      <c r="UUK10" s="28"/>
      <c r="UUL10" s="28"/>
      <c r="UUM10" s="28"/>
      <c r="UUN10" s="28"/>
      <c r="UUO10" s="28"/>
      <c r="UUP10" s="28"/>
      <c r="UUQ10" s="28"/>
      <c r="UUR10" s="28"/>
      <c r="UUS10" s="28"/>
      <c r="UUT10" s="28"/>
      <c r="UUU10" s="28"/>
      <c r="UUV10" s="28"/>
      <c r="UUW10" s="28"/>
      <c r="UUX10" s="28"/>
      <c r="UUY10" s="28"/>
      <c r="UUZ10" s="28"/>
      <c r="UVA10" s="28"/>
      <c r="UVB10" s="28"/>
      <c r="UVC10" s="28"/>
      <c r="UVD10" s="28"/>
      <c r="UVE10" s="28"/>
      <c r="UVF10" s="28"/>
      <c r="UVG10" s="28"/>
      <c r="UVH10" s="28"/>
      <c r="UVI10" s="28"/>
      <c r="UVJ10" s="28"/>
      <c r="UVK10" s="28"/>
      <c r="UVL10" s="28"/>
      <c r="UVM10" s="28"/>
      <c r="UVN10" s="28"/>
      <c r="UVO10" s="28"/>
      <c r="UVP10" s="28"/>
      <c r="UVQ10" s="28"/>
      <c r="UVR10" s="28"/>
      <c r="UVS10" s="28"/>
      <c r="UVT10" s="28"/>
      <c r="UVU10" s="28"/>
      <c r="UVV10" s="28"/>
      <c r="UVW10" s="28"/>
      <c r="UVX10" s="28"/>
      <c r="UVY10" s="28"/>
      <c r="UVZ10" s="28"/>
      <c r="UWA10" s="28"/>
      <c r="UWB10" s="28"/>
      <c r="UWC10" s="28"/>
      <c r="UWD10" s="28"/>
      <c r="UWE10" s="28"/>
      <c r="UWF10" s="28"/>
      <c r="UWG10" s="28"/>
      <c r="UWH10" s="28"/>
      <c r="UWI10" s="28"/>
      <c r="UWJ10" s="28"/>
      <c r="UWK10" s="28"/>
      <c r="UWL10" s="28"/>
      <c r="UWM10" s="28"/>
      <c r="UWN10" s="28"/>
      <c r="UWO10" s="28"/>
      <c r="UWP10" s="28"/>
      <c r="UWQ10" s="28"/>
      <c r="UWR10" s="28"/>
      <c r="UWS10" s="28"/>
      <c r="UWT10" s="28"/>
      <c r="UWU10" s="28"/>
      <c r="UWV10" s="28"/>
      <c r="UWW10" s="28"/>
      <c r="UWX10" s="28"/>
      <c r="UWY10" s="28"/>
      <c r="UWZ10" s="28"/>
      <c r="UXA10" s="28"/>
      <c r="UXB10" s="28"/>
      <c r="UXC10" s="28"/>
      <c r="UXD10" s="28"/>
      <c r="UXE10" s="28"/>
      <c r="UXF10" s="28"/>
      <c r="UXG10" s="28"/>
      <c r="UXH10" s="28"/>
      <c r="UXI10" s="28"/>
      <c r="UXJ10" s="28"/>
      <c r="UXK10" s="28"/>
      <c r="UXL10" s="28"/>
      <c r="UXM10" s="28"/>
      <c r="UXN10" s="28"/>
      <c r="UXO10" s="28"/>
      <c r="UXP10" s="28"/>
      <c r="UXQ10" s="28"/>
      <c r="UXR10" s="28"/>
      <c r="UXS10" s="28"/>
      <c r="UXT10" s="28"/>
      <c r="UXU10" s="28"/>
      <c r="UXV10" s="28"/>
      <c r="UXW10" s="28"/>
      <c r="UXX10" s="28"/>
      <c r="UXY10" s="28"/>
      <c r="UXZ10" s="28"/>
      <c r="UYA10" s="28"/>
      <c r="UYB10" s="28"/>
      <c r="UYC10" s="28"/>
      <c r="UYD10" s="28"/>
      <c r="UYE10" s="28"/>
      <c r="UYF10" s="28"/>
      <c r="UYG10" s="28"/>
      <c r="UYH10" s="28"/>
      <c r="UYI10" s="28"/>
      <c r="UYJ10" s="28"/>
      <c r="UYK10" s="28"/>
      <c r="UYL10" s="28"/>
      <c r="UYM10" s="28"/>
      <c r="UYN10" s="28"/>
      <c r="UYO10" s="28"/>
      <c r="UYP10" s="28"/>
      <c r="UYQ10" s="28"/>
      <c r="UYR10" s="28"/>
      <c r="UYS10" s="28"/>
      <c r="UYT10" s="28"/>
      <c r="UYU10" s="28"/>
      <c r="UYV10" s="28"/>
      <c r="UYW10" s="28"/>
      <c r="UYX10" s="28"/>
      <c r="UYY10" s="28"/>
      <c r="UYZ10" s="28"/>
      <c r="UZA10" s="28"/>
      <c r="UZB10" s="28"/>
      <c r="UZC10" s="28"/>
      <c r="UZD10" s="28"/>
      <c r="UZE10" s="28"/>
      <c r="UZF10" s="28"/>
      <c r="UZG10" s="28"/>
      <c r="UZH10" s="28"/>
      <c r="UZI10" s="28"/>
      <c r="UZJ10" s="28"/>
      <c r="UZK10" s="28"/>
      <c r="UZL10" s="28"/>
      <c r="UZM10" s="28"/>
      <c r="UZN10" s="28"/>
      <c r="UZO10" s="28"/>
      <c r="UZP10" s="28"/>
      <c r="UZQ10" s="28"/>
      <c r="UZR10" s="28"/>
      <c r="UZS10" s="28"/>
      <c r="UZT10" s="28"/>
      <c r="UZU10" s="28"/>
      <c r="UZV10" s="28"/>
      <c r="UZW10" s="28"/>
      <c r="UZX10" s="28"/>
      <c r="UZY10" s="28"/>
      <c r="UZZ10" s="28"/>
      <c r="VAA10" s="28"/>
      <c r="VAB10" s="28"/>
      <c r="VAC10" s="28"/>
      <c r="VAD10" s="28"/>
      <c r="VAE10" s="28"/>
      <c r="VAF10" s="28"/>
      <c r="VAG10" s="28"/>
      <c r="VAH10" s="28"/>
      <c r="VAI10" s="28"/>
      <c r="VAJ10" s="28"/>
      <c r="VAK10" s="28"/>
      <c r="VAL10" s="28"/>
      <c r="VAM10" s="28"/>
      <c r="VAN10" s="28"/>
      <c r="VAO10" s="28"/>
      <c r="VAP10" s="28"/>
      <c r="VAQ10" s="28"/>
      <c r="VAR10" s="28"/>
      <c r="VAS10" s="28"/>
      <c r="VAT10" s="28"/>
      <c r="VAU10" s="28"/>
      <c r="VAV10" s="28"/>
      <c r="VAW10" s="28"/>
      <c r="VAX10" s="28"/>
      <c r="VAY10" s="28"/>
      <c r="VAZ10" s="28"/>
      <c r="VBA10" s="28"/>
      <c r="VBB10" s="28"/>
      <c r="VBC10" s="28"/>
      <c r="VBD10" s="28"/>
      <c r="VBE10" s="28"/>
      <c r="VBF10" s="28"/>
      <c r="VBG10" s="28"/>
      <c r="VBH10" s="28"/>
      <c r="VBI10" s="28"/>
      <c r="VBJ10" s="28"/>
      <c r="VBK10" s="28"/>
      <c r="VBL10" s="28"/>
      <c r="VBM10" s="28"/>
      <c r="VBN10" s="28"/>
      <c r="VBO10" s="28"/>
      <c r="VBP10" s="28"/>
      <c r="VBQ10" s="28"/>
      <c r="VBR10" s="28"/>
      <c r="VBS10" s="28"/>
      <c r="VBT10" s="28"/>
      <c r="VBU10" s="28"/>
      <c r="VBV10" s="28"/>
      <c r="VBW10" s="28"/>
      <c r="VBX10" s="28"/>
      <c r="VBY10" s="28"/>
      <c r="VBZ10" s="28"/>
      <c r="VCA10" s="28"/>
      <c r="VCB10" s="28"/>
      <c r="VCC10" s="28"/>
      <c r="VCD10" s="28"/>
      <c r="VCE10" s="28"/>
      <c r="VCF10" s="28"/>
      <c r="VCG10" s="28"/>
      <c r="VCH10" s="28"/>
      <c r="VCI10" s="28"/>
      <c r="VCJ10" s="28"/>
      <c r="VCK10" s="28"/>
      <c r="VCL10" s="28"/>
      <c r="VCM10" s="28"/>
      <c r="VCN10" s="28"/>
      <c r="VCO10" s="28"/>
      <c r="VCP10" s="28"/>
      <c r="VCQ10" s="28"/>
      <c r="VCR10" s="28"/>
      <c r="VCS10" s="28"/>
      <c r="VCT10" s="28"/>
      <c r="VCU10" s="28"/>
      <c r="VCV10" s="28"/>
      <c r="VCW10" s="28"/>
      <c r="VCX10" s="28"/>
      <c r="VCY10" s="28"/>
      <c r="VCZ10" s="28"/>
      <c r="VDA10" s="28"/>
      <c r="VDB10" s="28"/>
      <c r="VDC10" s="28"/>
      <c r="VDD10" s="28"/>
      <c r="VDE10" s="28"/>
      <c r="VDF10" s="28"/>
      <c r="VDG10" s="28"/>
      <c r="VDH10" s="28"/>
      <c r="VDI10" s="28"/>
      <c r="VDJ10" s="28"/>
      <c r="VDK10" s="28"/>
      <c r="VDL10" s="28"/>
      <c r="VDM10" s="28"/>
      <c r="VDN10" s="28"/>
      <c r="VDO10" s="28"/>
      <c r="VDP10" s="28"/>
      <c r="VDQ10" s="28"/>
      <c r="VDR10" s="28"/>
      <c r="VDS10" s="28"/>
      <c r="VDT10" s="28"/>
      <c r="VDU10" s="28"/>
      <c r="VDV10" s="28"/>
      <c r="VDW10" s="28"/>
      <c r="VDX10" s="28"/>
      <c r="VDY10" s="28"/>
      <c r="VDZ10" s="28"/>
      <c r="VEA10" s="28"/>
      <c r="VEB10" s="28"/>
      <c r="VEC10" s="28"/>
      <c r="VED10" s="28"/>
      <c r="VEE10" s="28"/>
      <c r="VEF10" s="28"/>
      <c r="VEG10" s="28"/>
      <c r="VEH10" s="28"/>
      <c r="VEI10" s="28"/>
      <c r="VEJ10" s="28"/>
      <c r="VEK10" s="28"/>
      <c r="VEL10" s="28"/>
      <c r="VEM10" s="28"/>
      <c r="VEN10" s="28"/>
      <c r="VEO10" s="28"/>
      <c r="VEP10" s="28"/>
      <c r="VEQ10" s="28"/>
      <c r="VER10" s="28"/>
      <c r="VES10" s="28"/>
      <c r="VET10" s="28"/>
      <c r="VEU10" s="28"/>
      <c r="VEV10" s="28"/>
      <c r="VEW10" s="28"/>
      <c r="VEX10" s="28"/>
      <c r="VEY10" s="28"/>
      <c r="VEZ10" s="28"/>
      <c r="VFA10" s="28"/>
      <c r="VFB10" s="28"/>
      <c r="VFC10" s="28"/>
      <c r="VFD10" s="28"/>
      <c r="VFE10" s="28"/>
      <c r="VFF10" s="28"/>
      <c r="VFG10" s="28"/>
      <c r="VFH10" s="28"/>
      <c r="VFI10" s="28"/>
      <c r="VFJ10" s="28"/>
      <c r="VFK10" s="28"/>
      <c r="VFL10" s="28"/>
      <c r="VFM10" s="28"/>
      <c r="VFN10" s="28"/>
      <c r="VFO10" s="28"/>
      <c r="VFP10" s="28"/>
      <c r="VFQ10" s="28"/>
      <c r="VFR10" s="28"/>
      <c r="VFS10" s="28"/>
      <c r="VFT10" s="28"/>
      <c r="VFU10" s="28"/>
      <c r="VFV10" s="28"/>
      <c r="VFW10" s="28"/>
      <c r="VFX10" s="28"/>
      <c r="VFY10" s="28"/>
      <c r="VFZ10" s="28"/>
      <c r="VGA10" s="28"/>
      <c r="VGB10" s="28"/>
      <c r="VGC10" s="28"/>
      <c r="VGD10" s="28"/>
      <c r="VGE10" s="28"/>
      <c r="VGF10" s="28"/>
      <c r="VGG10" s="28"/>
      <c r="VGH10" s="28"/>
      <c r="VGI10" s="28"/>
      <c r="VGJ10" s="28"/>
      <c r="VGK10" s="28"/>
      <c r="VGL10" s="28"/>
      <c r="VGM10" s="28"/>
      <c r="VGN10" s="28"/>
      <c r="VGO10" s="28"/>
      <c r="VGP10" s="28"/>
      <c r="VGQ10" s="28"/>
      <c r="VGR10" s="28"/>
      <c r="VGS10" s="28"/>
      <c r="VGT10" s="28"/>
      <c r="VGU10" s="28"/>
      <c r="VGV10" s="28"/>
      <c r="VGW10" s="28"/>
      <c r="VGX10" s="28"/>
      <c r="VGY10" s="28"/>
      <c r="VGZ10" s="28"/>
      <c r="VHA10" s="28"/>
      <c r="VHB10" s="28"/>
      <c r="VHC10" s="28"/>
      <c r="VHD10" s="28"/>
      <c r="VHE10" s="28"/>
      <c r="VHF10" s="28"/>
      <c r="VHG10" s="28"/>
      <c r="VHH10" s="28"/>
      <c r="VHI10" s="28"/>
      <c r="VHJ10" s="28"/>
      <c r="VHK10" s="28"/>
      <c r="VHL10" s="28"/>
      <c r="VHM10" s="28"/>
      <c r="VHN10" s="28"/>
      <c r="VHO10" s="28"/>
      <c r="VHP10" s="28"/>
      <c r="VHQ10" s="28"/>
      <c r="VHR10" s="28"/>
      <c r="VHS10" s="28"/>
      <c r="VHT10" s="28"/>
      <c r="VHU10" s="28"/>
      <c r="VHV10" s="28"/>
      <c r="VHW10" s="28"/>
      <c r="VHX10" s="28"/>
      <c r="VHY10" s="28"/>
      <c r="VHZ10" s="28"/>
      <c r="VIA10" s="28"/>
      <c r="VIB10" s="28"/>
      <c r="VIC10" s="28"/>
      <c r="VID10" s="28"/>
      <c r="VIE10" s="28"/>
      <c r="VIF10" s="28"/>
      <c r="VIG10" s="28"/>
      <c r="VIH10" s="28"/>
      <c r="VII10" s="28"/>
      <c r="VIJ10" s="28"/>
      <c r="VIK10" s="28"/>
      <c r="VIL10" s="28"/>
      <c r="VIM10" s="28"/>
      <c r="VIN10" s="28"/>
      <c r="VIO10" s="28"/>
      <c r="VIP10" s="28"/>
      <c r="VIQ10" s="28"/>
      <c r="VIR10" s="28"/>
      <c r="VIS10" s="28"/>
      <c r="VIT10" s="28"/>
      <c r="VIU10" s="28"/>
      <c r="VIV10" s="28"/>
      <c r="VIW10" s="28"/>
      <c r="VIX10" s="28"/>
      <c r="VIY10" s="28"/>
      <c r="VIZ10" s="28"/>
      <c r="VJA10" s="28"/>
      <c r="VJB10" s="28"/>
      <c r="VJC10" s="28"/>
      <c r="VJD10" s="28"/>
      <c r="VJE10" s="28"/>
      <c r="VJF10" s="28"/>
      <c r="VJG10" s="28"/>
      <c r="VJH10" s="28"/>
      <c r="VJI10" s="28"/>
      <c r="VJJ10" s="28"/>
      <c r="VJK10" s="28"/>
      <c r="VJL10" s="28"/>
      <c r="VJM10" s="28"/>
      <c r="VJN10" s="28"/>
      <c r="VJO10" s="28"/>
      <c r="VJP10" s="28"/>
      <c r="VJQ10" s="28"/>
      <c r="VJR10" s="28"/>
      <c r="VJS10" s="28"/>
      <c r="VJT10" s="28"/>
      <c r="VJU10" s="28"/>
      <c r="VJV10" s="28"/>
      <c r="VJW10" s="28"/>
      <c r="VJX10" s="28"/>
      <c r="VJY10" s="28"/>
      <c r="VJZ10" s="28"/>
      <c r="VKA10" s="28"/>
      <c r="VKB10" s="28"/>
      <c r="VKC10" s="28"/>
      <c r="VKD10" s="28"/>
      <c r="VKE10" s="28"/>
      <c r="VKF10" s="28"/>
      <c r="VKG10" s="28"/>
      <c r="VKH10" s="28"/>
      <c r="VKI10" s="28"/>
      <c r="VKJ10" s="28"/>
      <c r="VKK10" s="28"/>
      <c r="VKL10" s="28"/>
      <c r="VKM10" s="28"/>
      <c r="VKN10" s="28"/>
      <c r="VKO10" s="28"/>
      <c r="VKP10" s="28"/>
      <c r="VKQ10" s="28"/>
      <c r="VKR10" s="28"/>
      <c r="VKS10" s="28"/>
      <c r="VKT10" s="28"/>
      <c r="VKU10" s="28"/>
      <c r="VKV10" s="28"/>
      <c r="VKW10" s="28"/>
      <c r="VKX10" s="28"/>
      <c r="VKY10" s="28"/>
      <c r="VKZ10" s="28"/>
      <c r="VLA10" s="28"/>
      <c r="VLB10" s="28"/>
      <c r="VLC10" s="28"/>
      <c r="VLD10" s="28"/>
      <c r="VLE10" s="28"/>
      <c r="VLF10" s="28"/>
      <c r="VLG10" s="28"/>
      <c r="VLH10" s="28"/>
      <c r="VLI10" s="28"/>
      <c r="VLJ10" s="28"/>
      <c r="VLK10" s="28"/>
      <c r="VLL10" s="28"/>
      <c r="VLM10" s="28"/>
      <c r="VLN10" s="28"/>
      <c r="VLO10" s="28"/>
      <c r="VLP10" s="28"/>
      <c r="VLQ10" s="28"/>
      <c r="VLR10" s="28"/>
      <c r="VLS10" s="28"/>
      <c r="VLT10" s="28"/>
      <c r="VLU10" s="28"/>
      <c r="VLV10" s="28"/>
      <c r="VLW10" s="28"/>
      <c r="VLX10" s="28"/>
      <c r="VLY10" s="28"/>
      <c r="VLZ10" s="28"/>
      <c r="VMA10" s="28"/>
      <c r="VMB10" s="28"/>
      <c r="VMC10" s="28"/>
      <c r="VMD10" s="28"/>
      <c r="VME10" s="28"/>
      <c r="VMF10" s="28"/>
      <c r="VMG10" s="28"/>
      <c r="VMH10" s="28"/>
      <c r="VMI10" s="28"/>
      <c r="VMJ10" s="28"/>
      <c r="VMK10" s="28"/>
      <c r="VML10" s="28"/>
      <c r="VMM10" s="28"/>
      <c r="VMN10" s="28"/>
      <c r="VMO10" s="28"/>
      <c r="VMP10" s="28"/>
      <c r="VMQ10" s="28"/>
      <c r="VMR10" s="28"/>
      <c r="VMS10" s="28"/>
      <c r="VMT10" s="28"/>
      <c r="VMU10" s="28"/>
      <c r="VMV10" s="28"/>
      <c r="VMW10" s="28"/>
      <c r="VMX10" s="28"/>
      <c r="VMY10" s="28"/>
      <c r="VMZ10" s="28"/>
      <c r="VNA10" s="28"/>
      <c r="VNB10" s="28"/>
      <c r="VNC10" s="28"/>
      <c r="VND10" s="28"/>
      <c r="VNE10" s="28"/>
      <c r="VNF10" s="28"/>
      <c r="VNG10" s="28"/>
      <c r="VNH10" s="28"/>
      <c r="VNI10" s="28"/>
      <c r="VNJ10" s="28"/>
      <c r="VNK10" s="28"/>
      <c r="VNL10" s="28"/>
      <c r="VNM10" s="28"/>
      <c r="VNN10" s="28"/>
      <c r="VNO10" s="28"/>
      <c r="VNP10" s="28"/>
      <c r="VNQ10" s="28"/>
      <c r="VNR10" s="28"/>
      <c r="VNS10" s="28"/>
      <c r="VNT10" s="28"/>
      <c r="VNU10" s="28"/>
      <c r="VNV10" s="28"/>
      <c r="VNW10" s="28"/>
      <c r="VNX10" s="28"/>
      <c r="VNY10" s="28"/>
      <c r="VNZ10" s="28"/>
      <c r="VOA10" s="28"/>
      <c r="VOB10" s="28"/>
      <c r="VOC10" s="28"/>
      <c r="VOD10" s="28"/>
      <c r="VOE10" s="28"/>
      <c r="VOF10" s="28"/>
      <c r="VOG10" s="28"/>
      <c r="VOH10" s="28"/>
      <c r="VOI10" s="28"/>
      <c r="VOJ10" s="28"/>
      <c r="VOK10" s="28"/>
      <c r="VOL10" s="28"/>
      <c r="VOM10" s="28"/>
      <c r="VON10" s="28"/>
      <c r="VOO10" s="28"/>
      <c r="VOP10" s="28"/>
      <c r="VOQ10" s="28"/>
      <c r="VOR10" s="28"/>
      <c r="VOS10" s="28"/>
      <c r="VOT10" s="28"/>
      <c r="VOU10" s="28"/>
      <c r="VOV10" s="28"/>
      <c r="VOW10" s="28"/>
      <c r="VOX10" s="28"/>
      <c r="VOY10" s="28"/>
      <c r="VOZ10" s="28"/>
      <c r="VPA10" s="28"/>
      <c r="VPB10" s="28"/>
      <c r="VPC10" s="28"/>
      <c r="VPD10" s="28"/>
      <c r="VPE10" s="28"/>
      <c r="VPF10" s="28"/>
      <c r="VPG10" s="28"/>
      <c r="VPH10" s="28"/>
      <c r="VPI10" s="28"/>
      <c r="VPJ10" s="28"/>
      <c r="VPK10" s="28"/>
      <c r="VPL10" s="28"/>
      <c r="VPM10" s="28"/>
      <c r="VPN10" s="28"/>
      <c r="VPO10" s="28"/>
      <c r="VPP10" s="28"/>
      <c r="VPQ10" s="28"/>
      <c r="VPR10" s="28"/>
      <c r="VPS10" s="28"/>
      <c r="VPT10" s="28"/>
      <c r="VPU10" s="28"/>
      <c r="VPV10" s="28"/>
      <c r="VPW10" s="28"/>
      <c r="VPX10" s="28"/>
      <c r="VPY10" s="28"/>
      <c r="VPZ10" s="28"/>
      <c r="VQA10" s="28"/>
      <c r="VQB10" s="28"/>
      <c r="VQC10" s="28"/>
      <c r="VQD10" s="28"/>
      <c r="VQE10" s="28"/>
      <c r="VQF10" s="28"/>
      <c r="VQG10" s="28"/>
      <c r="VQH10" s="28"/>
      <c r="VQI10" s="28"/>
      <c r="VQJ10" s="28"/>
      <c r="VQK10" s="28"/>
      <c r="VQL10" s="28"/>
      <c r="VQM10" s="28"/>
      <c r="VQN10" s="28"/>
      <c r="VQO10" s="28"/>
      <c r="VQP10" s="28"/>
      <c r="VQQ10" s="28"/>
      <c r="VQR10" s="28"/>
      <c r="VQS10" s="28"/>
      <c r="VQT10" s="28"/>
      <c r="VQU10" s="28"/>
      <c r="VQV10" s="28"/>
      <c r="VQW10" s="28"/>
      <c r="VQX10" s="28"/>
      <c r="VQY10" s="28"/>
      <c r="VQZ10" s="28"/>
      <c r="VRA10" s="28"/>
      <c r="VRB10" s="28"/>
      <c r="VRC10" s="28"/>
      <c r="VRD10" s="28"/>
      <c r="VRE10" s="28"/>
      <c r="VRF10" s="28"/>
      <c r="VRG10" s="28"/>
      <c r="VRH10" s="28"/>
      <c r="VRI10" s="28"/>
      <c r="VRJ10" s="28"/>
      <c r="VRK10" s="28"/>
      <c r="VRL10" s="28"/>
      <c r="VRM10" s="28"/>
      <c r="VRN10" s="28"/>
      <c r="VRO10" s="28"/>
      <c r="VRP10" s="28"/>
      <c r="VRQ10" s="28"/>
      <c r="VRR10" s="28"/>
      <c r="VRS10" s="28"/>
      <c r="VRT10" s="28"/>
      <c r="VRU10" s="28"/>
      <c r="VRV10" s="28"/>
      <c r="VRW10" s="28"/>
      <c r="VRX10" s="28"/>
      <c r="VRY10" s="28"/>
      <c r="VRZ10" s="28"/>
      <c r="VSA10" s="28"/>
      <c r="VSB10" s="28"/>
      <c r="VSC10" s="28"/>
      <c r="VSD10" s="28"/>
      <c r="VSE10" s="28"/>
      <c r="VSF10" s="28"/>
      <c r="VSG10" s="28"/>
      <c r="VSH10" s="28"/>
      <c r="VSI10" s="28"/>
      <c r="VSJ10" s="28"/>
      <c r="VSK10" s="28"/>
      <c r="VSL10" s="28"/>
      <c r="VSM10" s="28"/>
      <c r="VSN10" s="28"/>
      <c r="VSO10" s="28"/>
      <c r="VSP10" s="28"/>
      <c r="VSQ10" s="28"/>
      <c r="VSR10" s="28"/>
      <c r="VSS10" s="28"/>
      <c r="VST10" s="28"/>
      <c r="VSU10" s="28"/>
      <c r="VSV10" s="28"/>
      <c r="VSW10" s="28"/>
      <c r="VSX10" s="28"/>
      <c r="VSY10" s="28"/>
      <c r="VSZ10" s="28"/>
      <c r="VTA10" s="28"/>
      <c r="VTB10" s="28"/>
      <c r="VTC10" s="28"/>
      <c r="VTD10" s="28"/>
      <c r="VTE10" s="28"/>
      <c r="VTF10" s="28"/>
      <c r="VTG10" s="28"/>
      <c r="VTH10" s="28"/>
      <c r="VTI10" s="28"/>
      <c r="VTJ10" s="28"/>
      <c r="VTK10" s="28"/>
      <c r="VTL10" s="28"/>
      <c r="VTM10" s="28"/>
      <c r="VTN10" s="28"/>
      <c r="VTO10" s="28"/>
      <c r="VTP10" s="28"/>
      <c r="VTQ10" s="28"/>
      <c r="VTR10" s="28"/>
      <c r="VTS10" s="28"/>
      <c r="VTT10" s="28"/>
      <c r="VTU10" s="28"/>
      <c r="VTV10" s="28"/>
      <c r="VTW10" s="28"/>
      <c r="VTX10" s="28"/>
      <c r="VTY10" s="28"/>
      <c r="VTZ10" s="28"/>
      <c r="VUA10" s="28"/>
      <c r="VUB10" s="28"/>
      <c r="VUC10" s="28"/>
      <c r="VUD10" s="28"/>
      <c r="VUE10" s="28"/>
      <c r="VUF10" s="28"/>
      <c r="VUG10" s="28"/>
      <c r="VUH10" s="28"/>
      <c r="VUI10" s="28"/>
      <c r="VUJ10" s="28"/>
      <c r="VUK10" s="28"/>
      <c r="VUL10" s="28"/>
      <c r="VUM10" s="28"/>
      <c r="VUN10" s="28"/>
      <c r="VUO10" s="28"/>
      <c r="VUP10" s="28"/>
      <c r="VUQ10" s="28"/>
      <c r="VUR10" s="28"/>
      <c r="VUS10" s="28"/>
      <c r="VUT10" s="28"/>
      <c r="VUU10" s="28"/>
      <c r="VUV10" s="28"/>
      <c r="VUW10" s="28"/>
      <c r="VUX10" s="28"/>
      <c r="VUY10" s="28"/>
      <c r="VUZ10" s="28"/>
      <c r="VVA10" s="28"/>
      <c r="VVB10" s="28"/>
      <c r="VVC10" s="28"/>
      <c r="VVD10" s="28"/>
      <c r="VVE10" s="28"/>
      <c r="VVF10" s="28"/>
      <c r="VVG10" s="28"/>
      <c r="VVH10" s="28"/>
      <c r="VVI10" s="28"/>
      <c r="VVJ10" s="28"/>
      <c r="VVK10" s="28"/>
      <c r="VVL10" s="28"/>
      <c r="VVM10" s="28"/>
      <c r="VVN10" s="28"/>
      <c r="VVO10" s="28"/>
      <c r="VVP10" s="28"/>
      <c r="VVQ10" s="28"/>
      <c r="VVR10" s="28"/>
      <c r="VVS10" s="28"/>
      <c r="VVT10" s="28"/>
      <c r="VVU10" s="28"/>
      <c r="VVV10" s="28"/>
      <c r="VVW10" s="28"/>
      <c r="VVX10" s="28"/>
      <c r="VVY10" s="28"/>
      <c r="VVZ10" s="28"/>
      <c r="VWA10" s="28"/>
      <c r="VWB10" s="28"/>
      <c r="VWC10" s="28"/>
      <c r="VWD10" s="28"/>
      <c r="VWE10" s="28"/>
      <c r="VWF10" s="28"/>
      <c r="VWG10" s="28"/>
      <c r="VWH10" s="28"/>
      <c r="VWI10" s="28"/>
      <c r="VWJ10" s="28"/>
      <c r="VWK10" s="28"/>
      <c r="VWL10" s="28"/>
      <c r="VWM10" s="28"/>
      <c r="VWN10" s="28"/>
      <c r="VWO10" s="28"/>
      <c r="VWP10" s="28"/>
      <c r="VWQ10" s="28"/>
      <c r="VWR10" s="28"/>
      <c r="VWS10" s="28"/>
      <c r="VWT10" s="28"/>
      <c r="VWU10" s="28"/>
      <c r="VWV10" s="28"/>
      <c r="VWW10" s="28"/>
      <c r="VWX10" s="28"/>
      <c r="VWY10" s="28"/>
      <c r="VWZ10" s="28"/>
      <c r="VXA10" s="28"/>
      <c r="VXB10" s="28"/>
      <c r="VXC10" s="28"/>
      <c r="VXD10" s="28"/>
      <c r="VXE10" s="28"/>
      <c r="VXF10" s="28"/>
      <c r="VXG10" s="28"/>
      <c r="VXH10" s="28"/>
      <c r="VXI10" s="28"/>
      <c r="VXJ10" s="28"/>
      <c r="VXK10" s="28"/>
      <c r="VXL10" s="28"/>
      <c r="VXM10" s="28"/>
      <c r="VXN10" s="28"/>
      <c r="VXO10" s="28"/>
      <c r="VXP10" s="28"/>
      <c r="VXQ10" s="28"/>
      <c r="VXR10" s="28"/>
      <c r="VXS10" s="28"/>
      <c r="VXT10" s="28"/>
      <c r="VXU10" s="28"/>
      <c r="VXV10" s="28"/>
      <c r="VXW10" s="28"/>
      <c r="VXX10" s="28"/>
      <c r="VXY10" s="28"/>
      <c r="VXZ10" s="28"/>
      <c r="VYA10" s="28"/>
      <c r="VYB10" s="28"/>
      <c r="VYC10" s="28"/>
      <c r="VYD10" s="28"/>
      <c r="VYE10" s="28"/>
      <c r="VYF10" s="28"/>
      <c r="VYG10" s="28"/>
      <c r="VYH10" s="28"/>
      <c r="VYI10" s="28"/>
      <c r="VYJ10" s="28"/>
      <c r="VYK10" s="28"/>
      <c r="VYL10" s="28"/>
      <c r="VYM10" s="28"/>
      <c r="VYN10" s="28"/>
      <c r="VYO10" s="28"/>
      <c r="VYP10" s="28"/>
      <c r="VYQ10" s="28"/>
      <c r="VYR10" s="28"/>
      <c r="VYS10" s="28"/>
      <c r="VYT10" s="28"/>
      <c r="VYU10" s="28"/>
      <c r="VYV10" s="28"/>
      <c r="VYW10" s="28"/>
      <c r="VYX10" s="28"/>
      <c r="VYY10" s="28"/>
      <c r="VYZ10" s="28"/>
      <c r="VZA10" s="28"/>
      <c r="VZB10" s="28"/>
      <c r="VZC10" s="28"/>
      <c r="VZD10" s="28"/>
      <c r="VZE10" s="28"/>
      <c r="VZF10" s="28"/>
      <c r="VZG10" s="28"/>
      <c r="VZH10" s="28"/>
      <c r="VZI10" s="28"/>
      <c r="VZJ10" s="28"/>
      <c r="VZK10" s="28"/>
      <c r="VZL10" s="28"/>
      <c r="VZM10" s="28"/>
      <c r="VZN10" s="28"/>
      <c r="VZO10" s="28"/>
      <c r="VZP10" s="28"/>
      <c r="VZQ10" s="28"/>
      <c r="VZR10" s="28"/>
      <c r="VZS10" s="28"/>
      <c r="VZT10" s="28"/>
      <c r="VZU10" s="28"/>
      <c r="VZV10" s="28"/>
      <c r="VZW10" s="28"/>
      <c r="VZX10" s="28"/>
      <c r="VZY10" s="28"/>
      <c r="VZZ10" s="28"/>
      <c r="WAA10" s="28"/>
      <c r="WAB10" s="28"/>
      <c r="WAC10" s="28"/>
      <c r="WAD10" s="28"/>
      <c r="WAE10" s="28"/>
      <c r="WAF10" s="28"/>
      <c r="WAG10" s="28"/>
      <c r="WAH10" s="28"/>
      <c r="WAI10" s="28"/>
      <c r="WAJ10" s="28"/>
      <c r="WAK10" s="28"/>
      <c r="WAL10" s="28"/>
      <c r="WAM10" s="28"/>
      <c r="WAN10" s="28"/>
      <c r="WAO10" s="28"/>
      <c r="WAP10" s="28"/>
      <c r="WAQ10" s="28"/>
      <c r="WAR10" s="28"/>
      <c r="WAS10" s="28"/>
      <c r="WAT10" s="28"/>
      <c r="WAU10" s="28"/>
      <c r="WAV10" s="28"/>
      <c r="WAW10" s="28"/>
      <c r="WAX10" s="28"/>
      <c r="WAY10" s="28"/>
      <c r="WAZ10" s="28"/>
      <c r="WBA10" s="28"/>
      <c r="WBB10" s="28"/>
      <c r="WBC10" s="28"/>
      <c r="WBD10" s="28"/>
      <c r="WBE10" s="28"/>
      <c r="WBF10" s="28"/>
      <c r="WBG10" s="28"/>
      <c r="WBH10" s="28"/>
      <c r="WBI10" s="28"/>
      <c r="WBJ10" s="28"/>
      <c r="WBK10" s="28"/>
      <c r="WBL10" s="28"/>
      <c r="WBM10" s="28"/>
      <c r="WBN10" s="28"/>
      <c r="WBO10" s="28"/>
      <c r="WBP10" s="28"/>
      <c r="WBQ10" s="28"/>
      <c r="WBR10" s="28"/>
      <c r="WBS10" s="28"/>
      <c r="WBT10" s="28"/>
      <c r="WBU10" s="28"/>
      <c r="WBV10" s="28"/>
      <c r="WBW10" s="28"/>
      <c r="WBX10" s="28"/>
      <c r="WBY10" s="28"/>
      <c r="WBZ10" s="28"/>
      <c r="WCA10" s="28"/>
      <c r="WCB10" s="28"/>
      <c r="WCC10" s="28"/>
      <c r="WCD10" s="28"/>
      <c r="WCE10" s="28"/>
      <c r="WCF10" s="28"/>
      <c r="WCG10" s="28"/>
      <c r="WCH10" s="28"/>
      <c r="WCI10" s="28"/>
      <c r="WCJ10" s="28"/>
      <c r="WCK10" s="28"/>
      <c r="WCL10" s="28"/>
      <c r="WCM10" s="28"/>
      <c r="WCN10" s="28"/>
      <c r="WCO10" s="28"/>
      <c r="WCP10" s="28"/>
      <c r="WCQ10" s="28"/>
      <c r="WCR10" s="28"/>
      <c r="WCS10" s="28"/>
      <c r="WCT10" s="28"/>
      <c r="WCU10" s="28"/>
      <c r="WCV10" s="28"/>
      <c r="WCW10" s="28"/>
      <c r="WCX10" s="28"/>
      <c r="WCY10" s="28"/>
      <c r="WCZ10" s="28"/>
      <c r="WDA10" s="28"/>
      <c r="WDB10" s="28"/>
      <c r="WDC10" s="28"/>
      <c r="WDD10" s="28"/>
      <c r="WDE10" s="28"/>
      <c r="WDF10" s="28"/>
      <c r="WDG10" s="28"/>
      <c r="WDH10" s="28"/>
      <c r="WDI10" s="28"/>
      <c r="WDJ10" s="28"/>
      <c r="WDK10" s="28"/>
      <c r="WDL10" s="28"/>
      <c r="WDM10" s="28"/>
      <c r="WDN10" s="28"/>
      <c r="WDO10" s="28"/>
      <c r="WDP10" s="28"/>
      <c r="WDQ10" s="28"/>
      <c r="WDR10" s="28"/>
      <c r="WDS10" s="28"/>
      <c r="WDT10" s="28"/>
      <c r="WDU10" s="28"/>
      <c r="WDV10" s="28"/>
      <c r="WDW10" s="28"/>
      <c r="WDX10" s="28"/>
      <c r="WDY10" s="28"/>
      <c r="WDZ10" s="28"/>
      <c r="WEA10" s="28"/>
      <c r="WEB10" s="28"/>
      <c r="WEC10" s="28"/>
      <c r="WED10" s="28"/>
      <c r="WEE10" s="28"/>
      <c r="WEF10" s="28"/>
      <c r="WEG10" s="28"/>
      <c r="WEH10" s="28"/>
      <c r="WEI10" s="28"/>
      <c r="WEJ10" s="28"/>
      <c r="WEK10" s="28"/>
      <c r="WEL10" s="28"/>
      <c r="WEM10" s="28"/>
      <c r="WEN10" s="28"/>
      <c r="WEO10" s="28"/>
      <c r="WEP10" s="28"/>
      <c r="WEQ10" s="28"/>
      <c r="WER10" s="28"/>
      <c r="WES10" s="28"/>
      <c r="WET10" s="28"/>
      <c r="WEU10" s="28"/>
      <c r="WEV10" s="28"/>
      <c r="WEW10" s="28"/>
      <c r="WEX10" s="28"/>
      <c r="WEY10" s="28"/>
      <c r="WEZ10" s="28"/>
      <c r="WFA10" s="28"/>
      <c r="WFB10" s="28"/>
      <c r="WFC10" s="28"/>
      <c r="WFD10" s="28"/>
      <c r="WFE10" s="28"/>
      <c r="WFF10" s="28"/>
      <c r="WFG10" s="28"/>
      <c r="WFH10" s="28"/>
      <c r="WFI10" s="28"/>
      <c r="WFJ10" s="28"/>
      <c r="WFK10" s="28"/>
      <c r="WFL10" s="28"/>
      <c r="WFM10" s="28"/>
      <c r="WFN10" s="28"/>
      <c r="WFO10" s="28"/>
      <c r="WFP10" s="28"/>
      <c r="WFQ10" s="28"/>
      <c r="WFR10" s="28"/>
      <c r="WFS10" s="28"/>
      <c r="WFT10" s="28"/>
      <c r="WFU10" s="28"/>
      <c r="WFV10" s="28"/>
      <c r="WFW10" s="28"/>
      <c r="WFX10" s="28"/>
      <c r="WFY10" s="28"/>
      <c r="WFZ10" s="28"/>
      <c r="WGA10" s="28"/>
      <c r="WGB10" s="28"/>
      <c r="WGC10" s="28"/>
      <c r="WGD10" s="28"/>
      <c r="WGE10" s="28"/>
      <c r="WGF10" s="28"/>
      <c r="WGG10" s="28"/>
      <c r="WGH10" s="28"/>
      <c r="WGI10" s="28"/>
      <c r="WGJ10" s="28"/>
      <c r="WGK10" s="28"/>
      <c r="WGL10" s="28"/>
      <c r="WGM10" s="28"/>
      <c r="WGN10" s="28"/>
      <c r="WGO10" s="28"/>
      <c r="WGP10" s="28"/>
      <c r="WGQ10" s="28"/>
      <c r="WGR10" s="28"/>
      <c r="WGS10" s="28"/>
      <c r="WGT10" s="28"/>
      <c r="WGU10" s="28"/>
      <c r="WGV10" s="28"/>
      <c r="WGW10" s="28"/>
      <c r="WGX10" s="28"/>
      <c r="WGY10" s="28"/>
      <c r="WGZ10" s="28"/>
      <c r="WHA10" s="28"/>
      <c r="WHB10" s="28"/>
      <c r="WHC10" s="28"/>
      <c r="WHD10" s="28"/>
      <c r="WHE10" s="28"/>
      <c r="WHF10" s="28"/>
      <c r="WHG10" s="28"/>
      <c r="WHH10" s="28"/>
      <c r="WHI10" s="28"/>
      <c r="WHJ10" s="28"/>
      <c r="WHK10" s="28"/>
      <c r="WHL10" s="28"/>
      <c r="WHM10" s="28"/>
      <c r="WHN10" s="28"/>
      <c r="WHO10" s="28"/>
      <c r="WHP10" s="28"/>
      <c r="WHQ10" s="28"/>
      <c r="WHR10" s="28"/>
      <c r="WHS10" s="28"/>
      <c r="WHT10" s="28"/>
      <c r="WHU10" s="28"/>
      <c r="WHV10" s="28"/>
      <c r="WHW10" s="28"/>
      <c r="WHX10" s="28"/>
      <c r="WHY10" s="28"/>
      <c r="WHZ10" s="28"/>
      <c r="WIA10" s="28"/>
      <c r="WIB10" s="28"/>
      <c r="WIC10" s="28"/>
      <c r="WID10" s="28"/>
      <c r="WIE10" s="28"/>
      <c r="WIF10" s="28"/>
      <c r="WIG10" s="28"/>
      <c r="WIH10" s="28"/>
      <c r="WII10" s="28"/>
      <c r="WIJ10" s="28"/>
      <c r="WIK10" s="28"/>
      <c r="WIL10" s="28"/>
      <c r="WIM10" s="28"/>
      <c r="WIN10" s="28"/>
      <c r="WIO10" s="28"/>
      <c r="WIP10" s="28"/>
      <c r="WIQ10" s="28"/>
      <c r="WIR10" s="28"/>
      <c r="WIS10" s="28"/>
      <c r="WIT10" s="28"/>
      <c r="WIU10" s="28"/>
      <c r="WIV10" s="28"/>
      <c r="WIW10" s="28"/>
      <c r="WIX10" s="28"/>
      <c r="WIY10" s="28"/>
      <c r="WIZ10" s="28"/>
      <c r="WJA10" s="28"/>
      <c r="WJB10" s="28"/>
      <c r="WJC10" s="28"/>
      <c r="WJD10" s="28"/>
      <c r="WJE10" s="28"/>
      <c r="WJF10" s="28"/>
      <c r="WJG10" s="28"/>
      <c r="WJH10" s="28"/>
      <c r="WJI10" s="28"/>
      <c r="WJJ10" s="28"/>
      <c r="WJK10" s="28"/>
      <c r="WJL10" s="28"/>
      <c r="WJM10" s="28"/>
      <c r="WJN10" s="28"/>
      <c r="WJO10" s="28"/>
      <c r="WJP10" s="28"/>
      <c r="WJQ10" s="28"/>
      <c r="WJR10" s="28"/>
      <c r="WJS10" s="28"/>
      <c r="WJT10" s="28"/>
      <c r="WJU10" s="28"/>
      <c r="WJV10" s="28"/>
      <c r="WJW10" s="28"/>
      <c r="WJX10" s="28"/>
      <c r="WJY10" s="28"/>
      <c r="WJZ10" s="28"/>
      <c r="WKA10" s="28"/>
      <c r="WKB10" s="28"/>
      <c r="WKC10" s="28"/>
      <c r="WKD10" s="28"/>
      <c r="WKE10" s="28"/>
      <c r="WKF10" s="28"/>
      <c r="WKG10" s="28"/>
      <c r="WKH10" s="28"/>
      <c r="WKI10" s="28"/>
      <c r="WKJ10" s="28"/>
      <c r="WKK10" s="28"/>
      <c r="WKL10" s="28"/>
      <c r="WKM10" s="28"/>
      <c r="WKN10" s="28"/>
      <c r="WKO10" s="28"/>
      <c r="WKP10" s="28"/>
      <c r="WKQ10" s="28"/>
      <c r="WKR10" s="28"/>
      <c r="WKS10" s="28"/>
      <c r="WKT10" s="28"/>
      <c r="WKU10" s="28"/>
      <c r="WKV10" s="28"/>
      <c r="WKW10" s="28"/>
      <c r="WKX10" s="28"/>
      <c r="WKY10" s="28"/>
      <c r="WKZ10" s="28"/>
      <c r="WLA10" s="28"/>
      <c r="WLB10" s="28"/>
      <c r="WLC10" s="28"/>
      <c r="WLD10" s="28"/>
      <c r="WLE10" s="28"/>
      <c r="WLF10" s="28"/>
      <c r="WLG10" s="28"/>
      <c r="WLH10" s="28"/>
      <c r="WLI10" s="28"/>
      <c r="WLJ10" s="28"/>
      <c r="WLK10" s="28"/>
      <c r="WLL10" s="28"/>
      <c r="WLM10" s="28"/>
      <c r="WLN10" s="28"/>
      <c r="WLO10" s="28"/>
      <c r="WLP10" s="28"/>
      <c r="WLQ10" s="28"/>
      <c r="WLR10" s="28"/>
      <c r="WLS10" s="28"/>
      <c r="WLT10" s="28"/>
      <c r="WLU10" s="28"/>
      <c r="WLV10" s="28"/>
      <c r="WLW10" s="28"/>
      <c r="WLX10" s="28"/>
      <c r="WLY10" s="28"/>
      <c r="WLZ10" s="28"/>
      <c r="WMA10" s="28"/>
      <c r="WMB10" s="28"/>
      <c r="WMC10" s="28"/>
      <c r="WMD10" s="28"/>
      <c r="WME10" s="28"/>
      <c r="WMF10" s="28"/>
      <c r="WMG10" s="28"/>
      <c r="WMH10" s="28"/>
      <c r="WMI10" s="28"/>
      <c r="WMJ10" s="28"/>
      <c r="WMK10" s="28"/>
      <c r="WML10" s="28"/>
      <c r="WMM10" s="28"/>
      <c r="WMN10" s="28"/>
      <c r="WMO10" s="28"/>
      <c r="WMP10" s="28"/>
      <c r="WMQ10" s="28"/>
      <c r="WMR10" s="28"/>
      <c r="WMS10" s="28"/>
      <c r="WMT10" s="28"/>
      <c r="WMU10" s="28"/>
      <c r="WMV10" s="28"/>
      <c r="WMW10" s="28"/>
      <c r="WMX10" s="28"/>
      <c r="WMY10" s="28"/>
      <c r="WMZ10" s="28"/>
      <c r="WNA10" s="28"/>
      <c r="WNB10" s="28"/>
      <c r="WNC10" s="28"/>
      <c r="WND10" s="28"/>
      <c r="WNE10" s="28"/>
      <c r="WNF10" s="28"/>
      <c r="WNG10" s="28"/>
      <c r="WNH10" s="28"/>
      <c r="WNI10" s="28"/>
      <c r="WNJ10" s="28"/>
      <c r="WNK10" s="28"/>
      <c r="WNL10" s="28"/>
      <c r="WNM10" s="28"/>
      <c r="WNN10" s="28"/>
      <c r="WNO10" s="28"/>
      <c r="WNP10" s="28"/>
      <c r="WNQ10" s="28"/>
      <c r="WNR10" s="28"/>
      <c r="WNS10" s="28"/>
      <c r="WNT10" s="28"/>
      <c r="WNU10" s="28"/>
      <c r="WNV10" s="28"/>
      <c r="WNW10" s="28"/>
      <c r="WNX10" s="28"/>
      <c r="WNY10" s="28"/>
      <c r="WNZ10" s="28"/>
      <c r="WOA10" s="28"/>
      <c r="WOB10" s="28"/>
      <c r="WOC10" s="28"/>
      <c r="WOD10" s="28"/>
      <c r="WOE10" s="28"/>
      <c r="WOF10" s="28"/>
      <c r="WOG10" s="28"/>
      <c r="WOH10" s="28"/>
      <c r="WOI10" s="28"/>
      <c r="WOJ10" s="28"/>
      <c r="WOK10" s="28"/>
      <c r="WOL10" s="28"/>
      <c r="WOM10" s="28"/>
      <c r="WON10" s="28"/>
      <c r="WOO10" s="28"/>
      <c r="WOP10" s="28"/>
      <c r="WOQ10" s="28"/>
      <c r="WOR10" s="28"/>
      <c r="WOS10" s="28"/>
      <c r="WOT10" s="28"/>
      <c r="WOU10" s="28"/>
      <c r="WOV10" s="28"/>
      <c r="WOW10" s="28"/>
      <c r="WOX10" s="28"/>
      <c r="WOY10" s="28"/>
      <c r="WOZ10" s="28"/>
      <c r="WPA10" s="28"/>
      <c r="WPB10" s="28"/>
      <c r="WPC10" s="28"/>
      <c r="WPD10" s="28"/>
      <c r="WPE10" s="28"/>
      <c r="WPF10" s="28"/>
      <c r="WPG10" s="28"/>
      <c r="WPH10" s="28"/>
      <c r="WPI10" s="28"/>
      <c r="WPJ10" s="28"/>
      <c r="WPK10" s="28"/>
      <c r="WPL10" s="28"/>
      <c r="WPM10" s="28"/>
      <c r="WPN10" s="28"/>
      <c r="WPO10" s="28"/>
      <c r="WPP10" s="28"/>
      <c r="WPQ10" s="28"/>
      <c r="WPR10" s="28"/>
      <c r="WPS10" s="28"/>
      <c r="WPT10" s="28"/>
      <c r="WPU10" s="28"/>
      <c r="WPV10" s="28"/>
      <c r="WPW10" s="28"/>
      <c r="WPX10" s="28"/>
      <c r="WPY10" s="28"/>
      <c r="WPZ10" s="28"/>
      <c r="WQA10" s="28"/>
      <c r="WQB10" s="28"/>
      <c r="WQC10" s="28"/>
      <c r="WQD10" s="28"/>
      <c r="WQE10" s="28"/>
      <c r="WQF10" s="28"/>
      <c r="WQG10" s="28"/>
      <c r="WQH10" s="28"/>
      <c r="WQI10" s="28"/>
      <c r="WQJ10" s="28"/>
      <c r="WQK10" s="28"/>
      <c r="WQL10" s="28"/>
      <c r="WQM10" s="28"/>
      <c r="WQN10" s="28"/>
      <c r="WQO10" s="28"/>
      <c r="WQP10" s="28"/>
      <c r="WQQ10" s="28"/>
      <c r="WQR10" s="28"/>
      <c r="WQS10" s="28"/>
      <c r="WQT10" s="28"/>
      <c r="WQU10" s="28"/>
      <c r="WQV10" s="28"/>
      <c r="WQW10" s="28"/>
      <c r="WQX10" s="28"/>
      <c r="WQY10" s="28"/>
      <c r="WQZ10" s="28"/>
      <c r="WRA10" s="28"/>
      <c r="WRB10" s="28"/>
      <c r="WRC10" s="28"/>
      <c r="WRD10" s="28"/>
      <c r="WRE10" s="28"/>
      <c r="WRF10" s="28"/>
      <c r="WRG10" s="28"/>
      <c r="WRH10" s="28"/>
      <c r="WRI10" s="28"/>
      <c r="WRJ10" s="28"/>
      <c r="WRK10" s="28"/>
      <c r="WRL10" s="28"/>
      <c r="WRM10" s="28"/>
      <c r="WRN10" s="28"/>
      <c r="WRO10" s="28"/>
      <c r="WRP10" s="28"/>
      <c r="WRQ10" s="28"/>
      <c r="WRR10" s="28"/>
      <c r="WRS10" s="28"/>
      <c r="WRT10" s="28"/>
      <c r="WRU10" s="28"/>
      <c r="WRV10" s="28"/>
      <c r="WRW10" s="28"/>
      <c r="WRX10" s="28"/>
      <c r="WRY10" s="28"/>
      <c r="WRZ10" s="28"/>
      <c r="WSA10" s="28"/>
      <c r="WSB10" s="28"/>
      <c r="WSC10" s="28"/>
      <c r="WSD10" s="28"/>
      <c r="WSE10" s="28"/>
      <c r="WSF10" s="28"/>
      <c r="WSG10" s="28"/>
      <c r="WSH10" s="28"/>
      <c r="WSI10" s="28"/>
      <c r="WSJ10" s="28"/>
      <c r="WSK10" s="28"/>
      <c r="WSL10" s="28"/>
      <c r="WSM10" s="28"/>
      <c r="WSN10" s="28"/>
      <c r="WSO10" s="28"/>
      <c r="WSP10" s="28"/>
      <c r="WSQ10" s="28"/>
      <c r="WSR10" s="28"/>
      <c r="WSS10" s="28"/>
      <c r="WST10" s="28"/>
      <c r="WSU10" s="28"/>
      <c r="WSV10" s="28"/>
      <c r="WSW10" s="28"/>
      <c r="WSX10" s="28"/>
      <c r="WSY10" s="28"/>
      <c r="WSZ10" s="28"/>
      <c r="WTA10" s="28"/>
      <c r="WTB10" s="28"/>
      <c r="WTC10" s="28"/>
      <c r="WTD10" s="28"/>
      <c r="WTE10" s="28"/>
      <c r="WTF10" s="28"/>
      <c r="WTG10" s="28"/>
      <c r="WTH10" s="28"/>
      <c r="WTI10" s="28"/>
      <c r="WTJ10" s="28"/>
      <c r="WTK10" s="28"/>
      <c r="WTL10" s="28"/>
      <c r="WTM10" s="28"/>
      <c r="WTN10" s="28"/>
      <c r="WTO10" s="28"/>
      <c r="WTP10" s="28"/>
      <c r="WTQ10" s="28"/>
      <c r="WTR10" s="28"/>
      <c r="WTS10" s="28"/>
      <c r="WTT10" s="28"/>
      <c r="WTU10" s="28"/>
      <c r="WTV10" s="28"/>
      <c r="WTW10" s="28"/>
      <c r="WTX10" s="28"/>
      <c r="WTY10" s="28"/>
      <c r="WTZ10" s="28"/>
      <c r="WUA10" s="28"/>
      <c r="WUB10" s="28"/>
      <c r="WUC10" s="28"/>
      <c r="WUD10" s="28"/>
      <c r="WUE10" s="28"/>
      <c r="WUF10" s="28"/>
      <c r="WUG10" s="28"/>
      <c r="WUH10" s="28"/>
      <c r="WUI10" s="28"/>
      <c r="WUJ10" s="28"/>
      <c r="WUK10" s="28"/>
      <c r="WUL10" s="28"/>
      <c r="WUM10" s="28"/>
      <c r="WUN10" s="28"/>
      <c r="WUO10" s="28"/>
      <c r="WUP10" s="28"/>
      <c r="WUQ10" s="28"/>
      <c r="WUR10" s="28"/>
      <c r="WUS10" s="28"/>
      <c r="WUT10" s="28"/>
      <c r="WUU10" s="28"/>
      <c r="WUV10" s="28"/>
      <c r="WUW10" s="28"/>
      <c r="WUX10" s="28"/>
      <c r="WUY10" s="28"/>
      <c r="WUZ10" s="28"/>
      <c r="WVA10" s="28"/>
      <c r="WVB10" s="28"/>
      <c r="WVC10" s="28"/>
      <c r="WVD10" s="28"/>
      <c r="WVE10" s="28"/>
      <c r="WVF10" s="28"/>
      <c r="WVG10" s="28"/>
      <c r="WVH10" s="28"/>
      <c r="WVI10" s="28"/>
      <c r="WVJ10" s="28"/>
      <c r="WVK10" s="28"/>
      <c r="WVL10" s="28"/>
      <c r="WVM10" s="28"/>
      <c r="WVN10" s="28"/>
      <c r="WVO10" s="28"/>
      <c r="WVP10" s="28"/>
      <c r="WVQ10" s="28"/>
      <c r="WVR10" s="28"/>
      <c r="WVS10" s="28"/>
      <c r="WVT10" s="28"/>
      <c r="WVU10" s="28"/>
      <c r="WVV10" s="28"/>
      <c r="WVW10" s="28"/>
      <c r="WVX10" s="28"/>
      <c r="WVY10" s="28"/>
      <c r="WVZ10" s="28"/>
      <c r="WWA10" s="28"/>
      <c r="WWB10" s="28"/>
      <c r="WWC10" s="28"/>
      <c r="WWD10" s="28"/>
      <c r="WWE10" s="28"/>
      <c r="WWF10" s="28"/>
      <c r="WWG10" s="28"/>
      <c r="WWH10" s="28"/>
      <c r="WWI10" s="28"/>
      <c r="WWJ10" s="28"/>
      <c r="WWK10" s="28"/>
      <c r="WWL10" s="28"/>
      <c r="WWM10" s="28"/>
      <c r="WWN10" s="28"/>
      <c r="WWO10" s="28"/>
      <c r="WWP10" s="28"/>
      <c r="WWQ10" s="28"/>
      <c r="WWR10" s="28"/>
      <c r="WWS10" s="28"/>
      <c r="WWT10" s="28"/>
      <c r="WWU10" s="28"/>
      <c r="WWV10" s="28"/>
      <c r="WWW10" s="28"/>
      <c r="WWX10" s="28"/>
      <c r="WWY10" s="28"/>
      <c r="WWZ10" s="28"/>
      <c r="WXA10" s="28"/>
      <c r="WXB10" s="28"/>
      <c r="WXC10" s="28"/>
      <c r="WXD10" s="28"/>
      <c r="WXE10" s="28"/>
      <c r="WXF10" s="28"/>
      <c r="WXG10" s="28"/>
      <c r="WXH10" s="28"/>
      <c r="WXI10" s="28"/>
      <c r="WXJ10" s="28"/>
      <c r="WXK10" s="28"/>
      <c r="WXL10" s="28"/>
      <c r="WXM10" s="28"/>
      <c r="WXN10" s="28"/>
      <c r="WXO10" s="28"/>
      <c r="WXP10" s="28"/>
      <c r="WXQ10" s="28"/>
      <c r="WXR10" s="28"/>
      <c r="WXS10" s="28"/>
      <c r="WXT10" s="28"/>
      <c r="WXU10" s="28"/>
      <c r="WXV10" s="28"/>
      <c r="WXW10" s="28"/>
      <c r="WXX10" s="28"/>
      <c r="WXY10" s="28"/>
      <c r="WXZ10" s="28"/>
      <c r="WYA10" s="28"/>
      <c r="WYB10" s="28"/>
      <c r="WYC10" s="28"/>
      <c r="WYD10" s="28"/>
      <c r="WYE10" s="28"/>
      <c r="WYF10" s="28"/>
      <c r="WYG10" s="28"/>
      <c r="WYH10" s="28"/>
      <c r="WYI10" s="28"/>
      <c r="WYJ10" s="28"/>
      <c r="WYK10" s="28"/>
      <c r="WYL10" s="28"/>
      <c r="WYM10" s="28"/>
      <c r="WYN10" s="28"/>
      <c r="WYO10" s="28"/>
      <c r="WYP10" s="28"/>
      <c r="WYQ10" s="28"/>
      <c r="WYR10" s="28"/>
      <c r="WYS10" s="28"/>
      <c r="WYT10" s="28"/>
      <c r="WYU10" s="28"/>
      <c r="WYV10" s="28"/>
      <c r="WYW10" s="28"/>
      <c r="WYX10" s="28"/>
      <c r="WYY10" s="28"/>
      <c r="WYZ10" s="28"/>
      <c r="WZA10" s="28"/>
      <c r="WZB10" s="28"/>
      <c r="WZC10" s="28"/>
      <c r="WZD10" s="28"/>
      <c r="WZE10" s="28"/>
      <c r="WZF10" s="28"/>
      <c r="WZG10" s="28"/>
      <c r="WZH10" s="28"/>
      <c r="WZI10" s="28"/>
      <c r="WZJ10" s="28"/>
      <c r="WZK10" s="28"/>
      <c r="WZL10" s="28"/>
      <c r="WZM10" s="28"/>
      <c r="WZN10" s="28"/>
      <c r="WZO10" s="28"/>
      <c r="WZP10" s="28"/>
      <c r="WZQ10" s="28"/>
      <c r="WZR10" s="28"/>
      <c r="WZS10" s="28"/>
      <c r="WZT10" s="28"/>
      <c r="WZU10" s="28"/>
      <c r="WZV10" s="28"/>
      <c r="WZW10" s="28"/>
      <c r="WZX10" s="28"/>
      <c r="WZY10" s="28"/>
      <c r="WZZ10" s="28"/>
      <c r="XAA10" s="28"/>
      <c r="XAB10" s="28"/>
      <c r="XAC10" s="28"/>
      <c r="XAD10" s="28"/>
      <c r="XAE10" s="28"/>
      <c r="XAF10" s="28"/>
      <c r="XAG10" s="28"/>
      <c r="XAH10" s="28"/>
      <c r="XAI10" s="28"/>
      <c r="XAJ10" s="28"/>
      <c r="XAK10" s="28"/>
      <c r="XAL10" s="28"/>
      <c r="XAM10" s="28"/>
      <c r="XAN10" s="28"/>
      <c r="XAO10" s="28"/>
      <c r="XAP10" s="28"/>
      <c r="XAQ10" s="28"/>
      <c r="XAR10" s="28"/>
      <c r="XAS10" s="28"/>
      <c r="XAT10" s="28"/>
      <c r="XAU10" s="28"/>
      <c r="XAV10" s="28"/>
      <c r="XAW10" s="28"/>
      <c r="XAX10" s="28"/>
      <c r="XAY10" s="28"/>
      <c r="XAZ10" s="28"/>
      <c r="XBA10" s="28"/>
      <c r="XBB10" s="28"/>
      <c r="XBC10" s="28"/>
      <c r="XBD10" s="28"/>
      <c r="XBE10" s="28"/>
      <c r="XBF10" s="28"/>
      <c r="XBG10" s="28"/>
      <c r="XBH10" s="28"/>
      <c r="XBI10" s="28"/>
      <c r="XBJ10" s="28"/>
      <c r="XBK10" s="28"/>
      <c r="XBL10" s="28"/>
      <c r="XBM10" s="28"/>
      <c r="XBN10" s="28"/>
      <c r="XBO10" s="28"/>
      <c r="XBP10" s="28"/>
      <c r="XBQ10" s="28"/>
      <c r="XBR10" s="28"/>
      <c r="XBS10" s="28"/>
      <c r="XBT10" s="28"/>
      <c r="XBU10" s="28"/>
      <c r="XBV10" s="28"/>
      <c r="XBW10" s="28"/>
      <c r="XBX10" s="28"/>
      <c r="XBY10" s="28"/>
      <c r="XBZ10" s="28"/>
      <c r="XCA10" s="28"/>
      <c r="XCB10" s="28"/>
      <c r="XCC10" s="28"/>
      <c r="XCD10" s="28"/>
      <c r="XCE10" s="28"/>
      <c r="XCF10" s="28"/>
      <c r="XCG10" s="28"/>
      <c r="XCH10" s="28"/>
      <c r="XCI10" s="28"/>
      <c r="XCJ10" s="28"/>
      <c r="XCK10" s="28"/>
      <c r="XCL10" s="28"/>
      <c r="XCM10" s="28"/>
      <c r="XCN10" s="28"/>
      <c r="XCO10" s="28"/>
      <c r="XCP10" s="28"/>
      <c r="XCQ10" s="28"/>
      <c r="XCR10" s="28"/>
      <c r="XCS10" s="28"/>
      <c r="XCT10" s="28"/>
      <c r="XCU10" s="28"/>
      <c r="XCV10" s="28"/>
      <c r="XCW10" s="28"/>
      <c r="XCX10" s="28"/>
      <c r="XCY10" s="28"/>
      <c r="XCZ10" s="28"/>
      <c r="XDA10" s="28"/>
      <c r="XDB10" s="28"/>
      <c r="XDC10" s="28"/>
      <c r="XDD10" s="28"/>
      <c r="XDE10" s="28"/>
      <c r="XDF10" s="28"/>
      <c r="XDG10" s="28"/>
      <c r="XDH10" s="28"/>
      <c r="XDI10" s="28"/>
      <c r="XDJ10" s="28"/>
      <c r="XDK10" s="28"/>
      <c r="XDL10" s="28"/>
      <c r="XDM10" s="28"/>
      <c r="XDN10" s="28"/>
      <c r="XDO10" s="28"/>
      <c r="XDP10" s="28"/>
      <c r="XDQ10" s="28"/>
      <c r="XDR10" s="28"/>
      <c r="XDS10" s="28"/>
      <c r="XDT10" s="28"/>
      <c r="XDU10" s="28"/>
      <c r="XDV10" s="28"/>
      <c r="XDW10" s="28"/>
      <c r="XDX10" s="28"/>
      <c r="XDY10" s="28"/>
      <c r="XDZ10" s="28"/>
      <c r="XEA10" s="28"/>
      <c r="XEB10" s="28"/>
      <c r="XEC10" s="28"/>
      <c r="XED10" s="28"/>
      <c r="XEE10" s="28"/>
      <c r="XEF10" s="28"/>
      <c r="XEG10" s="28"/>
      <c r="XEH10" s="28"/>
      <c r="XEI10" s="28"/>
      <c r="XEJ10" s="28"/>
      <c r="XEK10" s="28"/>
      <c r="XEL10" s="28"/>
      <c r="XEM10" s="28"/>
      <c r="XEN10" s="28"/>
      <c r="XEO10" s="28"/>
      <c r="XEP10" s="28"/>
      <c r="XEQ10" s="28"/>
      <c r="XER10" s="28"/>
      <c r="XES10" s="28"/>
      <c r="XET10" s="28"/>
      <c r="XEU10" s="28"/>
      <c r="XEV10" s="28"/>
      <c r="XEW10" s="28"/>
      <c r="XEX10" s="28"/>
      <c r="XEY10" s="28"/>
      <c r="XEZ10" s="28"/>
      <c r="XFA10" s="28"/>
      <c r="XFB10" s="28"/>
    </row>
    <row r="11" spans="1:16383" ht="60" x14ac:dyDescent="0.25">
      <c r="A11" s="35" t="s">
        <v>366</v>
      </c>
      <c r="B11" s="59">
        <v>440209</v>
      </c>
      <c r="C11" s="33" t="s">
        <v>844</v>
      </c>
      <c r="D11" s="36" t="s">
        <v>367</v>
      </c>
      <c r="E11" s="36"/>
      <c r="F11" s="37"/>
      <c r="G11" s="32" t="s">
        <v>225</v>
      </c>
      <c r="H11" s="33" t="s">
        <v>368</v>
      </c>
      <c r="I11" s="168">
        <v>1405000000</v>
      </c>
      <c r="J11" s="38" t="s">
        <v>370</v>
      </c>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c r="QM11" s="28"/>
      <c r="QN11" s="28"/>
      <c r="QO11" s="28"/>
      <c r="QP11" s="28"/>
      <c r="QQ11" s="28"/>
      <c r="QR11" s="28"/>
      <c r="QS11" s="28"/>
      <c r="QT11" s="28"/>
      <c r="QU11" s="28"/>
      <c r="QV11" s="28"/>
      <c r="QW11" s="28"/>
      <c r="QX11" s="28"/>
      <c r="QY11" s="28"/>
      <c r="QZ11" s="28"/>
      <c r="RA11" s="28"/>
      <c r="RB11" s="28"/>
      <c r="RC11" s="28"/>
      <c r="RD11" s="28"/>
      <c r="RE11" s="28"/>
      <c r="RF11" s="28"/>
      <c r="RG11" s="28"/>
      <c r="RH11" s="28"/>
      <c r="RI11" s="28"/>
      <c r="RJ11" s="28"/>
      <c r="RK11" s="28"/>
      <c r="RL11" s="28"/>
      <c r="RM11" s="28"/>
      <c r="RN11" s="28"/>
      <c r="RO11" s="28"/>
      <c r="RP11" s="28"/>
      <c r="RQ11" s="28"/>
      <c r="RR11" s="28"/>
      <c r="RS11" s="28"/>
      <c r="RT11" s="28"/>
      <c r="RU11" s="28"/>
      <c r="RV11" s="28"/>
      <c r="RW11" s="28"/>
      <c r="RX11" s="28"/>
      <c r="RY11" s="28"/>
      <c r="RZ11" s="28"/>
      <c r="SA11" s="28"/>
      <c r="SB11" s="28"/>
      <c r="SC11" s="28"/>
      <c r="SD11" s="28"/>
      <c r="SE11" s="28"/>
      <c r="SF11" s="28"/>
      <c r="SG11" s="28"/>
      <c r="SH11" s="28"/>
      <c r="SI11" s="28"/>
      <c r="SJ11" s="28"/>
      <c r="SK11" s="28"/>
      <c r="SL11" s="28"/>
      <c r="SM11" s="28"/>
      <c r="SN11" s="28"/>
      <c r="SO11" s="28"/>
      <c r="SP11" s="28"/>
      <c r="SQ11" s="28"/>
      <c r="SR11" s="28"/>
      <c r="SS11" s="28"/>
      <c r="ST11" s="28"/>
      <c r="SU11" s="28"/>
      <c r="SV11" s="28"/>
      <c r="SW11" s="28"/>
      <c r="SX11" s="28"/>
      <c r="SY11" s="28"/>
      <c r="SZ11" s="28"/>
      <c r="TA11" s="28"/>
      <c r="TB11" s="28"/>
      <c r="TC11" s="28"/>
      <c r="TD11" s="28"/>
      <c r="TE11" s="28"/>
      <c r="TF11" s="28"/>
      <c r="TG11" s="28"/>
      <c r="TH11" s="28"/>
      <c r="TI11" s="28"/>
      <c r="TJ11" s="28"/>
      <c r="TK11" s="28"/>
      <c r="TL11" s="28"/>
      <c r="TM11" s="28"/>
      <c r="TN11" s="28"/>
      <c r="TO11" s="28"/>
      <c r="TP11" s="28"/>
      <c r="TQ11" s="28"/>
      <c r="TR11" s="28"/>
      <c r="TS11" s="28"/>
      <c r="TT11" s="28"/>
      <c r="TU11" s="28"/>
      <c r="TV11" s="28"/>
      <c r="TW11" s="28"/>
      <c r="TX11" s="28"/>
      <c r="TY11" s="28"/>
      <c r="TZ11" s="28"/>
      <c r="UA11" s="28"/>
      <c r="UB11" s="28"/>
      <c r="UC11" s="28"/>
      <c r="UD11" s="28"/>
      <c r="UE11" s="28"/>
      <c r="UF11" s="28"/>
      <c r="UG11" s="28"/>
      <c r="UH11" s="28"/>
      <c r="UI11" s="28"/>
      <c r="UJ11" s="28"/>
      <c r="UK11" s="28"/>
      <c r="UL11" s="28"/>
      <c r="UM11" s="28"/>
      <c r="UN11" s="28"/>
      <c r="UO11" s="28"/>
      <c r="UP11" s="28"/>
      <c r="UQ11" s="28"/>
      <c r="UR11" s="28"/>
      <c r="US11" s="28"/>
      <c r="UT11" s="28"/>
      <c r="UU11" s="28"/>
      <c r="UV11" s="28"/>
      <c r="UW11" s="28"/>
      <c r="UX11" s="28"/>
      <c r="UY11" s="28"/>
      <c r="UZ11" s="28"/>
      <c r="VA11" s="28"/>
      <c r="VB11" s="28"/>
      <c r="VC11" s="28"/>
      <c r="VD11" s="28"/>
      <c r="VE11" s="28"/>
      <c r="VF11" s="28"/>
      <c r="VG11" s="28"/>
      <c r="VH11" s="28"/>
      <c r="VI11" s="28"/>
      <c r="VJ11" s="28"/>
      <c r="VK11" s="28"/>
      <c r="VL11" s="28"/>
      <c r="VM11" s="28"/>
      <c r="VN11" s="28"/>
      <c r="VO11" s="28"/>
      <c r="VP11" s="28"/>
      <c r="VQ11" s="28"/>
      <c r="VR11" s="28"/>
      <c r="VS11" s="28"/>
      <c r="VT11" s="28"/>
      <c r="VU11" s="28"/>
      <c r="VV11" s="28"/>
      <c r="VW11" s="28"/>
      <c r="VX11" s="28"/>
      <c r="VY11" s="28"/>
      <c r="VZ11" s="28"/>
      <c r="WA11" s="28"/>
      <c r="WB11" s="28"/>
      <c r="WC11" s="28"/>
      <c r="WD11" s="28"/>
      <c r="WE11" s="28"/>
      <c r="WF11" s="28"/>
      <c r="WG11" s="28"/>
      <c r="WH11" s="28"/>
      <c r="WI11" s="28"/>
      <c r="WJ11" s="28"/>
      <c r="WK11" s="28"/>
      <c r="WL11" s="28"/>
      <c r="WM11" s="28"/>
      <c r="WN11" s="28"/>
      <c r="WO11" s="28"/>
      <c r="WP11" s="28"/>
      <c r="WQ11" s="28"/>
      <c r="WR11" s="28"/>
      <c r="WS11" s="28"/>
      <c r="WT11" s="28"/>
      <c r="WU11" s="28"/>
      <c r="WV11" s="28"/>
      <c r="WW11" s="28"/>
      <c r="WX11" s="28"/>
      <c r="WY11" s="28"/>
      <c r="WZ11" s="28"/>
      <c r="XA11" s="28"/>
      <c r="XB11" s="28"/>
      <c r="XC11" s="28"/>
      <c r="XD11" s="28"/>
      <c r="XE11" s="28"/>
      <c r="XF11" s="28"/>
      <c r="XG11" s="28"/>
      <c r="XH11" s="28"/>
      <c r="XI11" s="28"/>
      <c r="XJ11" s="28"/>
      <c r="XK11" s="28"/>
      <c r="XL11" s="28"/>
      <c r="XM11" s="28"/>
      <c r="XN11" s="28"/>
      <c r="XO11" s="28"/>
      <c r="XP11" s="28"/>
      <c r="XQ11" s="28"/>
      <c r="XR11" s="28"/>
      <c r="XS11" s="28"/>
      <c r="XT11" s="28"/>
      <c r="XU11" s="28"/>
      <c r="XV11" s="28"/>
      <c r="XW11" s="28"/>
      <c r="XX11" s="28"/>
      <c r="XY11" s="28"/>
      <c r="XZ11" s="28"/>
      <c r="YA11" s="28"/>
      <c r="YB11" s="28"/>
      <c r="YC11" s="28"/>
      <c r="YD11" s="28"/>
      <c r="YE11" s="28"/>
      <c r="YF11" s="28"/>
      <c r="YG11" s="28"/>
      <c r="YH11" s="28"/>
      <c r="YI11" s="28"/>
      <c r="YJ11" s="28"/>
      <c r="YK11" s="28"/>
      <c r="YL11" s="28"/>
      <c r="YM11" s="28"/>
      <c r="YN11" s="28"/>
      <c r="YO11" s="28"/>
      <c r="YP11" s="28"/>
      <c r="YQ11" s="28"/>
      <c r="YR11" s="28"/>
      <c r="YS11" s="28"/>
      <c r="YT11" s="28"/>
      <c r="YU11" s="28"/>
      <c r="YV11" s="28"/>
      <c r="YW11" s="28"/>
      <c r="YX11" s="28"/>
      <c r="YY11" s="28"/>
      <c r="YZ11" s="28"/>
      <c r="ZA11" s="28"/>
      <c r="ZB11" s="28"/>
      <c r="ZC11" s="28"/>
      <c r="ZD11" s="28"/>
      <c r="ZE11" s="28"/>
      <c r="ZF11" s="28"/>
      <c r="ZG11" s="28"/>
      <c r="ZH11" s="28"/>
      <c r="ZI11" s="28"/>
      <c r="ZJ11" s="28"/>
      <c r="ZK11" s="28"/>
      <c r="ZL11" s="28"/>
      <c r="ZM11" s="28"/>
      <c r="ZN11" s="28"/>
      <c r="ZO11" s="28"/>
      <c r="ZP11" s="28"/>
      <c r="ZQ11" s="28"/>
      <c r="ZR11" s="28"/>
      <c r="ZS11" s="28"/>
      <c r="ZT11" s="28"/>
      <c r="ZU11" s="28"/>
      <c r="ZV11" s="28"/>
      <c r="ZW11" s="28"/>
      <c r="ZX11" s="28"/>
      <c r="ZY11" s="28"/>
      <c r="ZZ11" s="28"/>
      <c r="AAA11" s="28"/>
      <c r="AAB11" s="28"/>
      <c r="AAC11" s="28"/>
      <c r="AAD11" s="28"/>
      <c r="AAE11" s="28"/>
      <c r="AAF11" s="28"/>
      <c r="AAG11" s="28"/>
      <c r="AAH11" s="28"/>
      <c r="AAI11" s="28"/>
      <c r="AAJ11" s="28"/>
      <c r="AAK11" s="28"/>
      <c r="AAL11" s="28"/>
      <c r="AAM11" s="28"/>
      <c r="AAN11" s="28"/>
      <c r="AAO11" s="28"/>
      <c r="AAP11" s="28"/>
      <c r="AAQ11" s="28"/>
      <c r="AAR11" s="28"/>
      <c r="AAS11" s="28"/>
      <c r="AAT11" s="28"/>
      <c r="AAU11" s="28"/>
      <c r="AAV11" s="28"/>
      <c r="AAW11" s="28"/>
      <c r="AAX11" s="28"/>
      <c r="AAY11" s="28"/>
      <c r="AAZ11" s="28"/>
      <c r="ABA11" s="28"/>
      <c r="ABB11" s="28"/>
      <c r="ABC11" s="28"/>
      <c r="ABD11" s="28"/>
      <c r="ABE11" s="28"/>
      <c r="ABF11" s="28"/>
      <c r="ABG11" s="28"/>
      <c r="ABH11" s="28"/>
      <c r="ABI11" s="28"/>
      <c r="ABJ11" s="28"/>
      <c r="ABK11" s="28"/>
      <c r="ABL11" s="28"/>
      <c r="ABM11" s="28"/>
      <c r="ABN11" s="28"/>
      <c r="ABO11" s="28"/>
      <c r="ABP11" s="28"/>
      <c r="ABQ11" s="28"/>
      <c r="ABR11" s="28"/>
      <c r="ABS11" s="28"/>
      <c r="ABT11" s="28"/>
      <c r="ABU11" s="28"/>
      <c r="ABV11" s="28"/>
      <c r="ABW11" s="28"/>
      <c r="ABX11" s="28"/>
      <c r="ABY11" s="28"/>
      <c r="ABZ11" s="28"/>
      <c r="ACA11" s="28"/>
      <c r="ACB11" s="28"/>
      <c r="ACC11" s="28"/>
      <c r="ACD11" s="28"/>
      <c r="ACE11" s="28"/>
      <c r="ACF11" s="28"/>
      <c r="ACG11" s="28"/>
      <c r="ACH11" s="28"/>
      <c r="ACI11" s="28"/>
      <c r="ACJ11" s="28"/>
      <c r="ACK11" s="28"/>
      <c r="ACL11" s="28"/>
      <c r="ACM11" s="28"/>
      <c r="ACN11" s="28"/>
      <c r="ACO11" s="28"/>
      <c r="ACP11" s="28"/>
      <c r="ACQ11" s="28"/>
      <c r="ACR11" s="28"/>
      <c r="ACS11" s="28"/>
      <c r="ACT11" s="28"/>
      <c r="ACU11" s="28"/>
      <c r="ACV11" s="28"/>
      <c r="ACW11" s="28"/>
      <c r="ACX11" s="28"/>
      <c r="ACY11" s="28"/>
      <c r="ACZ11" s="28"/>
      <c r="ADA11" s="28"/>
      <c r="ADB11" s="28"/>
      <c r="ADC11" s="28"/>
      <c r="ADD11" s="28"/>
      <c r="ADE11" s="28"/>
      <c r="ADF11" s="28"/>
      <c r="ADG11" s="28"/>
      <c r="ADH11" s="28"/>
      <c r="ADI11" s="28"/>
      <c r="ADJ11" s="28"/>
      <c r="ADK11" s="28"/>
      <c r="ADL11" s="28"/>
      <c r="ADM11" s="28"/>
      <c r="ADN11" s="28"/>
      <c r="ADO11" s="28"/>
      <c r="ADP11" s="28"/>
      <c r="ADQ11" s="28"/>
      <c r="ADR11" s="28"/>
      <c r="ADS11" s="28"/>
      <c r="ADT11" s="28"/>
      <c r="ADU11" s="28"/>
      <c r="ADV11" s="28"/>
      <c r="ADW11" s="28"/>
      <c r="ADX11" s="28"/>
      <c r="ADY11" s="28"/>
      <c r="ADZ11" s="28"/>
      <c r="AEA11" s="28"/>
      <c r="AEB11" s="28"/>
      <c r="AEC11" s="28"/>
      <c r="AED11" s="28"/>
      <c r="AEE11" s="28"/>
      <c r="AEF11" s="28"/>
      <c r="AEG11" s="28"/>
      <c r="AEH11" s="28"/>
      <c r="AEI11" s="28"/>
      <c r="AEJ11" s="28"/>
      <c r="AEK11" s="28"/>
      <c r="AEL11" s="28"/>
      <c r="AEM11" s="28"/>
      <c r="AEN11" s="28"/>
      <c r="AEO11" s="28"/>
      <c r="AEP11" s="28"/>
      <c r="AEQ11" s="28"/>
      <c r="AER11" s="28"/>
      <c r="AES11" s="28"/>
      <c r="AET11" s="28"/>
      <c r="AEU11" s="28"/>
      <c r="AEV11" s="28"/>
      <c r="AEW11" s="28"/>
      <c r="AEX11" s="28"/>
      <c r="AEY11" s="28"/>
      <c r="AEZ11" s="28"/>
      <c r="AFA11" s="28"/>
      <c r="AFB11" s="28"/>
      <c r="AFC11" s="28"/>
      <c r="AFD11" s="28"/>
      <c r="AFE11" s="28"/>
      <c r="AFF11" s="28"/>
      <c r="AFG11" s="28"/>
      <c r="AFH11" s="28"/>
      <c r="AFI11" s="28"/>
      <c r="AFJ11" s="28"/>
      <c r="AFK11" s="28"/>
      <c r="AFL11" s="28"/>
      <c r="AFM11" s="28"/>
      <c r="AFN11" s="28"/>
      <c r="AFO11" s="28"/>
      <c r="AFP11" s="28"/>
      <c r="AFQ11" s="28"/>
      <c r="AFR11" s="28"/>
      <c r="AFS11" s="28"/>
      <c r="AFT11" s="28"/>
      <c r="AFU11" s="28"/>
      <c r="AFV11" s="28"/>
      <c r="AFW11" s="28"/>
      <c r="AFX11" s="28"/>
      <c r="AFY11" s="28"/>
      <c r="AFZ11" s="28"/>
      <c r="AGA11" s="28"/>
      <c r="AGB11" s="28"/>
      <c r="AGC11" s="28"/>
      <c r="AGD11" s="28"/>
      <c r="AGE11" s="28"/>
      <c r="AGF11" s="28"/>
      <c r="AGG11" s="28"/>
      <c r="AGH11" s="28"/>
      <c r="AGI11" s="28"/>
      <c r="AGJ11" s="28"/>
      <c r="AGK11" s="28"/>
      <c r="AGL11" s="28"/>
      <c r="AGM11" s="28"/>
      <c r="AGN11" s="28"/>
      <c r="AGO11" s="28"/>
      <c r="AGP11" s="28"/>
      <c r="AGQ11" s="28"/>
      <c r="AGR11" s="28"/>
      <c r="AGS11" s="28"/>
      <c r="AGT11" s="28"/>
      <c r="AGU11" s="28"/>
      <c r="AGV11" s="28"/>
      <c r="AGW11" s="28"/>
      <c r="AGX11" s="28"/>
      <c r="AGY11" s="28"/>
      <c r="AGZ11" s="28"/>
      <c r="AHA11" s="28"/>
      <c r="AHB11" s="28"/>
      <c r="AHC11" s="28"/>
      <c r="AHD11" s="28"/>
      <c r="AHE11" s="28"/>
      <c r="AHF11" s="28"/>
      <c r="AHG11" s="28"/>
      <c r="AHH11" s="28"/>
      <c r="AHI11" s="28"/>
      <c r="AHJ11" s="28"/>
      <c r="AHK11" s="28"/>
      <c r="AHL11" s="28"/>
      <c r="AHM11" s="28"/>
      <c r="AHN11" s="28"/>
      <c r="AHO11" s="28"/>
      <c r="AHP11" s="28"/>
      <c r="AHQ11" s="28"/>
      <c r="AHR11" s="28"/>
      <c r="AHS11" s="28"/>
      <c r="AHT11" s="28"/>
      <c r="AHU11" s="28"/>
      <c r="AHV11" s="28"/>
      <c r="AHW11" s="28"/>
      <c r="AHX11" s="28"/>
      <c r="AHY11" s="28"/>
      <c r="AHZ11" s="28"/>
      <c r="AIA11" s="28"/>
      <c r="AIB11" s="28"/>
      <c r="AIC11" s="28"/>
      <c r="AID11" s="28"/>
      <c r="AIE11" s="28"/>
      <c r="AIF11" s="28"/>
      <c r="AIG11" s="28"/>
      <c r="AIH11" s="28"/>
      <c r="AII11" s="28"/>
      <c r="AIJ11" s="28"/>
      <c r="AIK11" s="28"/>
      <c r="AIL11" s="28"/>
      <c r="AIM11" s="28"/>
      <c r="AIN11" s="28"/>
      <c r="AIO11" s="28"/>
      <c r="AIP11" s="28"/>
      <c r="AIQ11" s="28"/>
      <c r="AIR11" s="28"/>
      <c r="AIS11" s="28"/>
      <c r="AIT11" s="28"/>
      <c r="AIU11" s="28"/>
      <c r="AIV11" s="28"/>
      <c r="AIW11" s="28"/>
      <c r="AIX11" s="28"/>
      <c r="AIY11" s="28"/>
      <c r="AIZ11" s="28"/>
      <c r="AJA11" s="28"/>
      <c r="AJB11" s="28"/>
      <c r="AJC11" s="28"/>
      <c r="AJD11" s="28"/>
      <c r="AJE11" s="28"/>
      <c r="AJF11" s="28"/>
      <c r="AJG11" s="28"/>
      <c r="AJH11" s="28"/>
      <c r="AJI11" s="28"/>
      <c r="AJJ11" s="28"/>
      <c r="AJK11" s="28"/>
      <c r="AJL11" s="28"/>
      <c r="AJM11" s="28"/>
      <c r="AJN11" s="28"/>
      <c r="AJO11" s="28"/>
      <c r="AJP11" s="28"/>
      <c r="AJQ11" s="28"/>
      <c r="AJR11" s="28"/>
      <c r="AJS11" s="28"/>
      <c r="AJT11" s="28"/>
      <c r="AJU11" s="28"/>
      <c r="AJV11" s="28"/>
      <c r="AJW11" s="28"/>
      <c r="AJX11" s="28"/>
      <c r="AJY11" s="28"/>
      <c r="AJZ11" s="28"/>
      <c r="AKA11" s="28"/>
      <c r="AKB11" s="28"/>
      <c r="AKC11" s="28"/>
      <c r="AKD11" s="28"/>
      <c r="AKE11" s="28"/>
      <c r="AKF11" s="28"/>
      <c r="AKG11" s="28"/>
      <c r="AKH11" s="28"/>
      <c r="AKI11" s="28"/>
      <c r="AKJ11" s="28"/>
      <c r="AKK11" s="28"/>
      <c r="AKL11" s="28"/>
      <c r="AKM11" s="28"/>
      <c r="AKN11" s="28"/>
      <c r="AKO11" s="28"/>
      <c r="AKP11" s="28"/>
      <c r="AKQ11" s="28"/>
      <c r="AKR11" s="28"/>
      <c r="AKS11" s="28"/>
      <c r="AKT11" s="28"/>
      <c r="AKU11" s="28"/>
      <c r="AKV11" s="28"/>
      <c r="AKW11" s="28"/>
      <c r="AKX11" s="28"/>
      <c r="AKY11" s="28"/>
      <c r="AKZ11" s="28"/>
      <c r="ALA11" s="28"/>
      <c r="ALB11" s="28"/>
      <c r="ALC11" s="28"/>
      <c r="ALD11" s="28"/>
      <c r="ALE11" s="28"/>
      <c r="ALF11" s="28"/>
      <c r="ALG11" s="28"/>
      <c r="ALH11" s="28"/>
      <c r="ALI11" s="28"/>
      <c r="ALJ11" s="28"/>
      <c r="ALK11" s="28"/>
      <c r="ALL11" s="28"/>
      <c r="ALM11" s="28"/>
      <c r="ALN11" s="28"/>
      <c r="ALO11" s="28"/>
      <c r="ALP11" s="28"/>
      <c r="ALQ11" s="28"/>
      <c r="ALR11" s="28"/>
      <c r="ALS11" s="28"/>
      <c r="ALT11" s="28"/>
      <c r="ALU11" s="28"/>
      <c r="ALV11" s="28"/>
      <c r="ALW11" s="28"/>
      <c r="ALX11" s="28"/>
      <c r="ALY11" s="28"/>
      <c r="ALZ11" s="28"/>
      <c r="AMA11" s="28"/>
      <c r="AMB11" s="28"/>
      <c r="AMC11" s="28"/>
      <c r="AMD11" s="28"/>
      <c r="AME11" s="28"/>
      <c r="AMF11" s="28"/>
      <c r="AMG11" s="28"/>
      <c r="AMH11" s="28"/>
      <c r="AMI11" s="28"/>
      <c r="AMJ11" s="28"/>
      <c r="AMK11" s="28"/>
      <c r="AML11" s="28"/>
      <c r="AMM11" s="28"/>
      <c r="AMN11" s="28"/>
      <c r="AMO11" s="28"/>
      <c r="AMP11" s="28"/>
      <c r="AMQ11" s="28"/>
      <c r="AMR11" s="28"/>
      <c r="AMS11" s="28"/>
      <c r="AMT11" s="28"/>
      <c r="AMU11" s="28"/>
      <c r="AMV11" s="28"/>
      <c r="AMW11" s="28"/>
      <c r="AMX11" s="28"/>
      <c r="AMY11" s="28"/>
      <c r="AMZ11" s="28"/>
      <c r="ANA11" s="28"/>
      <c r="ANB11" s="28"/>
      <c r="ANC11" s="28"/>
      <c r="AND11" s="28"/>
      <c r="ANE11" s="28"/>
      <c r="ANF11" s="28"/>
      <c r="ANG11" s="28"/>
      <c r="ANH11" s="28"/>
      <c r="ANI11" s="28"/>
      <c r="ANJ11" s="28"/>
      <c r="ANK11" s="28"/>
      <c r="ANL11" s="28"/>
      <c r="ANM11" s="28"/>
      <c r="ANN11" s="28"/>
      <c r="ANO11" s="28"/>
      <c r="ANP11" s="28"/>
      <c r="ANQ11" s="28"/>
      <c r="ANR11" s="28"/>
      <c r="ANS11" s="28"/>
      <c r="ANT11" s="28"/>
      <c r="ANU11" s="28"/>
      <c r="ANV11" s="28"/>
      <c r="ANW11" s="28"/>
      <c r="ANX11" s="28"/>
      <c r="ANY11" s="28"/>
      <c r="ANZ11" s="28"/>
      <c r="AOA11" s="28"/>
      <c r="AOB11" s="28"/>
      <c r="AOC11" s="28"/>
      <c r="AOD11" s="28"/>
      <c r="AOE11" s="28"/>
      <c r="AOF11" s="28"/>
      <c r="AOG11" s="28"/>
      <c r="AOH11" s="28"/>
      <c r="AOI11" s="28"/>
      <c r="AOJ11" s="28"/>
      <c r="AOK11" s="28"/>
      <c r="AOL11" s="28"/>
      <c r="AOM11" s="28"/>
      <c r="AON11" s="28"/>
      <c r="AOO11" s="28"/>
      <c r="AOP11" s="28"/>
      <c r="AOQ11" s="28"/>
      <c r="AOR11" s="28"/>
      <c r="AOS11" s="28"/>
      <c r="AOT11" s="28"/>
      <c r="AOU11" s="28"/>
      <c r="AOV11" s="28"/>
      <c r="AOW11" s="28"/>
      <c r="AOX11" s="28"/>
      <c r="AOY11" s="28"/>
      <c r="AOZ11" s="28"/>
      <c r="APA11" s="28"/>
      <c r="APB11" s="28"/>
      <c r="APC11" s="28"/>
      <c r="APD11" s="28"/>
      <c r="APE11" s="28"/>
      <c r="APF11" s="28"/>
      <c r="APG11" s="28"/>
      <c r="APH11" s="28"/>
      <c r="API11" s="28"/>
      <c r="APJ11" s="28"/>
      <c r="APK11" s="28"/>
      <c r="APL11" s="28"/>
      <c r="APM11" s="28"/>
      <c r="APN11" s="28"/>
      <c r="APO11" s="28"/>
      <c r="APP11" s="28"/>
      <c r="APQ11" s="28"/>
      <c r="APR11" s="28"/>
      <c r="APS11" s="28"/>
      <c r="APT11" s="28"/>
      <c r="APU11" s="28"/>
      <c r="APV11" s="28"/>
      <c r="APW11" s="28"/>
      <c r="APX11" s="28"/>
      <c r="APY11" s="28"/>
      <c r="APZ11" s="28"/>
      <c r="AQA11" s="28"/>
      <c r="AQB11" s="28"/>
      <c r="AQC11" s="28"/>
      <c r="AQD11" s="28"/>
      <c r="AQE11" s="28"/>
      <c r="AQF11" s="28"/>
      <c r="AQG11" s="28"/>
      <c r="AQH11" s="28"/>
      <c r="AQI11" s="28"/>
      <c r="AQJ11" s="28"/>
      <c r="AQK11" s="28"/>
      <c r="AQL11" s="28"/>
      <c r="AQM11" s="28"/>
      <c r="AQN11" s="28"/>
      <c r="AQO11" s="28"/>
      <c r="AQP11" s="28"/>
      <c r="AQQ11" s="28"/>
      <c r="AQR11" s="28"/>
      <c r="AQS11" s="28"/>
      <c r="AQT11" s="28"/>
      <c r="AQU11" s="28"/>
      <c r="AQV11" s="28"/>
      <c r="AQW11" s="28"/>
      <c r="AQX11" s="28"/>
      <c r="AQY11" s="28"/>
      <c r="AQZ11" s="28"/>
      <c r="ARA11" s="28"/>
      <c r="ARB11" s="28"/>
      <c r="ARC11" s="28"/>
      <c r="ARD11" s="28"/>
      <c r="ARE11" s="28"/>
      <c r="ARF11" s="28"/>
      <c r="ARG11" s="28"/>
      <c r="ARH11" s="28"/>
      <c r="ARI11" s="28"/>
      <c r="ARJ11" s="28"/>
      <c r="ARK11" s="28"/>
      <c r="ARL11" s="28"/>
      <c r="ARM11" s="28"/>
      <c r="ARN11" s="28"/>
      <c r="ARO11" s="28"/>
      <c r="ARP11" s="28"/>
      <c r="ARQ11" s="28"/>
      <c r="ARR11" s="28"/>
      <c r="ARS11" s="28"/>
      <c r="ART11" s="28"/>
      <c r="ARU11" s="28"/>
      <c r="ARV11" s="28"/>
      <c r="ARW11" s="28"/>
      <c r="ARX11" s="28"/>
      <c r="ARY11" s="28"/>
      <c r="ARZ11" s="28"/>
      <c r="ASA11" s="28"/>
      <c r="ASB11" s="28"/>
      <c r="ASC11" s="28"/>
      <c r="ASD11" s="28"/>
      <c r="ASE11" s="28"/>
      <c r="ASF11" s="28"/>
      <c r="ASG11" s="28"/>
      <c r="ASH11" s="28"/>
      <c r="ASI11" s="28"/>
      <c r="ASJ11" s="28"/>
      <c r="ASK11" s="28"/>
      <c r="ASL11" s="28"/>
      <c r="ASM11" s="28"/>
      <c r="ASN11" s="28"/>
      <c r="ASO11" s="28"/>
      <c r="ASP11" s="28"/>
      <c r="ASQ11" s="28"/>
      <c r="ASR11" s="28"/>
      <c r="ASS11" s="28"/>
      <c r="AST11" s="28"/>
      <c r="ASU11" s="28"/>
      <c r="ASV11" s="28"/>
      <c r="ASW11" s="28"/>
      <c r="ASX11" s="28"/>
      <c r="ASY11" s="28"/>
      <c r="ASZ11" s="28"/>
      <c r="ATA11" s="28"/>
      <c r="ATB11" s="28"/>
      <c r="ATC11" s="28"/>
      <c r="ATD11" s="28"/>
      <c r="ATE11" s="28"/>
      <c r="ATF11" s="28"/>
      <c r="ATG11" s="28"/>
      <c r="ATH11" s="28"/>
      <c r="ATI11" s="28"/>
      <c r="ATJ11" s="28"/>
      <c r="ATK11" s="28"/>
      <c r="ATL11" s="28"/>
      <c r="ATM11" s="28"/>
      <c r="ATN11" s="28"/>
      <c r="ATO11" s="28"/>
      <c r="ATP11" s="28"/>
      <c r="ATQ11" s="28"/>
      <c r="ATR11" s="28"/>
      <c r="ATS11" s="28"/>
      <c r="ATT11" s="28"/>
      <c r="ATU11" s="28"/>
      <c r="ATV11" s="28"/>
      <c r="ATW11" s="28"/>
      <c r="ATX11" s="28"/>
      <c r="ATY11" s="28"/>
      <c r="ATZ11" s="28"/>
      <c r="AUA11" s="28"/>
      <c r="AUB11" s="28"/>
      <c r="AUC11" s="28"/>
      <c r="AUD11" s="28"/>
      <c r="AUE11" s="28"/>
      <c r="AUF11" s="28"/>
      <c r="AUG11" s="28"/>
      <c r="AUH11" s="28"/>
      <c r="AUI11" s="28"/>
      <c r="AUJ11" s="28"/>
      <c r="AUK11" s="28"/>
      <c r="AUL11" s="28"/>
      <c r="AUM11" s="28"/>
      <c r="AUN11" s="28"/>
      <c r="AUO11" s="28"/>
      <c r="AUP11" s="28"/>
      <c r="AUQ11" s="28"/>
      <c r="AUR11" s="28"/>
      <c r="AUS11" s="28"/>
      <c r="AUT11" s="28"/>
      <c r="AUU11" s="28"/>
      <c r="AUV11" s="28"/>
      <c r="AUW11" s="28"/>
      <c r="AUX11" s="28"/>
      <c r="AUY11" s="28"/>
      <c r="AUZ11" s="28"/>
      <c r="AVA11" s="28"/>
      <c r="AVB11" s="28"/>
      <c r="AVC11" s="28"/>
      <c r="AVD11" s="28"/>
      <c r="AVE11" s="28"/>
      <c r="AVF11" s="28"/>
      <c r="AVG11" s="28"/>
      <c r="AVH11" s="28"/>
      <c r="AVI11" s="28"/>
      <c r="AVJ11" s="28"/>
      <c r="AVK11" s="28"/>
      <c r="AVL11" s="28"/>
      <c r="AVM11" s="28"/>
      <c r="AVN11" s="28"/>
      <c r="AVO11" s="28"/>
      <c r="AVP11" s="28"/>
      <c r="AVQ11" s="28"/>
      <c r="AVR11" s="28"/>
      <c r="AVS11" s="28"/>
      <c r="AVT11" s="28"/>
      <c r="AVU11" s="28"/>
      <c r="AVV11" s="28"/>
      <c r="AVW11" s="28"/>
      <c r="AVX11" s="28"/>
      <c r="AVY11" s="28"/>
      <c r="AVZ11" s="28"/>
      <c r="AWA11" s="28"/>
      <c r="AWB11" s="28"/>
      <c r="AWC11" s="28"/>
      <c r="AWD11" s="28"/>
      <c r="AWE11" s="28"/>
      <c r="AWF11" s="28"/>
      <c r="AWG11" s="28"/>
      <c r="AWH11" s="28"/>
      <c r="AWI11" s="28"/>
      <c r="AWJ11" s="28"/>
      <c r="AWK11" s="28"/>
      <c r="AWL11" s="28"/>
      <c r="AWM11" s="28"/>
      <c r="AWN11" s="28"/>
      <c r="AWO11" s="28"/>
      <c r="AWP11" s="28"/>
      <c r="AWQ11" s="28"/>
      <c r="AWR11" s="28"/>
      <c r="AWS11" s="28"/>
      <c r="AWT11" s="28"/>
      <c r="AWU11" s="28"/>
      <c r="AWV11" s="28"/>
      <c r="AWW11" s="28"/>
      <c r="AWX11" s="28"/>
      <c r="AWY11" s="28"/>
      <c r="AWZ11" s="28"/>
      <c r="AXA11" s="28"/>
      <c r="AXB11" s="28"/>
      <c r="AXC11" s="28"/>
      <c r="AXD11" s="28"/>
      <c r="AXE11" s="28"/>
      <c r="AXF11" s="28"/>
      <c r="AXG11" s="28"/>
      <c r="AXH11" s="28"/>
      <c r="AXI11" s="28"/>
      <c r="AXJ11" s="28"/>
      <c r="AXK11" s="28"/>
      <c r="AXL11" s="28"/>
      <c r="AXM11" s="28"/>
      <c r="AXN11" s="28"/>
      <c r="AXO11" s="28"/>
      <c r="AXP11" s="28"/>
      <c r="AXQ11" s="28"/>
      <c r="AXR11" s="28"/>
      <c r="AXS11" s="28"/>
      <c r="AXT11" s="28"/>
      <c r="AXU11" s="28"/>
      <c r="AXV11" s="28"/>
      <c r="AXW11" s="28"/>
      <c r="AXX11" s="28"/>
      <c r="AXY11" s="28"/>
      <c r="AXZ11" s="28"/>
      <c r="AYA11" s="28"/>
      <c r="AYB11" s="28"/>
      <c r="AYC11" s="28"/>
      <c r="AYD11" s="28"/>
      <c r="AYE11" s="28"/>
      <c r="AYF11" s="28"/>
      <c r="AYG11" s="28"/>
      <c r="AYH11" s="28"/>
      <c r="AYI11" s="28"/>
      <c r="AYJ11" s="28"/>
      <c r="AYK11" s="28"/>
      <c r="AYL11" s="28"/>
      <c r="AYM11" s="28"/>
      <c r="AYN11" s="28"/>
      <c r="AYO11" s="28"/>
      <c r="AYP11" s="28"/>
      <c r="AYQ11" s="28"/>
      <c r="AYR11" s="28"/>
      <c r="AYS11" s="28"/>
      <c r="AYT11" s="28"/>
      <c r="AYU11" s="28"/>
      <c r="AYV11" s="28"/>
      <c r="AYW11" s="28"/>
      <c r="AYX11" s="28"/>
      <c r="AYY11" s="28"/>
      <c r="AYZ11" s="28"/>
      <c r="AZA11" s="28"/>
      <c r="AZB11" s="28"/>
      <c r="AZC11" s="28"/>
      <c r="AZD11" s="28"/>
      <c r="AZE11" s="28"/>
      <c r="AZF11" s="28"/>
      <c r="AZG11" s="28"/>
      <c r="AZH11" s="28"/>
      <c r="AZI11" s="28"/>
      <c r="AZJ11" s="28"/>
      <c r="AZK11" s="28"/>
      <c r="AZL11" s="28"/>
      <c r="AZM11" s="28"/>
      <c r="AZN11" s="28"/>
      <c r="AZO11" s="28"/>
      <c r="AZP11" s="28"/>
      <c r="AZQ11" s="28"/>
      <c r="AZR11" s="28"/>
      <c r="AZS11" s="28"/>
      <c r="AZT11" s="28"/>
      <c r="AZU11" s="28"/>
      <c r="AZV11" s="28"/>
      <c r="AZW11" s="28"/>
      <c r="AZX11" s="28"/>
      <c r="AZY11" s="28"/>
      <c r="AZZ11" s="28"/>
      <c r="BAA11" s="28"/>
      <c r="BAB11" s="28"/>
      <c r="BAC11" s="28"/>
      <c r="BAD11" s="28"/>
      <c r="BAE11" s="28"/>
      <c r="BAF11" s="28"/>
      <c r="BAG11" s="28"/>
      <c r="BAH11" s="28"/>
      <c r="BAI11" s="28"/>
      <c r="BAJ11" s="28"/>
      <c r="BAK11" s="28"/>
      <c r="BAL11" s="28"/>
      <c r="BAM11" s="28"/>
      <c r="BAN11" s="28"/>
      <c r="BAO11" s="28"/>
      <c r="BAP11" s="28"/>
      <c r="BAQ11" s="28"/>
      <c r="BAR11" s="28"/>
      <c r="BAS11" s="28"/>
      <c r="BAT11" s="28"/>
      <c r="BAU11" s="28"/>
      <c r="BAV11" s="28"/>
      <c r="BAW11" s="28"/>
      <c r="BAX11" s="28"/>
      <c r="BAY11" s="28"/>
      <c r="BAZ11" s="28"/>
      <c r="BBA11" s="28"/>
      <c r="BBB11" s="28"/>
      <c r="BBC11" s="28"/>
      <c r="BBD11" s="28"/>
      <c r="BBE11" s="28"/>
      <c r="BBF11" s="28"/>
      <c r="BBG11" s="28"/>
      <c r="BBH11" s="28"/>
      <c r="BBI11" s="28"/>
      <c r="BBJ11" s="28"/>
      <c r="BBK11" s="28"/>
      <c r="BBL11" s="28"/>
      <c r="BBM11" s="28"/>
      <c r="BBN11" s="28"/>
      <c r="BBO11" s="28"/>
      <c r="BBP11" s="28"/>
      <c r="BBQ11" s="28"/>
      <c r="BBR11" s="28"/>
      <c r="BBS11" s="28"/>
      <c r="BBT11" s="28"/>
      <c r="BBU11" s="28"/>
      <c r="BBV11" s="28"/>
      <c r="BBW11" s="28"/>
      <c r="BBX11" s="28"/>
      <c r="BBY11" s="28"/>
      <c r="BBZ11" s="28"/>
      <c r="BCA11" s="28"/>
      <c r="BCB11" s="28"/>
      <c r="BCC11" s="28"/>
      <c r="BCD11" s="28"/>
      <c r="BCE11" s="28"/>
      <c r="BCF11" s="28"/>
      <c r="BCG11" s="28"/>
      <c r="BCH11" s="28"/>
      <c r="BCI11" s="28"/>
      <c r="BCJ11" s="28"/>
      <c r="BCK11" s="28"/>
      <c r="BCL11" s="28"/>
      <c r="BCM11" s="28"/>
      <c r="BCN11" s="28"/>
      <c r="BCO11" s="28"/>
      <c r="BCP11" s="28"/>
      <c r="BCQ11" s="28"/>
      <c r="BCR11" s="28"/>
      <c r="BCS11" s="28"/>
      <c r="BCT11" s="28"/>
      <c r="BCU11" s="28"/>
      <c r="BCV11" s="28"/>
      <c r="BCW11" s="28"/>
      <c r="BCX11" s="28"/>
      <c r="BCY11" s="28"/>
      <c r="BCZ11" s="28"/>
      <c r="BDA11" s="28"/>
      <c r="BDB11" s="28"/>
      <c r="BDC11" s="28"/>
      <c r="BDD11" s="28"/>
      <c r="BDE11" s="28"/>
      <c r="BDF11" s="28"/>
      <c r="BDG11" s="28"/>
      <c r="BDH11" s="28"/>
      <c r="BDI11" s="28"/>
      <c r="BDJ11" s="28"/>
      <c r="BDK11" s="28"/>
      <c r="BDL11" s="28"/>
      <c r="BDM11" s="28"/>
      <c r="BDN11" s="28"/>
      <c r="BDO11" s="28"/>
      <c r="BDP11" s="28"/>
      <c r="BDQ11" s="28"/>
      <c r="BDR11" s="28"/>
      <c r="BDS11" s="28"/>
      <c r="BDT11" s="28"/>
      <c r="BDU11" s="28"/>
      <c r="BDV11" s="28"/>
      <c r="BDW11" s="28"/>
      <c r="BDX11" s="28"/>
      <c r="BDY11" s="28"/>
      <c r="BDZ11" s="28"/>
      <c r="BEA11" s="28"/>
      <c r="BEB11" s="28"/>
      <c r="BEC11" s="28"/>
      <c r="BED11" s="28"/>
      <c r="BEE11" s="28"/>
      <c r="BEF11" s="28"/>
      <c r="BEG11" s="28"/>
      <c r="BEH11" s="28"/>
      <c r="BEI11" s="28"/>
      <c r="BEJ11" s="28"/>
      <c r="BEK11" s="28"/>
      <c r="BEL11" s="28"/>
      <c r="BEM11" s="28"/>
      <c r="BEN11" s="28"/>
      <c r="BEO11" s="28"/>
      <c r="BEP11" s="28"/>
      <c r="BEQ11" s="28"/>
      <c r="BER11" s="28"/>
      <c r="BES11" s="28"/>
      <c r="BET11" s="28"/>
      <c r="BEU11" s="28"/>
      <c r="BEV11" s="28"/>
      <c r="BEW11" s="28"/>
      <c r="BEX11" s="28"/>
      <c r="BEY11" s="28"/>
      <c r="BEZ11" s="28"/>
      <c r="BFA11" s="28"/>
      <c r="BFB11" s="28"/>
      <c r="BFC11" s="28"/>
      <c r="BFD11" s="28"/>
      <c r="BFE11" s="28"/>
      <c r="BFF11" s="28"/>
      <c r="BFG11" s="28"/>
      <c r="BFH11" s="28"/>
      <c r="BFI11" s="28"/>
      <c r="BFJ11" s="28"/>
      <c r="BFK11" s="28"/>
      <c r="BFL11" s="28"/>
      <c r="BFM11" s="28"/>
      <c r="BFN11" s="28"/>
      <c r="BFO11" s="28"/>
      <c r="BFP11" s="28"/>
      <c r="BFQ11" s="28"/>
      <c r="BFR11" s="28"/>
      <c r="BFS11" s="28"/>
      <c r="BFT11" s="28"/>
      <c r="BFU11" s="28"/>
      <c r="BFV11" s="28"/>
      <c r="BFW11" s="28"/>
      <c r="BFX11" s="28"/>
      <c r="BFY11" s="28"/>
      <c r="BFZ11" s="28"/>
      <c r="BGA11" s="28"/>
      <c r="BGB11" s="28"/>
      <c r="BGC11" s="28"/>
      <c r="BGD11" s="28"/>
      <c r="BGE11" s="28"/>
      <c r="BGF11" s="28"/>
      <c r="BGG11" s="28"/>
      <c r="BGH11" s="28"/>
      <c r="BGI11" s="28"/>
      <c r="BGJ11" s="28"/>
      <c r="BGK11" s="28"/>
      <c r="BGL11" s="28"/>
      <c r="BGM11" s="28"/>
      <c r="BGN11" s="28"/>
      <c r="BGO11" s="28"/>
      <c r="BGP11" s="28"/>
      <c r="BGQ11" s="28"/>
      <c r="BGR11" s="28"/>
      <c r="BGS11" s="28"/>
      <c r="BGT11" s="28"/>
      <c r="BGU11" s="28"/>
      <c r="BGV11" s="28"/>
      <c r="BGW11" s="28"/>
      <c r="BGX11" s="28"/>
      <c r="BGY11" s="28"/>
      <c r="BGZ11" s="28"/>
      <c r="BHA11" s="28"/>
      <c r="BHB11" s="28"/>
      <c r="BHC11" s="28"/>
      <c r="BHD11" s="28"/>
      <c r="BHE11" s="28"/>
      <c r="BHF11" s="28"/>
      <c r="BHG11" s="28"/>
      <c r="BHH11" s="28"/>
      <c r="BHI11" s="28"/>
      <c r="BHJ11" s="28"/>
      <c r="BHK11" s="28"/>
      <c r="BHL11" s="28"/>
      <c r="BHM11" s="28"/>
      <c r="BHN11" s="28"/>
      <c r="BHO11" s="28"/>
      <c r="BHP11" s="28"/>
      <c r="BHQ11" s="28"/>
      <c r="BHR11" s="28"/>
      <c r="BHS11" s="28"/>
      <c r="BHT11" s="28"/>
      <c r="BHU11" s="28"/>
      <c r="BHV11" s="28"/>
      <c r="BHW11" s="28"/>
      <c r="BHX11" s="28"/>
      <c r="BHY11" s="28"/>
      <c r="BHZ11" s="28"/>
      <c r="BIA11" s="28"/>
      <c r="BIB11" s="28"/>
      <c r="BIC11" s="28"/>
      <c r="BID11" s="28"/>
      <c r="BIE11" s="28"/>
      <c r="BIF11" s="28"/>
      <c r="BIG11" s="28"/>
      <c r="BIH11" s="28"/>
      <c r="BII11" s="28"/>
      <c r="BIJ11" s="28"/>
      <c r="BIK11" s="28"/>
      <c r="BIL11" s="28"/>
      <c r="BIM11" s="28"/>
      <c r="BIN11" s="28"/>
      <c r="BIO11" s="28"/>
      <c r="BIP11" s="28"/>
      <c r="BIQ11" s="28"/>
      <c r="BIR11" s="28"/>
      <c r="BIS11" s="28"/>
      <c r="BIT11" s="28"/>
      <c r="BIU11" s="28"/>
      <c r="BIV11" s="28"/>
      <c r="BIW11" s="28"/>
      <c r="BIX11" s="28"/>
      <c r="BIY11" s="28"/>
      <c r="BIZ11" s="28"/>
      <c r="BJA11" s="28"/>
      <c r="BJB11" s="28"/>
      <c r="BJC11" s="28"/>
      <c r="BJD11" s="28"/>
      <c r="BJE11" s="28"/>
      <c r="BJF11" s="28"/>
      <c r="BJG11" s="28"/>
      <c r="BJH11" s="28"/>
      <c r="BJI11" s="28"/>
      <c r="BJJ11" s="28"/>
      <c r="BJK11" s="28"/>
      <c r="BJL11" s="28"/>
      <c r="BJM11" s="28"/>
      <c r="BJN11" s="28"/>
      <c r="BJO11" s="28"/>
      <c r="BJP11" s="28"/>
      <c r="BJQ11" s="28"/>
      <c r="BJR11" s="28"/>
      <c r="BJS11" s="28"/>
      <c r="BJT11" s="28"/>
      <c r="BJU11" s="28"/>
      <c r="BJV11" s="28"/>
      <c r="BJW11" s="28"/>
      <c r="BJX11" s="28"/>
      <c r="BJY11" s="28"/>
      <c r="BJZ11" s="28"/>
      <c r="BKA11" s="28"/>
      <c r="BKB11" s="28"/>
      <c r="BKC11" s="28"/>
      <c r="BKD11" s="28"/>
      <c r="BKE11" s="28"/>
      <c r="BKF11" s="28"/>
      <c r="BKG11" s="28"/>
      <c r="BKH11" s="28"/>
      <c r="BKI11" s="28"/>
      <c r="BKJ11" s="28"/>
      <c r="BKK11" s="28"/>
      <c r="BKL11" s="28"/>
      <c r="BKM11" s="28"/>
      <c r="BKN11" s="28"/>
      <c r="BKO11" s="28"/>
      <c r="BKP11" s="28"/>
      <c r="BKQ11" s="28"/>
      <c r="BKR11" s="28"/>
      <c r="BKS11" s="28"/>
      <c r="BKT11" s="28"/>
      <c r="BKU11" s="28"/>
      <c r="BKV11" s="28"/>
      <c r="BKW11" s="28"/>
      <c r="BKX11" s="28"/>
      <c r="BKY11" s="28"/>
      <c r="BKZ11" s="28"/>
      <c r="BLA11" s="28"/>
      <c r="BLB11" s="28"/>
      <c r="BLC11" s="28"/>
      <c r="BLD11" s="28"/>
      <c r="BLE11" s="28"/>
      <c r="BLF11" s="28"/>
      <c r="BLG11" s="28"/>
      <c r="BLH11" s="28"/>
      <c r="BLI11" s="28"/>
      <c r="BLJ11" s="28"/>
      <c r="BLK11" s="28"/>
      <c r="BLL11" s="28"/>
      <c r="BLM11" s="28"/>
      <c r="BLN11" s="28"/>
      <c r="BLO11" s="28"/>
      <c r="BLP11" s="28"/>
      <c r="BLQ11" s="28"/>
      <c r="BLR11" s="28"/>
      <c r="BLS11" s="28"/>
      <c r="BLT11" s="28"/>
      <c r="BLU11" s="28"/>
      <c r="BLV11" s="28"/>
      <c r="BLW11" s="28"/>
      <c r="BLX11" s="28"/>
      <c r="BLY11" s="28"/>
      <c r="BLZ11" s="28"/>
      <c r="BMA11" s="28"/>
      <c r="BMB11" s="28"/>
      <c r="BMC11" s="28"/>
      <c r="BMD11" s="28"/>
      <c r="BME11" s="28"/>
      <c r="BMF11" s="28"/>
      <c r="BMG11" s="28"/>
      <c r="BMH11" s="28"/>
      <c r="BMI11" s="28"/>
      <c r="BMJ11" s="28"/>
      <c r="BMK11" s="28"/>
      <c r="BML11" s="28"/>
      <c r="BMM11" s="28"/>
      <c r="BMN11" s="28"/>
      <c r="BMO11" s="28"/>
      <c r="BMP11" s="28"/>
      <c r="BMQ11" s="28"/>
      <c r="BMR11" s="28"/>
      <c r="BMS11" s="28"/>
      <c r="BMT11" s="28"/>
      <c r="BMU11" s="28"/>
      <c r="BMV11" s="28"/>
      <c r="BMW11" s="28"/>
      <c r="BMX11" s="28"/>
      <c r="BMY11" s="28"/>
      <c r="BMZ11" s="28"/>
      <c r="BNA11" s="28"/>
      <c r="BNB11" s="28"/>
      <c r="BNC11" s="28"/>
      <c r="BND11" s="28"/>
      <c r="BNE11" s="28"/>
      <c r="BNF11" s="28"/>
      <c r="BNG11" s="28"/>
      <c r="BNH11" s="28"/>
      <c r="BNI11" s="28"/>
      <c r="BNJ11" s="28"/>
      <c r="BNK11" s="28"/>
      <c r="BNL11" s="28"/>
      <c r="BNM11" s="28"/>
      <c r="BNN11" s="28"/>
      <c r="BNO11" s="28"/>
      <c r="BNP11" s="28"/>
      <c r="BNQ11" s="28"/>
      <c r="BNR11" s="28"/>
      <c r="BNS11" s="28"/>
      <c r="BNT11" s="28"/>
      <c r="BNU11" s="28"/>
      <c r="BNV11" s="28"/>
      <c r="BNW11" s="28"/>
      <c r="BNX11" s="28"/>
      <c r="BNY11" s="28"/>
      <c r="BNZ11" s="28"/>
      <c r="BOA11" s="28"/>
      <c r="BOB11" s="28"/>
      <c r="BOC11" s="28"/>
      <c r="BOD11" s="28"/>
      <c r="BOE11" s="28"/>
      <c r="BOF11" s="28"/>
      <c r="BOG11" s="28"/>
      <c r="BOH11" s="28"/>
      <c r="BOI11" s="28"/>
      <c r="BOJ11" s="28"/>
      <c r="BOK11" s="28"/>
      <c r="BOL11" s="28"/>
      <c r="BOM11" s="28"/>
      <c r="BON11" s="28"/>
      <c r="BOO11" s="28"/>
      <c r="BOP11" s="28"/>
      <c r="BOQ11" s="28"/>
      <c r="BOR11" s="28"/>
      <c r="BOS11" s="28"/>
      <c r="BOT11" s="28"/>
      <c r="BOU11" s="28"/>
      <c r="BOV11" s="28"/>
      <c r="BOW11" s="28"/>
      <c r="BOX11" s="28"/>
      <c r="BOY11" s="28"/>
      <c r="BOZ11" s="28"/>
      <c r="BPA11" s="28"/>
      <c r="BPB11" s="28"/>
      <c r="BPC11" s="28"/>
      <c r="BPD11" s="28"/>
      <c r="BPE11" s="28"/>
      <c r="BPF11" s="28"/>
      <c r="BPG11" s="28"/>
      <c r="BPH11" s="28"/>
      <c r="BPI11" s="28"/>
      <c r="BPJ11" s="28"/>
      <c r="BPK11" s="28"/>
      <c r="BPL11" s="28"/>
      <c r="BPM11" s="28"/>
      <c r="BPN11" s="28"/>
      <c r="BPO11" s="28"/>
      <c r="BPP11" s="28"/>
      <c r="BPQ11" s="28"/>
      <c r="BPR11" s="28"/>
      <c r="BPS11" s="28"/>
      <c r="BPT11" s="28"/>
      <c r="BPU11" s="28"/>
      <c r="BPV11" s="28"/>
      <c r="BPW11" s="28"/>
      <c r="BPX11" s="28"/>
      <c r="BPY11" s="28"/>
      <c r="BPZ11" s="28"/>
      <c r="BQA11" s="28"/>
      <c r="BQB11" s="28"/>
      <c r="BQC11" s="28"/>
      <c r="BQD11" s="28"/>
      <c r="BQE11" s="28"/>
      <c r="BQF11" s="28"/>
      <c r="BQG11" s="28"/>
      <c r="BQH11" s="28"/>
      <c r="BQI11" s="28"/>
      <c r="BQJ11" s="28"/>
      <c r="BQK11" s="28"/>
      <c r="BQL11" s="28"/>
      <c r="BQM11" s="28"/>
      <c r="BQN11" s="28"/>
      <c r="BQO11" s="28"/>
      <c r="BQP11" s="28"/>
      <c r="BQQ11" s="28"/>
      <c r="BQR11" s="28"/>
      <c r="BQS11" s="28"/>
      <c r="BQT11" s="28"/>
      <c r="BQU11" s="28"/>
      <c r="BQV11" s="28"/>
      <c r="BQW11" s="28"/>
      <c r="BQX11" s="28"/>
      <c r="BQY11" s="28"/>
      <c r="BQZ11" s="28"/>
      <c r="BRA11" s="28"/>
      <c r="BRB11" s="28"/>
      <c r="BRC11" s="28"/>
      <c r="BRD11" s="28"/>
      <c r="BRE11" s="28"/>
      <c r="BRF11" s="28"/>
      <c r="BRG11" s="28"/>
      <c r="BRH11" s="28"/>
      <c r="BRI11" s="28"/>
      <c r="BRJ11" s="28"/>
      <c r="BRK11" s="28"/>
      <c r="BRL11" s="28"/>
      <c r="BRM11" s="28"/>
      <c r="BRN11" s="28"/>
      <c r="BRO11" s="28"/>
      <c r="BRP11" s="28"/>
      <c r="BRQ11" s="28"/>
      <c r="BRR11" s="28"/>
      <c r="BRS11" s="28"/>
      <c r="BRT11" s="28"/>
      <c r="BRU11" s="28"/>
      <c r="BRV11" s="28"/>
      <c r="BRW11" s="28"/>
      <c r="BRX11" s="28"/>
      <c r="BRY11" s="28"/>
      <c r="BRZ11" s="28"/>
      <c r="BSA11" s="28"/>
      <c r="BSB11" s="28"/>
      <c r="BSC11" s="28"/>
      <c r="BSD11" s="28"/>
      <c r="BSE11" s="28"/>
      <c r="BSF11" s="28"/>
      <c r="BSG11" s="28"/>
      <c r="BSH11" s="28"/>
      <c r="BSI11" s="28"/>
      <c r="BSJ11" s="28"/>
      <c r="BSK11" s="28"/>
      <c r="BSL11" s="28"/>
      <c r="BSM11" s="28"/>
      <c r="BSN11" s="28"/>
      <c r="BSO11" s="28"/>
      <c r="BSP11" s="28"/>
      <c r="BSQ11" s="28"/>
      <c r="BSR11" s="28"/>
      <c r="BSS11" s="28"/>
      <c r="BST11" s="28"/>
      <c r="BSU11" s="28"/>
      <c r="BSV11" s="28"/>
      <c r="BSW11" s="28"/>
      <c r="BSX11" s="28"/>
      <c r="BSY11" s="28"/>
      <c r="BSZ11" s="28"/>
      <c r="BTA11" s="28"/>
      <c r="BTB11" s="28"/>
      <c r="BTC11" s="28"/>
      <c r="BTD11" s="28"/>
      <c r="BTE11" s="28"/>
      <c r="BTF11" s="28"/>
      <c r="BTG11" s="28"/>
      <c r="BTH11" s="28"/>
      <c r="BTI11" s="28"/>
      <c r="BTJ11" s="28"/>
      <c r="BTK11" s="28"/>
      <c r="BTL11" s="28"/>
      <c r="BTM11" s="28"/>
      <c r="BTN11" s="28"/>
      <c r="BTO11" s="28"/>
      <c r="BTP11" s="28"/>
      <c r="BTQ11" s="28"/>
      <c r="BTR11" s="28"/>
      <c r="BTS11" s="28"/>
      <c r="BTT11" s="28"/>
      <c r="BTU11" s="28"/>
      <c r="BTV11" s="28"/>
      <c r="BTW11" s="28"/>
      <c r="BTX11" s="28"/>
      <c r="BTY11" s="28"/>
      <c r="BTZ11" s="28"/>
      <c r="BUA11" s="28"/>
      <c r="BUB11" s="28"/>
      <c r="BUC11" s="28"/>
      <c r="BUD11" s="28"/>
      <c r="BUE11" s="28"/>
      <c r="BUF11" s="28"/>
      <c r="BUG11" s="28"/>
      <c r="BUH11" s="28"/>
      <c r="BUI11" s="28"/>
      <c r="BUJ11" s="28"/>
      <c r="BUK11" s="28"/>
      <c r="BUL11" s="28"/>
      <c r="BUM11" s="28"/>
      <c r="BUN11" s="28"/>
      <c r="BUO11" s="28"/>
      <c r="BUP11" s="28"/>
      <c r="BUQ11" s="28"/>
      <c r="BUR11" s="28"/>
      <c r="BUS11" s="28"/>
      <c r="BUT11" s="28"/>
      <c r="BUU11" s="28"/>
      <c r="BUV11" s="28"/>
      <c r="BUW11" s="28"/>
      <c r="BUX11" s="28"/>
      <c r="BUY11" s="28"/>
      <c r="BUZ11" s="28"/>
      <c r="BVA11" s="28"/>
      <c r="BVB11" s="28"/>
      <c r="BVC11" s="28"/>
      <c r="BVD11" s="28"/>
      <c r="BVE11" s="28"/>
      <c r="BVF11" s="28"/>
      <c r="BVG11" s="28"/>
      <c r="BVH11" s="28"/>
      <c r="BVI11" s="28"/>
      <c r="BVJ11" s="28"/>
      <c r="BVK11" s="28"/>
      <c r="BVL11" s="28"/>
      <c r="BVM11" s="28"/>
      <c r="BVN11" s="28"/>
      <c r="BVO11" s="28"/>
      <c r="BVP11" s="28"/>
      <c r="BVQ11" s="28"/>
      <c r="BVR11" s="28"/>
      <c r="BVS11" s="28"/>
      <c r="BVT11" s="28"/>
      <c r="BVU11" s="28"/>
      <c r="BVV11" s="28"/>
      <c r="BVW11" s="28"/>
      <c r="BVX11" s="28"/>
      <c r="BVY11" s="28"/>
      <c r="BVZ11" s="28"/>
      <c r="BWA11" s="28"/>
      <c r="BWB11" s="28"/>
      <c r="BWC11" s="28"/>
      <c r="BWD11" s="28"/>
      <c r="BWE11" s="28"/>
      <c r="BWF11" s="28"/>
      <c r="BWG11" s="28"/>
      <c r="BWH11" s="28"/>
      <c r="BWI11" s="28"/>
      <c r="BWJ11" s="28"/>
      <c r="BWK11" s="28"/>
      <c r="BWL11" s="28"/>
      <c r="BWM11" s="28"/>
      <c r="BWN11" s="28"/>
      <c r="BWO11" s="28"/>
      <c r="BWP11" s="28"/>
      <c r="BWQ11" s="28"/>
      <c r="BWR11" s="28"/>
      <c r="BWS11" s="28"/>
      <c r="BWT11" s="28"/>
      <c r="BWU11" s="28"/>
      <c r="BWV11" s="28"/>
      <c r="BWW11" s="28"/>
      <c r="BWX11" s="28"/>
      <c r="BWY11" s="28"/>
      <c r="BWZ11" s="28"/>
      <c r="BXA11" s="28"/>
      <c r="BXB11" s="28"/>
      <c r="BXC11" s="28"/>
      <c r="BXD11" s="28"/>
      <c r="BXE11" s="28"/>
      <c r="BXF11" s="28"/>
      <c r="BXG11" s="28"/>
      <c r="BXH11" s="28"/>
      <c r="BXI11" s="28"/>
      <c r="BXJ11" s="28"/>
      <c r="BXK11" s="28"/>
      <c r="BXL11" s="28"/>
      <c r="BXM11" s="28"/>
      <c r="BXN11" s="28"/>
      <c r="BXO11" s="28"/>
      <c r="BXP11" s="28"/>
      <c r="BXQ11" s="28"/>
      <c r="BXR11" s="28"/>
      <c r="BXS11" s="28"/>
      <c r="BXT11" s="28"/>
      <c r="BXU11" s="28"/>
      <c r="BXV11" s="28"/>
      <c r="BXW11" s="28"/>
      <c r="BXX11" s="28"/>
      <c r="BXY11" s="28"/>
      <c r="BXZ11" s="28"/>
      <c r="BYA11" s="28"/>
      <c r="BYB11" s="28"/>
      <c r="BYC11" s="28"/>
      <c r="BYD11" s="28"/>
      <c r="BYE11" s="28"/>
      <c r="BYF11" s="28"/>
      <c r="BYG11" s="28"/>
      <c r="BYH11" s="28"/>
      <c r="BYI11" s="28"/>
      <c r="BYJ11" s="28"/>
      <c r="BYK11" s="28"/>
      <c r="BYL11" s="28"/>
      <c r="BYM11" s="28"/>
      <c r="BYN11" s="28"/>
      <c r="BYO11" s="28"/>
      <c r="BYP11" s="28"/>
      <c r="BYQ11" s="28"/>
      <c r="BYR11" s="28"/>
      <c r="BYS11" s="28"/>
      <c r="BYT11" s="28"/>
      <c r="BYU11" s="28"/>
      <c r="BYV11" s="28"/>
      <c r="BYW11" s="28"/>
      <c r="BYX11" s="28"/>
      <c r="BYY11" s="28"/>
      <c r="BYZ11" s="28"/>
      <c r="BZA11" s="28"/>
      <c r="BZB11" s="28"/>
      <c r="BZC11" s="28"/>
      <c r="BZD11" s="28"/>
      <c r="BZE11" s="28"/>
      <c r="BZF11" s="28"/>
      <c r="BZG11" s="28"/>
      <c r="BZH11" s="28"/>
      <c r="BZI11" s="28"/>
      <c r="BZJ11" s="28"/>
      <c r="BZK11" s="28"/>
      <c r="BZL11" s="28"/>
      <c r="BZM11" s="28"/>
      <c r="BZN11" s="28"/>
      <c r="BZO11" s="28"/>
      <c r="BZP11" s="28"/>
      <c r="BZQ11" s="28"/>
      <c r="BZR11" s="28"/>
      <c r="BZS11" s="28"/>
      <c r="BZT11" s="28"/>
      <c r="BZU11" s="28"/>
      <c r="BZV11" s="28"/>
      <c r="BZW11" s="28"/>
      <c r="BZX11" s="28"/>
      <c r="BZY11" s="28"/>
      <c r="BZZ11" s="28"/>
      <c r="CAA11" s="28"/>
      <c r="CAB11" s="28"/>
      <c r="CAC11" s="28"/>
      <c r="CAD11" s="28"/>
      <c r="CAE11" s="28"/>
      <c r="CAF11" s="28"/>
      <c r="CAG11" s="28"/>
      <c r="CAH11" s="28"/>
      <c r="CAI11" s="28"/>
      <c r="CAJ11" s="28"/>
      <c r="CAK11" s="28"/>
      <c r="CAL11" s="28"/>
      <c r="CAM11" s="28"/>
      <c r="CAN11" s="28"/>
      <c r="CAO11" s="28"/>
      <c r="CAP11" s="28"/>
      <c r="CAQ11" s="28"/>
      <c r="CAR11" s="28"/>
      <c r="CAS11" s="28"/>
      <c r="CAT11" s="28"/>
      <c r="CAU11" s="28"/>
      <c r="CAV11" s="28"/>
      <c r="CAW11" s="28"/>
      <c r="CAX11" s="28"/>
      <c r="CAY11" s="28"/>
      <c r="CAZ11" s="28"/>
      <c r="CBA11" s="28"/>
      <c r="CBB11" s="28"/>
      <c r="CBC11" s="28"/>
      <c r="CBD11" s="28"/>
      <c r="CBE11" s="28"/>
      <c r="CBF11" s="28"/>
      <c r="CBG11" s="28"/>
      <c r="CBH11" s="28"/>
      <c r="CBI11" s="28"/>
      <c r="CBJ11" s="28"/>
      <c r="CBK11" s="28"/>
      <c r="CBL11" s="28"/>
      <c r="CBM11" s="28"/>
      <c r="CBN11" s="28"/>
      <c r="CBO11" s="28"/>
      <c r="CBP11" s="28"/>
      <c r="CBQ11" s="28"/>
      <c r="CBR11" s="28"/>
      <c r="CBS11" s="28"/>
      <c r="CBT11" s="28"/>
      <c r="CBU11" s="28"/>
      <c r="CBV11" s="28"/>
      <c r="CBW11" s="28"/>
      <c r="CBX11" s="28"/>
      <c r="CBY11" s="28"/>
      <c r="CBZ11" s="28"/>
      <c r="CCA11" s="28"/>
      <c r="CCB11" s="28"/>
      <c r="CCC11" s="28"/>
      <c r="CCD11" s="28"/>
      <c r="CCE11" s="28"/>
      <c r="CCF11" s="28"/>
      <c r="CCG11" s="28"/>
      <c r="CCH11" s="28"/>
      <c r="CCI11" s="28"/>
      <c r="CCJ11" s="28"/>
      <c r="CCK11" s="28"/>
      <c r="CCL11" s="28"/>
      <c r="CCM11" s="28"/>
      <c r="CCN11" s="28"/>
      <c r="CCO11" s="28"/>
      <c r="CCP11" s="28"/>
      <c r="CCQ11" s="28"/>
      <c r="CCR11" s="28"/>
      <c r="CCS11" s="28"/>
      <c r="CCT11" s="28"/>
      <c r="CCU11" s="28"/>
      <c r="CCV11" s="28"/>
      <c r="CCW11" s="28"/>
      <c r="CCX11" s="28"/>
      <c r="CCY11" s="28"/>
      <c r="CCZ11" s="28"/>
      <c r="CDA11" s="28"/>
      <c r="CDB11" s="28"/>
      <c r="CDC11" s="28"/>
      <c r="CDD11" s="28"/>
      <c r="CDE11" s="28"/>
      <c r="CDF11" s="28"/>
      <c r="CDG11" s="28"/>
      <c r="CDH11" s="28"/>
      <c r="CDI11" s="28"/>
      <c r="CDJ11" s="28"/>
      <c r="CDK11" s="28"/>
      <c r="CDL11" s="28"/>
      <c r="CDM11" s="28"/>
      <c r="CDN11" s="28"/>
      <c r="CDO11" s="28"/>
      <c r="CDP11" s="28"/>
      <c r="CDQ11" s="28"/>
      <c r="CDR11" s="28"/>
      <c r="CDS11" s="28"/>
      <c r="CDT11" s="28"/>
      <c r="CDU11" s="28"/>
      <c r="CDV11" s="28"/>
      <c r="CDW11" s="28"/>
      <c r="CDX11" s="28"/>
      <c r="CDY11" s="28"/>
      <c r="CDZ11" s="28"/>
      <c r="CEA11" s="28"/>
      <c r="CEB11" s="28"/>
      <c r="CEC11" s="28"/>
      <c r="CED11" s="28"/>
      <c r="CEE11" s="28"/>
      <c r="CEF11" s="28"/>
      <c r="CEG11" s="28"/>
      <c r="CEH11" s="28"/>
      <c r="CEI11" s="28"/>
      <c r="CEJ11" s="28"/>
      <c r="CEK11" s="28"/>
      <c r="CEL11" s="28"/>
      <c r="CEM11" s="28"/>
      <c r="CEN11" s="28"/>
      <c r="CEO11" s="28"/>
      <c r="CEP11" s="28"/>
      <c r="CEQ11" s="28"/>
      <c r="CER11" s="28"/>
      <c r="CES11" s="28"/>
      <c r="CET11" s="28"/>
      <c r="CEU11" s="28"/>
      <c r="CEV11" s="28"/>
      <c r="CEW11" s="28"/>
      <c r="CEX11" s="28"/>
      <c r="CEY11" s="28"/>
      <c r="CEZ11" s="28"/>
      <c r="CFA11" s="28"/>
      <c r="CFB11" s="28"/>
      <c r="CFC11" s="28"/>
      <c r="CFD11" s="28"/>
      <c r="CFE11" s="28"/>
      <c r="CFF11" s="28"/>
      <c r="CFG11" s="28"/>
      <c r="CFH11" s="28"/>
      <c r="CFI11" s="28"/>
      <c r="CFJ11" s="28"/>
      <c r="CFK11" s="28"/>
      <c r="CFL11" s="28"/>
      <c r="CFM11" s="28"/>
      <c r="CFN11" s="28"/>
      <c r="CFO11" s="28"/>
      <c r="CFP11" s="28"/>
      <c r="CFQ11" s="28"/>
      <c r="CFR11" s="28"/>
      <c r="CFS11" s="28"/>
      <c r="CFT11" s="28"/>
      <c r="CFU11" s="28"/>
      <c r="CFV11" s="28"/>
      <c r="CFW11" s="28"/>
      <c r="CFX11" s="28"/>
      <c r="CFY11" s="28"/>
      <c r="CFZ11" s="28"/>
      <c r="CGA11" s="28"/>
      <c r="CGB11" s="28"/>
      <c r="CGC11" s="28"/>
      <c r="CGD11" s="28"/>
      <c r="CGE11" s="28"/>
      <c r="CGF11" s="28"/>
      <c r="CGG11" s="28"/>
      <c r="CGH11" s="28"/>
      <c r="CGI11" s="28"/>
      <c r="CGJ11" s="28"/>
      <c r="CGK11" s="28"/>
      <c r="CGL11" s="28"/>
      <c r="CGM11" s="28"/>
      <c r="CGN11" s="28"/>
      <c r="CGO11" s="28"/>
      <c r="CGP11" s="28"/>
      <c r="CGQ11" s="28"/>
      <c r="CGR11" s="28"/>
      <c r="CGS11" s="28"/>
      <c r="CGT11" s="28"/>
      <c r="CGU11" s="28"/>
      <c r="CGV11" s="28"/>
      <c r="CGW11" s="28"/>
      <c r="CGX11" s="28"/>
      <c r="CGY11" s="28"/>
      <c r="CGZ11" s="28"/>
      <c r="CHA11" s="28"/>
      <c r="CHB11" s="28"/>
      <c r="CHC11" s="28"/>
      <c r="CHD11" s="28"/>
      <c r="CHE11" s="28"/>
      <c r="CHF11" s="28"/>
      <c r="CHG11" s="28"/>
      <c r="CHH11" s="28"/>
      <c r="CHI11" s="28"/>
      <c r="CHJ11" s="28"/>
      <c r="CHK11" s="28"/>
      <c r="CHL11" s="28"/>
      <c r="CHM11" s="28"/>
      <c r="CHN11" s="28"/>
      <c r="CHO11" s="28"/>
      <c r="CHP11" s="28"/>
      <c r="CHQ11" s="28"/>
      <c r="CHR11" s="28"/>
      <c r="CHS11" s="28"/>
      <c r="CHT11" s="28"/>
      <c r="CHU11" s="28"/>
      <c r="CHV11" s="28"/>
      <c r="CHW11" s="28"/>
      <c r="CHX11" s="28"/>
      <c r="CHY11" s="28"/>
      <c r="CHZ11" s="28"/>
      <c r="CIA11" s="28"/>
      <c r="CIB11" s="28"/>
      <c r="CIC11" s="28"/>
      <c r="CID11" s="28"/>
      <c r="CIE11" s="28"/>
      <c r="CIF11" s="28"/>
      <c r="CIG11" s="28"/>
      <c r="CIH11" s="28"/>
      <c r="CII11" s="28"/>
      <c r="CIJ11" s="28"/>
      <c r="CIK11" s="28"/>
      <c r="CIL11" s="28"/>
      <c r="CIM11" s="28"/>
      <c r="CIN11" s="28"/>
      <c r="CIO11" s="28"/>
      <c r="CIP11" s="28"/>
      <c r="CIQ11" s="28"/>
      <c r="CIR11" s="28"/>
      <c r="CIS11" s="28"/>
      <c r="CIT11" s="28"/>
      <c r="CIU11" s="28"/>
      <c r="CIV11" s="28"/>
      <c r="CIW11" s="28"/>
      <c r="CIX11" s="28"/>
      <c r="CIY11" s="28"/>
      <c r="CIZ11" s="28"/>
      <c r="CJA11" s="28"/>
      <c r="CJB11" s="28"/>
      <c r="CJC11" s="28"/>
      <c r="CJD11" s="28"/>
      <c r="CJE11" s="28"/>
      <c r="CJF11" s="28"/>
      <c r="CJG11" s="28"/>
      <c r="CJH11" s="28"/>
      <c r="CJI11" s="28"/>
      <c r="CJJ11" s="28"/>
      <c r="CJK11" s="28"/>
      <c r="CJL11" s="28"/>
      <c r="CJM11" s="28"/>
      <c r="CJN11" s="28"/>
      <c r="CJO11" s="28"/>
      <c r="CJP11" s="28"/>
      <c r="CJQ11" s="28"/>
      <c r="CJR11" s="28"/>
      <c r="CJS11" s="28"/>
      <c r="CJT11" s="28"/>
      <c r="CJU11" s="28"/>
      <c r="CJV11" s="28"/>
      <c r="CJW11" s="28"/>
      <c r="CJX11" s="28"/>
      <c r="CJY11" s="28"/>
      <c r="CJZ11" s="28"/>
      <c r="CKA11" s="28"/>
      <c r="CKB11" s="28"/>
      <c r="CKC11" s="28"/>
      <c r="CKD11" s="28"/>
      <c r="CKE11" s="28"/>
      <c r="CKF11" s="28"/>
      <c r="CKG11" s="28"/>
      <c r="CKH11" s="28"/>
      <c r="CKI11" s="28"/>
      <c r="CKJ11" s="28"/>
      <c r="CKK11" s="28"/>
      <c r="CKL11" s="28"/>
      <c r="CKM11" s="28"/>
      <c r="CKN11" s="28"/>
      <c r="CKO11" s="28"/>
      <c r="CKP11" s="28"/>
      <c r="CKQ11" s="28"/>
      <c r="CKR11" s="28"/>
      <c r="CKS11" s="28"/>
      <c r="CKT11" s="28"/>
      <c r="CKU11" s="28"/>
      <c r="CKV11" s="28"/>
      <c r="CKW11" s="28"/>
      <c r="CKX11" s="28"/>
      <c r="CKY11" s="28"/>
      <c r="CKZ11" s="28"/>
      <c r="CLA11" s="28"/>
      <c r="CLB11" s="28"/>
      <c r="CLC11" s="28"/>
      <c r="CLD11" s="28"/>
      <c r="CLE11" s="28"/>
      <c r="CLF11" s="28"/>
      <c r="CLG11" s="28"/>
      <c r="CLH11" s="28"/>
      <c r="CLI11" s="28"/>
      <c r="CLJ11" s="28"/>
      <c r="CLK11" s="28"/>
      <c r="CLL11" s="28"/>
      <c r="CLM11" s="28"/>
      <c r="CLN11" s="28"/>
      <c r="CLO11" s="28"/>
      <c r="CLP11" s="28"/>
      <c r="CLQ11" s="28"/>
      <c r="CLR11" s="28"/>
      <c r="CLS11" s="28"/>
      <c r="CLT11" s="28"/>
      <c r="CLU11" s="28"/>
      <c r="CLV11" s="28"/>
      <c r="CLW11" s="28"/>
      <c r="CLX11" s="28"/>
      <c r="CLY11" s="28"/>
      <c r="CLZ11" s="28"/>
      <c r="CMA11" s="28"/>
      <c r="CMB11" s="28"/>
      <c r="CMC11" s="28"/>
      <c r="CMD11" s="28"/>
      <c r="CME11" s="28"/>
      <c r="CMF11" s="28"/>
      <c r="CMG11" s="28"/>
      <c r="CMH11" s="28"/>
      <c r="CMI11" s="28"/>
      <c r="CMJ11" s="28"/>
      <c r="CMK11" s="28"/>
      <c r="CML11" s="28"/>
      <c r="CMM11" s="28"/>
      <c r="CMN11" s="28"/>
      <c r="CMO11" s="28"/>
      <c r="CMP11" s="28"/>
      <c r="CMQ11" s="28"/>
      <c r="CMR11" s="28"/>
      <c r="CMS11" s="28"/>
      <c r="CMT11" s="28"/>
      <c r="CMU11" s="28"/>
      <c r="CMV11" s="28"/>
      <c r="CMW11" s="28"/>
      <c r="CMX11" s="28"/>
      <c r="CMY11" s="28"/>
      <c r="CMZ11" s="28"/>
      <c r="CNA11" s="28"/>
      <c r="CNB11" s="28"/>
      <c r="CNC11" s="28"/>
      <c r="CND11" s="28"/>
      <c r="CNE11" s="28"/>
      <c r="CNF11" s="28"/>
      <c r="CNG11" s="28"/>
      <c r="CNH11" s="28"/>
      <c r="CNI11" s="28"/>
      <c r="CNJ11" s="28"/>
      <c r="CNK11" s="28"/>
      <c r="CNL11" s="28"/>
      <c r="CNM11" s="28"/>
      <c r="CNN11" s="28"/>
      <c r="CNO11" s="28"/>
      <c r="CNP11" s="28"/>
      <c r="CNQ11" s="28"/>
      <c r="CNR11" s="28"/>
      <c r="CNS11" s="28"/>
      <c r="CNT11" s="28"/>
      <c r="CNU11" s="28"/>
      <c r="CNV11" s="28"/>
      <c r="CNW11" s="28"/>
      <c r="CNX11" s="28"/>
      <c r="CNY11" s="28"/>
      <c r="CNZ11" s="28"/>
      <c r="COA11" s="28"/>
      <c r="COB11" s="28"/>
      <c r="COC11" s="28"/>
      <c r="COD11" s="28"/>
      <c r="COE11" s="28"/>
      <c r="COF11" s="28"/>
      <c r="COG11" s="28"/>
      <c r="COH11" s="28"/>
      <c r="COI11" s="28"/>
      <c r="COJ11" s="28"/>
      <c r="COK11" s="28"/>
      <c r="COL11" s="28"/>
      <c r="COM11" s="28"/>
      <c r="CON11" s="28"/>
      <c r="COO11" s="28"/>
      <c r="COP11" s="28"/>
      <c r="COQ11" s="28"/>
      <c r="COR11" s="28"/>
      <c r="COS11" s="28"/>
      <c r="COT11" s="28"/>
      <c r="COU11" s="28"/>
      <c r="COV11" s="28"/>
      <c r="COW11" s="28"/>
      <c r="COX11" s="28"/>
      <c r="COY11" s="28"/>
      <c r="COZ11" s="28"/>
      <c r="CPA11" s="28"/>
      <c r="CPB11" s="28"/>
      <c r="CPC11" s="28"/>
      <c r="CPD11" s="28"/>
      <c r="CPE11" s="28"/>
      <c r="CPF11" s="28"/>
      <c r="CPG11" s="28"/>
      <c r="CPH11" s="28"/>
      <c r="CPI11" s="28"/>
      <c r="CPJ11" s="28"/>
      <c r="CPK11" s="28"/>
      <c r="CPL11" s="28"/>
      <c r="CPM11" s="28"/>
      <c r="CPN11" s="28"/>
      <c r="CPO11" s="28"/>
      <c r="CPP11" s="28"/>
      <c r="CPQ11" s="28"/>
      <c r="CPR11" s="28"/>
      <c r="CPS11" s="28"/>
      <c r="CPT11" s="28"/>
      <c r="CPU11" s="28"/>
      <c r="CPV11" s="28"/>
      <c r="CPW11" s="28"/>
      <c r="CPX11" s="28"/>
      <c r="CPY11" s="28"/>
      <c r="CPZ11" s="28"/>
      <c r="CQA11" s="28"/>
      <c r="CQB11" s="28"/>
      <c r="CQC11" s="28"/>
      <c r="CQD11" s="28"/>
      <c r="CQE11" s="28"/>
      <c r="CQF11" s="28"/>
      <c r="CQG11" s="28"/>
      <c r="CQH11" s="28"/>
      <c r="CQI11" s="28"/>
      <c r="CQJ11" s="28"/>
      <c r="CQK11" s="28"/>
      <c r="CQL11" s="28"/>
      <c r="CQM11" s="28"/>
      <c r="CQN11" s="28"/>
      <c r="CQO11" s="28"/>
      <c r="CQP11" s="28"/>
      <c r="CQQ11" s="28"/>
      <c r="CQR11" s="28"/>
      <c r="CQS11" s="28"/>
      <c r="CQT11" s="28"/>
      <c r="CQU11" s="28"/>
      <c r="CQV11" s="28"/>
      <c r="CQW11" s="28"/>
      <c r="CQX11" s="28"/>
      <c r="CQY11" s="28"/>
      <c r="CQZ11" s="28"/>
      <c r="CRA11" s="28"/>
      <c r="CRB11" s="28"/>
      <c r="CRC11" s="28"/>
      <c r="CRD11" s="28"/>
      <c r="CRE11" s="28"/>
      <c r="CRF11" s="28"/>
      <c r="CRG11" s="28"/>
      <c r="CRH11" s="28"/>
      <c r="CRI11" s="28"/>
      <c r="CRJ11" s="28"/>
      <c r="CRK11" s="28"/>
      <c r="CRL11" s="28"/>
      <c r="CRM11" s="28"/>
      <c r="CRN11" s="28"/>
      <c r="CRO11" s="28"/>
      <c r="CRP11" s="28"/>
      <c r="CRQ11" s="28"/>
      <c r="CRR11" s="28"/>
      <c r="CRS11" s="28"/>
      <c r="CRT11" s="28"/>
      <c r="CRU11" s="28"/>
      <c r="CRV11" s="28"/>
      <c r="CRW11" s="28"/>
      <c r="CRX11" s="28"/>
      <c r="CRY11" s="28"/>
      <c r="CRZ11" s="28"/>
      <c r="CSA11" s="28"/>
      <c r="CSB11" s="28"/>
      <c r="CSC11" s="28"/>
      <c r="CSD11" s="28"/>
      <c r="CSE11" s="28"/>
      <c r="CSF11" s="28"/>
      <c r="CSG11" s="28"/>
      <c r="CSH11" s="28"/>
      <c r="CSI11" s="28"/>
      <c r="CSJ11" s="28"/>
      <c r="CSK11" s="28"/>
      <c r="CSL11" s="28"/>
      <c r="CSM11" s="28"/>
      <c r="CSN11" s="28"/>
      <c r="CSO11" s="28"/>
      <c r="CSP11" s="28"/>
      <c r="CSQ11" s="28"/>
      <c r="CSR11" s="28"/>
      <c r="CSS11" s="28"/>
      <c r="CST11" s="28"/>
      <c r="CSU11" s="28"/>
      <c r="CSV11" s="28"/>
      <c r="CSW11" s="28"/>
      <c r="CSX11" s="28"/>
      <c r="CSY11" s="28"/>
      <c r="CSZ11" s="28"/>
      <c r="CTA11" s="28"/>
      <c r="CTB11" s="28"/>
      <c r="CTC11" s="28"/>
      <c r="CTD11" s="28"/>
      <c r="CTE11" s="28"/>
      <c r="CTF11" s="28"/>
      <c r="CTG11" s="28"/>
      <c r="CTH11" s="28"/>
      <c r="CTI11" s="28"/>
      <c r="CTJ11" s="28"/>
      <c r="CTK11" s="28"/>
      <c r="CTL11" s="28"/>
      <c r="CTM11" s="28"/>
      <c r="CTN11" s="28"/>
      <c r="CTO11" s="28"/>
      <c r="CTP11" s="28"/>
      <c r="CTQ11" s="28"/>
      <c r="CTR11" s="28"/>
      <c r="CTS11" s="28"/>
      <c r="CTT11" s="28"/>
      <c r="CTU11" s="28"/>
      <c r="CTV11" s="28"/>
      <c r="CTW11" s="28"/>
      <c r="CTX11" s="28"/>
      <c r="CTY11" s="28"/>
      <c r="CTZ11" s="28"/>
      <c r="CUA11" s="28"/>
      <c r="CUB11" s="28"/>
      <c r="CUC11" s="28"/>
      <c r="CUD11" s="28"/>
      <c r="CUE11" s="28"/>
      <c r="CUF11" s="28"/>
      <c r="CUG11" s="28"/>
      <c r="CUH11" s="28"/>
      <c r="CUI11" s="28"/>
      <c r="CUJ11" s="28"/>
      <c r="CUK11" s="28"/>
      <c r="CUL11" s="28"/>
      <c r="CUM11" s="28"/>
      <c r="CUN11" s="28"/>
      <c r="CUO11" s="28"/>
      <c r="CUP11" s="28"/>
      <c r="CUQ11" s="28"/>
      <c r="CUR11" s="28"/>
      <c r="CUS11" s="28"/>
      <c r="CUT11" s="28"/>
      <c r="CUU11" s="28"/>
      <c r="CUV11" s="28"/>
      <c r="CUW11" s="28"/>
      <c r="CUX11" s="28"/>
      <c r="CUY11" s="28"/>
      <c r="CUZ11" s="28"/>
      <c r="CVA11" s="28"/>
      <c r="CVB11" s="28"/>
      <c r="CVC11" s="28"/>
      <c r="CVD11" s="28"/>
      <c r="CVE11" s="28"/>
      <c r="CVF11" s="28"/>
      <c r="CVG11" s="28"/>
      <c r="CVH11" s="28"/>
      <c r="CVI11" s="28"/>
      <c r="CVJ11" s="28"/>
      <c r="CVK11" s="28"/>
      <c r="CVL11" s="28"/>
      <c r="CVM11" s="28"/>
      <c r="CVN11" s="28"/>
      <c r="CVO11" s="28"/>
      <c r="CVP11" s="28"/>
      <c r="CVQ11" s="28"/>
      <c r="CVR11" s="28"/>
      <c r="CVS11" s="28"/>
      <c r="CVT11" s="28"/>
      <c r="CVU11" s="28"/>
      <c r="CVV11" s="28"/>
      <c r="CVW11" s="28"/>
      <c r="CVX11" s="28"/>
      <c r="CVY11" s="28"/>
      <c r="CVZ11" s="28"/>
      <c r="CWA11" s="28"/>
      <c r="CWB11" s="28"/>
      <c r="CWC11" s="28"/>
      <c r="CWD11" s="28"/>
      <c r="CWE11" s="28"/>
      <c r="CWF11" s="28"/>
      <c r="CWG11" s="28"/>
      <c r="CWH11" s="28"/>
      <c r="CWI11" s="28"/>
      <c r="CWJ11" s="28"/>
      <c r="CWK11" s="28"/>
      <c r="CWL11" s="28"/>
      <c r="CWM11" s="28"/>
      <c r="CWN11" s="28"/>
      <c r="CWO11" s="28"/>
      <c r="CWP11" s="28"/>
      <c r="CWQ11" s="28"/>
      <c r="CWR11" s="28"/>
      <c r="CWS11" s="28"/>
      <c r="CWT11" s="28"/>
      <c r="CWU11" s="28"/>
      <c r="CWV11" s="28"/>
      <c r="CWW11" s="28"/>
      <c r="CWX11" s="28"/>
      <c r="CWY11" s="28"/>
      <c r="CWZ11" s="28"/>
      <c r="CXA11" s="28"/>
      <c r="CXB11" s="28"/>
      <c r="CXC11" s="28"/>
      <c r="CXD11" s="28"/>
      <c r="CXE11" s="28"/>
      <c r="CXF11" s="28"/>
      <c r="CXG11" s="28"/>
      <c r="CXH11" s="28"/>
      <c r="CXI11" s="28"/>
      <c r="CXJ11" s="28"/>
      <c r="CXK11" s="28"/>
      <c r="CXL11" s="28"/>
      <c r="CXM11" s="28"/>
      <c r="CXN11" s="28"/>
      <c r="CXO11" s="28"/>
      <c r="CXP11" s="28"/>
      <c r="CXQ11" s="28"/>
      <c r="CXR11" s="28"/>
      <c r="CXS11" s="28"/>
      <c r="CXT11" s="28"/>
      <c r="CXU11" s="28"/>
      <c r="CXV11" s="28"/>
      <c r="CXW11" s="28"/>
      <c r="CXX11" s="28"/>
      <c r="CXY11" s="28"/>
      <c r="CXZ11" s="28"/>
      <c r="CYA11" s="28"/>
      <c r="CYB11" s="28"/>
      <c r="CYC11" s="28"/>
      <c r="CYD11" s="28"/>
      <c r="CYE11" s="28"/>
      <c r="CYF11" s="28"/>
      <c r="CYG11" s="28"/>
      <c r="CYH11" s="28"/>
      <c r="CYI11" s="28"/>
      <c r="CYJ11" s="28"/>
      <c r="CYK11" s="28"/>
      <c r="CYL11" s="28"/>
      <c r="CYM11" s="28"/>
      <c r="CYN11" s="28"/>
      <c r="CYO11" s="28"/>
      <c r="CYP11" s="28"/>
      <c r="CYQ11" s="28"/>
      <c r="CYR11" s="28"/>
      <c r="CYS11" s="28"/>
      <c r="CYT11" s="28"/>
      <c r="CYU11" s="28"/>
      <c r="CYV11" s="28"/>
      <c r="CYW11" s="28"/>
      <c r="CYX11" s="28"/>
      <c r="CYY11" s="28"/>
      <c r="CYZ11" s="28"/>
      <c r="CZA11" s="28"/>
      <c r="CZB11" s="28"/>
      <c r="CZC11" s="28"/>
      <c r="CZD11" s="28"/>
      <c r="CZE11" s="28"/>
      <c r="CZF11" s="28"/>
      <c r="CZG11" s="28"/>
      <c r="CZH11" s="28"/>
      <c r="CZI11" s="28"/>
      <c r="CZJ11" s="28"/>
      <c r="CZK11" s="28"/>
      <c r="CZL11" s="28"/>
      <c r="CZM11" s="28"/>
      <c r="CZN11" s="28"/>
      <c r="CZO11" s="28"/>
      <c r="CZP11" s="28"/>
      <c r="CZQ11" s="28"/>
      <c r="CZR11" s="28"/>
      <c r="CZS11" s="28"/>
      <c r="CZT11" s="28"/>
      <c r="CZU11" s="28"/>
      <c r="CZV11" s="28"/>
      <c r="CZW11" s="28"/>
      <c r="CZX11" s="28"/>
      <c r="CZY11" s="28"/>
      <c r="CZZ11" s="28"/>
      <c r="DAA11" s="28"/>
      <c r="DAB11" s="28"/>
      <c r="DAC11" s="28"/>
      <c r="DAD11" s="28"/>
      <c r="DAE11" s="28"/>
      <c r="DAF11" s="28"/>
      <c r="DAG11" s="28"/>
      <c r="DAH11" s="28"/>
      <c r="DAI11" s="28"/>
      <c r="DAJ11" s="28"/>
      <c r="DAK11" s="28"/>
      <c r="DAL11" s="28"/>
      <c r="DAM11" s="28"/>
      <c r="DAN11" s="28"/>
      <c r="DAO11" s="28"/>
      <c r="DAP11" s="28"/>
      <c r="DAQ11" s="28"/>
      <c r="DAR11" s="28"/>
      <c r="DAS11" s="28"/>
      <c r="DAT11" s="28"/>
      <c r="DAU11" s="28"/>
      <c r="DAV11" s="28"/>
      <c r="DAW11" s="28"/>
      <c r="DAX11" s="28"/>
      <c r="DAY11" s="28"/>
      <c r="DAZ11" s="28"/>
      <c r="DBA11" s="28"/>
      <c r="DBB11" s="28"/>
      <c r="DBC11" s="28"/>
      <c r="DBD11" s="28"/>
      <c r="DBE11" s="28"/>
      <c r="DBF11" s="28"/>
      <c r="DBG11" s="28"/>
      <c r="DBH11" s="28"/>
      <c r="DBI11" s="28"/>
      <c r="DBJ11" s="28"/>
      <c r="DBK11" s="28"/>
      <c r="DBL11" s="28"/>
      <c r="DBM11" s="28"/>
      <c r="DBN11" s="28"/>
      <c r="DBO11" s="28"/>
      <c r="DBP11" s="28"/>
      <c r="DBQ11" s="28"/>
      <c r="DBR11" s="28"/>
      <c r="DBS11" s="28"/>
      <c r="DBT11" s="28"/>
      <c r="DBU11" s="28"/>
      <c r="DBV11" s="28"/>
      <c r="DBW11" s="28"/>
      <c r="DBX11" s="28"/>
      <c r="DBY11" s="28"/>
      <c r="DBZ11" s="28"/>
      <c r="DCA11" s="28"/>
      <c r="DCB11" s="28"/>
      <c r="DCC11" s="28"/>
      <c r="DCD11" s="28"/>
      <c r="DCE11" s="28"/>
      <c r="DCF11" s="28"/>
      <c r="DCG11" s="28"/>
      <c r="DCH11" s="28"/>
      <c r="DCI11" s="28"/>
      <c r="DCJ11" s="28"/>
      <c r="DCK11" s="28"/>
      <c r="DCL11" s="28"/>
      <c r="DCM11" s="28"/>
      <c r="DCN11" s="28"/>
      <c r="DCO11" s="28"/>
      <c r="DCP11" s="28"/>
      <c r="DCQ11" s="28"/>
      <c r="DCR11" s="28"/>
      <c r="DCS11" s="28"/>
      <c r="DCT11" s="28"/>
      <c r="DCU11" s="28"/>
      <c r="DCV11" s="28"/>
      <c r="DCW11" s="28"/>
      <c r="DCX11" s="28"/>
      <c r="DCY11" s="28"/>
      <c r="DCZ11" s="28"/>
      <c r="DDA11" s="28"/>
      <c r="DDB11" s="28"/>
      <c r="DDC11" s="28"/>
      <c r="DDD11" s="28"/>
      <c r="DDE11" s="28"/>
      <c r="DDF11" s="28"/>
      <c r="DDG11" s="28"/>
      <c r="DDH11" s="28"/>
      <c r="DDI11" s="28"/>
      <c r="DDJ11" s="28"/>
      <c r="DDK11" s="28"/>
      <c r="DDL11" s="28"/>
      <c r="DDM11" s="28"/>
      <c r="DDN11" s="28"/>
      <c r="DDO11" s="28"/>
      <c r="DDP11" s="28"/>
      <c r="DDQ11" s="28"/>
      <c r="DDR11" s="28"/>
      <c r="DDS11" s="28"/>
      <c r="DDT11" s="28"/>
      <c r="DDU11" s="28"/>
      <c r="DDV11" s="28"/>
      <c r="DDW11" s="28"/>
      <c r="DDX11" s="28"/>
      <c r="DDY11" s="28"/>
      <c r="DDZ11" s="28"/>
      <c r="DEA11" s="28"/>
      <c r="DEB11" s="28"/>
      <c r="DEC11" s="28"/>
      <c r="DED11" s="28"/>
      <c r="DEE11" s="28"/>
      <c r="DEF11" s="28"/>
      <c r="DEG11" s="28"/>
      <c r="DEH11" s="28"/>
      <c r="DEI11" s="28"/>
      <c r="DEJ11" s="28"/>
      <c r="DEK11" s="28"/>
      <c r="DEL11" s="28"/>
      <c r="DEM11" s="28"/>
      <c r="DEN11" s="28"/>
      <c r="DEO11" s="28"/>
      <c r="DEP11" s="28"/>
      <c r="DEQ11" s="28"/>
      <c r="DER11" s="28"/>
      <c r="DES11" s="28"/>
      <c r="DET11" s="28"/>
      <c r="DEU11" s="28"/>
      <c r="DEV11" s="28"/>
      <c r="DEW11" s="28"/>
      <c r="DEX11" s="28"/>
      <c r="DEY11" s="28"/>
      <c r="DEZ11" s="28"/>
      <c r="DFA11" s="28"/>
      <c r="DFB11" s="28"/>
      <c r="DFC11" s="28"/>
      <c r="DFD11" s="28"/>
      <c r="DFE11" s="28"/>
      <c r="DFF11" s="28"/>
      <c r="DFG11" s="28"/>
      <c r="DFH11" s="28"/>
      <c r="DFI11" s="28"/>
      <c r="DFJ11" s="28"/>
      <c r="DFK11" s="28"/>
      <c r="DFL11" s="28"/>
      <c r="DFM11" s="28"/>
      <c r="DFN11" s="28"/>
      <c r="DFO11" s="28"/>
      <c r="DFP11" s="28"/>
      <c r="DFQ11" s="28"/>
      <c r="DFR11" s="28"/>
      <c r="DFS11" s="28"/>
      <c r="DFT11" s="28"/>
      <c r="DFU11" s="28"/>
      <c r="DFV11" s="28"/>
      <c r="DFW11" s="28"/>
      <c r="DFX11" s="28"/>
      <c r="DFY11" s="28"/>
      <c r="DFZ11" s="28"/>
      <c r="DGA11" s="28"/>
      <c r="DGB11" s="28"/>
      <c r="DGC11" s="28"/>
      <c r="DGD11" s="28"/>
      <c r="DGE11" s="28"/>
      <c r="DGF11" s="28"/>
      <c r="DGG11" s="28"/>
      <c r="DGH11" s="28"/>
      <c r="DGI11" s="28"/>
      <c r="DGJ11" s="28"/>
      <c r="DGK11" s="28"/>
      <c r="DGL11" s="28"/>
      <c r="DGM11" s="28"/>
      <c r="DGN11" s="28"/>
      <c r="DGO11" s="28"/>
      <c r="DGP11" s="28"/>
      <c r="DGQ11" s="28"/>
      <c r="DGR11" s="28"/>
      <c r="DGS11" s="28"/>
      <c r="DGT11" s="28"/>
      <c r="DGU11" s="28"/>
      <c r="DGV11" s="28"/>
      <c r="DGW11" s="28"/>
      <c r="DGX11" s="28"/>
      <c r="DGY11" s="28"/>
      <c r="DGZ11" s="28"/>
      <c r="DHA11" s="28"/>
      <c r="DHB11" s="28"/>
      <c r="DHC11" s="28"/>
      <c r="DHD11" s="28"/>
      <c r="DHE11" s="28"/>
      <c r="DHF11" s="28"/>
      <c r="DHG11" s="28"/>
      <c r="DHH11" s="28"/>
      <c r="DHI11" s="28"/>
      <c r="DHJ11" s="28"/>
      <c r="DHK11" s="28"/>
      <c r="DHL11" s="28"/>
      <c r="DHM11" s="28"/>
      <c r="DHN11" s="28"/>
      <c r="DHO11" s="28"/>
      <c r="DHP11" s="28"/>
      <c r="DHQ11" s="28"/>
      <c r="DHR11" s="28"/>
      <c r="DHS11" s="28"/>
      <c r="DHT11" s="28"/>
      <c r="DHU11" s="28"/>
      <c r="DHV11" s="28"/>
      <c r="DHW11" s="28"/>
      <c r="DHX11" s="28"/>
      <c r="DHY11" s="28"/>
      <c r="DHZ11" s="28"/>
      <c r="DIA11" s="28"/>
      <c r="DIB11" s="28"/>
      <c r="DIC11" s="28"/>
      <c r="DID11" s="28"/>
      <c r="DIE11" s="28"/>
      <c r="DIF11" s="28"/>
      <c r="DIG11" s="28"/>
      <c r="DIH11" s="28"/>
      <c r="DII11" s="28"/>
      <c r="DIJ11" s="28"/>
      <c r="DIK11" s="28"/>
      <c r="DIL11" s="28"/>
      <c r="DIM11" s="28"/>
      <c r="DIN11" s="28"/>
      <c r="DIO11" s="28"/>
      <c r="DIP11" s="28"/>
      <c r="DIQ11" s="28"/>
      <c r="DIR11" s="28"/>
      <c r="DIS11" s="28"/>
      <c r="DIT11" s="28"/>
      <c r="DIU11" s="28"/>
      <c r="DIV11" s="28"/>
      <c r="DIW11" s="28"/>
      <c r="DIX11" s="28"/>
      <c r="DIY11" s="28"/>
      <c r="DIZ11" s="28"/>
      <c r="DJA11" s="28"/>
      <c r="DJB11" s="28"/>
      <c r="DJC11" s="28"/>
      <c r="DJD11" s="28"/>
      <c r="DJE11" s="28"/>
      <c r="DJF11" s="28"/>
      <c r="DJG11" s="28"/>
      <c r="DJH11" s="28"/>
      <c r="DJI11" s="28"/>
      <c r="DJJ11" s="28"/>
      <c r="DJK11" s="28"/>
      <c r="DJL11" s="28"/>
      <c r="DJM11" s="28"/>
      <c r="DJN11" s="28"/>
      <c r="DJO11" s="28"/>
      <c r="DJP11" s="28"/>
      <c r="DJQ11" s="28"/>
      <c r="DJR11" s="28"/>
      <c r="DJS11" s="28"/>
      <c r="DJT11" s="28"/>
      <c r="DJU11" s="28"/>
      <c r="DJV11" s="28"/>
      <c r="DJW11" s="28"/>
      <c r="DJX11" s="28"/>
      <c r="DJY11" s="28"/>
      <c r="DJZ11" s="28"/>
      <c r="DKA11" s="28"/>
      <c r="DKB11" s="28"/>
      <c r="DKC11" s="28"/>
      <c r="DKD11" s="28"/>
      <c r="DKE11" s="28"/>
      <c r="DKF11" s="28"/>
      <c r="DKG11" s="28"/>
      <c r="DKH11" s="28"/>
      <c r="DKI11" s="28"/>
      <c r="DKJ11" s="28"/>
      <c r="DKK11" s="28"/>
      <c r="DKL11" s="28"/>
      <c r="DKM11" s="28"/>
      <c r="DKN11" s="28"/>
      <c r="DKO11" s="28"/>
      <c r="DKP11" s="28"/>
      <c r="DKQ11" s="28"/>
      <c r="DKR11" s="28"/>
      <c r="DKS11" s="28"/>
      <c r="DKT11" s="28"/>
      <c r="DKU11" s="28"/>
      <c r="DKV11" s="28"/>
      <c r="DKW11" s="28"/>
      <c r="DKX11" s="28"/>
      <c r="DKY11" s="28"/>
      <c r="DKZ11" s="28"/>
      <c r="DLA11" s="28"/>
      <c r="DLB11" s="28"/>
      <c r="DLC11" s="28"/>
      <c r="DLD11" s="28"/>
      <c r="DLE11" s="28"/>
      <c r="DLF11" s="28"/>
      <c r="DLG11" s="28"/>
      <c r="DLH11" s="28"/>
      <c r="DLI11" s="28"/>
      <c r="DLJ11" s="28"/>
      <c r="DLK11" s="28"/>
      <c r="DLL11" s="28"/>
      <c r="DLM11" s="28"/>
      <c r="DLN11" s="28"/>
      <c r="DLO11" s="28"/>
      <c r="DLP11" s="28"/>
      <c r="DLQ11" s="28"/>
      <c r="DLR11" s="28"/>
      <c r="DLS11" s="28"/>
      <c r="DLT11" s="28"/>
      <c r="DLU11" s="28"/>
      <c r="DLV11" s="28"/>
      <c r="DLW11" s="28"/>
      <c r="DLX11" s="28"/>
      <c r="DLY11" s="28"/>
      <c r="DLZ11" s="28"/>
      <c r="DMA11" s="28"/>
      <c r="DMB11" s="28"/>
      <c r="DMC11" s="28"/>
      <c r="DMD11" s="28"/>
      <c r="DME11" s="28"/>
      <c r="DMF11" s="28"/>
      <c r="DMG11" s="28"/>
      <c r="DMH11" s="28"/>
      <c r="DMI11" s="28"/>
      <c r="DMJ11" s="28"/>
      <c r="DMK11" s="28"/>
      <c r="DML11" s="28"/>
      <c r="DMM11" s="28"/>
      <c r="DMN11" s="28"/>
      <c r="DMO11" s="28"/>
      <c r="DMP11" s="28"/>
      <c r="DMQ11" s="28"/>
      <c r="DMR11" s="28"/>
      <c r="DMS11" s="28"/>
      <c r="DMT11" s="28"/>
      <c r="DMU11" s="28"/>
      <c r="DMV11" s="28"/>
      <c r="DMW11" s="28"/>
      <c r="DMX11" s="28"/>
      <c r="DMY11" s="28"/>
      <c r="DMZ11" s="28"/>
      <c r="DNA11" s="28"/>
      <c r="DNB11" s="28"/>
      <c r="DNC11" s="28"/>
      <c r="DND11" s="28"/>
      <c r="DNE11" s="28"/>
      <c r="DNF11" s="28"/>
      <c r="DNG11" s="28"/>
      <c r="DNH11" s="28"/>
      <c r="DNI11" s="28"/>
      <c r="DNJ11" s="28"/>
      <c r="DNK11" s="28"/>
      <c r="DNL11" s="28"/>
      <c r="DNM11" s="28"/>
      <c r="DNN11" s="28"/>
      <c r="DNO11" s="28"/>
      <c r="DNP11" s="28"/>
      <c r="DNQ11" s="28"/>
      <c r="DNR11" s="28"/>
      <c r="DNS11" s="28"/>
      <c r="DNT11" s="28"/>
      <c r="DNU11" s="28"/>
      <c r="DNV11" s="28"/>
      <c r="DNW11" s="28"/>
      <c r="DNX11" s="28"/>
      <c r="DNY11" s="28"/>
      <c r="DNZ11" s="28"/>
      <c r="DOA11" s="28"/>
      <c r="DOB11" s="28"/>
      <c r="DOC11" s="28"/>
      <c r="DOD11" s="28"/>
      <c r="DOE11" s="28"/>
      <c r="DOF11" s="28"/>
      <c r="DOG11" s="28"/>
      <c r="DOH11" s="28"/>
      <c r="DOI11" s="28"/>
      <c r="DOJ11" s="28"/>
      <c r="DOK11" s="28"/>
      <c r="DOL11" s="28"/>
      <c r="DOM11" s="28"/>
      <c r="DON11" s="28"/>
      <c r="DOO11" s="28"/>
      <c r="DOP11" s="28"/>
      <c r="DOQ11" s="28"/>
      <c r="DOR11" s="28"/>
      <c r="DOS11" s="28"/>
      <c r="DOT11" s="28"/>
      <c r="DOU11" s="28"/>
      <c r="DOV11" s="28"/>
      <c r="DOW11" s="28"/>
      <c r="DOX11" s="28"/>
      <c r="DOY11" s="28"/>
      <c r="DOZ11" s="28"/>
      <c r="DPA11" s="28"/>
      <c r="DPB11" s="28"/>
      <c r="DPC11" s="28"/>
      <c r="DPD11" s="28"/>
      <c r="DPE11" s="28"/>
      <c r="DPF11" s="28"/>
      <c r="DPG11" s="28"/>
      <c r="DPH11" s="28"/>
      <c r="DPI11" s="28"/>
      <c r="DPJ11" s="28"/>
      <c r="DPK11" s="28"/>
      <c r="DPL11" s="28"/>
      <c r="DPM11" s="28"/>
      <c r="DPN11" s="28"/>
      <c r="DPO11" s="28"/>
      <c r="DPP11" s="28"/>
      <c r="DPQ11" s="28"/>
      <c r="DPR11" s="28"/>
      <c r="DPS11" s="28"/>
      <c r="DPT11" s="28"/>
      <c r="DPU11" s="28"/>
      <c r="DPV11" s="28"/>
      <c r="DPW11" s="28"/>
      <c r="DPX11" s="28"/>
      <c r="DPY11" s="28"/>
      <c r="DPZ11" s="28"/>
      <c r="DQA11" s="28"/>
      <c r="DQB11" s="28"/>
      <c r="DQC11" s="28"/>
      <c r="DQD11" s="28"/>
      <c r="DQE11" s="28"/>
      <c r="DQF11" s="28"/>
      <c r="DQG11" s="28"/>
      <c r="DQH11" s="28"/>
      <c r="DQI11" s="28"/>
      <c r="DQJ11" s="28"/>
      <c r="DQK11" s="28"/>
      <c r="DQL11" s="28"/>
      <c r="DQM11" s="28"/>
      <c r="DQN11" s="28"/>
      <c r="DQO11" s="28"/>
      <c r="DQP11" s="28"/>
      <c r="DQQ11" s="28"/>
      <c r="DQR11" s="28"/>
      <c r="DQS11" s="28"/>
      <c r="DQT11" s="28"/>
      <c r="DQU11" s="28"/>
      <c r="DQV11" s="28"/>
      <c r="DQW11" s="28"/>
      <c r="DQX11" s="28"/>
      <c r="DQY11" s="28"/>
      <c r="DQZ11" s="28"/>
      <c r="DRA11" s="28"/>
      <c r="DRB11" s="28"/>
      <c r="DRC11" s="28"/>
      <c r="DRD11" s="28"/>
      <c r="DRE11" s="28"/>
      <c r="DRF11" s="28"/>
      <c r="DRG11" s="28"/>
      <c r="DRH11" s="28"/>
      <c r="DRI11" s="28"/>
      <c r="DRJ11" s="28"/>
      <c r="DRK11" s="28"/>
      <c r="DRL11" s="28"/>
      <c r="DRM11" s="28"/>
      <c r="DRN11" s="28"/>
      <c r="DRO11" s="28"/>
      <c r="DRP11" s="28"/>
      <c r="DRQ11" s="28"/>
      <c r="DRR11" s="28"/>
      <c r="DRS11" s="28"/>
      <c r="DRT11" s="28"/>
      <c r="DRU11" s="28"/>
      <c r="DRV11" s="28"/>
      <c r="DRW11" s="28"/>
      <c r="DRX11" s="28"/>
      <c r="DRY11" s="28"/>
      <c r="DRZ11" s="28"/>
      <c r="DSA11" s="28"/>
      <c r="DSB11" s="28"/>
      <c r="DSC11" s="28"/>
      <c r="DSD11" s="28"/>
      <c r="DSE11" s="28"/>
      <c r="DSF11" s="28"/>
      <c r="DSG11" s="28"/>
      <c r="DSH11" s="28"/>
      <c r="DSI11" s="28"/>
      <c r="DSJ11" s="28"/>
      <c r="DSK11" s="28"/>
      <c r="DSL11" s="28"/>
      <c r="DSM11" s="28"/>
      <c r="DSN11" s="28"/>
      <c r="DSO11" s="28"/>
      <c r="DSP11" s="28"/>
      <c r="DSQ11" s="28"/>
      <c r="DSR11" s="28"/>
      <c r="DSS11" s="28"/>
      <c r="DST11" s="28"/>
      <c r="DSU11" s="28"/>
      <c r="DSV11" s="28"/>
      <c r="DSW11" s="28"/>
      <c r="DSX11" s="28"/>
      <c r="DSY11" s="28"/>
      <c r="DSZ11" s="28"/>
      <c r="DTA11" s="28"/>
      <c r="DTB11" s="28"/>
      <c r="DTC11" s="28"/>
      <c r="DTD11" s="28"/>
      <c r="DTE11" s="28"/>
      <c r="DTF11" s="28"/>
      <c r="DTG11" s="28"/>
      <c r="DTH11" s="28"/>
      <c r="DTI11" s="28"/>
      <c r="DTJ11" s="28"/>
      <c r="DTK11" s="28"/>
      <c r="DTL11" s="28"/>
      <c r="DTM11" s="28"/>
      <c r="DTN11" s="28"/>
      <c r="DTO11" s="28"/>
      <c r="DTP11" s="28"/>
      <c r="DTQ11" s="28"/>
      <c r="DTR11" s="28"/>
      <c r="DTS11" s="28"/>
      <c r="DTT11" s="28"/>
      <c r="DTU11" s="28"/>
      <c r="DTV11" s="28"/>
      <c r="DTW11" s="28"/>
      <c r="DTX11" s="28"/>
      <c r="DTY11" s="28"/>
      <c r="DTZ11" s="28"/>
      <c r="DUA11" s="28"/>
      <c r="DUB11" s="28"/>
      <c r="DUC11" s="28"/>
      <c r="DUD11" s="28"/>
      <c r="DUE11" s="28"/>
      <c r="DUF11" s="28"/>
      <c r="DUG11" s="28"/>
      <c r="DUH11" s="28"/>
      <c r="DUI11" s="28"/>
      <c r="DUJ11" s="28"/>
      <c r="DUK11" s="28"/>
      <c r="DUL11" s="28"/>
      <c r="DUM11" s="28"/>
      <c r="DUN11" s="28"/>
      <c r="DUO11" s="28"/>
      <c r="DUP11" s="28"/>
      <c r="DUQ11" s="28"/>
      <c r="DUR11" s="28"/>
      <c r="DUS11" s="28"/>
      <c r="DUT11" s="28"/>
      <c r="DUU11" s="28"/>
      <c r="DUV11" s="28"/>
      <c r="DUW11" s="28"/>
      <c r="DUX11" s="28"/>
      <c r="DUY11" s="28"/>
      <c r="DUZ11" s="28"/>
      <c r="DVA11" s="28"/>
      <c r="DVB11" s="28"/>
      <c r="DVC11" s="28"/>
      <c r="DVD11" s="28"/>
      <c r="DVE11" s="28"/>
      <c r="DVF11" s="28"/>
      <c r="DVG11" s="28"/>
      <c r="DVH11" s="28"/>
      <c r="DVI11" s="28"/>
      <c r="DVJ11" s="28"/>
      <c r="DVK11" s="28"/>
      <c r="DVL11" s="28"/>
      <c r="DVM11" s="28"/>
      <c r="DVN11" s="28"/>
      <c r="DVO11" s="28"/>
      <c r="DVP11" s="28"/>
      <c r="DVQ11" s="28"/>
      <c r="DVR11" s="28"/>
      <c r="DVS11" s="28"/>
      <c r="DVT11" s="28"/>
      <c r="DVU11" s="28"/>
      <c r="DVV11" s="28"/>
      <c r="DVW11" s="28"/>
      <c r="DVX11" s="28"/>
      <c r="DVY11" s="28"/>
      <c r="DVZ11" s="28"/>
      <c r="DWA11" s="28"/>
      <c r="DWB11" s="28"/>
      <c r="DWC11" s="28"/>
      <c r="DWD11" s="28"/>
      <c r="DWE11" s="28"/>
      <c r="DWF11" s="28"/>
      <c r="DWG11" s="28"/>
      <c r="DWH11" s="28"/>
      <c r="DWI11" s="28"/>
      <c r="DWJ11" s="28"/>
      <c r="DWK11" s="28"/>
      <c r="DWL11" s="28"/>
      <c r="DWM11" s="28"/>
      <c r="DWN11" s="28"/>
      <c r="DWO11" s="28"/>
      <c r="DWP11" s="28"/>
      <c r="DWQ11" s="28"/>
      <c r="DWR11" s="28"/>
      <c r="DWS11" s="28"/>
      <c r="DWT11" s="28"/>
      <c r="DWU11" s="28"/>
      <c r="DWV11" s="28"/>
      <c r="DWW11" s="28"/>
      <c r="DWX11" s="28"/>
      <c r="DWY11" s="28"/>
      <c r="DWZ11" s="28"/>
      <c r="DXA11" s="28"/>
      <c r="DXB11" s="28"/>
      <c r="DXC11" s="28"/>
      <c r="DXD11" s="28"/>
      <c r="DXE11" s="28"/>
      <c r="DXF11" s="28"/>
      <c r="DXG11" s="28"/>
      <c r="DXH11" s="28"/>
      <c r="DXI11" s="28"/>
      <c r="DXJ11" s="28"/>
      <c r="DXK11" s="28"/>
      <c r="DXL11" s="28"/>
      <c r="DXM11" s="28"/>
      <c r="DXN11" s="28"/>
      <c r="DXO11" s="28"/>
      <c r="DXP11" s="28"/>
      <c r="DXQ11" s="28"/>
      <c r="DXR11" s="28"/>
      <c r="DXS11" s="28"/>
      <c r="DXT11" s="28"/>
      <c r="DXU11" s="28"/>
      <c r="DXV11" s="28"/>
      <c r="DXW11" s="28"/>
      <c r="DXX11" s="28"/>
      <c r="DXY11" s="28"/>
      <c r="DXZ11" s="28"/>
      <c r="DYA11" s="28"/>
      <c r="DYB11" s="28"/>
      <c r="DYC11" s="28"/>
      <c r="DYD11" s="28"/>
      <c r="DYE11" s="28"/>
      <c r="DYF11" s="28"/>
      <c r="DYG11" s="28"/>
      <c r="DYH11" s="28"/>
      <c r="DYI11" s="28"/>
      <c r="DYJ11" s="28"/>
      <c r="DYK11" s="28"/>
      <c r="DYL11" s="28"/>
      <c r="DYM11" s="28"/>
      <c r="DYN11" s="28"/>
      <c r="DYO11" s="28"/>
      <c r="DYP11" s="28"/>
      <c r="DYQ11" s="28"/>
      <c r="DYR11" s="28"/>
      <c r="DYS11" s="28"/>
      <c r="DYT11" s="28"/>
      <c r="DYU11" s="28"/>
      <c r="DYV11" s="28"/>
      <c r="DYW11" s="28"/>
      <c r="DYX11" s="28"/>
      <c r="DYY11" s="28"/>
      <c r="DYZ11" s="28"/>
      <c r="DZA11" s="28"/>
      <c r="DZB11" s="28"/>
      <c r="DZC11" s="28"/>
      <c r="DZD11" s="28"/>
      <c r="DZE11" s="28"/>
      <c r="DZF11" s="28"/>
      <c r="DZG11" s="28"/>
      <c r="DZH11" s="28"/>
      <c r="DZI11" s="28"/>
      <c r="DZJ11" s="28"/>
      <c r="DZK11" s="28"/>
      <c r="DZL11" s="28"/>
      <c r="DZM11" s="28"/>
      <c r="DZN11" s="28"/>
      <c r="DZO11" s="28"/>
      <c r="DZP11" s="28"/>
      <c r="DZQ11" s="28"/>
      <c r="DZR11" s="28"/>
      <c r="DZS11" s="28"/>
      <c r="DZT11" s="28"/>
      <c r="DZU11" s="28"/>
      <c r="DZV11" s="28"/>
      <c r="DZW11" s="28"/>
      <c r="DZX11" s="28"/>
      <c r="DZY11" s="28"/>
      <c r="DZZ11" s="28"/>
      <c r="EAA11" s="28"/>
      <c r="EAB11" s="28"/>
      <c r="EAC11" s="28"/>
      <c r="EAD11" s="28"/>
      <c r="EAE11" s="28"/>
      <c r="EAF11" s="28"/>
      <c r="EAG11" s="28"/>
      <c r="EAH11" s="28"/>
      <c r="EAI11" s="28"/>
      <c r="EAJ11" s="28"/>
      <c r="EAK11" s="28"/>
      <c r="EAL11" s="28"/>
      <c r="EAM11" s="28"/>
      <c r="EAN11" s="28"/>
      <c r="EAO11" s="28"/>
      <c r="EAP11" s="28"/>
      <c r="EAQ11" s="28"/>
      <c r="EAR11" s="28"/>
      <c r="EAS11" s="28"/>
      <c r="EAT11" s="28"/>
      <c r="EAU11" s="28"/>
      <c r="EAV11" s="28"/>
      <c r="EAW11" s="28"/>
      <c r="EAX11" s="28"/>
      <c r="EAY11" s="28"/>
      <c r="EAZ11" s="28"/>
      <c r="EBA11" s="28"/>
      <c r="EBB11" s="28"/>
      <c r="EBC11" s="28"/>
      <c r="EBD11" s="28"/>
      <c r="EBE11" s="28"/>
      <c r="EBF11" s="28"/>
      <c r="EBG11" s="28"/>
      <c r="EBH11" s="28"/>
      <c r="EBI11" s="28"/>
      <c r="EBJ11" s="28"/>
      <c r="EBK11" s="28"/>
      <c r="EBL11" s="28"/>
      <c r="EBM11" s="28"/>
      <c r="EBN11" s="28"/>
      <c r="EBO11" s="28"/>
      <c r="EBP11" s="28"/>
      <c r="EBQ11" s="28"/>
      <c r="EBR11" s="28"/>
      <c r="EBS11" s="28"/>
      <c r="EBT11" s="28"/>
      <c r="EBU11" s="28"/>
      <c r="EBV11" s="28"/>
      <c r="EBW11" s="28"/>
      <c r="EBX11" s="28"/>
      <c r="EBY11" s="28"/>
      <c r="EBZ11" s="28"/>
      <c r="ECA11" s="28"/>
      <c r="ECB11" s="28"/>
      <c r="ECC11" s="28"/>
      <c r="ECD11" s="28"/>
      <c r="ECE11" s="28"/>
      <c r="ECF11" s="28"/>
      <c r="ECG11" s="28"/>
      <c r="ECH11" s="28"/>
      <c r="ECI11" s="28"/>
      <c r="ECJ11" s="28"/>
      <c r="ECK11" s="28"/>
      <c r="ECL11" s="28"/>
      <c r="ECM11" s="28"/>
      <c r="ECN11" s="28"/>
      <c r="ECO11" s="28"/>
      <c r="ECP11" s="28"/>
      <c r="ECQ11" s="28"/>
      <c r="ECR11" s="28"/>
      <c r="ECS11" s="28"/>
      <c r="ECT11" s="28"/>
      <c r="ECU11" s="28"/>
      <c r="ECV11" s="28"/>
      <c r="ECW11" s="28"/>
      <c r="ECX11" s="28"/>
      <c r="ECY11" s="28"/>
      <c r="ECZ11" s="28"/>
      <c r="EDA11" s="28"/>
      <c r="EDB11" s="28"/>
      <c r="EDC11" s="28"/>
      <c r="EDD11" s="28"/>
      <c r="EDE11" s="28"/>
      <c r="EDF11" s="28"/>
      <c r="EDG11" s="28"/>
      <c r="EDH11" s="28"/>
      <c r="EDI11" s="28"/>
      <c r="EDJ11" s="28"/>
      <c r="EDK11" s="28"/>
      <c r="EDL11" s="28"/>
      <c r="EDM11" s="28"/>
      <c r="EDN11" s="28"/>
      <c r="EDO11" s="28"/>
      <c r="EDP11" s="28"/>
      <c r="EDQ11" s="28"/>
      <c r="EDR11" s="28"/>
      <c r="EDS11" s="28"/>
      <c r="EDT11" s="28"/>
      <c r="EDU11" s="28"/>
      <c r="EDV11" s="28"/>
      <c r="EDW11" s="28"/>
      <c r="EDX11" s="28"/>
      <c r="EDY11" s="28"/>
      <c r="EDZ11" s="28"/>
      <c r="EEA11" s="28"/>
      <c r="EEB11" s="28"/>
      <c r="EEC11" s="28"/>
      <c r="EED11" s="28"/>
      <c r="EEE11" s="28"/>
      <c r="EEF11" s="28"/>
      <c r="EEG11" s="28"/>
      <c r="EEH11" s="28"/>
      <c r="EEI11" s="28"/>
      <c r="EEJ11" s="28"/>
      <c r="EEK11" s="28"/>
      <c r="EEL11" s="28"/>
      <c r="EEM11" s="28"/>
      <c r="EEN11" s="28"/>
      <c r="EEO11" s="28"/>
      <c r="EEP11" s="28"/>
      <c r="EEQ11" s="28"/>
      <c r="EER11" s="28"/>
      <c r="EES11" s="28"/>
      <c r="EET11" s="28"/>
      <c r="EEU11" s="28"/>
      <c r="EEV11" s="28"/>
      <c r="EEW11" s="28"/>
      <c r="EEX11" s="28"/>
      <c r="EEY11" s="28"/>
      <c r="EEZ11" s="28"/>
      <c r="EFA11" s="28"/>
      <c r="EFB11" s="28"/>
      <c r="EFC11" s="28"/>
      <c r="EFD11" s="28"/>
      <c r="EFE11" s="28"/>
      <c r="EFF11" s="28"/>
      <c r="EFG11" s="28"/>
      <c r="EFH11" s="28"/>
      <c r="EFI11" s="28"/>
      <c r="EFJ11" s="28"/>
      <c r="EFK11" s="28"/>
      <c r="EFL11" s="28"/>
      <c r="EFM11" s="28"/>
      <c r="EFN11" s="28"/>
      <c r="EFO11" s="28"/>
      <c r="EFP11" s="28"/>
      <c r="EFQ11" s="28"/>
      <c r="EFR11" s="28"/>
      <c r="EFS11" s="28"/>
      <c r="EFT11" s="28"/>
      <c r="EFU11" s="28"/>
      <c r="EFV11" s="28"/>
      <c r="EFW11" s="28"/>
      <c r="EFX11" s="28"/>
      <c r="EFY11" s="28"/>
      <c r="EFZ11" s="28"/>
      <c r="EGA11" s="28"/>
      <c r="EGB11" s="28"/>
      <c r="EGC11" s="28"/>
      <c r="EGD11" s="28"/>
      <c r="EGE11" s="28"/>
      <c r="EGF11" s="28"/>
      <c r="EGG11" s="28"/>
      <c r="EGH11" s="28"/>
      <c r="EGI11" s="28"/>
      <c r="EGJ11" s="28"/>
      <c r="EGK11" s="28"/>
      <c r="EGL11" s="28"/>
      <c r="EGM11" s="28"/>
      <c r="EGN11" s="28"/>
      <c r="EGO11" s="28"/>
      <c r="EGP11" s="28"/>
      <c r="EGQ11" s="28"/>
      <c r="EGR11" s="28"/>
      <c r="EGS11" s="28"/>
      <c r="EGT11" s="28"/>
      <c r="EGU11" s="28"/>
      <c r="EGV11" s="28"/>
      <c r="EGW11" s="28"/>
      <c r="EGX11" s="28"/>
      <c r="EGY11" s="28"/>
      <c r="EGZ11" s="28"/>
      <c r="EHA11" s="28"/>
      <c r="EHB11" s="28"/>
      <c r="EHC11" s="28"/>
      <c r="EHD11" s="28"/>
      <c r="EHE11" s="28"/>
      <c r="EHF11" s="28"/>
      <c r="EHG11" s="28"/>
      <c r="EHH11" s="28"/>
      <c r="EHI11" s="28"/>
      <c r="EHJ11" s="28"/>
      <c r="EHK11" s="28"/>
      <c r="EHL11" s="28"/>
      <c r="EHM11" s="28"/>
      <c r="EHN11" s="28"/>
      <c r="EHO11" s="28"/>
      <c r="EHP11" s="28"/>
      <c r="EHQ11" s="28"/>
      <c r="EHR11" s="28"/>
      <c r="EHS11" s="28"/>
      <c r="EHT11" s="28"/>
      <c r="EHU11" s="28"/>
      <c r="EHV11" s="28"/>
      <c r="EHW11" s="28"/>
      <c r="EHX11" s="28"/>
      <c r="EHY11" s="28"/>
      <c r="EHZ11" s="28"/>
      <c r="EIA11" s="28"/>
      <c r="EIB11" s="28"/>
      <c r="EIC11" s="28"/>
      <c r="EID11" s="28"/>
      <c r="EIE11" s="28"/>
      <c r="EIF11" s="28"/>
      <c r="EIG11" s="28"/>
      <c r="EIH11" s="28"/>
      <c r="EII11" s="28"/>
      <c r="EIJ11" s="28"/>
      <c r="EIK11" s="28"/>
      <c r="EIL11" s="28"/>
      <c r="EIM11" s="28"/>
      <c r="EIN11" s="28"/>
      <c r="EIO11" s="28"/>
      <c r="EIP11" s="28"/>
      <c r="EIQ11" s="28"/>
      <c r="EIR11" s="28"/>
      <c r="EIS11" s="28"/>
      <c r="EIT11" s="28"/>
      <c r="EIU11" s="28"/>
      <c r="EIV11" s="28"/>
      <c r="EIW11" s="28"/>
      <c r="EIX11" s="28"/>
      <c r="EIY11" s="28"/>
      <c r="EIZ11" s="28"/>
      <c r="EJA11" s="28"/>
      <c r="EJB11" s="28"/>
      <c r="EJC11" s="28"/>
      <c r="EJD11" s="28"/>
      <c r="EJE11" s="28"/>
      <c r="EJF11" s="28"/>
      <c r="EJG11" s="28"/>
      <c r="EJH11" s="28"/>
      <c r="EJI11" s="28"/>
      <c r="EJJ11" s="28"/>
      <c r="EJK11" s="28"/>
      <c r="EJL11" s="28"/>
      <c r="EJM11" s="28"/>
      <c r="EJN11" s="28"/>
      <c r="EJO11" s="28"/>
      <c r="EJP11" s="28"/>
      <c r="EJQ11" s="28"/>
      <c r="EJR11" s="28"/>
      <c r="EJS11" s="28"/>
      <c r="EJT11" s="28"/>
      <c r="EJU11" s="28"/>
      <c r="EJV11" s="28"/>
      <c r="EJW11" s="28"/>
      <c r="EJX11" s="28"/>
      <c r="EJY11" s="28"/>
      <c r="EJZ11" s="28"/>
      <c r="EKA11" s="28"/>
      <c r="EKB11" s="28"/>
      <c r="EKC11" s="28"/>
      <c r="EKD11" s="28"/>
      <c r="EKE11" s="28"/>
      <c r="EKF11" s="28"/>
      <c r="EKG11" s="28"/>
      <c r="EKH11" s="28"/>
      <c r="EKI11" s="28"/>
      <c r="EKJ11" s="28"/>
      <c r="EKK11" s="28"/>
      <c r="EKL11" s="28"/>
      <c r="EKM11" s="28"/>
      <c r="EKN11" s="28"/>
      <c r="EKO11" s="28"/>
      <c r="EKP11" s="28"/>
      <c r="EKQ11" s="28"/>
      <c r="EKR11" s="28"/>
      <c r="EKS11" s="28"/>
      <c r="EKT11" s="28"/>
      <c r="EKU11" s="28"/>
      <c r="EKV11" s="28"/>
      <c r="EKW11" s="28"/>
      <c r="EKX11" s="28"/>
      <c r="EKY11" s="28"/>
      <c r="EKZ11" s="28"/>
      <c r="ELA11" s="28"/>
      <c r="ELB11" s="28"/>
      <c r="ELC11" s="28"/>
      <c r="ELD11" s="28"/>
      <c r="ELE11" s="28"/>
      <c r="ELF11" s="28"/>
      <c r="ELG11" s="28"/>
      <c r="ELH11" s="28"/>
      <c r="ELI11" s="28"/>
      <c r="ELJ11" s="28"/>
      <c r="ELK11" s="28"/>
      <c r="ELL11" s="28"/>
      <c r="ELM11" s="28"/>
      <c r="ELN11" s="28"/>
      <c r="ELO11" s="28"/>
      <c r="ELP11" s="28"/>
      <c r="ELQ11" s="28"/>
      <c r="ELR11" s="28"/>
      <c r="ELS11" s="28"/>
      <c r="ELT11" s="28"/>
      <c r="ELU11" s="28"/>
      <c r="ELV11" s="28"/>
      <c r="ELW11" s="28"/>
      <c r="ELX11" s="28"/>
      <c r="ELY11" s="28"/>
      <c r="ELZ11" s="28"/>
      <c r="EMA11" s="28"/>
      <c r="EMB11" s="28"/>
      <c r="EMC11" s="28"/>
      <c r="EMD11" s="28"/>
      <c r="EME11" s="28"/>
      <c r="EMF11" s="28"/>
      <c r="EMG11" s="28"/>
      <c r="EMH11" s="28"/>
      <c r="EMI11" s="28"/>
      <c r="EMJ11" s="28"/>
      <c r="EMK11" s="28"/>
      <c r="EML11" s="28"/>
      <c r="EMM11" s="28"/>
      <c r="EMN11" s="28"/>
      <c r="EMO11" s="28"/>
      <c r="EMP11" s="28"/>
      <c r="EMQ11" s="28"/>
      <c r="EMR11" s="28"/>
      <c r="EMS11" s="28"/>
      <c r="EMT11" s="28"/>
      <c r="EMU11" s="28"/>
      <c r="EMV11" s="28"/>
      <c r="EMW11" s="28"/>
      <c r="EMX11" s="28"/>
      <c r="EMY11" s="28"/>
      <c r="EMZ11" s="28"/>
      <c r="ENA11" s="28"/>
      <c r="ENB11" s="28"/>
      <c r="ENC11" s="28"/>
      <c r="END11" s="28"/>
      <c r="ENE11" s="28"/>
      <c r="ENF11" s="28"/>
      <c r="ENG11" s="28"/>
      <c r="ENH11" s="28"/>
      <c r="ENI11" s="28"/>
      <c r="ENJ11" s="28"/>
      <c r="ENK11" s="28"/>
      <c r="ENL11" s="28"/>
      <c r="ENM11" s="28"/>
      <c r="ENN11" s="28"/>
      <c r="ENO11" s="28"/>
      <c r="ENP11" s="28"/>
      <c r="ENQ11" s="28"/>
      <c r="ENR11" s="28"/>
      <c r="ENS11" s="28"/>
      <c r="ENT11" s="28"/>
      <c r="ENU11" s="28"/>
      <c r="ENV11" s="28"/>
      <c r="ENW11" s="28"/>
      <c r="ENX11" s="28"/>
      <c r="ENY11" s="28"/>
      <c r="ENZ11" s="28"/>
      <c r="EOA11" s="28"/>
      <c r="EOB11" s="28"/>
      <c r="EOC11" s="28"/>
      <c r="EOD11" s="28"/>
      <c r="EOE11" s="28"/>
      <c r="EOF11" s="28"/>
      <c r="EOG11" s="28"/>
      <c r="EOH11" s="28"/>
      <c r="EOI11" s="28"/>
      <c r="EOJ11" s="28"/>
      <c r="EOK11" s="28"/>
      <c r="EOL11" s="28"/>
      <c r="EOM11" s="28"/>
      <c r="EON11" s="28"/>
      <c r="EOO11" s="28"/>
      <c r="EOP11" s="28"/>
      <c r="EOQ11" s="28"/>
      <c r="EOR11" s="28"/>
      <c r="EOS11" s="28"/>
      <c r="EOT11" s="28"/>
      <c r="EOU11" s="28"/>
      <c r="EOV11" s="28"/>
      <c r="EOW11" s="28"/>
      <c r="EOX11" s="28"/>
      <c r="EOY11" s="28"/>
      <c r="EOZ11" s="28"/>
      <c r="EPA11" s="28"/>
      <c r="EPB11" s="28"/>
      <c r="EPC11" s="28"/>
      <c r="EPD11" s="28"/>
      <c r="EPE11" s="28"/>
      <c r="EPF11" s="28"/>
      <c r="EPG11" s="28"/>
      <c r="EPH11" s="28"/>
      <c r="EPI11" s="28"/>
      <c r="EPJ11" s="28"/>
      <c r="EPK11" s="28"/>
      <c r="EPL11" s="28"/>
      <c r="EPM11" s="28"/>
      <c r="EPN11" s="28"/>
      <c r="EPO11" s="28"/>
      <c r="EPP11" s="28"/>
      <c r="EPQ11" s="28"/>
      <c r="EPR11" s="28"/>
      <c r="EPS11" s="28"/>
      <c r="EPT11" s="28"/>
      <c r="EPU11" s="28"/>
      <c r="EPV11" s="28"/>
      <c r="EPW11" s="28"/>
      <c r="EPX11" s="28"/>
      <c r="EPY11" s="28"/>
      <c r="EPZ11" s="28"/>
      <c r="EQA11" s="28"/>
      <c r="EQB11" s="28"/>
      <c r="EQC11" s="28"/>
      <c r="EQD11" s="28"/>
      <c r="EQE11" s="28"/>
      <c r="EQF11" s="28"/>
      <c r="EQG11" s="28"/>
      <c r="EQH11" s="28"/>
      <c r="EQI11" s="28"/>
      <c r="EQJ11" s="28"/>
      <c r="EQK11" s="28"/>
      <c r="EQL11" s="28"/>
      <c r="EQM11" s="28"/>
      <c r="EQN11" s="28"/>
      <c r="EQO11" s="28"/>
      <c r="EQP11" s="28"/>
      <c r="EQQ11" s="28"/>
      <c r="EQR11" s="28"/>
      <c r="EQS11" s="28"/>
      <c r="EQT11" s="28"/>
      <c r="EQU11" s="28"/>
      <c r="EQV11" s="28"/>
      <c r="EQW11" s="28"/>
      <c r="EQX11" s="28"/>
      <c r="EQY11" s="28"/>
      <c r="EQZ11" s="28"/>
      <c r="ERA11" s="28"/>
      <c r="ERB11" s="28"/>
      <c r="ERC11" s="28"/>
      <c r="ERD11" s="28"/>
      <c r="ERE11" s="28"/>
      <c r="ERF11" s="28"/>
      <c r="ERG11" s="28"/>
      <c r="ERH11" s="28"/>
      <c r="ERI11" s="28"/>
      <c r="ERJ11" s="28"/>
      <c r="ERK11" s="28"/>
      <c r="ERL11" s="28"/>
      <c r="ERM11" s="28"/>
      <c r="ERN11" s="28"/>
      <c r="ERO11" s="28"/>
      <c r="ERP11" s="28"/>
      <c r="ERQ11" s="28"/>
      <c r="ERR11" s="28"/>
      <c r="ERS11" s="28"/>
      <c r="ERT11" s="28"/>
      <c r="ERU11" s="28"/>
      <c r="ERV11" s="28"/>
      <c r="ERW11" s="28"/>
      <c r="ERX11" s="28"/>
      <c r="ERY11" s="28"/>
      <c r="ERZ11" s="28"/>
      <c r="ESA11" s="28"/>
      <c r="ESB11" s="28"/>
      <c r="ESC11" s="28"/>
      <c r="ESD11" s="28"/>
      <c r="ESE11" s="28"/>
      <c r="ESF11" s="28"/>
      <c r="ESG11" s="28"/>
      <c r="ESH11" s="28"/>
      <c r="ESI11" s="28"/>
      <c r="ESJ11" s="28"/>
      <c r="ESK11" s="28"/>
      <c r="ESL11" s="28"/>
      <c r="ESM11" s="28"/>
      <c r="ESN11" s="28"/>
      <c r="ESO11" s="28"/>
      <c r="ESP11" s="28"/>
      <c r="ESQ11" s="28"/>
      <c r="ESR11" s="28"/>
      <c r="ESS11" s="28"/>
      <c r="EST11" s="28"/>
      <c r="ESU11" s="28"/>
      <c r="ESV11" s="28"/>
      <c r="ESW11" s="28"/>
      <c r="ESX11" s="28"/>
      <c r="ESY11" s="28"/>
      <c r="ESZ11" s="28"/>
      <c r="ETA11" s="28"/>
      <c r="ETB11" s="28"/>
      <c r="ETC11" s="28"/>
      <c r="ETD11" s="28"/>
      <c r="ETE11" s="28"/>
      <c r="ETF11" s="28"/>
      <c r="ETG11" s="28"/>
      <c r="ETH11" s="28"/>
      <c r="ETI11" s="28"/>
      <c r="ETJ11" s="28"/>
      <c r="ETK11" s="28"/>
      <c r="ETL11" s="28"/>
      <c r="ETM11" s="28"/>
      <c r="ETN11" s="28"/>
      <c r="ETO11" s="28"/>
      <c r="ETP11" s="28"/>
      <c r="ETQ11" s="28"/>
      <c r="ETR11" s="28"/>
      <c r="ETS11" s="28"/>
      <c r="ETT11" s="28"/>
      <c r="ETU11" s="28"/>
      <c r="ETV11" s="28"/>
      <c r="ETW11" s="28"/>
      <c r="ETX11" s="28"/>
      <c r="ETY11" s="28"/>
      <c r="ETZ11" s="28"/>
      <c r="EUA11" s="28"/>
      <c r="EUB11" s="28"/>
      <c r="EUC11" s="28"/>
      <c r="EUD11" s="28"/>
      <c r="EUE11" s="28"/>
      <c r="EUF11" s="28"/>
      <c r="EUG11" s="28"/>
      <c r="EUH11" s="28"/>
      <c r="EUI11" s="28"/>
      <c r="EUJ11" s="28"/>
      <c r="EUK11" s="28"/>
      <c r="EUL11" s="28"/>
      <c r="EUM11" s="28"/>
      <c r="EUN11" s="28"/>
      <c r="EUO11" s="28"/>
      <c r="EUP11" s="28"/>
      <c r="EUQ11" s="28"/>
      <c r="EUR11" s="28"/>
      <c r="EUS11" s="28"/>
      <c r="EUT11" s="28"/>
      <c r="EUU11" s="28"/>
      <c r="EUV11" s="28"/>
      <c r="EUW11" s="28"/>
      <c r="EUX11" s="28"/>
      <c r="EUY11" s="28"/>
      <c r="EUZ11" s="28"/>
      <c r="EVA11" s="28"/>
      <c r="EVB11" s="28"/>
      <c r="EVC11" s="28"/>
      <c r="EVD11" s="28"/>
      <c r="EVE11" s="28"/>
      <c r="EVF11" s="28"/>
      <c r="EVG11" s="28"/>
      <c r="EVH11" s="28"/>
      <c r="EVI11" s="28"/>
      <c r="EVJ11" s="28"/>
      <c r="EVK11" s="28"/>
      <c r="EVL11" s="28"/>
      <c r="EVM11" s="28"/>
      <c r="EVN11" s="28"/>
      <c r="EVO11" s="28"/>
      <c r="EVP11" s="28"/>
      <c r="EVQ11" s="28"/>
      <c r="EVR11" s="28"/>
      <c r="EVS11" s="28"/>
      <c r="EVT11" s="28"/>
      <c r="EVU11" s="28"/>
      <c r="EVV11" s="28"/>
      <c r="EVW11" s="28"/>
      <c r="EVX11" s="28"/>
      <c r="EVY11" s="28"/>
      <c r="EVZ11" s="28"/>
      <c r="EWA11" s="28"/>
      <c r="EWB11" s="28"/>
      <c r="EWC11" s="28"/>
      <c r="EWD11" s="28"/>
      <c r="EWE11" s="28"/>
      <c r="EWF11" s="28"/>
      <c r="EWG11" s="28"/>
      <c r="EWH11" s="28"/>
      <c r="EWI11" s="28"/>
      <c r="EWJ11" s="28"/>
      <c r="EWK11" s="28"/>
      <c r="EWL11" s="28"/>
      <c r="EWM11" s="28"/>
      <c r="EWN11" s="28"/>
      <c r="EWO11" s="28"/>
      <c r="EWP11" s="28"/>
      <c r="EWQ11" s="28"/>
      <c r="EWR11" s="28"/>
      <c r="EWS11" s="28"/>
      <c r="EWT11" s="28"/>
      <c r="EWU11" s="28"/>
      <c r="EWV11" s="28"/>
      <c r="EWW11" s="28"/>
      <c r="EWX11" s="28"/>
      <c r="EWY11" s="28"/>
      <c r="EWZ11" s="28"/>
      <c r="EXA11" s="28"/>
      <c r="EXB11" s="28"/>
      <c r="EXC11" s="28"/>
      <c r="EXD11" s="28"/>
      <c r="EXE11" s="28"/>
      <c r="EXF11" s="28"/>
      <c r="EXG11" s="28"/>
      <c r="EXH11" s="28"/>
      <c r="EXI11" s="28"/>
      <c r="EXJ11" s="28"/>
      <c r="EXK11" s="28"/>
      <c r="EXL11" s="28"/>
      <c r="EXM11" s="28"/>
      <c r="EXN11" s="28"/>
      <c r="EXO11" s="28"/>
      <c r="EXP11" s="28"/>
      <c r="EXQ11" s="28"/>
      <c r="EXR11" s="28"/>
      <c r="EXS11" s="28"/>
      <c r="EXT11" s="28"/>
      <c r="EXU11" s="28"/>
      <c r="EXV11" s="28"/>
      <c r="EXW11" s="28"/>
      <c r="EXX11" s="28"/>
      <c r="EXY11" s="28"/>
      <c r="EXZ11" s="28"/>
      <c r="EYA11" s="28"/>
      <c r="EYB11" s="28"/>
      <c r="EYC11" s="28"/>
      <c r="EYD11" s="28"/>
      <c r="EYE11" s="28"/>
      <c r="EYF11" s="28"/>
      <c r="EYG11" s="28"/>
      <c r="EYH11" s="28"/>
      <c r="EYI11" s="28"/>
      <c r="EYJ11" s="28"/>
      <c r="EYK11" s="28"/>
      <c r="EYL11" s="28"/>
      <c r="EYM11" s="28"/>
      <c r="EYN11" s="28"/>
      <c r="EYO11" s="28"/>
      <c r="EYP11" s="28"/>
      <c r="EYQ11" s="28"/>
      <c r="EYR11" s="28"/>
      <c r="EYS11" s="28"/>
      <c r="EYT11" s="28"/>
      <c r="EYU11" s="28"/>
      <c r="EYV11" s="28"/>
      <c r="EYW11" s="28"/>
      <c r="EYX11" s="28"/>
      <c r="EYY11" s="28"/>
      <c r="EYZ11" s="28"/>
      <c r="EZA11" s="28"/>
      <c r="EZB11" s="28"/>
      <c r="EZC11" s="28"/>
      <c r="EZD11" s="28"/>
      <c r="EZE11" s="28"/>
      <c r="EZF11" s="28"/>
      <c r="EZG11" s="28"/>
      <c r="EZH11" s="28"/>
      <c r="EZI11" s="28"/>
      <c r="EZJ11" s="28"/>
      <c r="EZK11" s="28"/>
      <c r="EZL11" s="28"/>
      <c r="EZM11" s="28"/>
      <c r="EZN11" s="28"/>
      <c r="EZO11" s="28"/>
      <c r="EZP11" s="28"/>
      <c r="EZQ11" s="28"/>
      <c r="EZR11" s="28"/>
      <c r="EZS11" s="28"/>
      <c r="EZT11" s="28"/>
      <c r="EZU11" s="28"/>
      <c r="EZV11" s="28"/>
      <c r="EZW11" s="28"/>
      <c r="EZX11" s="28"/>
      <c r="EZY11" s="28"/>
      <c r="EZZ11" s="28"/>
      <c r="FAA11" s="28"/>
      <c r="FAB11" s="28"/>
      <c r="FAC11" s="28"/>
      <c r="FAD11" s="28"/>
      <c r="FAE11" s="28"/>
      <c r="FAF11" s="28"/>
      <c r="FAG11" s="28"/>
      <c r="FAH11" s="28"/>
      <c r="FAI11" s="28"/>
      <c r="FAJ11" s="28"/>
      <c r="FAK11" s="28"/>
      <c r="FAL11" s="28"/>
      <c r="FAM11" s="28"/>
      <c r="FAN11" s="28"/>
      <c r="FAO11" s="28"/>
      <c r="FAP11" s="28"/>
      <c r="FAQ11" s="28"/>
      <c r="FAR11" s="28"/>
      <c r="FAS11" s="28"/>
      <c r="FAT11" s="28"/>
      <c r="FAU11" s="28"/>
      <c r="FAV11" s="28"/>
      <c r="FAW11" s="28"/>
      <c r="FAX11" s="28"/>
      <c r="FAY11" s="28"/>
      <c r="FAZ11" s="28"/>
      <c r="FBA11" s="28"/>
      <c r="FBB11" s="28"/>
      <c r="FBC11" s="28"/>
      <c r="FBD11" s="28"/>
      <c r="FBE11" s="28"/>
      <c r="FBF11" s="28"/>
      <c r="FBG11" s="28"/>
      <c r="FBH11" s="28"/>
      <c r="FBI11" s="28"/>
      <c r="FBJ11" s="28"/>
      <c r="FBK11" s="28"/>
      <c r="FBL11" s="28"/>
      <c r="FBM11" s="28"/>
      <c r="FBN11" s="28"/>
      <c r="FBO11" s="28"/>
      <c r="FBP11" s="28"/>
      <c r="FBQ11" s="28"/>
      <c r="FBR11" s="28"/>
      <c r="FBS11" s="28"/>
      <c r="FBT11" s="28"/>
      <c r="FBU11" s="28"/>
      <c r="FBV11" s="28"/>
      <c r="FBW11" s="28"/>
      <c r="FBX11" s="28"/>
      <c r="FBY11" s="28"/>
      <c r="FBZ11" s="28"/>
      <c r="FCA11" s="28"/>
      <c r="FCB11" s="28"/>
      <c r="FCC11" s="28"/>
      <c r="FCD11" s="28"/>
      <c r="FCE11" s="28"/>
      <c r="FCF11" s="28"/>
      <c r="FCG11" s="28"/>
      <c r="FCH11" s="28"/>
      <c r="FCI11" s="28"/>
      <c r="FCJ11" s="28"/>
      <c r="FCK11" s="28"/>
      <c r="FCL11" s="28"/>
      <c r="FCM11" s="28"/>
      <c r="FCN11" s="28"/>
      <c r="FCO11" s="28"/>
      <c r="FCP11" s="28"/>
      <c r="FCQ11" s="28"/>
      <c r="FCR11" s="28"/>
      <c r="FCS11" s="28"/>
      <c r="FCT11" s="28"/>
      <c r="FCU11" s="28"/>
      <c r="FCV11" s="28"/>
      <c r="FCW11" s="28"/>
      <c r="FCX11" s="28"/>
      <c r="FCY11" s="28"/>
      <c r="FCZ11" s="28"/>
      <c r="FDA11" s="28"/>
      <c r="FDB11" s="28"/>
      <c r="FDC11" s="28"/>
      <c r="FDD11" s="28"/>
      <c r="FDE11" s="28"/>
      <c r="FDF11" s="28"/>
      <c r="FDG11" s="28"/>
      <c r="FDH11" s="28"/>
      <c r="FDI11" s="28"/>
      <c r="FDJ11" s="28"/>
      <c r="FDK11" s="28"/>
      <c r="FDL11" s="28"/>
      <c r="FDM11" s="28"/>
      <c r="FDN11" s="28"/>
      <c r="FDO11" s="28"/>
      <c r="FDP11" s="28"/>
      <c r="FDQ11" s="28"/>
      <c r="FDR11" s="28"/>
      <c r="FDS11" s="28"/>
      <c r="FDT11" s="28"/>
      <c r="FDU11" s="28"/>
      <c r="FDV11" s="28"/>
      <c r="FDW11" s="28"/>
      <c r="FDX11" s="28"/>
      <c r="FDY11" s="28"/>
      <c r="FDZ11" s="28"/>
      <c r="FEA11" s="28"/>
      <c r="FEB11" s="28"/>
      <c r="FEC11" s="28"/>
      <c r="FED11" s="28"/>
      <c r="FEE11" s="28"/>
      <c r="FEF11" s="28"/>
      <c r="FEG11" s="28"/>
      <c r="FEH11" s="28"/>
      <c r="FEI11" s="28"/>
      <c r="FEJ11" s="28"/>
      <c r="FEK11" s="28"/>
      <c r="FEL11" s="28"/>
      <c r="FEM11" s="28"/>
      <c r="FEN11" s="28"/>
      <c r="FEO11" s="28"/>
      <c r="FEP11" s="28"/>
      <c r="FEQ11" s="28"/>
      <c r="FER11" s="28"/>
      <c r="FES11" s="28"/>
      <c r="FET11" s="28"/>
      <c r="FEU11" s="28"/>
      <c r="FEV11" s="28"/>
      <c r="FEW11" s="28"/>
      <c r="FEX11" s="28"/>
      <c r="FEY11" s="28"/>
      <c r="FEZ11" s="28"/>
      <c r="FFA11" s="28"/>
      <c r="FFB11" s="28"/>
      <c r="FFC11" s="28"/>
      <c r="FFD11" s="28"/>
      <c r="FFE11" s="28"/>
      <c r="FFF11" s="28"/>
      <c r="FFG11" s="28"/>
      <c r="FFH11" s="28"/>
      <c r="FFI11" s="28"/>
      <c r="FFJ11" s="28"/>
      <c r="FFK11" s="28"/>
      <c r="FFL11" s="28"/>
      <c r="FFM11" s="28"/>
      <c r="FFN11" s="28"/>
      <c r="FFO11" s="28"/>
      <c r="FFP11" s="28"/>
      <c r="FFQ11" s="28"/>
      <c r="FFR11" s="28"/>
      <c r="FFS11" s="28"/>
      <c r="FFT11" s="28"/>
      <c r="FFU11" s="28"/>
      <c r="FFV11" s="28"/>
      <c r="FFW11" s="28"/>
      <c r="FFX11" s="28"/>
      <c r="FFY11" s="28"/>
      <c r="FFZ11" s="28"/>
      <c r="FGA11" s="28"/>
      <c r="FGB11" s="28"/>
      <c r="FGC11" s="28"/>
      <c r="FGD11" s="28"/>
      <c r="FGE11" s="28"/>
      <c r="FGF11" s="28"/>
      <c r="FGG11" s="28"/>
      <c r="FGH11" s="28"/>
      <c r="FGI11" s="28"/>
      <c r="FGJ11" s="28"/>
      <c r="FGK11" s="28"/>
      <c r="FGL11" s="28"/>
      <c r="FGM11" s="28"/>
      <c r="FGN11" s="28"/>
      <c r="FGO11" s="28"/>
      <c r="FGP11" s="28"/>
      <c r="FGQ11" s="28"/>
      <c r="FGR11" s="28"/>
      <c r="FGS11" s="28"/>
      <c r="FGT11" s="28"/>
      <c r="FGU11" s="28"/>
      <c r="FGV11" s="28"/>
      <c r="FGW11" s="28"/>
      <c r="FGX11" s="28"/>
      <c r="FGY11" s="28"/>
      <c r="FGZ11" s="28"/>
      <c r="FHA11" s="28"/>
      <c r="FHB11" s="28"/>
      <c r="FHC11" s="28"/>
      <c r="FHD11" s="28"/>
      <c r="FHE11" s="28"/>
      <c r="FHF11" s="28"/>
      <c r="FHG11" s="28"/>
      <c r="FHH11" s="28"/>
      <c r="FHI11" s="28"/>
      <c r="FHJ11" s="28"/>
      <c r="FHK11" s="28"/>
      <c r="FHL11" s="28"/>
      <c r="FHM11" s="28"/>
      <c r="FHN11" s="28"/>
      <c r="FHO11" s="28"/>
      <c r="FHP11" s="28"/>
      <c r="FHQ11" s="28"/>
      <c r="FHR11" s="28"/>
      <c r="FHS11" s="28"/>
      <c r="FHT11" s="28"/>
      <c r="FHU11" s="28"/>
      <c r="FHV11" s="28"/>
      <c r="FHW11" s="28"/>
      <c r="FHX11" s="28"/>
      <c r="FHY11" s="28"/>
      <c r="FHZ11" s="28"/>
      <c r="FIA11" s="28"/>
      <c r="FIB11" s="28"/>
      <c r="FIC11" s="28"/>
      <c r="FID11" s="28"/>
      <c r="FIE11" s="28"/>
      <c r="FIF11" s="28"/>
      <c r="FIG11" s="28"/>
      <c r="FIH11" s="28"/>
      <c r="FII11" s="28"/>
      <c r="FIJ11" s="28"/>
      <c r="FIK11" s="28"/>
      <c r="FIL11" s="28"/>
      <c r="FIM11" s="28"/>
      <c r="FIN11" s="28"/>
      <c r="FIO11" s="28"/>
      <c r="FIP11" s="28"/>
      <c r="FIQ11" s="28"/>
      <c r="FIR11" s="28"/>
      <c r="FIS11" s="28"/>
      <c r="FIT11" s="28"/>
      <c r="FIU11" s="28"/>
      <c r="FIV11" s="28"/>
      <c r="FIW11" s="28"/>
      <c r="FIX11" s="28"/>
      <c r="FIY11" s="28"/>
      <c r="FIZ11" s="28"/>
      <c r="FJA11" s="28"/>
      <c r="FJB11" s="28"/>
      <c r="FJC11" s="28"/>
      <c r="FJD11" s="28"/>
      <c r="FJE11" s="28"/>
      <c r="FJF11" s="28"/>
      <c r="FJG11" s="28"/>
      <c r="FJH11" s="28"/>
      <c r="FJI11" s="28"/>
      <c r="FJJ11" s="28"/>
      <c r="FJK11" s="28"/>
      <c r="FJL11" s="28"/>
      <c r="FJM11" s="28"/>
      <c r="FJN11" s="28"/>
      <c r="FJO11" s="28"/>
      <c r="FJP11" s="28"/>
      <c r="FJQ11" s="28"/>
      <c r="FJR11" s="28"/>
      <c r="FJS11" s="28"/>
      <c r="FJT11" s="28"/>
      <c r="FJU11" s="28"/>
      <c r="FJV11" s="28"/>
      <c r="FJW11" s="28"/>
      <c r="FJX11" s="28"/>
      <c r="FJY11" s="28"/>
      <c r="FJZ11" s="28"/>
      <c r="FKA11" s="28"/>
      <c r="FKB11" s="28"/>
      <c r="FKC11" s="28"/>
      <c r="FKD11" s="28"/>
      <c r="FKE11" s="28"/>
      <c r="FKF11" s="28"/>
      <c r="FKG11" s="28"/>
      <c r="FKH11" s="28"/>
      <c r="FKI11" s="28"/>
      <c r="FKJ11" s="28"/>
      <c r="FKK11" s="28"/>
      <c r="FKL11" s="28"/>
      <c r="FKM11" s="28"/>
      <c r="FKN11" s="28"/>
      <c r="FKO11" s="28"/>
      <c r="FKP11" s="28"/>
      <c r="FKQ11" s="28"/>
      <c r="FKR11" s="28"/>
      <c r="FKS11" s="28"/>
      <c r="FKT11" s="28"/>
      <c r="FKU11" s="28"/>
      <c r="FKV11" s="28"/>
      <c r="FKW11" s="28"/>
      <c r="FKX11" s="28"/>
      <c r="FKY11" s="28"/>
      <c r="FKZ11" s="28"/>
      <c r="FLA11" s="28"/>
      <c r="FLB11" s="28"/>
      <c r="FLC11" s="28"/>
      <c r="FLD11" s="28"/>
      <c r="FLE11" s="28"/>
      <c r="FLF11" s="28"/>
      <c r="FLG11" s="28"/>
      <c r="FLH11" s="28"/>
      <c r="FLI11" s="28"/>
      <c r="FLJ11" s="28"/>
      <c r="FLK11" s="28"/>
      <c r="FLL11" s="28"/>
      <c r="FLM11" s="28"/>
      <c r="FLN11" s="28"/>
      <c r="FLO11" s="28"/>
      <c r="FLP11" s="28"/>
      <c r="FLQ11" s="28"/>
      <c r="FLR11" s="28"/>
      <c r="FLS11" s="28"/>
      <c r="FLT11" s="28"/>
      <c r="FLU11" s="28"/>
      <c r="FLV11" s="28"/>
      <c r="FLW11" s="28"/>
      <c r="FLX11" s="28"/>
      <c r="FLY11" s="28"/>
      <c r="FLZ11" s="28"/>
      <c r="FMA11" s="28"/>
      <c r="FMB11" s="28"/>
      <c r="FMC11" s="28"/>
      <c r="FMD11" s="28"/>
      <c r="FME11" s="28"/>
      <c r="FMF11" s="28"/>
      <c r="FMG11" s="28"/>
      <c r="FMH11" s="28"/>
      <c r="FMI11" s="28"/>
      <c r="FMJ11" s="28"/>
      <c r="FMK11" s="28"/>
      <c r="FML11" s="28"/>
      <c r="FMM11" s="28"/>
      <c r="FMN11" s="28"/>
      <c r="FMO11" s="28"/>
      <c r="FMP11" s="28"/>
      <c r="FMQ11" s="28"/>
      <c r="FMR11" s="28"/>
      <c r="FMS11" s="28"/>
      <c r="FMT11" s="28"/>
      <c r="FMU11" s="28"/>
      <c r="FMV11" s="28"/>
      <c r="FMW11" s="28"/>
      <c r="FMX11" s="28"/>
      <c r="FMY11" s="28"/>
      <c r="FMZ11" s="28"/>
      <c r="FNA11" s="28"/>
      <c r="FNB11" s="28"/>
      <c r="FNC11" s="28"/>
      <c r="FND11" s="28"/>
      <c r="FNE11" s="28"/>
      <c r="FNF11" s="28"/>
      <c r="FNG11" s="28"/>
      <c r="FNH11" s="28"/>
      <c r="FNI11" s="28"/>
      <c r="FNJ11" s="28"/>
      <c r="FNK11" s="28"/>
      <c r="FNL11" s="28"/>
      <c r="FNM11" s="28"/>
      <c r="FNN11" s="28"/>
      <c r="FNO11" s="28"/>
      <c r="FNP11" s="28"/>
      <c r="FNQ11" s="28"/>
      <c r="FNR11" s="28"/>
      <c r="FNS11" s="28"/>
      <c r="FNT11" s="28"/>
      <c r="FNU11" s="28"/>
      <c r="FNV11" s="28"/>
      <c r="FNW11" s="28"/>
      <c r="FNX11" s="28"/>
      <c r="FNY11" s="28"/>
      <c r="FNZ11" s="28"/>
      <c r="FOA11" s="28"/>
      <c r="FOB11" s="28"/>
      <c r="FOC11" s="28"/>
      <c r="FOD11" s="28"/>
      <c r="FOE11" s="28"/>
      <c r="FOF11" s="28"/>
      <c r="FOG11" s="28"/>
      <c r="FOH11" s="28"/>
      <c r="FOI11" s="28"/>
      <c r="FOJ11" s="28"/>
      <c r="FOK11" s="28"/>
      <c r="FOL11" s="28"/>
      <c r="FOM11" s="28"/>
      <c r="FON11" s="28"/>
      <c r="FOO11" s="28"/>
      <c r="FOP11" s="28"/>
      <c r="FOQ11" s="28"/>
      <c r="FOR11" s="28"/>
      <c r="FOS11" s="28"/>
      <c r="FOT11" s="28"/>
      <c r="FOU11" s="28"/>
      <c r="FOV11" s="28"/>
      <c r="FOW11" s="28"/>
      <c r="FOX11" s="28"/>
      <c r="FOY11" s="28"/>
      <c r="FOZ11" s="28"/>
      <c r="FPA11" s="28"/>
      <c r="FPB11" s="28"/>
      <c r="FPC11" s="28"/>
      <c r="FPD11" s="28"/>
      <c r="FPE11" s="28"/>
      <c r="FPF11" s="28"/>
      <c r="FPG11" s="28"/>
      <c r="FPH11" s="28"/>
      <c r="FPI11" s="28"/>
      <c r="FPJ11" s="28"/>
      <c r="FPK11" s="28"/>
      <c r="FPL11" s="28"/>
      <c r="FPM11" s="28"/>
      <c r="FPN11" s="28"/>
      <c r="FPO11" s="28"/>
      <c r="FPP11" s="28"/>
      <c r="FPQ11" s="28"/>
      <c r="FPR11" s="28"/>
      <c r="FPS11" s="28"/>
      <c r="FPT11" s="28"/>
      <c r="FPU11" s="28"/>
      <c r="FPV11" s="28"/>
      <c r="FPW11" s="28"/>
      <c r="FPX11" s="28"/>
      <c r="FPY11" s="28"/>
      <c r="FPZ11" s="28"/>
      <c r="FQA11" s="28"/>
      <c r="FQB11" s="28"/>
      <c r="FQC11" s="28"/>
      <c r="FQD11" s="28"/>
      <c r="FQE11" s="28"/>
      <c r="FQF11" s="28"/>
      <c r="FQG11" s="28"/>
      <c r="FQH11" s="28"/>
      <c r="FQI11" s="28"/>
      <c r="FQJ11" s="28"/>
      <c r="FQK11" s="28"/>
      <c r="FQL11" s="28"/>
      <c r="FQM11" s="28"/>
      <c r="FQN11" s="28"/>
      <c r="FQO11" s="28"/>
      <c r="FQP11" s="28"/>
      <c r="FQQ11" s="28"/>
      <c r="FQR11" s="28"/>
      <c r="FQS11" s="28"/>
      <c r="FQT11" s="28"/>
      <c r="FQU11" s="28"/>
      <c r="FQV11" s="28"/>
      <c r="FQW11" s="28"/>
      <c r="FQX11" s="28"/>
      <c r="FQY11" s="28"/>
      <c r="FQZ11" s="28"/>
      <c r="FRA11" s="28"/>
      <c r="FRB11" s="28"/>
      <c r="FRC11" s="28"/>
      <c r="FRD11" s="28"/>
      <c r="FRE11" s="28"/>
      <c r="FRF11" s="28"/>
      <c r="FRG11" s="28"/>
      <c r="FRH11" s="28"/>
      <c r="FRI11" s="28"/>
      <c r="FRJ11" s="28"/>
      <c r="FRK11" s="28"/>
      <c r="FRL11" s="28"/>
      <c r="FRM11" s="28"/>
      <c r="FRN11" s="28"/>
      <c r="FRO11" s="28"/>
      <c r="FRP11" s="28"/>
      <c r="FRQ11" s="28"/>
      <c r="FRR11" s="28"/>
      <c r="FRS11" s="28"/>
      <c r="FRT11" s="28"/>
      <c r="FRU11" s="28"/>
      <c r="FRV11" s="28"/>
      <c r="FRW11" s="28"/>
      <c r="FRX11" s="28"/>
      <c r="FRY11" s="28"/>
      <c r="FRZ11" s="28"/>
      <c r="FSA11" s="28"/>
      <c r="FSB11" s="28"/>
      <c r="FSC11" s="28"/>
      <c r="FSD11" s="28"/>
      <c r="FSE11" s="28"/>
      <c r="FSF11" s="28"/>
      <c r="FSG11" s="28"/>
      <c r="FSH11" s="28"/>
      <c r="FSI11" s="28"/>
      <c r="FSJ11" s="28"/>
      <c r="FSK11" s="28"/>
      <c r="FSL11" s="28"/>
      <c r="FSM11" s="28"/>
      <c r="FSN11" s="28"/>
      <c r="FSO11" s="28"/>
      <c r="FSP11" s="28"/>
      <c r="FSQ11" s="28"/>
      <c r="FSR11" s="28"/>
      <c r="FSS11" s="28"/>
      <c r="FST11" s="28"/>
      <c r="FSU11" s="28"/>
      <c r="FSV11" s="28"/>
      <c r="FSW11" s="28"/>
      <c r="FSX11" s="28"/>
      <c r="FSY11" s="28"/>
      <c r="FSZ11" s="28"/>
      <c r="FTA11" s="28"/>
      <c r="FTB11" s="28"/>
      <c r="FTC11" s="28"/>
      <c r="FTD11" s="28"/>
      <c r="FTE11" s="28"/>
      <c r="FTF11" s="28"/>
      <c r="FTG11" s="28"/>
      <c r="FTH11" s="28"/>
      <c r="FTI11" s="28"/>
      <c r="FTJ11" s="28"/>
      <c r="FTK11" s="28"/>
      <c r="FTL11" s="28"/>
      <c r="FTM11" s="28"/>
      <c r="FTN11" s="28"/>
      <c r="FTO11" s="28"/>
      <c r="FTP11" s="28"/>
      <c r="FTQ11" s="28"/>
      <c r="FTR11" s="28"/>
      <c r="FTS11" s="28"/>
      <c r="FTT11" s="28"/>
      <c r="FTU11" s="28"/>
      <c r="FTV11" s="28"/>
      <c r="FTW11" s="28"/>
      <c r="FTX11" s="28"/>
      <c r="FTY11" s="28"/>
      <c r="FTZ11" s="28"/>
      <c r="FUA11" s="28"/>
      <c r="FUB11" s="28"/>
      <c r="FUC11" s="28"/>
      <c r="FUD11" s="28"/>
      <c r="FUE11" s="28"/>
      <c r="FUF11" s="28"/>
      <c r="FUG11" s="28"/>
      <c r="FUH11" s="28"/>
      <c r="FUI11" s="28"/>
      <c r="FUJ11" s="28"/>
      <c r="FUK11" s="28"/>
      <c r="FUL11" s="28"/>
      <c r="FUM11" s="28"/>
      <c r="FUN11" s="28"/>
      <c r="FUO11" s="28"/>
      <c r="FUP11" s="28"/>
      <c r="FUQ11" s="28"/>
      <c r="FUR11" s="28"/>
      <c r="FUS11" s="28"/>
      <c r="FUT11" s="28"/>
      <c r="FUU11" s="28"/>
      <c r="FUV11" s="28"/>
      <c r="FUW11" s="28"/>
      <c r="FUX11" s="28"/>
      <c r="FUY11" s="28"/>
      <c r="FUZ11" s="28"/>
      <c r="FVA11" s="28"/>
      <c r="FVB11" s="28"/>
      <c r="FVC11" s="28"/>
      <c r="FVD11" s="28"/>
      <c r="FVE11" s="28"/>
      <c r="FVF11" s="28"/>
      <c r="FVG11" s="28"/>
      <c r="FVH11" s="28"/>
      <c r="FVI11" s="28"/>
      <c r="FVJ11" s="28"/>
      <c r="FVK11" s="28"/>
      <c r="FVL11" s="28"/>
      <c r="FVM11" s="28"/>
      <c r="FVN11" s="28"/>
      <c r="FVO11" s="28"/>
      <c r="FVP11" s="28"/>
      <c r="FVQ11" s="28"/>
      <c r="FVR11" s="28"/>
      <c r="FVS11" s="28"/>
      <c r="FVT11" s="28"/>
      <c r="FVU11" s="28"/>
      <c r="FVV11" s="28"/>
      <c r="FVW11" s="28"/>
      <c r="FVX11" s="28"/>
      <c r="FVY11" s="28"/>
      <c r="FVZ11" s="28"/>
      <c r="FWA11" s="28"/>
      <c r="FWB11" s="28"/>
      <c r="FWC11" s="28"/>
      <c r="FWD11" s="28"/>
      <c r="FWE11" s="28"/>
      <c r="FWF11" s="28"/>
      <c r="FWG11" s="28"/>
      <c r="FWH11" s="28"/>
      <c r="FWI11" s="28"/>
      <c r="FWJ11" s="28"/>
      <c r="FWK11" s="28"/>
      <c r="FWL11" s="28"/>
      <c r="FWM11" s="28"/>
      <c r="FWN11" s="28"/>
      <c r="FWO11" s="28"/>
      <c r="FWP11" s="28"/>
      <c r="FWQ11" s="28"/>
      <c r="FWR11" s="28"/>
      <c r="FWS11" s="28"/>
      <c r="FWT11" s="28"/>
      <c r="FWU11" s="28"/>
      <c r="FWV11" s="28"/>
      <c r="FWW11" s="28"/>
      <c r="FWX11" s="28"/>
      <c r="FWY11" s="28"/>
      <c r="FWZ11" s="28"/>
      <c r="FXA11" s="28"/>
      <c r="FXB11" s="28"/>
      <c r="FXC11" s="28"/>
      <c r="FXD11" s="28"/>
      <c r="FXE11" s="28"/>
      <c r="FXF11" s="28"/>
      <c r="FXG11" s="28"/>
      <c r="FXH11" s="28"/>
      <c r="FXI11" s="28"/>
      <c r="FXJ11" s="28"/>
      <c r="FXK11" s="28"/>
      <c r="FXL11" s="28"/>
      <c r="FXM11" s="28"/>
      <c r="FXN11" s="28"/>
      <c r="FXO11" s="28"/>
      <c r="FXP11" s="28"/>
      <c r="FXQ11" s="28"/>
      <c r="FXR11" s="28"/>
      <c r="FXS11" s="28"/>
      <c r="FXT11" s="28"/>
      <c r="FXU11" s="28"/>
      <c r="FXV11" s="28"/>
      <c r="FXW11" s="28"/>
      <c r="FXX11" s="28"/>
      <c r="FXY11" s="28"/>
      <c r="FXZ11" s="28"/>
      <c r="FYA11" s="28"/>
      <c r="FYB11" s="28"/>
      <c r="FYC11" s="28"/>
      <c r="FYD11" s="28"/>
      <c r="FYE11" s="28"/>
      <c r="FYF11" s="28"/>
      <c r="FYG11" s="28"/>
      <c r="FYH11" s="28"/>
      <c r="FYI11" s="28"/>
      <c r="FYJ11" s="28"/>
      <c r="FYK11" s="28"/>
      <c r="FYL11" s="28"/>
      <c r="FYM11" s="28"/>
      <c r="FYN11" s="28"/>
      <c r="FYO11" s="28"/>
      <c r="FYP11" s="28"/>
      <c r="FYQ11" s="28"/>
      <c r="FYR11" s="28"/>
      <c r="FYS11" s="28"/>
      <c r="FYT11" s="28"/>
      <c r="FYU11" s="28"/>
      <c r="FYV11" s="28"/>
      <c r="FYW11" s="28"/>
      <c r="FYX11" s="28"/>
      <c r="FYY11" s="28"/>
      <c r="FYZ11" s="28"/>
      <c r="FZA11" s="28"/>
      <c r="FZB11" s="28"/>
      <c r="FZC11" s="28"/>
      <c r="FZD11" s="28"/>
      <c r="FZE11" s="28"/>
      <c r="FZF11" s="28"/>
      <c r="FZG11" s="28"/>
      <c r="FZH11" s="28"/>
      <c r="FZI11" s="28"/>
      <c r="FZJ11" s="28"/>
      <c r="FZK11" s="28"/>
      <c r="FZL11" s="28"/>
      <c r="FZM11" s="28"/>
      <c r="FZN11" s="28"/>
      <c r="FZO11" s="28"/>
      <c r="FZP11" s="28"/>
      <c r="FZQ11" s="28"/>
      <c r="FZR11" s="28"/>
      <c r="FZS11" s="28"/>
      <c r="FZT11" s="28"/>
      <c r="FZU11" s="28"/>
      <c r="FZV11" s="28"/>
      <c r="FZW11" s="28"/>
      <c r="FZX11" s="28"/>
      <c r="FZY11" s="28"/>
      <c r="FZZ11" s="28"/>
      <c r="GAA11" s="28"/>
      <c r="GAB11" s="28"/>
      <c r="GAC11" s="28"/>
      <c r="GAD11" s="28"/>
      <c r="GAE11" s="28"/>
      <c r="GAF11" s="28"/>
      <c r="GAG11" s="28"/>
      <c r="GAH11" s="28"/>
      <c r="GAI11" s="28"/>
      <c r="GAJ11" s="28"/>
      <c r="GAK11" s="28"/>
      <c r="GAL11" s="28"/>
      <c r="GAM11" s="28"/>
      <c r="GAN11" s="28"/>
      <c r="GAO11" s="28"/>
      <c r="GAP11" s="28"/>
      <c r="GAQ11" s="28"/>
      <c r="GAR11" s="28"/>
      <c r="GAS11" s="28"/>
      <c r="GAT11" s="28"/>
      <c r="GAU11" s="28"/>
      <c r="GAV11" s="28"/>
      <c r="GAW11" s="28"/>
      <c r="GAX11" s="28"/>
      <c r="GAY11" s="28"/>
      <c r="GAZ11" s="28"/>
      <c r="GBA11" s="28"/>
      <c r="GBB11" s="28"/>
      <c r="GBC11" s="28"/>
      <c r="GBD11" s="28"/>
      <c r="GBE11" s="28"/>
      <c r="GBF11" s="28"/>
      <c r="GBG11" s="28"/>
      <c r="GBH11" s="28"/>
      <c r="GBI11" s="28"/>
      <c r="GBJ11" s="28"/>
      <c r="GBK11" s="28"/>
      <c r="GBL11" s="28"/>
      <c r="GBM11" s="28"/>
      <c r="GBN11" s="28"/>
      <c r="GBO11" s="28"/>
      <c r="GBP11" s="28"/>
      <c r="GBQ11" s="28"/>
      <c r="GBR11" s="28"/>
      <c r="GBS11" s="28"/>
      <c r="GBT11" s="28"/>
      <c r="GBU11" s="28"/>
      <c r="GBV11" s="28"/>
      <c r="GBW11" s="28"/>
      <c r="GBX11" s="28"/>
      <c r="GBY11" s="28"/>
      <c r="GBZ11" s="28"/>
      <c r="GCA11" s="28"/>
      <c r="GCB11" s="28"/>
      <c r="GCC11" s="28"/>
      <c r="GCD11" s="28"/>
      <c r="GCE11" s="28"/>
      <c r="GCF11" s="28"/>
      <c r="GCG11" s="28"/>
      <c r="GCH11" s="28"/>
      <c r="GCI11" s="28"/>
      <c r="GCJ11" s="28"/>
      <c r="GCK11" s="28"/>
      <c r="GCL11" s="28"/>
      <c r="GCM11" s="28"/>
      <c r="GCN11" s="28"/>
      <c r="GCO11" s="28"/>
      <c r="GCP11" s="28"/>
      <c r="GCQ11" s="28"/>
      <c r="GCR11" s="28"/>
      <c r="GCS11" s="28"/>
      <c r="GCT11" s="28"/>
      <c r="GCU11" s="28"/>
      <c r="GCV11" s="28"/>
      <c r="GCW11" s="28"/>
      <c r="GCX11" s="28"/>
      <c r="GCY11" s="28"/>
      <c r="GCZ11" s="28"/>
      <c r="GDA11" s="28"/>
      <c r="GDB11" s="28"/>
      <c r="GDC11" s="28"/>
      <c r="GDD11" s="28"/>
      <c r="GDE11" s="28"/>
      <c r="GDF11" s="28"/>
      <c r="GDG11" s="28"/>
      <c r="GDH11" s="28"/>
      <c r="GDI11" s="28"/>
      <c r="GDJ11" s="28"/>
      <c r="GDK11" s="28"/>
      <c r="GDL11" s="28"/>
      <c r="GDM11" s="28"/>
      <c r="GDN11" s="28"/>
      <c r="GDO11" s="28"/>
      <c r="GDP11" s="28"/>
      <c r="GDQ11" s="28"/>
      <c r="GDR11" s="28"/>
      <c r="GDS11" s="28"/>
      <c r="GDT11" s="28"/>
      <c r="GDU11" s="28"/>
      <c r="GDV11" s="28"/>
      <c r="GDW11" s="28"/>
      <c r="GDX11" s="28"/>
      <c r="GDY11" s="28"/>
      <c r="GDZ11" s="28"/>
      <c r="GEA11" s="28"/>
      <c r="GEB11" s="28"/>
      <c r="GEC11" s="28"/>
      <c r="GED11" s="28"/>
      <c r="GEE11" s="28"/>
      <c r="GEF11" s="28"/>
      <c r="GEG11" s="28"/>
      <c r="GEH11" s="28"/>
      <c r="GEI11" s="28"/>
      <c r="GEJ11" s="28"/>
      <c r="GEK11" s="28"/>
      <c r="GEL11" s="28"/>
      <c r="GEM11" s="28"/>
      <c r="GEN11" s="28"/>
      <c r="GEO11" s="28"/>
      <c r="GEP11" s="28"/>
      <c r="GEQ11" s="28"/>
      <c r="GER11" s="28"/>
      <c r="GES11" s="28"/>
      <c r="GET11" s="28"/>
      <c r="GEU11" s="28"/>
      <c r="GEV11" s="28"/>
      <c r="GEW11" s="28"/>
      <c r="GEX11" s="28"/>
      <c r="GEY11" s="28"/>
      <c r="GEZ11" s="28"/>
      <c r="GFA11" s="28"/>
      <c r="GFB11" s="28"/>
      <c r="GFC11" s="28"/>
      <c r="GFD11" s="28"/>
      <c r="GFE11" s="28"/>
      <c r="GFF11" s="28"/>
      <c r="GFG11" s="28"/>
      <c r="GFH11" s="28"/>
      <c r="GFI11" s="28"/>
      <c r="GFJ11" s="28"/>
      <c r="GFK11" s="28"/>
      <c r="GFL11" s="28"/>
      <c r="GFM11" s="28"/>
      <c r="GFN11" s="28"/>
      <c r="GFO11" s="28"/>
      <c r="GFP11" s="28"/>
      <c r="GFQ11" s="28"/>
      <c r="GFR11" s="28"/>
      <c r="GFS11" s="28"/>
      <c r="GFT11" s="28"/>
      <c r="GFU11" s="28"/>
      <c r="GFV11" s="28"/>
      <c r="GFW11" s="28"/>
      <c r="GFX11" s="28"/>
      <c r="GFY11" s="28"/>
      <c r="GFZ11" s="28"/>
      <c r="GGA11" s="28"/>
      <c r="GGB11" s="28"/>
      <c r="GGC11" s="28"/>
      <c r="GGD11" s="28"/>
      <c r="GGE11" s="28"/>
      <c r="GGF11" s="28"/>
      <c r="GGG11" s="28"/>
      <c r="GGH11" s="28"/>
      <c r="GGI11" s="28"/>
      <c r="GGJ11" s="28"/>
      <c r="GGK11" s="28"/>
      <c r="GGL11" s="28"/>
      <c r="GGM11" s="28"/>
      <c r="GGN11" s="28"/>
      <c r="GGO11" s="28"/>
      <c r="GGP11" s="28"/>
      <c r="GGQ11" s="28"/>
      <c r="GGR11" s="28"/>
      <c r="GGS11" s="28"/>
      <c r="GGT11" s="28"/>
      <c r="GGU11" s="28"/>
      <c r="GGV11" s="28"/>
      <c r="GGW11" s="28"/>
      <c r="GGX11" s="28"/>
      <c r="GGY11" s="28"/>
      <c r="GGZ11" s="28"/>
      <c r="GHA11" s="28"/>
      <c r="GHB11" s="28"/>
      <c r="GHC11" s="28"/>
      <c r="GHD11" s="28"/>
      <c r="GHE11" s="28"/>
      <c r="GHF11" s="28"/>
      <c r="GHG11" s="28"/>
      <c r="GHH11" s="28"/>
      <c r="GHI11" s="28"/>
      <c r="GHJ11" s="28"/>
      <c r="GHK11" s="28"/>
      <c r="GHL11" s="28"/>
      <c r="GHM11" s="28"/>
      <c r="GHN11" s="28"/>
      <c r="GHO11" s="28"/>
      <c r="GHP11" s="28"/>
      <c r="GHQ11" s="28"/>
      <c r="GHR11" s="28"/>
      <c r="GHS11" s="28"/>
      <c r="GHT11" s="28"/>
      <c r="GHU11" s="28"/>
      <c r="GHV11" s="28"/>
      <c r="GHW11" s="28"/>
      <c r="GHX11" s="28"/>
      <c r="GHY11" s="28"/>
      <c r="GHZ11" s="28"/>
      <c r="GIA11" s="28"/>
      <c r="GIB11" s="28"/>
      <c r="GIC11" s="28"/>
      <c r="GID11" s="28"/>
      <c r="GIE11" s="28"/>
      <c r="GIF11" s="28"/>
      <c r="GIG11" s="28"/>
      <c r="GIH11" s="28"/>
      <c r="GII11" s="28"/>
      <c r="GIJ11" s="28"/>
      <c r="GIK11" s="28"/>
      <c r="GIL11" s="28"/>
      <c r="GIM11" s="28"/>
      <c r="GIN11" s="28"/>
      <c r="GIO11" s="28"/>
      <c r="GIP11" s="28"/>
      <c r="GIQ11" s="28"/>
      <c r="GIR11" s="28"/>
      <c r="GIS11" s="28"/>
      <c r="GIT11" s="28"/>
      <c r="GIU11" s="28"/>
      <c r="GIV11" s="28"/>
      <c r="GIW11" s="28"/>
      <c r="GIX11" s="28"/>
      <c r="GIY11" s="28"/>
      <c r="GIZ11" s="28"/>
      <c r="GJA11" s="28"/>
      <c r="GJB11" s="28"/>
      <c r="GJC11" s="28"/>
      <c r="GJD11" s="28"/>
      <c r="GJE11" s="28"/>
      <c r="GJF11" s="28"/>
      <c r="GJG11" s="28"/>
      <c r="GJH11" s="28"/>
      <c r="GJI11" s="28"/>
      <c r="GJJ11" s="28"/>
      <c r="GJK11" s="28"/>
      <c r="GJL11" s="28"/>
      <c r="GJM11" s="28"/>
      <c r="GJN11" s="28"/>
      <c r="GJO11" s="28"/>
      <c r="GJP11" s="28"/>
      <c r="GJQ11" s="28"/>
      <c r="GJR11" s="28"/>
      <c r="GJS11" s="28"/>
      <c r="GJT11" s="28"/>
      <c r="GJU11" s="28"/>
      <c r="GJV11" s="28"/>
      <c r="GJW11" s="28"/>
      <c r="GJX11" s="28"/>
      <c r="GJY11" s="28"/>
      <c r="GJZ11" s="28"/>
      <c r="GKA11" s="28"/>
      <c r="GKB11" s="28"/>
      <c r="GKC11" s="28"/>
      <c r="GKD11" s="28"/>
      <c r="GKE11" s="28"/>
      <c r="GKF11" s="28"/>
      <c r="GKG11" s="28"/>
      <c r="GKH11" s="28"/>
      <c r="GKI11" s="28"/>
      <c r="GKJ11" s="28"/>
      <c r="GKK11" s="28"/>
      <c r="GKL11" s="28"/>
      <c r="GKM11" s="28"/>
      <c r="GKN11" s="28"/>
      <c r="GKO11" s="28"/>
      <c r="GKP11" s="28"/>
      <c r="GKQ11" s="28"/>
      <c r="GKR11" s="28"/>
      <c r="GKS11" s="28"/>
      <c r="GKT11" s="28"/>
      <c r="GKU11" s="28"/>
      <c r="GKV11" s="28"/>
      <c r="GKW11" s="28"/>
      <c r="GKX11" s="28"/>
      <c r="GKY11" s="28"/>
      <c r="GKZ11" s="28"/>
      <c r="GLA11" s="28"/>
      <c r="GLB11" s="28"/>
      <c r="GLC11" s="28"/>
      <c r="GLD11" s="28"/>
      <c r="GLE11" s="28"/>
      <c r="GLF11" s="28"/>
      <c r="GLG11" s="28"/>
      <c r="GLH11" s="28"/>
      <c r="GLI11" s="28"/>
      <c r="GLJ11" s="28"/>
      <c r="GLK11" s="28"/>
      <c r="GLL11" s="28"/>
      <c r="GLM11" s="28"/>
      <c r="GLN11" s="28"/>
      <c r="GLO11" s="28"/>
      <c r="GLP11" s="28"/>
      <c r="GLQ11" s="28"/>
      <c r="GLR11" s="28"/>
      <c r="GLS11" s="28"/>
      <c r="GLT11" s="28"/>
      <c r="GLU11" s="28"/>
      <c r="GLV11" s="28"/>
      <c r="GLW11" s="28"/>
      <c r="GLX11" s="28"/>
      <c r="GLY11" s="28"/>
      <c r="GLZ11" s="28"/>
      <c r="GMA11" s="28"/>
      <c r="GMB11" s="28"/>
      <c r="GMC11" s="28"/>
      <c r="GMD11" s="28"/>
      <c r="GME11" s="28"/>
      <c r="GMF11" s="28"/>
      <c r="GMG11" s="28"/>
      <c r="GMH11" s="28"/>
      <c r="GMI11" s="28"/>
      <c r="GMJ11" s="28"/>
      <c r="GMK11" s="28"/>
      <c r="GML11" s="28"/>
      <c r="GMM11" s="28"/>
      <c r="GMN11" s="28"/>
      <c r="GMO11" s="28"/>
      <c r="GMP11" s="28"/>
      <c r="GMQ11" s="28"/>
      <c r="GMR11" s="28"/>
      <c r="GMS11" s="28"/>
      <c r="GMT11" s="28"/>
      <c r="GMU11" s="28"/>
      <c r="GMV11" s="28"/>
      <c r="GMW11" s="28"/>
      <c r="GMX11" s="28"/>
      <c r="GMY11" s="28"/>
      <c r="GMZ11" s="28"/>
      <c r="GNA11" s="28"/>
      <c r="GNB11" s="28"/>
      <c r="GNC11" s="28"/>
      <c r="GND11" s="28"/>
      <c r="GNE11" s="28"/>
      <c r="GNF11" s="28"/>
      <c r="GNG11" s="28"/>
      <c r="GNH11" s="28"/>
      <c r="GNI11" s="28"/>
      <c r="GNJ11" s="28"/>
      <c r="GNK11" s="28"/>
      <c r="GNL11" s="28"/>
      <c r="GNM11" s="28"/>
      <c r="GNN11" s="28"/>
      <c r="GNO11" s="28"/>
      <c r="GNP11" s="28"/>
      <c r="GNQ11" s="28"/>
      <c r="GNR11" s="28"/>
      <c r="GNS11" s="28"/>
      <c r="GNT11" s="28"/>
      <c r="GNU11" s="28"/>
      <c r="GNV11" s="28"/>
      <c r="GNW11" s="28"/>
      <c r="GNX11" s="28"/>
      <c r="GNY11" s="28"/>
      <c r="GNZ11" s="28"/>
      <c r="GOA11" s="28"/>
      <c r="GOB11" s="28"/>
      <c r="GOC11" s="28"/>
      <c r="GOD11" s="28"/>
      <c r="GOE11" s="28"/>
      <c r="GOF11" s="28"/>
      <c r="GOG11" s="28"/>
      <c r="GOH11" s="28"/>
      <c r="GOI11" s="28"/>
      <c r="GOJ11" s="28"/>
      <c r="GOK11" s="28"/>
      <c r="GOL11" s="28"/>
      <c r="GOM11" s="28"/>
      <c r="GON11" s="28"/>
      <c r="GOO11" s="28"/>
      <c r="GOP11" s="28"/>
      <c r="GOQ11" s="28"/>
      <c r="GOR11" s="28"/>
      <c r="GOS11" s="28"/>
      <c r="GOT11" s="28"/>
      <c r="GOU11" s="28"/>
      <c r="GOV11" s="28"/>
      <c r="GOW11" s="28"/>
      <c r="GOX11" s="28"/>
      <c r="GOY11" s="28"/>
      <c r="GOZ11" s="28"/>
      <c r="GPA11" s="28"/>
      <c r="GPB11" s="28"/>
      <c r="GPC11" s="28"/>
      <c r="GPD11" s="28"/>
      <c r="GPE11" s="28"/>
      <c r="GPF11" s="28"/>
      <c r="GPG11" s="28"/>
      <c r="GPH11" s="28"/>
      <c r="GPI11" s="28"/>
      <c r="GPJ11" s="28"/>
      <c r="GPK11" s="28"/>
      <c r="GPL11" s="28"/>
      <c r="GPM11" s="28"/>
      <c r="GPN11" s="28"/>
      <c r="GPO11" s="28"/>
      <c r="GPP11" s="28"/>
      <c r="GPQ11" s="28"/>
      <c r="GPR11" s="28"/>
      <c r="GPS11" s="28"/>
      <c r="GPT11" s="28"/>
      <c r="GPU11" s="28"/>
      <c r="GPV11" s="28"/>
      <c r="GPW11" s="28"/>
      <c r="GPX11" s="28"/>
      <c r="GPY11" s="28"/>
      <c r="GPZ11" s="28"/>
      <c r="GQA11" s="28"/>
      <c r="GQB11" s="28"/>
      <c r="GQC11" s="28"/>
      <c r="GQD11" s="28"/>
      <c r="GQE11" s="28"/>
      <c r="GQF11" s="28"/>
      <c r="GQG11" s="28"/>
      <c r="GQH11" s="28"/>
      <c r="GQI11" s="28"/>
      <c r="GQJ11" s="28"/>
      <c r="GQK11" s="28"/>
      <c r="GQL11" s="28"/>
      <c r="GQM11" s="28"/>
      <c r="GQN11" s="28"/>
      <c r="GQO11" s="28"/>
      <c r="GQP11" s="28"/>
      <c r="GQQ11" s="28"/>
      <c r="GQR11" s="28"/>
      <c r="GQS11" s="28"/>
      <c r="GQT11" s="28"/>
      <c r="GQU11" s="28"/>
      <c r="GQV11" s="28"/>
      <c r="GQW11" s="28"/>
      <c r="GQX11" s="28"/>
      <c r="GQY11" s="28"/>
      <c r="GQZ11" s="28"/>
      <c r="GRA11" s="28"/>
      <c r="GRB11" s="28"/>
      <c r="GRC11" s="28"/>
      <c r="GRD11" s="28"/>
      <c r="GRE11" s="28"/>
      <c r="GRF11" s="28"/>
      <c r="GRG11" s="28"/>
      <c r="GRH11" s="28"/>
      <c r="GRI11" s="28"/>
      <c r="GRJ11" s="28"/>
      <c r="GRK11" s="28"/>
      <c r="GRL11" s="28"/>
      <c r="GRM11" s="28"/>
      <c r="GRN11" s="28"/>
      <c r="GRO11" s="28"/>
      <c r="GRP11" s="28"/>
      <c r="GRQ11" s="28"/>
      <c r="GRR11" s="28"/>
      <c r="GRS11" s="28"/>
      <c r="GRT11" s="28"/>
      <c r="GRU11" s="28"/>
      <c r="GRV11" s="28"/>
      <c r="GRW11" s="28"/>
      <c r="GRX11" s="28"/>
      <c r="GRY11" s="28"/>
      <c r="GRZ11" s="28"/>
      <c r="GSA11" s="28"/>
      <c r="GSB11" s="28"/>
      <c r="GSC11" s="28"/>
      <c r="GSD11" s="28"/>
      <c r="GSE11" s="28"/>
      <c r="GSF11" s="28"/>
      <c r="GSG11" s="28"/>
      <c r="GSH11" s="28"/>
      <c r="GSI11" s="28"/>
      <c r="GSJ11" s="28"/>
      <c r="GSK11" s="28"/>
      <c r="GSL11" s="28"/>
      <c r="GSM11" s="28"/>
      <c r="GSN11" s="28"/>
      <c r="GSO11" s="28"/>
      <c r="GSP11" s="28"/>
      <c r="GSQ11" s="28"/>
      <c r="GSR11" s="28"/>
      <c r="GSS11" s="28"/>
      <c r="GST11" s="28"/>
      <c r="GSU11" s="28"/>
      <c r="GSV11" s="28"/>
      <c r="GSW11" s="28"/>
      <c r="GSX11" s="28"/>
      <c r="GSY11" s="28"/>
      <c r="GSZ11" s="28"/>
      <c r="GTA11" s="28"/>
      <c r="GTB11" s="28"/>
      <c r="GTC11" s="28"/>
      <c r="GTD11" s="28"/>
      <c r="GTE11" s="28"/>
      <c r="GTF11" s="28"/>
      <c r="GTG11" s="28"/>
      <c r="GTH11" s="28"/>
      <c r="GTI11" s="28"/>
      <c r="GTJ11" s="28"/>
      <c r="GTK11" s="28"/>
      <c r="GTL11" s="28"/>
      <c r="GTM11" s="28"/>
      <c r="GTN11" s="28"/>
      <c r="GTO11" s="28"/>
      <c r="GTP11" s="28"/>
      <c r="GTQ11" s="28"/>
      <c r="GTR11" s="28"/>
      <c r="GTS11" s="28"/>
      <c r="GTT11" s="28"/>
      <c r="GTU11" s="28"/>
      <c r="GTV11" s="28"/>
      <c r="GTW11" s="28"/>
      <c r="GTX11" s="28"/>
      <c r="GTY11" s="28"/>
      <c r="GTZ11" s="28"/>
      <c r="GUA11" s="28"/>
      <c r="GUB11" s="28"/>
      <c r="GUC11" s="28"/>
      <c r="GUD11" s="28"/>
      <c r="GUE11" s="28"/>
      <c r="GUF11" s="28"/>
      <c r="GUG11" s="28"/>
      <c r="GUH11" s="28"/>
      <c r="GUI11" s="28"/>
      <c r="GUJ11" s="28"/>
      <c r="GUK11" s="28"/>
      <c r="GUL11" s="28"/>
      <c r="GUM11" s="28"/>
      <c r="GUN11" s="28"/>
      <c r="GUO11" s="28"/>
      <c r="GUP11" s="28"/>
      <c r="GUQ11" s="28"/>
      <c r="GUR11" s="28"/>
      <c r="GUS11" s="28"/>
      <c r="GUT11" s="28"/>
      <c r="GUU11" s="28"/>
      <c r="GUV11" s="28"/>
      <c r="GUW11" s="28"/>
      <c r="GUX11" s="28"/>
      <c r="GUY11" s="28"/>
      <c r="GUZ11" s="28"/>
      <c r="GVA11" s="28"/>
      <c r="GVB11" s="28"/>
      <c r="GVC11" s="28"/>
      <c r="GVD11" s="28"/>
      <c r="GVE11" s="28"/>
      <c r="GVF11" s="28"/>
      <c r="GVG11" s="28"/>
      <c r="GVH11" s="28"/>
      <c r="GVI11" s="28"/>
      <c r="GVJ11" s="28"/>
      <c r="GVK11" s="28"/>
      <c r="GVL11" s="28"/>
      <c r="GVM11" s="28"/>
      <c r="GVN11" s="28"/>
      <c r="GVO11" s="28"/>
      <c r="GVP11" s="28"/>
      <c r="GVQ11" s="28"/>
      <c r="GVR11" s="28"/>
      <c r="GVS11" s="28"/>
      <c r="GVT11" s="28"/>
      <c r="GVU11" s="28"/>
      <c r="GVV11" s="28"/>
      <c r="GVW11" s="28"/>
      <c r="GVX11" s="28"/>
      <c r="GVY11" s="28"/>
      <c r="GVZ11" s="28"/>
      <c r="GWA11" s="28"/>
      <c r="GWB11" s="28"/>
      <c r="GWC11" s="28"/>
      <c r="GWD11" s="28"/>
      <c r="GWE11" s="28"/>
      <c r="GWF11" s="28"/>
      <c r="GWG11" s="28"/>
      <c r="GWH11" s="28"/>
      <c r="GWI11" s="28"/>
      <c r="GWJ11" s="28"/>
      <c r="GWK11" s="28"/>
      <c r="GWL11" s="28"/>
      <c r="GWM11" s="28"/>
      <c r="GWN11" s="28"/>
      <c r="GWO11" s="28"/>
      <c r="GWP11" s="28"/>
      <c r="GWQ11" s="28"/>
      <c r="GWR11" s="28"/>
      <c r="GWS11" s="28"/>
      <c r="GWT11" s="28"/>
      <c r="GWU11" s="28"/>
      <c r="GWV11" s="28"/>
      <c r="GWW11" s="28"/>
      <c r="GWX11" s="28"/>
      <c r="GWY11" s="28"/>
      <c r="GWZ11" s="28"/>
      <c r="GXA11" s="28"/>
      <c r="GXB11" s="28"/>
      <c r="GXC11" s="28"/>
      <c r="GXD11" s="28"/>
      <c r="GXE11" s="28"/>
      <c r="GXF11" s="28"/>
      <c r="GXG11" s="28"/>
      <c r="GXH11" s="28"/>
      <c r="GXI11" s="28"/>
      <c r="GXJ11" s="28"/>
      <c r="GXK11" s="28"/>
      <c r="GXL11" s="28"/>
      <c r="GXM11" s="28"/>
      <c r="GXN11" s="28"/>
      <c r="GXO11" s="28"/>
      <c r="GXP11" s="28"/>
      <c r="GXQ11" s="28"/>
      <c r="GXR11" s="28"/>
      <c r="GXS11" s="28"/>
      <c r="GXT11" s="28"/>
      <c r="GXU11" s="28"/>
      <c r="GXV11" s="28"/>
      <c r="GXW11" s="28"/>
      <c r="GXX11" s="28"/>
      <c r="GXY11" s="28"/>
      <c r="GXZ11" s="28"/>
      <c r="GYA11" s="28"/>
      <c r="GYB11" s="28"/>
      <c r="GYC11" s="28"/>
      <c r="GYD11" s="28"/>
      <c r="GYE11" s="28"/>
      <c r="GYF11" s="28"/>
      <c r="GYG11" s="28"/>
      <c r="GYH11" s="28"/>
      <c r="GYI11" s="28"/>
      <c r="GYJ11" s="28"/>
      <c r="GYK11" s="28"/>
      <c r="GYL11" s="28"/>
      <c r="GYM11" s="28"/>
      <c r="GYN11" s="28"/>
      <c r="GYO11" s="28"/>
      <c r="GYP11" s="28"/>
      <c r="GYQ11" s="28"/>
      <c r="GYR11" s="28"/>
      <c r="GYS11" s="28"/>
      <c r="GYT11" s="28"/>
      <c r="GYU11" s="28"/>
      <c r="GYV11" s="28"/>
      <c r="GYW11" s="28"/>
      <c r="GYX11" s="28"/>
      <c r="GYY11" s="28"/>
      <c r="GYZ11" s="28"/>
      <c r="GZA11" s="28"/>
      <c r="GZB11" s="28"/>
      <c r="GZC11" s="28"/>
      <c r="GZD11" s="28"/>
      <c r="GZE11" s="28"/>
      <c r="GZF11" s="28"/>
      <c r="GZG11" s="28"/>
      <c r="GZH11" s="28"/>
      <c r="GZI11" s="28"/>
      <c r="GZJ11" s="28"/>
      <c r="GZK11" s="28"/>
      <c r="GZL11" s="28"/>
      <c r="GZM11" s="28"/>
      <c r="GZN11" s="28"/>
      <c r="GZO11" s="28"/>
      <c r="GZP11" s="28"/>
      <c r="GZQ11" s="28"/>
      <c r="GZR11" s="28"/>
      <c r="GZS11" s="28"/>
      <c r="GZT11" s="28"/>
      <c r="GZU11" s="28"/>
      <c r="GZV11" s="28"/>
      <c r="GZW11" s="28"/>
      <c r="GZX11" s="28"/>
      <c r="GZY11" s="28"/>
      <c r="GZZ11" s="28"/>
      <c r="HAA11" s="28"/>
      <c r="HAB11" s="28"/>
      <c r="HAC11" s="28"/>
      <c r="HAD11" s="28"/>
      <c r="HAE11" s="28"/>
      <c r="HAF11" s="28"/>
      <c r="HAG11" s="28"/>
      <c r="HAH11" s="28"/>
      <c r="HAI11" s="28"/>
      <c r="HAJ11" s="28"/>
      <c r="HAK11" s="28"/>
      <c r="HAL11" s="28"/>
      <c r="HAM11" s="28"/>
      <c r="HAN11" s="28"/>
      <c r="HAO11" s="28"/>
      <c r="HAP11" s="28"/>
      <c r="HAQ11" s="28"/>
      <c r="HAR11" s="28"/>
      <c r="HAS11" s="28"/>
      <c r="HAT11" s="28"/>
      <c r="HAU11" s="28"/>
      <c r="HAV11" s="28"/>
      <c r="HAW11" s="28"/>
      <c r="HAX11" s="28"/>
      <c r="HAY11" s="28"/>
      <c r="HAZ11" s="28"/>
      <c r="HBA11" s="28"/>
      <c r="HBB11" s="28"/>
      <c r="HBC11" s="28"/>
      <c r="HBD11" s="28"/>
      <c r="HBE11" s="28"/>
      <c r="HBF11" s="28"/>
      <c r="HBG11" s="28"/>
      <c r="HBH11" s="28"/>
      <c r="HBI11" s="28"/>
      <c r="HBJ11" s="28"/>
      <c r="HBK11" s="28"/>
      <c r="HBL11" s="28"/>
      <c r="HBM11" s="28"/>
      <c r="HBN11" s="28"/>
      <c r="HBO11" s="28"/>
      <c r="HBP11" s="28"/>
      <c r="HBQ11" s="28"/>
      <c r="HBR11" s="28"/>
      <c r="HBS11" s="28"/>
      <c r="HBT11" s="28"/>
      <c r="HBU11" s="28"/>
      <c r="HBV11" s="28"/>
      <c r="HBW11" s="28"/>
      <c r="HBX11" s="28"/>
      <c r="HBY11" s="28"/>
      <c r="HBZ11" s="28"/>
      <c r="HCA11" s="28"/>
      <c r="HCB11" s="28"/>
      <c r="HCC11" s="28"/>
      <c r="HCD11" s="28"/>
      <c r="HCE11" s="28"/>
      <c r="HCF11" s="28"/>
      <c r="HCG11" s="28"/>
      <c r="HCH11" s="28"/>
      <c r="HCI11" s="28"/>
      <c r="HCJ11" s="28"/>
      <c r="HCK11" s="28"/>
      <c r="HCL11" s="28"/>
      <c r="HCM11" s="28"/>
      <c r="HCN11" s="28"/>
      <c r="HCO11" s="28"/>
      <c r="HCP11" s="28"/>
      <c r="HCQ11" s="28"/>
      <c r="HCR11" s="28"/>
      <c r="HCS11" s="28"/>
      <c r="HCT11" s="28"/>
      <c r="HCU11" s="28"/>
      <c r="HCV11" s="28"/>
      <c r="HCW11" s="28"/>
      <c r="HCX11" s="28"/>
      <c r="HCY11" s="28"/>
      <c r="HCZ11" s="28"/>
      <c r="HDA11" s="28"/>
      <c r="HDB11" s="28"/>
      <c r="HDC11" s="28"/>
      <c r="HDD11" s="28"/>
      <c r="HDE11" s="28"/>
      <c r="HDF11" s="28"/>
      <c r="HDG11" s="28"/>
      <c r="HDH11" s="28"/>
      <c r="HDI11" s="28"/>
      <c r="HDJ11" s="28"/>
      <c r="HDK11" s="28"/>
      <c r="HDL11" s="28"/>
      <c r="HDM11" s="28"/>
      <c r="HDN11" s="28"/>
      <c r="HDO11" s="28"/>
      <c r="HDP11" s="28"/>
      <c r="HDQ11" s="28"/>
      <c r="HDR11" s="28"/>
      <c r="HDS11" s="28"/>
      <c r="HDT11" s="28"/>
      <c r="HDU11" s="28"/>
      <c r="HDV11" s="28"/>
      <c r="HDW11" s="28"/>
      <c r="HDX11" s="28"/>
      <c r="HDY11" s="28"/>
      <c r="HDZ11" s="28"/>
      <c r="HEA11" s="28"/>
      <c r="HEB11" s="28"/>
      <c r="HEC11" s="28"/>
      <c r="HED11" s="28"/>
      <c r="HEE11" s="28"/>
      <c r="HEF11" s="28"/>
      <c r="HEG11" s="28"/>
      <c r="HEH11" s="28"/>
      <c r="HEI11" s="28"/>
      <c r="HEJ11" s="28"/>
      <c r="HEK11" s="28"/>
      <c r="HEL11" s="28"/>
      <c r="HEM11" s="28"/>
      <c r="HEN11" s="28"/>
      <c r="HEO11" s="28"/>
      <c r="HEP11" s="28"/>
      <c r="HEQ11" s="28"/>
      <c r="HER11" s="28"/>
      <c r="HES11" s="28"/>
      <c r="HET11" s="28"/>
      <c r="HEU11" s="28"/>
      <c r="HEV11" s="28"/>
      <c r="HEW11" s="28"/>
      <c r="HEX11" s="28"/>
      <c r="HEY11" s="28"/>
      <c r="HEZ11" s="28"/>
      <c r="HFA11" s="28"/>
      <c r="HFB11" s="28"/>
      <c r="HFC11" s="28"/>
      <c r="HFD11" s="28"/>
      <c r="HFE11" s="28"/>
      <c r="HFF11" s="28"/>
      <c r="HFG11" s="28"/>
      <c r="HFH11" s="28"/>
      <c r="HFI11" s="28"/>
      <c r="HFJ11" s="28"/>
      <c r="HFK11" s="28"/>
      <c r="HFL11" s="28"/>
      <c r="HFM11" s="28"/>
      <c r="HFN11" s="28"/>
      <c r="HFO11" s="28"/>
      <c r="HFP11" s="28"/>
      <c r="HFQ11" s="28"/>
      <c r="HFR11" s="28"/>
      <c r="HFS11" s="28"/>
      <c r="HFT11" s="28"/>
      <c r="HFU11" s="28"/>
      <c r="HFV11" s="28"/>
      <c r="HFW11" s="28"/>
      <c r="HFX11" s="28"/>
      <c r="HFY11" s="28"/>
      <c r="HFZ11" s="28"/>
      <c r="HGA11" s="28"/>
      <c r="HGB11" s="28"/>
      <c r="HGC11" s="28"/>
      <c r="HGD11" s="28"/>
      <c r="HGE11" s="28"/>
      <c r="HGF11" s="28"/>
      <c r="HGG11" s="28"/>
      <c r="HGH11" s="28"/>
      <c r="HGI11" s="28"/>
      <c r="HGJ11" s="28"/>
      <c r="HGK11" s="28"/>
      <c r="HGL11" s="28"/>
      <c r="HGM11" s="28"/>
      <c r="HGN11" s="28"/>
      <c r="HGO11" s="28"/>
      <c r="HGP11" s="28"/>
      <c r="HGQ11" s="28"/>
      <c r="HGR11" s="28"/>
      <c r="HGS11" s="28"/>
      <c r="HGT11" s="28"/>
      <c r="HGU11" s="28"/>
      <c r="HGV11" s="28"/>
      <c r="HGW11" s="28"/>
      <c r="HGX11" s="28"/>
      <c r="HGY11" s="28"/>
      <c r="HGZ11" s="28"/>
      <c r="HHA11" s="28"/>
      <c r="HHB11" s="28"/>
      <c r="HHC11" s="28"/>
      <c r="HHD11" s="28"/>
      <c r="HHE11" s="28"/>
      <c r="HHF11" s="28"/>
      <c r="HHG11" s="28"/>
      <c r="HHH11" s="28"/>
      <c r="HHI11" s="28"/>
      <c r="HHJ11" s="28"/>
      <c r="HHK11" s="28"/>
      <c r="HHL11" s="28"/>
      <c r="HHM11" s="28"/>
      <c r="HHN11" s="28"/>
      <c r="HHO11" s="28"/>
      <c r="HHP11" s="28"/>
      <c r="HHQ11" s="28"/>
      <c r="HHR11" s="28"/>
      <c r="HHS11" s="28"/>
      <c r="HHT11" s="28"/>
      <c r="HHU11" s="28"/>
      <c r="HHV11" s="28"/>
      <c r="HHW11" s="28"/>
      <c r="HHX11" s="28"/>
      <c r="HHY11" s="28"/>
      <c r="HHZ11" s="28"/>
      <c r="HIA11" s="28"/>
      <c r="HIB11" s="28"/>
      <c r="HIC11" s="28"/>
      <c r="HID11" s="28"/>
      <c r="HIE11" s="28"/>
      <c r="HIF11" s="28"/>
      <c r="HIG11" s="28"/>
      <c r="HIH11" s="28"/>
      <c r="HII11" s="28"/>
      <c r="HIJ11" s="28"/>
      <c r="HIK11" s="28"/>
      <c r="HIL11" s="28"/>
      <c r="HIM11" s="28"/>
      <c r="HIN11" s="28"/>
      <c r="HIO11" s="28"/>
      <c r="HIP11" s="28"/>
      <c r="HIQ11" s="28"/>
      <c r="HIR11" s="28"/>
      <c r="HIS11" s="28"/>
      <c r="HIT11" s="28"/>
      <c r="HIU11" s="28"/>
      <c r="HIV11" s="28"/>
      <c r="HIW11" s="28"/>
      <c r="HIX11" s="28"/>
      <c r="HIY11" s="28"/>
      <c r="HIZ11" s="28"/>
      <c r="HJA11" s="28"/>
      <c r="HJB11" s="28"/>
      <c r="HJC11" s="28"/>
      <c r="HJD11" s="28"/>
      <c r="HJE11" s="28"/>
      <c r="HJF11" s="28"/>
      <c r="HJG11" s="28"/>
      <c r="HJH11" s="28"/>
      <c r="HJI11" s="28"/>
      <c r="HJJ11" s="28"/>
      <c r="HJK11" s="28"/>
      <c r="HJL11" s="28"/>
      <c r="HJM11" s="28"/>
      <c r="HJN11" s="28"/>
      <c r="HJO11" s="28"/>
      <c r="HJP11" s="28"/>
      <c r="HJQ11" s="28"/>
      <c r="HJR11" s="28"/>
      <c r="HJS11" s="28"/>
      <c r="HJT11" s="28"/>
      <c r="HJU11" s="28"/>
      <c r="HJV11" s="28"/>
      <c r="HJW11" s="28"/>
      <c r="HJX11" s="28"/>
      <c r="HJY11" s="28"/>
      <c r="HJZ11" s="28"/>
      <c r="HKA11" s="28"/>
      <c r="HKB11" s="28"/>
      <c r="HKC11" s="28"/>
      <c r="HKD11" s="28"/>
      <c r="HKE11" s="28"/>
      <c r="HKF11" s="28"/>
      <c r="HKG11" s="28"/>
      <c r="HKH11" s="28"/>
      <c r="HKI11" s="28"/>
      <c r="HKJ11" s="28"/>
      <c r="HKK11" s="28"/>
      <c r="HKL11" s="28"/>
      <c r="HKM11" s="28"/>
      <c r="HKN11" s="28"/>
      <c r="HKO11" s="28"/>
      <c r="HKP11" s="28"/>
      <c r="HKQ11" s="28"/>
      <c r="HKR11" s="28"/>
      <c r="HKS11" s="28"/>
      <c r="HKT11" s="28"/>
      <c r="HKU11" s="28"/>
      <c r="HKV11" s="28"/>
      <c r="HKW11" s="28"/>
      <c r="HKX11" s="28"/>
      <c r="HKY11" s="28"/>
      <c r="HKZ11" s="28"/>
      <c r="HLA11" s="28"/>
      <c r="HLB11" s="28"/>
      <c r="HLC11" s="28"/>
      <c r="HLD11" s="28"/>
      <c r="HLE11" s="28"/>
      <c r="HLF11" s="28"/>
      <c r="HLG11" s="28"/>
      <c r="HLH11" s="28"/>
      <c r="HLI11" s="28"/>
      <c r="HLJ11" s="28"/>
      <c r="HLK11" s="28"/>
      <c r="HLL11" s="28"/>
      <c r="HLM11" s="28"/>
      <c r="HLN11" s="28"/>
      <c r="HLO11" s="28"/>
      <c r="HLP11" s="28"/>
      <c r="HLQ11" s="28"/>
      <c r="HLR11" s="28"/>
      <c r="HLS11" s="28"/>
      <c r="HLT11" s="28"/>
      <c r="HLU11" s="28"/>
      <c r="HLV11" s="28"/>
      <c r="HLW11" s="28"/>
      <c r="HLX11" s="28"/>
      <c r="HLY11" s="28"/>
      <c r="HLZ11" s="28"/>
      <c r="HMA11" s="28"/>
      <c r="HMB11" s="28"/>
      <c r="HMC11" s="28"/>
      <c r="HMD11" s="28"/>
      <c r="HME11" s="28"/>
      <c r="HMF11" s="28"/>
      <c r="HMG11" s="28"/>
      <c r="HMH11" s="28"/>
      <c r="HMI11" s="28"/>
      <c r="HMJ11" s="28"/>
      <c r="HMK11" s="28"/>
      <c r="HML11" s="28"/>
      <c r="HMM11" s="28"/>
      <c r="HMN11" s="28"/>
      <c r="HMO11" s="28"/>
      <c r="HMP11" s="28"/>
      <c r="HMQ11" s="28"/>
      <c r="HMR11" s="28"/>
      <c r="HMS11" s="28"/>
      <c r="HMT11" s="28"/>
      <c r="HMU11" s="28"/>
      <c r="HMV11" s="28"/>
      <c r="HMW11" s="28"/>
      <c r="HMX11" s="28"/>
      <c r="HMY11" s="28"/>
      <c r="HMZ11" s="28"/>
      <c r="HNA11" s="28"/>
      <c r="HNB11" s="28"/>
      <c r="HNC11" s="28"/>
      <c r="HND11" s="28"/>
      <c r="HNE11" s="28"/>
      <c r="HNF11" s="28"/>
      <c r="HNG11" s="28"/>
      <c r="HNH11" s="28"/>
      <c r="HNI11" s="28"/>
      <c r="HNJ11" s="28"/>
      <c r="HNK11" s="28"/>
      <c r="HNL11" s="28"/>
      <c r="HNM11" s="28"/>
      <c r="HNN11" s="28"/>
      <c r="HNO11" s="28"/>
      <c r="HNP11" s="28"/>
      <c r="HNQ11" s="28"/>
      <c r="HNR11" s="28"/>
      <c r="HNS11" s="28"/>
      <c r="HNT11" s="28"/>
      <c r="HNU11" s="28"/>
      <c r="HNV11" s="28"/>
      <c r="HNW11" s="28"/>
      <c r="HNX11" s="28"/>
      <c r="HNY11" s="28"/>
      <c r="HNZ11" s="28"/>
      <c r="HOA11" s="28"/>
      <c r="HOB11" s="28"/>
      <c r="HOC11" s="28"/>
      <c r="HOD11" s="28"/>
      <c r="HOE11" s="28"/>
      <c r="HOF11" s="28"/>
      <c r="HOG11" s="28"/>
      <c r="HOH11" s="28"/>
      <c r="HOI11" s="28"/>
      <c r="HOJ11" s="28"/>
      <c r="HOK11" s="28"/>
      <c r="HOL11" s="28"/>
      <c r="HOM11" s="28"/>
      <c r="HON11" s="28"/>
      <c r="HOO11" s="28"/>
      <c r="HOP11" s="28"/>
      <c r="HOQ11" s="28"/>
      <c r="HOR11" s="28"/>
      <c r="HOS11" s="28"/>
      <c r="HOT11" s="28"/>
      <c r="HOU11" s="28"/>
      <c r="HOV11" s="28"/>
      <c r="HOW11" s="28"/>
      <c r="HOX11" s="28"/>
      <c r="HOY11" s="28"/>
      <c r="HOZ11" s="28"/>
      <c r="HPA11" s="28"/>
      <c r="HPB11" s="28"/>
      <c r="HPC11" s="28"/>
      <c r="HPD11" s="28"/>
      <c r="HPE11" s="28"/>
      <c r="HPF11" s="28"/>
      <c r="HPG11" s="28"/>
      <c r="HPH11" s="28"/>
      <c r="HPI11" s="28"/>
      <c r="HPJ11" s="28"/>
      <c r="HPK11" s="28"/>
      <c r="HPL11" s="28"/>
      <c r="HPM11" s="28"/>
      <c r="HPN11" s="28"/>
      <c r="HPO11" s="28"/>
      <c r="HPP11" s="28"/>
      <c r="HPQ11" s="28"/>
      <c r="HPR11" s="28"/>
      <c r="HPS11" s="28"/>
      <c r="HPT11" s="28"/>
      <c r="HPU11" s="28"/>
      <c r="HPV11" s="28"/>
      <c r="HPW11" s="28"/>
      <c r="HPX11" s="28"/>
      <c r="HPY11" s="28"/>
      <c r="HPZ11" s="28"/>
      <c r="HQA11" s="28"/>
      <c r="HQB11" s="28"/>
      <c r="HQC11" s="28"/>
      <c r="HQD11" s="28"/>
      <c r="HQE11" s="28"/>
      <c r="HQF11" s="28"/>
      <c r="HQG11" s="28"/>
      <c r="HQH11" s="28"/>
      <c r="HQI11" s="28"/>
      <c r="HQJ11" s="28"/>
      <c r="HQK11" s="28"/>
      <c r="HQL11" s="28"/>
      <c r="HQM11" s="28"/>
      <c r="HQN11" s="28"/>
      <c r="HQO11" s="28"/>
      <c r="HQP11" s="28"/>
      <c r="HQQ11" s="28"/>
      <c r="HQR11" s="28"/>
      <c r="HQS11" s="28"/>
      <c r="HQT11" s="28"/>
      <c r="HQU11" s="28"/>
      <c r="HQV11" s="28"/>
      <c r="HQW11" s="28"/>
      <c r="HQX11" s="28"/>
      <c r="HQY11" s="28"/>
      <c r="HQZ11" s="28"/>
      <c r="HRA11" s="28"/>
      <c r="HRB11" s="28"/>
      <c r="HRC11" s="28"/>
      <c r="HRD11" s="28"/>
      <c r="HRE11" s="28"/>
      <c r="HRF11" s="28"/>
      <c r="HRG11" s="28"/>
      <c r="HRH11" s="28"/>
      <c r="HRI11" s="28"/>
      <c r="HRJ11" s="28"/>
      <c r="HRK11" s="28"/>
      <c r="HRL11" s="28"/>
      <c r="HRM11" s="28"/>
      <c r="HRN11" s="28"/>
      <c r="HRO11" s="28"/>
      <c r="HRP11" s="28"/>
      <c r="HRQ11" s="28"/>
      <c r="HRR11" s="28"/>
      <c r="HRS11" s="28"/>
      <c r="HRT11" s="28"/>
      <c r="HRU11" s="28"/>
      <c r="HRV11" s="28"/>
      <c r="HRW11" s="28"/>
      <c r="HRX11" s="28"/>
      <c r="HRY11" s="28"/>
      <c r="HRZ11" s="28"/>
      <c r="HSA11" s="28"/>
      <c r="HSB11" s="28"/>
      <c r="HSC11" s="28"/>
      <c r="HSD11" s="28"/>
      <c r="HSE11" s="28"/>
      <c r="HSF11" s="28"/>
      <c r="HSG11" s="28"/>
      <c r="HSH11" s="28"/>
      <c r="HSI11" s="28"/>
      <c r="HSJ11" s="28"/>
      <c r="HSK11" s="28"/>
      <c r="HSL11" s="28"/>
      <c r="HSM11" s="28"/>
      <c r="HSN11" s="28"/>
      <c r="HSO11" s="28"/>
      <c r="HSP11" s="28"/>
      <c r="HSQ11" s="28"/>
      <c r="HSR11" s="28"/>
      <c r="HSS11" s="28"/>
      <c r="HST11" s="28"/>
      <c r="HSU11" s="28"/>
      <c r="HSV11" s="28"/>
      <c r="HSW11" s="28"/>
      <c r="HSX11" s="28"/>
      <c r="HSY11" s="28"/>
      <c r="HSZ11" s="28"/>
      <c r="HTA11" s="28"/>
      <c r="HTB11" s="28"/>
      <c r="HTC11" s="28"/>
      <c r="HTD11" s="28"/>
      <c r="HTE11" s="28"/>
      <c r="HTF11" s="28"/>
      <c r="HTG11" s="28"/>
      <c r="HTH11" s="28"/>
      <c r="HTI11" s="28"/>
      <c r="HTJ11" s="28"/>
      <c r="HTK11" s="28"/>
      <c r="HTL11" s="28"/>
      <c r="HTM11" s="28"/>
      <c r="HTN11" s="28"/>
      <c r="HTO11" s="28"/>
      <c r="HTP11" s="28"/>
      <c r="HTQ11" s="28"/>
      <c r="HTR11" s="28"/>
      <c r="HTS11" s="28"/>
      <c r="HTT11" s="28"/>
      <c r="HTU11" s="28"/>
      <c r="HTV11" s="28"/>
      <c r="HTW11" s="28"/>
      <c r="HTX11" s="28"/>
      <c r="HTY11" s="28"/>
      <c r="HTZ11" s="28"/>
      <c r="HUA11" s="28"/>
      <c r="HUB11" s="28"/>
      <c r="HUC11" s="28"/>
      <c r="HUD11" s="28"/>
      <c r="HUE11" s="28"/>
      <c r="HUF11" s="28"/>
      <c r="HUG11" s="28"/>
      <c r="HUH11" s="28"/>
      <c r="HUI11" s="28"/>
      <c r="HUJ11" s="28"/>
      <c r="HUK11" s="28"/>
      <c r="HUL11" s="28"/>
      <c r="HUM11" s="28"/>
      <c r="HUN11" s="28"/>
      <c r="HUO11" s="28"/>
      <c r="HUP11" s="28"/>
      <c r="HUQ11" s="28"/>
      <c r="HUR11" s="28"/>
      <c r="HUS11" s="28"/>
      <c r="HUT11" s="28"/>
      <c r="HUU11" s="28"/>
      <c r="HUV11" s="28"/>
      <c r="HUW11" s="28"/>
      <c r="HUX11" s="28"/>
      <c r="HUY11" s="28"/>
      <c r="HUZ11" s="28"/>
      <c r="HVA11" s="28"/>
      <c r="HVB11" s="28"/>
      <c r="HVC11" s="28"/>
      <c r="HVD11" s="28"/>
      <c r="HVE11" s="28"/>
      <c r="HVF11" s="28"/>
      <c r="HVG11" s="28"/>
      <c r="HVH11" s="28"/>
      <c r="HVI11" s="28"/>
      <c r="HVJ11" s="28"/>
      <c r="HVK11" s="28"/>
      <c r="HVL11" s="28"/>
      <c r="HVM11" s="28"/>
      <c r="HVN11" s="28"/>
      <c r="HVO11" s="28"/>
      <c r="HVP11" s="28"/>
      <c r="HVQ11" s="28"/>
      <c r="HVR11" s="28"/>
      <c r="HVS11" s="28"/>
      <c r="HVT11" s="28"/>
      <c r="HVU11" s="28"/>
      <c r="HVV11" s="28"/>
      <c r="HVW11" s="28"/>
      <c r="HVX11" s="28"/>
      <c r="HVY11" s="28"/>
      <c r="HVZ11" s="28"/>
      <c r="HWA11" s="28"/>
      <c r="HWB11" s="28"/>
      <c r="HWC11" s="28"/>
      <c r="HWD11" s="28"/>
      <c r="HWE11" s="28"/>
      <c r="HWF11" s="28"/>
      <c r="HWG11" s="28"/>
      <c r="HWH11" s="28"/>
      <c r="HWI11" s="28"/>
      <c r="HWJ11" s="28"/>
      <c r="HWK11" s="28"/>
      <c r="HWL11" s="28"/>
      <c r="HWM11" s="28"/>
      <c r="HWN11" s="28"/>
      <c r="HWO11" s="28"/>
      <c r="HWP11" s="28"/>
      <c r="HWQ11" s="28"/>
      <c r="HWR11" s="28"/>
      <c r="HWS11" s="28"/>
      <c r="HWT11" s="28"/>
      <c r="HWU11" s="28"/>
      <c r="HWV11" s="28"/>
      <c r="HWW11" s="28"/>
      <c r="HWX11" s="28"/>
      <c r="HWY11" s="28"/>
      <c r="HWZ11" s="28"/>
      <c r="HXA11" s="28"/>
      <c r="HXB11" s="28"/>
      <c r="HXC11" s="28"/>
      <c r="HXD11" s="28"/>
      <c r="HXE11" s="28"/>
      <c r="HXF11" s="28"/>
      <c r="HXG11" s="28"/>
      <c r="HXH11" s="28"/>
      <c r="HXI11" s="28"/>
      <c r="HXJ11" s="28"/>
      <c r="HXK11" s="28"/>
      <c r="HXL11" s="28"/>
      <c r="HXM11" s="28"/>
      <c r="HXN11" s="28"/>
      <c r="HXO11" s="28"/>
      <c r="HXP11" s="28"/>
      <c r="HXQ11" s="28"/>
      <c r="HXR11" s="28"/>
      <c r="HXS11" s="28"/>
      <c r="HXT11" s="28"/>
      <c r="HXU11" s="28"/>
      <c r="HXV11" s="28"/>
      <c r="HXW11" s="28"/>
      <c r="HXX11" s="28"/>
      <c r="HXY11" s="28"/>
      <c r="HXZ11" s="28"/>
      <c r="HYA11" s="28"/>
      <c r="HYB11" s="28"/>
      <c r="HYC11" s="28"/>
      <c r="HYD11" s="28"/>
      <c r="HYE11" s="28"/>
      <c r="HYF11" s="28"/>
      <c r="HYG11" s="28"/>
      <c r="HYH11" s="28"/>
      <c r="HYI11" s="28"/>
      <c r="HYJ11" s="28"/>
      <c r="HYK11" s="28"/>
      <c r="HYL11" s="28"/>
      <c r="HYM11" s="28"/>
      <c r="HYN11" s="28"/>
      <c r="HYO11" s="28"/>
      <c r="HYP11" s="28"/>
      <c r="HYQ11" s="28"/>
      <c r="HYR11" s="28"/>
      <c r="HYS11" s="28"/>
      <c r="HYT11" s="28"/>
      <c r="HYU11" s="28"/>
      <c r="HYV11" s="28"/>
      <c r="HYW11" s="28"/>
      <c r="HYX11" s="28"/>
      <c r="HYY11" s="28"/>
      <c r="HYZ11" s="28"/>
      <c r="HZA11" s="28"/>
      <c r="HZB11" s="28"/>
      <c r="HZC11" s="28"/>
      <c r="HZD11" s="28"/>
      <c r="HZE11" s="28"/>
      <c r="HZF11" s="28"/>
      <c r="HZG11" s="28"/>
      <c r="HZH11" s="28"/>
      <c r="HZI11" s="28"/>
      <c r="HZJ11" s="28"/>
      <c r="HZK11" s="28"/>
      <c r="HZL11" s="28"/>
      <c r="HZM11" s="28"/>
      <c r="HZN11" s="28"/>
      <c r="HZO11" s="28"/>
      <c r="HZP11" s="28"/>
      <c r="HZQ11" s="28"/>
      <c r="HZR11" s="28"/>
      <c r="HZS11" s="28"/>
      <c r="HZT11" s="28"/>
      <c r="HZU11" s="28"/>
      <c r="HZV11" s="28"/>
      <c r="HZW11" s="28"/>
      <c r="HZX11" s="28"/>
      <c r="HZY11" s="28"/>
      <c r="HZZ11" s="28"/>
      <c r="IAA11" s="28"/>
      <c r="IAB11" s="28"/>
      <c r="IAC11" s="28"/>
      <c r="IAD11" s="28"/>
      <c r="IAE11" s="28"/>
      <c r="IAF11" s="28"/>
      <c r="IAG11" s="28"/>
      <c r="IAH11" s="28"/>
      <c r="IAI11" s="28"/>
      <c r="IAJ11" s="28"/>
      <c r="IAK11" s="28"/>
      <c r="IAL11" s="28"/>
      <c r="IAM11" s="28"/>
      <c r="IAN11" s="28"/>
      <c r="IAO11" s="28"/>
      <c r="IAP11" s="28"/>
      <c r="IAQ11" s="28"/>
      <c r="IAR11" s="28"/>
      <c r="IAS11" s="28"/>
      <c r="IAT11" s="28"/>
      <c r="IAU11" s="28"/>
      <c r="IAV11" s="28"/>
      <c r="IAW11" s="28"/>
      <c r="IAX11" s="28"/>
      <c r="IAY11" s="28"/>
      <c r="IAZ11" s="28"/>
      <c r="IBA11" s="28"/>
      <c r="IBB11" s="28"/>
      <c r="IBC11" s="28"/>
      <c r="IBD11" s="28"/>
      <c r="IBE11" s="28"/>
      <c r="IBF11" s="28"/>
      <c r="IBG11" s="28"/>
      <c r="IBH11" s="28"/>
      <c r="IBI11" s="28"/>
      <c r="IBJ11" s="28"/>
      <c r="IBK11" s="28"/>
      <c r="IBL11" s="28"/>
      <c r="IBM11" s="28"/>
      <c r="IBN11" s="28"/>
      <c r="IBO11" s="28"/>
      <c r="IBP11" s="28"/>
      <c r="IBQ11" s="28"/>
      <c r="IBR11" s="28"/>
      <c r="IBS11" s="28"/>
      <c r="IBT11" s="28"/>
      <c r="IBU11" s="28"/>
      <c r="IBV11" s="28"/>
      <c r="IBW11" s="28"/>
      <c r="IBX11" s="28"/>
      <c r="IBY11" s="28"/>
      <c r="IBZ11" s="28"/>
      <c r="ICA11" s="28"/>
      <c r="ICB11" s="28"/>
      <c r="ICC11" s="28"/>
      <c r="ICD11" s="28"/>
      <c r="ICE11" s="28"/>
      <c r="ICF11" s="28"/>
      <c r="ICG11" s="28"/>
      <c r="ICH11" s="28"/>
      <c r="ICI11" s="28"/>
      <c r="ICJ11" s="28"/>
      <c r="ICK11" s="28"/>
      <c r="ICL11" s="28"/>
      <c r="ICM11" s="28"/>
      <c r="ICN11" s="28"/>
      <c r="ICO11" s="28"/>
      <c r="ICP11" s="28"/>
      <c r="ICQ11" s="28"/>
      <c r="ICR11" s="28"/>
      <c r="ICS11" s="28"/>
      <c r="ICT11" s="28"/>
      <c r="ICU11" s="28"/>
      <c r="ICV11" s="28"/>
      <c r="ICW11" s="28"/>
      <c r="ICX11" s="28"/>
      <c r="ICY11" s="28"/>
      <c r="ICZ11" s="28"/>
      <c r="IDA11" s="28"/>
      <c r="IDB11" s="28"/>
      <c r="IDC11" s="28"/>
      <c r="IDD11" s="28"/>
      <c r="IDE11" s="28"/>
      <c r="IDF11" s="28"/>
      <c r="IDG11" s="28"/>
      <c r="IDH11" s="28"/>
      <c r="IDI11" s="28"/>
      <c r="IDJ11" s="28"/>
      <c r="IDK11" s="28"/>
      <c r="IDL11" s="28"/>
      <c r="IDM11" s="28"/>
      <c r="IDN11" s="28"/>
      <c r="IDO11" s="28"/>
      <c r="IDP11" s="28"/>
      <c r="IDQ11" s="28"/>
      <c r="IDR11" s="28"/>
      <c r="IDS11" s="28"/>
      <c r="IDT11" s="28"/>
      <c r="IDU11" s="28"/>
      <c r="IDV11" s="28"/>
      <c r="IDW11" s="28"/>
      <c r="IDX11" s="28"/>
      <c r="IDY11" s="28"/>
      <c r="IDZ11" s="28"/>
      <c r="IEA11" s="28"/>
      <c r="IEB11" s="28"/>
      <c r="IEC11" s="28"/>
      <c r="IED11" s="28"/>
      <c r="IEE11" s="28"/>
      <c r="IEF11" s="28"/>
      <c r="IEG11" s="28"/>
      <c r="IEH11" s="28"/>
      <c r="IEI11" s="28"/>
      <c r="IEJ11" s="28"/>
      <c r="IEK11" s="28"/>
      <c r="IEL11" s="28"/>
      <c r="IEM11" s="28"/>
      <c r="IEN11" s="28"/>
      <c r="IEO11" s="28"/>
      <c r="IEP11" s="28"/>
      <c r="IEQ11" s="28"/>
      <c r="IER11" s="28"/>
      <c r="IES11" s="28"/>
      <c r="IET11" s="28"/>
      <c r="IEU11" s="28"/>
      <c r="IEV11" s="28"/>
      <c r="IEW11" s="28"/>
      <c r="IEX11" s="28"/>
      <c r="IEY11" s="28"/>
      <c r="IEZ11" s="28"/>
      <c r="IFA11" s="28"/>
      <c r="IFB11" s="28"/>
      <c r="IFC11" s="28"/>
      <c r="IFD11" s="28"/>
      <c r="IFE11" s="28"/>
      <c r="IFF11" s="28"/>
      <c r="IFG11" s="28"/>
      <c r="IFH11" s="28"/>
      <c r="IFI11" s="28"/>
      <c r="IFJ11" s="28"/>
      <c r="IFK11" s="28"/>
      <c r="IFL11" s="28"/>
      <c r="IFM11" s="28"/>
      <c r="IFN11" s="28"/>
      <c r="IFO11" s="28"/>
      <c r="IFP11" s="28"/>
      <c r="IFQ11" s="28"/>
      <c r="IFR11" s="28"/>
      <c r="IFS11" s="28"/>
      <c r="IFT11" s="28"/>
      <c r="IFU11" s="28"/>
      <c r="IFV11" s="28"/>
      <c r="IFW11" s="28"/>
      <c r="IFX11" s="28"/>
      <c r="IFY11" s="28"/>
      <c r="IFZ11" s="28"/>
      <c r="IGA11" s="28"/>
      <c r="IGB11" s="28"/>
      <c r="IGC11" s="28"/>
      <c r="IGD11" s="28"/>
      <c r="IGE11" s="28"/>
      <c r="IGF11" s="28"/>
      <c r="IGG11" s="28"/>
      <c r="IGH11" s="28"/>
      <c r="IGI11" s="28"/>
      <c r="IGJ11" s="28"/>
      <c r="IGK11" s="28"/>
      <c r="IGL11" s="28"/>
      <c r="IGM11" s="28"/>
      <c r="IGN11" s="28"/>
      <c r="IGO11" s="28"/>
      <c r="IGP11" s="28"/>
      <c r="IGQ11" s="28"/>
      <c r="IGR11" s="28"/>
      <c r="IGS11" s="28"/>
      <c r="IGT11" s="28"/>
      <c r="IGU11" s="28"/>
      <c r="IGV11" s="28"/>
      <c r="IGW11" s="28"/>
      <c r="IGX11" s="28"/>
      <c r="IGY11" s="28"/>
      <c r="IGZ11" s="28"/>
      <c r="IHA11" s="28"/>
      <c r="IHB11" s="28"/>
      <c r="IHC11" s="28"/>
      <c r="IHD11" s="28"/>
      <c r="IHE11" s="28"/>
      <c r="IHF11" s="28"/>
      <c r="IHG11" s="28"/>
      <c r="IHH11" s="28"/>
      <c r="IHI11" s="28"/>
      <c r="IHJ11" s="28"/>
      <c r="IHK11" s="28"/>
      <c r="IHL11" s="28"/>
      <c r="IHM11" s="28"/>
      <c r="IHN11" s="28"/>
      <c r="IHO11" s="28"/>
      <c r="IHP11" s="28"/>
      <c r="IHQ11" s="28"/>
      <c r="IHR11" s="28"/>
      <c r="IHS11" s="28"/>
      <c r="IHT11" s="28"/>
      <c r="IHU11" s="28"/>
      <c r="IHV11" s="28"/>
      <c r="IHW11" s="28"/>
      <c r="IHX11" s="28"/>
      <c r="IHY11" s="28"/>
      <c r="IHZ11" s="28"/>
      <c r="IIA11" s="28"/>
      <c r="IIB11" s="28"/>
      <c r="IIC11" s="28"/>
      <c r="IID11" s="28"/>
      <c r="IIE11" s="28"/>
      <c r="IIF11" s="28"/>
      <c r="IIG11" s="28"/>
      <c r="IIH11" s="28"/>
      <c r="III11" s="28"/>
      <c r="IIJ11" s="28"/>
      <c r="IIK11" s="28"/>
      <c r="IIL11" s="28"/>
      <c r="IIM11" s="28"/>
      <c r="IIN11" s="28"/>
      <c r="IIO11" s="28"/>
      <c r="IIP11" s="28"/>
      <c r="IIQ11" s="28"/>
      <c r="IIR11" s="28"/>
      <c r="IIS11" s="28"/>
      <c r="IIT11" s="28"/>
      <c r="IIU11" s="28"/>
      <c r="IIV11" s="28"/>
      <c r="IIW11" s="28"/>
      <c r="IIX11" s="28"/>
      <c r="IIY11" s="28"/>
      <c r="IIZ11" s="28"/>
      <c r="IJA11" s="28"/>
      <c r="IJB11" s="28"/>
      <c r="IJC11" s="28"/>
      <c r="IJD11" s="28"/>
      <c r="IJE11" s="28"/>
      <c r="IJF11" s="28"/>
      <c r="IJG11" s="28"/>
      <c r="IJH11" s="28"/>
      <c r="IJI11" s="28"/>
      <c r="IJJ11" s="28"/>
      <c r="IJK11" s="28"/>
      <c r="IJL11" s="28"/>
      <c r="IJM11" s="28"/>
      <c r="IJN11" s="28"/>
      <c r="IJO11" s="28"/>
      <c r="IJP11" s="28"/>
      <c r="IJQ11" s="28"/>
      <c r="IJR11" s="28"/>
      <c r="IJS11" s="28"/>
      <c r="IJT11" s="28"/>
      <c r="IJU11" s="28"/>
      <c r="IJV11" s="28"/>
      <c r="IJW11" s="28"/>
      <c r="IJX11" s="28"/>
      <c r="IJY11" s="28"/>
      <c r="IJZ11" s="28"/>
      <c r="IKA11" s="28"/>
      <c r="IKB11" s="28"/>
      <c r="IKC11" s="28"/>
      <c r="IKD11" s="28"/>
      <c r="IKE11" s="28"/>
      <c r="IKF11" s="28"/>
      <c r="IKG11" s="28"/>
      <c r="IKH11" s="28"/>
      <c r="IKI11" s="28"/>
      <c r="IKJ11" s="28"/>
      <c r="IKK11" s="28"/>
      <c r="IKL11" s="28"/>
      <c r="IKM11" s="28"/>
      <c r="IKN11" s="28"/>
      <c r="IKO11" s="28"/>
      <c r="IKP11" s="28"/>
      <c r="IKQ11" s="28"/>
      <c r="IKR11" s="28"/>
      <c r="IKS11" s="28"/>
      <c r="IKT11" s="28"/>
      <c r="IKU11" s="28"/>
      <c r="IKV11" s="28"/>
      <c r="IKW11" s="28"/>
      <c r="IKX11" s="28"/>
      <c r="IKY11" s="28"/>
      <c r="IKZ11" s="28"/>
      <c r="ILA11" s="28"/>
      <c r="ILB11" s="28"/>
      <c r="ILC11" s="28"/>
      <c r="ILD11" s="28"/>
      <c r="ILE11" s="28"/>
      <c r="ILF11" s="28"/>
      <c r="ILG11" s="28"/>
      <c r="ILH11" s="28"/>
      <c r="ILI11" s="28"/>
      <c r="ILJ11" s="28"/>
      <c r="ILK11" s="28"/>
      <c r="ILL11" s="28"/>
      <c r="ILM11" s="28"/>
      <c r="ILN11" s="28"/>
      <c r="ILO11" s="28"/>
      <c r="ILP11" s="28"/>
      <c r="ILQ11" s="28"/>
      <c r="ILR11" s="28"/>
      <c r="ILS11" s="28"/>
      <c r="ILT11" s="28"/>
      <c r="ILU11" s="28"/>
      <c r="ILV11" s="28"/>
      <c r="ILW11" s="28"/>
      <c r="ILX11" s="28"/>
      <c r="ILY11" s="28"/>
      <c r="ILZ11" s="28"/>
      <c r="IMA11" s="28"/>
      <c r="IMB11" s="28"/>
      <c r="IMC11" s="28"/>
      <c r="IMD11" s="28"/>
      <c r="IME11" s="28"/>
      <c r="IMF11" s="28"/>
      <c r="IMG11" s="28"/>
      <c r="IMH11" s="28"/>
      <c r="IMI11" s="28"/>
      <c r="IMJ11" s="28"/>
      <c r="IMK11" s="28"/>
      <c r="IML11" s="28"/>
      <c r="IMM11" s="28"/>
      <c r="IMN11" s="28"/>
      <c r="IMO11" s="28"/>
      <c r="IMP11" s="28"/>
      <c r="IMQ11" s="28"/>
      <c r="IMR11" s="28"/>
      <c r="IMS11" s="28"/>
      <c r="IMT11" s="28"/>
      <c r="IMU11" s="28"/>
      <c r="IMV11" s="28"/>
      <c r="IMW11" s="28"/>
      <c r="IMX11" s="28"/>
      <c r="IMY11" s="28"/>
      <c r="IMZ11" s="28"/>
      <c r="INA11" s="28"/>
      <c r="INB11" s="28"/>
      <c r="INC11" s="28"/>
      <c r="IND11" s="28"/>
      <c r="INE11" s="28"/>
      <c r="INF11" s="28"/>
      <c r="ING11" s="28"/>
      <c r="INH11" s="28"/>
      <c r="INI11" s="28"/>
      <c r="INJ11" s="28"/>
      <c r="INK11" s="28"/>
      <c r="INL11" s="28"/>
      <c r="INM11" s="28"/>
      <c r="INN11" s="28"/>
      <c r="INO11" s="28"/>
      <c r="INP11" s="28"/>
      <c r="INQ11" s="28"/>
      <c r="INR11" s="28"/>
      <c r="INS11" s="28"/>
      <c r="INT11" s="28"/>
      <c r="INU11" s="28"/>
      <c r="INV11" s="28"/>
      <c r="INW11" s="28"/>
      <c r="INX11" s="28"/>
      <c r="INY11" s="28"/>
      <c r="INZ11" s="28"/>
      <c r="IOA11" s="28"/>
      <c r="IOB11" s="28"/>
      <c r="IOC11" s="28"/>
      <c r="IOD11" s="28"/>
      <c r="IOE11" s="28"/>
      <c r="IOF11" s="28"/>
      <c r="IOG11" s="28"/>
      <c r="IOH11" s="28"/>
      <c r="IOI11" s="28"/>
      <c r="IOJ11" s="28"/>
      <c r="IOK11" s="28"/>
      <c r="IOL11" s="28"/>
      <c r="IOM11" s="28"/>
      <c r="ION11" s="28"/>
      <c r="IOO11" s="28"/>
      <c r="IOP11" s="28"/>
      <c r="IOQ11" s="28"/>
      <c r="IOR11" s="28"/>
      <c r="IOS11" s="28"/>
      <c r="IOT11" s="28"/>
      <c r="IOU11" s="28"/>
      <c r="IOV11" s="28"/>
      <c r="IOW11" s="28"/>
      <c r="IOX11" s="28"/>
      <c r="IOY11" s="28"/>
      <c r="IOZ11" s="28"/>
      <c r="IPA11" s="28"/>
      <c r="IPB11" s="28"/>
      <c r="IPC11" s="28"/>
      <c r="IPD11" s="28"/>
      <c r="IPE11" s="28"/>
      <c r="IPF11" s="28"/>
      <c r="IPG11" s="28"/>
      <c r="IPH11" s="28"/>
      <c r="IPI11" s="28"/>
      <c r="IPJ11" s="28"/>
      <c r="IPK11" s="28"/>
      <c r="IPL11" s="28"/>
      <c r="IPM11" s="28"/>
      <c r="IPN11" s="28"/>
      <c r="IPO11" s="28"/>
      <c r="IPP11" s="28"/>
      <c r="IPQ11" s="28"/>
      <c r="IPR11" s="28"/>
      <c r="IPS11" s="28"/>
      <c r="IPT11" s="28"/>
      <c r="IPU11" s="28"/>
      <c r="IPV11" s="28"/>
      <c r="IPW11" s="28"/>
      <c r="IPX11" s="28"/>
      <c r="IPY11" s="28"/>
      <c r="IPZ11" s="28"/>
      <c r="IQA11" s="28"/>
      <c r="IQB11" s="28"/>
      <c r="IQC11" s="28"/>
      <c r="IQD11" s="28"/>
      <c r="IQE11" s="28"/>
      <c r="IQF11" s="28"/>
      <c r="IQG11" s="28"/>
      <c r="IQH11" s="28"/>
      <c r="IQI11" s="28"/>
      <c r="IQJ11" s="28"/>
      <c r="IQK11" s="28"/>
      <c r="IQL11" s="28"/>
      <c r="IQM11" s="28"/>
      <c r="IQN11" s="28"/>
      <c r="IQO11" s="28"/>
      <c r="IQP11" s="28"/>
      <c r="IQQ11" s="28"/>
      <c r="IQR11" s="28"/>
      <c r="IQS11" s="28"/>
      <c r="IQT11" s="28"/>
      <c r="IQU11" s="28"/>
      <c r="IQV11" s="28"/>
      <c r="IQW11" s="28"/>
      <c r="IQX11" s="28"/>
      <c r="IQY11" s="28"/>
      <c r="IQZ11" s="28"/>
      <c r="IRA11" s="28"/>
      <c r="IRB11" s="28"/>
      <c r="IRC11" s="28"/>
      <c r="IRD11" s="28"/>
      <c r="IRE11" s="28"/>
      <c r="IRF11" s="28"/>
      <c r="IRG11" s="28"/>
      <c r="IRH11" s="28"/>
      <c r="IRI11" s="28"/>
      <c r="IRJ11" s="28"/>
      <c r="IRK11" s="28"/>
      <c r="IRL11" s="28"/>
      <c r="IRM11" s="28"/>
      <c r="IRN11" s="28"/>
      <c r="IRO11" s="28"/>
      <c r="IRP11" s="28"/>
      <c r="IRQ11" s="28"/>
      <c r="IRR11" s="28"/>
      <c r="IRS11" s="28"/>
      <c r="IRT11" s="28"/>
      <c r="IRU11" s="28"/>
      <c r="IRV11" s="28"/>
      <c r="IRW11" s="28"/>
      <c r="IRX11" s="28"/>
      <c r="IRY11" s="28"/>
      <c r="IRZ11" s="28"/>
      <c r="ISA11" s="28"/>
      <c r="ISB11" s="28"/>
      <c r="ISC11" s="28"/>
      <c r="ISD11" s="28"/>
      <c r="ISE11" s="28"/>
      <c r="ISF11" s="28"/>
      <c r="ISG11" s="28"/>
      <c r="ISH11" s="28"/>
      <c r="ISI11" s="28"/>
      <c r="ISJ11" s="28"/>
      <c r="ISK11" s="28"/>
      <c r="ISL11" s="28"/>
      <c r="ISM11" s="28"/>
      <c r="ISN11" s="28"/>
      <c r="ISO11" s="28"/>
      <c r="ISP11" s="28"/>
      <c r="ISQ11" s="28"/>
      <c r="ISR11" s="28"/>
      <c r="ISS11" s="28"/>
      <c r="IST11" s="28"/>
      <c r="ISU11" s="28"/>
      <c r="ISV11" s="28"/>
      <c r="ISW11" s="28"/>
      <c r="ISX11" s="28"/>
      <c r="ISY11" s="28"/>
      <c r="ISZ11" s="28"/>
      <c r="ITA11" s="28"/>
      <c r="ITB11" s="28"/>
      <c r="ITC11" s="28"/>
      <c r="ITD11" s="28"/>
      <c r="ITE11" s="28"/>
      <c r="ITF11" s="28"/>
      <c r="ITG11" s="28"/>
      <c r="ITH11" s="28"/>
      <c r="ITI11" s="28"/>
      <c r="ITJ11" s="28"/>
      <c r="ITK11" s="28"/>
      <c r="ITL11" s="28"/>
      <c r="ITM11" s="28"/>
      <c r="ITN11" s="28"/>
      <c r="ITO11" s="28"/>
      <c r="ITP11" s="28"/>
      <c r="ITQ11" s="28"/>
      <c r="ITR11" s="28"/>
      <c r="ITS11" s="28"/>
      <c r="ITT11" s="28"/>
      <c r="ITU11" s="28"/>
      <c r="ITV11" s="28"/>
      <c r="ITW11" s="28"/>
      <c r="ITX11" s="28"/>
      <c r="ITY11" s="28"/>
      <c r="ITZ11" s="28"/>
      <c r="IUA11" s="28"/>
      <c r="IUB11" s="28"/>
      <c r="IUC11" s="28"/>
      <c r="IUD11" s="28"/>
      <c r="IUE11" s="28"/>
      <c r="IUF11" s="28"/>
      <c r="IUG11" s="28"/>
      <c r="IUH11" s="28"/>
      <c r="IUI11" s="28"/>
      <c r="IUJ11" s="28"/>
      <c r="IUK11" s="28"/>
      <c r="IUL11" s="28"/>
      <c r="IUM11" s="28"/>
      <c r="IUN11" s="28"/>
      <c r="IUO11" s="28"/>
      <c r="IUP11" s="28"/>
      <c r="IUQ11" s="28"/>
      <c r="IUR11" s="28"/>
      <c r="IUS11" s="28"/>
      <c r="IUT11" s="28"/>
      <c r="IUU11" s="28"/>
      <c r="IUV11" s="28"/>
      <c r="IUW11" s="28"/>
      <c r="IUX11" s="28"/>
      <c r="IUY11" s="28"/>
      <c r="IUZ11" s="28"/>
      <c r="IVA11" s="28"/>
      <c r="IVB11" s="28"/>
      <c r="IVC11" s="28"/>
      <c r="IVD11" s="28"/>
      <c r="IVE11" s="28"/>
      <c r="IVF11" s="28"/>
      <c r="IVG11" s="28"/>
      <c r="IVH11" s="28"/>
      <c r="IVI11" s="28"/>
      <c r="IVJ11" s="28"/>
      <c r="IVK11" s="28"/>
      <c r="IVL11" s="28"/>
      <c r="IVM11" s="28"/>
      <c r="IVN11" s="28"/>
      <c r="IVO11" s="28"/>
      <c r="IVP11" s="28"/>
      <c r="IVQ11" s="28"/>
      <c r="IVR11" s="28"/>
      <c r="IVS11" s="28"/>
      <c r="IVT11" s="28"/>
      <c r="IVU11" s="28"/>
      <c r="IVV11" s="28"/>
      <c r="IVW11" s="28"/>
      <c r="IVX11" s="28"/>
      <c r="IVY11" s="28"/>
      <c r="IVZ11" s="28"/>
      <c r="IWA11" s="28"/>
      <c r="IWB11" s="28"/>
      <c r="IWC11" s="28"/>
      <c r="IWD11" s="28"/>
      <c r="IWE11" s="28"/>
      <c r="IWF11" s="28"/>
      <c r="IWG11" s="28"/>
      <c r="IWH11" s="28"/>
      <c r="IWI11" s="28"/>
      <c r="IWJ11" s="28"/>
      <c r="IWK11" s="28"/>
      <c r="IWL11" s="28"/>
      <c r="IWM11" s="28"/>
      <c r="IWN11" s="28"/>
      <c r="IWO11" s="28"/>
      <c r="IWP11" s="28"/>
      <c r="IWQ11" s="28"/>
      <c r="IWR11" s="28"/>
      <c r="IWS11" s="28"/>
      <c r="IWT11" s="28"/>
      <c r="IWU11" s="28"/>
      <c r="IWV11" s="28"/>
      <c r="IWW11" s="28"/>
      <c r="IWX11" s="28"/>
      <c r="IWY11" s="28"/>
      <c r="IWZ11" s="28"/>
      <c r="IXA11" s="28"/>
      <c r="IXB11" s="28"/>
      <c r="IXC11" s="28"/>
      <c r="IXD11" s="28"/>
      <c r="IXE11" s="28"/>
      <c r="IXF11" s="28"/>
      <c r="IXG11" s="28"/>
      <c r="IXH11" s="28"/>
      <c r="IXI11" s="28"/>
      <c r="IXJ11" s="28"/>
      <c r="IXK11" s="28"/>
      <c r="IXL11" s="28"/>
      <c r="IXM11" s="28"/>
      <c r="IXN11" s="28"/>
      <c r="IXO11" s="28"/>
      <c r="IXP11" s="28"/>
      <c r="IXQ11" s="28"/>
      <c r="IXR11" s="28"/>
      <c r="IXS11" s="28"/>
      <c r="IXT11" s="28"/>
      <c r="IXU11" s="28"/>
      <c r="IXV11" s="28"/>
      <c r="IXW11" s="28"/>
      <c r="IXX11" s="28"/>
      <c r="IXY11" s="28"/>
      <c r="IXZ11" s="28"/>
      <c r="IYA11" s="28"/>
      <c r="IYB11" s="28"/>
      <c r="IYC11" s="28"/>
      <c r="IYD11" s="28"/>
      <c r="IYE11" s="28"/>
      <c r="IYF11" s="28"/>
      <c r="IYG11" s="28"/>
      <c r="IYH11" s="28"/>
      <c r="IYI11" s="28"/>
      <c r="IYJ11" s="28"/>
      <c r="IYK11" s="28"/>
      <c r="IYL11" s="28"/>
      <c r="IYM11" s="28"/>
      <c r="IYN11" s="28"/>
      <c r="IYO11" s="28"/>
      <c r="IYP11" s="28"/>
      <c r="IYQ11" s="28"/>
      <c r="IYR11" s="28"/>
      <c r="IYS11" s="28"/>
      <c r="IYT11" s="28"/>
      <c r="IYU11" s="28"/>
      <c r="IYV11" s="28"/>
      <c r="IYW11" s="28"/>
      <c r="IYX11" s="28"/>
      <c r="IYY11" s="28"/>
      <c r="IYZ11" s="28"/>
      <c r="IZA11" s="28"/>
      <c r="IZB11" s="28"/>
      <c r="IZC11" s="28"/>
      <c r="IZD11" s="28"/>
      <c r="IZE11" s="28"/>
      <c r="IZF11" s="28"/>
      <c r="IZG11" s="28"/>
      <c r="IZH11" s="28"/>
      <c r="IZI11" s="28"/>
      <c r="IZJ11" s="28"/>
      <c r="IZK11" s="28"/>
      <c r="IZL11" s="28"/>
      <c r="IZM11" s="28"/>
      <c r="IZN11" s="28"/>
      <c r="IZO11" s="28"/>
      <c r="IZP11" s="28"/>
      <c r="IZQ11" s="28"/>
      <c r="IZR11" s="28"/>
      <c r="IZS11" s="28"/>
      <c r="IZT11" s="28"/>
      <c r="IZU11" s="28"/>
      <c r="IZV11" s="28"/>
      <c r="IZW11" s="28"/>
      <c r="IZX11" s="28"/>
      <c r="IZY11" s="28"/>
      <c r="IZZ11" s="28"/>
      <c r="JAA11" s="28"/>
      <c r="JAB11" s="28"/>
      <c r="JAC11" s="28"/>
      <c r="JAD11" s="28"/>
      <c r="JAE11" s="28"/>
      <c r="JAF11" s="28"/>
      <c r="JAG11" s="28"/>
      <c r="JAH11" s="28"/>
      <c r="JAI11" s="28"/>
      <c r="JAJ11" s="28"/>
      <c r="JAK11" s="28"/>
      <c r="JAL11" s="28"/>
      <c r="JAM11" s="28"/>
      <c r="JAN11" s="28"/>
      <c r="JAO11" s="28"/>
      <c r="JAP11" s="28"/>
      <c r="JAQ11" s="28"/>
      <c r="JAR11" s="28"/>
      <c r="JAS11" s="28"/>
      <c r="JAT11" s="28"/>
      <c r="JAU11" s="28"/>
      <c r="JAV11" s="28"/>
      <c r="JAW11" s="28"/>
      <c r="JAX11" s="28"/>
      <c r="JAY11" s="28"/>
      <c r="JAZ11" s="28"/>
      <c r="JBA11" s="28"/>
      <c r="JBB11" s="28"/>
      <c r="JBC11" s="28"/>
      <c r="JBD11" s="28"/>
      <c r="JBE11" s="28"/>
      <c r="JBF11" s="28"/>
      <c r="JBG11" s="28"/>
      <c r="JBH11" s="28"/>
      <c r="JBI11" s="28"/>
      <c r="JBJ11" s="28"/>
      <c r="JBK11" s="28"/>
      <c r="JBL11" s="28"/>
      <c r="JBM11" s="28"/>
      <c r="JBN11" s="28"/>
      <c r="JBO11" s="28"/>
      <c r="JBP11" s="28"/>
      <c r="JBQ11" s="28"/>
      <c r="JBR11" s="28"/>
      <c r="JBS11" s="28"/>
      <c r="JBT11" s="28"/>
      <c r="JBU11" s="28"/>
      <c r="JBV11" s="28"/>
      <c r="JBW11" s="28"/>
      <c r="JBX11" s="28"/>
      <c r="JBY11" s="28"/>
      <c r="JBZ11" s="28"/>
      <c r="JCA11" s="28"/>
      <c r="JCB11" s="28"/>
      <c r="JCC11" s="28"/>
      <c r="JCD11" s="28"/>
      <c r="JCE11" s="28"/>
      <c r="JCF11" s="28"/>
      <c r="JCG11" s="28"/>
      <c r="JCH11" s="28"/>
      <c r="JCI11" s="28"/>
      <c r="JCJ11" s="28"/>
      <c r="JCK11" s="28"/>
      <c r="JCL11" s="28"/>
      <c r="JCM11" s="28"/>
      <c r="JCN11" s="28"/>
      <c r="JCO11" s="28"/>
      <c r="JCP11" s="28"/>
      <c r="JCQ11" s="28"/>
      <c r="JCR11" s="28"/>
      <c r="JCS11" s="28"/>
      <c r="JCT11" s="28"/>
      <c r="JCU11" s="28"/>
      <c r="JCV11" s="28"/>
      <c r="JCW11" s="28"/>
      <c r="JCX11" s="28"/>
      <c r="JCY11" s="28"/>
      <c r="JCZ11" s="28"/>
      <c r="JDA11" s="28"/>
      <c r="JDB11" s="28"/>
      <c r="JDC11" s="28"/>
      <c r="JDD11" s="28"/>
      <c r="JDE11" s="28"/>
      <c r="JDF11" s="28"/>
      <c r="JDG11" s="28"/>
      <c r="JDH11" s="28"/>
      <c r="JDI11" s="28"/>
      <c r="JDJ11" s="28"/>
      <c r="JDK11" s="28"/>
      <c r="JDL11" s="28"/>
      <c r="JDM11" s="28"/>
      <c r="JDN11" s="28"/>
      <c r="JDO11" s="28"/>
      <c r="JDP11" s="28"/>
      <c r="JDQ11" s="28"/>
      <c r="JDR11" s="28"/>
      <c r="JDS11" s="28"/>
      <c r="JDT11" s="28"/>
      <c r="JDU11" s="28"/>
      <c r="JDV11" s="28"/>
      <c r="JDW11" s="28"/>
      <c r="JDX11" s="28"/>
      <c r="JDY11" s="28"/>
      <c r="JDZ11" s="28"/>
      <c r="JEA11" s="28"/>
      <c r="JEB11" s="28"/>
      <c r="JEC11" s="28"/>
      <c r="JED11" s="28"/>
      <c r="JEE11" s="28"/>
      <c r="JEF11" s="28"/>
      <c r="JEG11" s="28"/>
      <c r="JEH11" s="28"/>
      <c r="JEI11" s="28"/>
      <c r="JEJ11" s="28"/>
      <c r="JEK11" s="28"/>
      <c r="JEL11" s="28"/>
      <c r="JEM11" s="28"/>
      <c r="JEN11" s="28"/>
      <c r="JEO11" s="28"/>
      <c r="JEP11" s="28"/>
      <c r="JEQ11" s="28"/>
      <c r="JER11" s="28"/>
      <c r="JES11" s="28"/>
      <c r="JET11" s="28"/>
      <c r="JEU11" s="28"/>
      <c r="JEV11" s="28"/>
      <c r="JEW11" s="28"/>
      <c r="JEX11" s="28"/>
      <c r="JEY11" s="28"/>
      <c r="JEZ11" s="28"/>
      <c r="JFA11" s="28"/>
      <c r="JFB11" s="28"/>
      <c r="JFC11" s="28"/>
      <c r="JFD11" s="28"/>
      <c r="JFE11" s="28"/>
      <c r="JFF11" s="28"/>
      <c r="JFG11" s="28"/>
      <c r="JFH11" s="28"/>
      <c r="JFI11" s="28"/>
      <c r="JFJ11" s="28"/>
      <c r="JFK11" s="28"/>
      <c r="JFL11" s="28"/>
      <c r="JFM11" s="28"/>
      <c r="JFN11" s="28"/>
      <c r="JFO11" s="28"/>
      <c r="JFP11" s="28"/>
      <c r="JFQ11" s="28"/>
      <c r="JFR11" s="28"/>
      <c r="JFS11" s="28"/>
      <c r="JFT11" s="28"/>
      <c r="JFU11" s="28"/>
      <c r="JFV11" s="28"/>
      <c r="JFW11" s="28"/>
      <c r="JFX11" s="28"/>
      <c r="JFY11" s="28"/>
      <c r="JFZ11" s="28"/>
      <c r="JGA11" s="28"/>
      <c r="JGB11" s="28"/>
      <c r="JGC11" s="28"/>
      <c r="JGD11" s="28"/>
      <c r="JGE11" s="28"/>
      <c r="JGF11" s="28"/>
      <c r="JGG11" s="28"/>
      <c r="JGH11" s="28"/>
      <c r="JGI11" s="28"/>
      <c r="JGJ11" s="28"/>
      <c r="JGK11" s="28"/>
      <c r="JGL11" s="28"/>
      <c r="JGM11" s="28"/>
      <c r="JGN11" s="28"/>
      <c r="JGO11" s="28"/>
      <c r="JGP11" s="28"/>
      <c r="JGQ11" s="28"/>
      <c r="JGR11" s="28"/>
      <c r="JGS11" s="28"/>
      <c r="JGT11" s="28"/>
      <c r="JGU11" s="28"/>
      <c r="JGV11" s="28"/>
      <c r="JGW11" s="28"/>
      <c r="JGX11" s="28"/>
      <c r="JGY11" s="28"/>
      <c r="JGZ11" s="28"/>
      <c r="JHA11" s="28"/>
      <c r="JHB11" s="28"/>
      <c r="JHC11" s="28"/>
      <c r="JHD11" s="28"/>
      <c r="JHE11" s="28"/>
      <c r="JHF11" s="28"/>
      <c r="JHG11" s="28"/>
      <c r="JHH11" s="28"/>
      <c r="JHI11" s="28"/>
      <c r="JHJ11" s="28"/>
      <c r="JHK11" s="28"/>
      <c r="JHL11" s="28"/>
      <c r="JHM11" s="28"/>
      <c r="JHN11" s="28"/>
      <c r="JHO11" s="28"/>
      <c r="JHP11" s="28"/>
      <c r="JHQ11" s="28"/>
      <c r="JHR11" s="28"/>
      <c r="JHS11" s="28"/>
      <c r="JHT11" s="28"/>
      <c r="JHU11" s="28"/>
      <c r="JHV11" s="28"/>
      <c r="JHW11" s="28"/>
      <c r="JHX11" s="28"/>
      <c r="JHY11" s="28"/>
      <c r="JHZ11" s="28"/>
      <c r="JIA11" s="28"/>
      <c r="JIB11" s="28"/>
      <c r="JIC11" s="28"/>
      <c r="JID11" s="28"/>
      <c r="JIE11" s="28"/>
      <c r="JIF11" s="28"/>
      <c r="JIG11" s="28"/>
      <c r="JIH11" s="28"/>
      <c r="JII11" s="28"/>
      <c r="JIJ11" s="28"/>
      <c r="JIK11" s="28"/>
      <c r="JIL11" s="28"/>
      <c r="JIM11" s="28"/>
      <c r="JIN11" s="28"/>
      <c r="JIO11" s="28"/>
      <c r="JIP11" s="28"/>
      <c r="JIQ11" s="28"/>
      <c r="JIR11" s="28"/>
      <c r="JIS11" s="28"/>
      <c r="JIT11" s="28"/>
      <c r="JIU11" s="28"/>
      <c r="JIV11" s="28"/>
      <c r="JIW11" s="28"/>
      <c r="JIX11" s="28"/>
      <c r="JIY11" s="28"/>
      <c r="JIZ11" s="28"/>
      <c r="JJA11" s="28"/>
      <c r="JJB11" s="28"/>
      <c r="JJC11" s="28"/>
      <c r="JJD11" s="28"/>
      <c r="JJE11" s="28"/>
      <c r="JJF11" s="28"/>
      <c r="JJG11" s="28"/>
      <c r="JJH11" s="28"/>
      <c r="JJI11" s="28"/>
      <c r="JJJ11" s="28"/>
      <c r="JJK11" s="28"/>
      <c r="JJL11" s="28"/>
      <c r="JJM11" s="28"/>
      <c r="JJN11" s="28"/>
      <c r="JJO11" s="28"/>
      <c r="JJP11" s="28"/>
      <c r="JJQ11" s="28"/>
      <c r="JJR11" s="28"/>
      <c r="JJS11" s="28"/>
      <c r="JJT11" s="28"/>
      <c r="JJU11" s="28"/>
      <c r="JJV11" s="28"/>
      <c r="JJW11" s="28"/>
      <c r="JJX11" s="28"/>
      <c r="JJY11" s="28"/>
      <c r="JJZ11" s="28"/>
      <c r="JKA11" s="28"/>
      <c r="JKB11" s="28"/>
      <c r="JKC11" s="28"/>
      <c r="JKD11" s="28"/>
      <c r="JKE11" s="28"/>
      <c r="JKF11" s="28"/>
      <c r="JKG11" s="28"/>
      <c r="JKH11" s="28"/>
      <c r="JKI11" s="28"/>
      <c r="JKJ11" s="28"/>
      <c r="JKK11" s="28"/>
      <c r="JKL11" s="28"/>
      <c r="JKM11" s="28"/>
      <c r="JKN11" s="28"/>
      <c r="JKO11" s="28"/>
      <c r="JKP11" s="28"/>
      <c r="JKQ11" s="28"/>
      <c r="JKR11" s="28"/>
      <c r="JKS11" s="28"/>
      <c r="JKT11" s="28"/>
      <c r="JKU11" s="28"/>
      <c r="JKV11" s="28"/>
      <c r="JKW11" s="28"/>
      <c r="JKX11" s="28"/>
      <c r="JKY11" s="28"/>
      <c r="JKZ11" s="28"/>
      <c r="JLA11" s="28"/>
      <c r="JLB11" s="28"/>
      <c r="JLC11" s="28"/>
      <c r="JLD11" s="28"/>
      <c r="JLE11" s="28"/>
      <c r="JLF11" s="28"/>
      <c r="JLG11" s="28"/>
      <c r="JLH11" s="28"/>
      <c r="JLI11" s="28"/>
      <c r="JLJ11" s="28"/>
      <c r="JLK11" s="28"/>
      <c r="JLL11" s="28"/>
      <c r="JLM11" s="28"/>
      <c r="JLN11" s="28"/>
      <c r="JLO11" s="28"/>
      <c r="JLP11" s="28"/>
      <c r="JLQ11" s="28"/>
      <c r="JLR11" s="28"/>
      <c r="JLS11" s="28"/>
      <c r="JLT11" s="28"/>
      <c r="JLU11" s="28"/>
      <c r="JLV11" s="28"/>
      <c r="JLW11" s="28"/>
      <c r="JLX11" s="28"/>
      <c r="JLY11" s="28"/>
      <c r="JLZ11" s="28"/>
      <c r="JMA11" s="28"/>
      <c r="JMB11" s="28"/>
      <c r="JMC11" s="28"/>
      <c r="JMD11" s="28"/>
      <c r="JME11" s="28"/>
      <c r="JMF11" s="28"/>
      <c r="JMG11" s="28"/>
      <c r="JMH11" s="28"/>
      <c r="JMI11" s="28"/>
      <c r="JMJ11" s="28"/>
      <c r="JMK11" s="28"/>
      <c r="JML11" s="28"/>
      <c r="JMM11" s="28"/>
      <c r="JMN11" s="28"/>
      <c r="JMO11" s="28"/>
      <c r="JMP11" s="28"/>
      <c r="JMQ11" s="28"/>
      <c r="JMR11" s="28"/>
      <c r="JMS11" s="28"/>
      <c r="JMT11" s="28"/>
      <c r="JMU11" s="28"/>
      <c r="JMV11" s="28"/>
      <c r="JMW11" s="28"/>
      <c r="JMX11" s="28"/>
      <c r="JMY11" s="28"/>
      <c r="JMZ11" s="28"/>
      <c r="JNA11" s="28"/>
      <c r="JNB11" s="28"/>
      <c r="JNC11" s="28"/>
      <c r="JND11" s="28"/>
      <c r="JNE11" s="28"/>
      <c r="JNF11" s="28"/>
      <c r="JNG11" s="28"/>
      <c r="JNH11" s="28"/>
      <c r="JNI11" s="28"/>
      <c r="JNJ11" s="28"/>
      <c r="JNK11" s="28"/>
      <c r="JNL11" s="28"/>
      <c r="JNM11" s="28"/>
      <c r="JNN11" s="28"/>
      <c r="JNO11" s="28"/>
      <c r="JNP11" s="28"/>
      <c r="JNQ11" s="28"/>
      <c r="JNR11" s="28"/>
      <c r="JNS11" s="28"/>
      <c r="JNT11" s="28"/>
      <c r="JNU11" s="28"/>
      <c r="JNV11" s="28"/>
      <c r="JNW11" s="28"/>
      <c r="JNX11" s="28"/>
      <c r="JNY11" s="28"/>
      <c r="JNZ11" s="28"/>
      <c r="JOA11" s="28"/>
      <c r="JOB11" s="28"/>
      <c r="JOC11" s="28"/>
      <c r="JOD11" s="28"/>
      <c r="JOE11" s="28"/>
      <c r="JOF11" s="28"/>
      <c r="JOG11" s="28"/>
      <c r="JOH11" s="28"/>
      <c r="JOI11" s="28"/>
      <c r="JOJ11" s="28"/>
      <c r="JOK11" s="28"/>
      <c r="JOL11" s="28"/>
      <c r="JOM11" s="28"/>
      <c r="JON11" s="28"/>
      <c r="JOO11" s="28"/>
      <c r="JOP11" s="28"/>
      <c r="JOQ11" s="28"/>
      <c r="JOR11" s="28"/>
      <c r="JOS11" s="28"/>
      <c r="JOT11" s="28"/>
      <c r="JOU11" s="28"/>
      <c r="JOV11" s="28"/>
      <c r="JOW11" s="28"/>
      <c r="JOX11" s="28"/>
      <c r="JOY11" s="28"/>
      <c r="JOZ11" s="28"/>
      <c r="JPA11" s="28"/>
      <c r="JPB11" s="28"/>
      <c r="JPC11" s="28"/>
      <c r="JPD11" s="28"/>
      <c r="JPE11" s="28"/>
      <c r="JPF11" s="28"/>
      <c r="JPG11" s="28"/>
      <c r="JPH11" s="28"/>
      <c r="JPI11" s="28"/>
      <c r="JPJ11" s="28"/>
      <c r="JPK11" s="28"/>
      <c r="JPL11" s="28"/>
      <c r="JPM11" s="28"/>
      <c r="JPN11" s="28"/>
      <c r="JPO11" s="28"/>
      <c r="JPP11" s="28"/>
      <c r="JPQ11" s="28"/>
      <c r="JPR11" s="28"/>
      <c r="JPS11" s="28"/>
      <c r="JPT11" s="28"/>
      <c r="JPU11" s="28"/>
      <c r="JPV11" s="28"/>
      <c r="JPW11" s="28"/>
      <c r="JPX11" s="28"/>
      <c r="JPY11" s="28"/>
      <c r="JPZ11" s="28"/>
      <c r="JQA11" s="28"/>
      <c r="JQB11" s="28"/>
      <c r="JQC11" s="28"/>
      <c r="JQD11" s="28"/>
      <c r="JQE11" s="28"/>
      <c r="JQF11" s="28"/>
      <c r="JQG11" s="28"/>
      <c r="JQH11" s="28"/>
      <c r="JQI11" s="28"/>
      <c r="JQJ11" s="28"/>
      <c r="JQK11" s="28"/>
      <c r="JQL11" s="28"/>
      <c r="JQM11" s="28"/>
      <c r="JQN11" s="28"/>
      <c r="JQO11" s="28"/>
      <c r="JQP11" s="28"/>
      <c r="JQQ11" s="28"/>
      <c r="JQR11" s="28"/>
      <c r="JQS11" s="28"/>
      <c r="JQT11" s="28"/>
      <c r="JQU11" s="28"/>
      <c r="JQV11" s="28"/>
      <c r="JQW11" s="28"/>
      <c r="JQX11" s="28"/>
      <c r="JQY11" s="28"/>
      <c r="JQZ11" s="28"/>
      <c r="JRA11" s="28"/>
      <c r="JRB11" s="28"/>
      <c r="JRC11" s="28"/>
      <c r="JRD11" s="28"/>
      <c r="JRE11" s="28"/>
      <c r="JRF11" s="28"/>
      <c r="JRG11" s="28"/>
      <c r="JRH11" s="28"/>
      <c r="JRI11" s="28"/>
      <c r="JRJ11" s="28"/>
      <c r="JRK11" s="28"/>
      <c r="JRL11" s="28"/>
      <c r="JRM11" s="28"/>
      <c r="JRN11" s="28"/>
      <c r="JRO11" s="28"/>
      <c r="JRP11" s="28"/>
      <c r="JRQ11" s="28"/>
      <c r="JRR11" s="28"/>
      <c r="JRS11" s="28"/>
      <c r="JRT11" s="28"/>
      <c r="JRU11" s="28"/>
      <c r="JRV11" s="28"/>
      <c r="JRW11" s="28"/>
      <c r="JRX11" s="28"/>
      <c r="JRY11" s="28"/>
      <c r="JRZ11" s="28"/>
      <c r="JSA11" s="28"/>
      <c r="JSB11" s="28"/>
      <c r="JSC11" s="28"/>
      <c r="JSD11" s="28"/>
      <c r="JSE11" s="28"/>
      <c r="JSF11" s="28"/>
      <c r="JSG11" s="28"/>
      <c r="JSH11" s="28"/>
      <c r="JSI11" s="28"/>
      <c r="JSJ11" s="28"/>
      <c r="JSK11" s="28"/>
      <c r="JSL11" s="28"/>
      <c r="JSM11" s="28"/>
      <c r="JSN11" s="28"/>
      <c r="JSO11" s="28"/>
      <c r="JSP11" s="28"/>
      <c r="JSQ11" s="28"/>
      <c r="JSR11" s="28"/>
      <c r="JSS11" s="28"/>
      <c r="JST11" s="28"/>
      <c r="JSU11" s="28"/>
      <c r="JSV11" s="28"/>
      <c r="JSW11" s="28"/>
      <c r="JSX11" s="28"/>
      <c r="JSY11" s="28"/>
      <c r="JSZ11" s="28"/>
      <c r="JTA11" s="28"/>
      <c r="JTB11" s="28"/>
      <c r="JTC11" s="28"/>
      <c r="JTD11" s="28"/>
      <c r="JTE11" s="28"/>
      <c r="JTF11" s="28"/>
      <c r="JTG11" s="28"/>
      <c r="JTH11" s="28"/>
      <c r="JTI11" s="28"/>
      <c r="JTJ11" s="28"/>
      <c r="JTK11" s="28"/>
      <c r="JTL11" s="28"/>
      <c r="JTM11" s="28"/>
      <c r="JTN11" s="28"/>
      <c r="JTO11" s="28"/>
      <c r="JTP11" s="28"/>
      <c r="JTQ11" s="28"/>
      <c r="JTR11" s="28"/>
      <c r="JTS11" s="28"/>
      <c r="JTT11" s="28"/>
      <c r="JTU11" s="28"/>
      <c r="JTV11" s="28"/>
      <c r="JTW11" s="28"/>
      <c r="JTX11" s="28"/>
      <c r="JTY11" s="28"/>
      <c r="JTZ11" s="28"/>
      <c r="JUA11" s="28"/>
      <c r="JUB11" s="28"/>
      <c r="JUC11" s="28"/>
      <c r="JUD11" s="28"/>
      <c r="JUE11" s="28"/>
      <c r="JUF11" s="28"/>
      <c r="JUG11" s="28"/>
      <c r="JUH11" s="28"/>
      <c r="JUI11" s="28"/>
      <c r="JUJ11" s="28"/>
      <c r="JUK11" s="28"/>
      <c r="JUL11" s="28"/>
      <c r="JUM11" s="28"/>
      <c r="JUN11" s="28"/>
      <c r="JUO11" s="28"/>
      <c r="JUP11" s="28"/>
      <c r="JUQ11" s="28"/>
      <c r="JUR11" s="28"/>
      <c r="JUS11" s="28"/>
      <c r="JUT11" s="28"/>
      <c r="JUU11" s="28"/>
      <c r="JUV11" s="28"/>
      <c r="JUW11" s="28"/>
      <c r="JUX11" s="28"/>
      <c r="JUY11" s="28"/>
      <c r="JUZ11" s="28"/>
      <c r="JVA11" s="28"/>
      <c r="JVB11" s="28"/>
      <c r="JVC11" s="28"/>
      <c r="JVD11" s="28"/>
      <c r="JVE11" s="28"/>
      <c r="JVF11" s="28"/>
      <c r="JVG11" s="28"/>
      <c r="JVH11" s="28"/>
      <c r="JVI11" s="28"/>
      <c r="JVJ11" s="28"/>
      <c r="JVK11" s="28"/>
      <c r="JVL11" s="28"/>
      <c r="JVM11" s="28"/>
      <c r="JVN11" s="28"/>
      <c r="JVO11" s="28"/>
      <c r="JVP11" s="28"/>
      <c r="JVQ11" s="28"/>
      <c r="JVR11" s="28"/>
      <c r="JVS11" s="28"/>
      <c r="JVT11" s="28"/>
      <c r="JVU11" s="28"/>
      <c r="JVV11" s="28"/>
      <c r="JVW11" s="28"/>
      <c r="JVX11" s="28"/>
      <c r="JVY11" s="28"/>
      <c r="JVZ11" s="28"/>
      <c r="JWA11" s="28"/>
      <c r="JWB11" s="28"/>
      <c r="JWC11" s="28"/>
      <c r="JWD11" s="28"/>
      <c r="JWE11" s="28"/>
      <c r="JWF11" s="28"/>
      <c r="JWG11" s="28"/>
      <c r="JWH11" s="28"/>
      <c r="JWI11" s="28"/>
      <c r="JWJ11" s="28"/>
      <c r="JWK11" s="28"/>
      <c r="JWL11" s="28"/>
      <c r="JWM11" s="28"/>
      <c r="JWN11" s="28"/>
      <c r="JWO11" s="28"/>
      <c r="JWP11" s="28"/>
      <c r="JWQ11" s="28"/>
      <c r="JWR11" s="28"/>
      <c r="JWS11" s="28"/>
      <c r="JWT11" s="28"/>
      <c r="JWU11" s="28"/>
      <c r="JWV11" s="28"/>
      <c r="JWW11" s="28"/>
      <c r="JWX11" s="28"/>
      <c r="JWY11" s="28"/>
      <c r="JWZ11" s="28"/>
      <c r="JXA11" s="28"/>
      <c r="JXB11" s="28"/>
      <c r="JXC11" s="28"/>
      <c r="JXD11" s="28"/>
      <c r="JXE11" s="28"/>
      <c r="JXF11" s="28"/>
      <c r="JXG11" s="28"/>
      <c r="JXH11" s="28"/>
      <c r="JXI11" s="28"/>
      <c r="JXJ11" s="28"/>
      <c r="JXK11" s="28"/>
      <c r="JXL11" s="28"/>
      <c r="JXM11" s="28"/>
      <c r="JXN11" s="28"/>
      <c r="JXO11" s="28"/>
      <c r="JXP11" s="28"/>
      <c r="JXQ11" s="28"/>
      <c r="JXR11" s="28"/>
      <c r="JXS11" s="28"/>
      <c r="JXT11" s="28"/>
      <c r="JXU11" s="28"/>
      <c r="JXV11" s="28"/>
      <c r="JXW11" s="28"/>
      <c r="JXX11" s="28"/>
      <c r="JXY11" s="28"/>
      <c r="JXZ11" s="28"/>
      <c r="JYA11" s="28"/>
      <c r="JYB11" s="28"/>
      <c r="JYC11" s="28"/>
      <c r="JYD11" s="28"/>
      <c r="JYE11" s="28"/>
      <c r="JYF11" s="28"/>
      <c r="JYG11" s="28"/>
      <c r="JYH11" s="28"/>
      <c r="JYI11" s="28"/>
      <c r="JYJ11" s="28"/>
      <c r="JYK11" s="28"/>
      <c r="JYL11" s="28"/>
      <c r="JYM11" s="28"/>
      <c r="JYN11" s="28"/>
      <c r="JYO11" s="28"/>
      <c r="JYP11" s="28"/>
      <c r="JYQ11" s="28"/>
      <c r="JYR11" s="28"/>
      <c r="JYS11" s="28"/>
      <c r="JYT11" s="28"/>
      <c r="JYU11" s="28"/>
      <c r="JYV11" s="28"/>
      <c r="JYW11" s="28"/>
      <c r="JYX11" s="28"/>
      <c r="JYY11" s="28"/>
      <c r="JYZ11" s="28"/>
      <c r="JZA11" s="28"/>
      <c r="JZB11" s="28"/>
      <c r="JZC11" s="28"/>
      <c r="JZD11" s="28"/>
      <c r="JZE11" s="28"/>
      <c r="JZF11" s="28"/>
      <c r="JZG11" s="28"/>
      <c r="JZH11" s="28"/>
      <c r="JZI11" s="28"/>
      <c r="JZJ11" s="28"/>
      <c r="JZK11" s="28"/>
      <c r="JZL11" s="28"/>
      <c r="JZM11" s="28"/>
      <c r="JZN11" s="28"/>
      <c r="JZO11" s="28"/>
      <c r="JZP11" s="28"/>
      <c r="JZQ11" s="28"/>
      <c r="JZR11" s="28"/>
      <c r="JZS11" s="28"/>
      <c r="JZT11" s="28"/>
      <c r="JZU11" s="28"/>
      <c r="JZV11" s="28"/>
      <c r="JZW11" s="28"/>
      <c r="JZX11" s="28"/>
      <c r="JZY11" s="28"/>
      <c r="JZZ11" s="28"/>
      <c r="KAA11" s="28"/>
      <c r="KAB11" s="28"/>
      <c r="KAC11" s="28"/>
      <c r="KAD11" s="28"/>
      <c r="KAE11" s="28"/>
      <c r="KAF11" s="28"/>
      <c r="KAG11" s="28"/>
      <c r="KAH11" s="28"/>
      <c r="KAI11" s="28"/>
      <c r="KAJ11" s="28"/>
      <c r="KAK11" s="28"/>
      <c r="KAL11" s="28"/>
      <c r="KAM11" s="28"/>
      <c r="KAN11" s="28"/>
      <c r="KAO11" s="28"/>
      <c r="KAP11" s="28"/>
      <c r="KAQ11" s="28"/>
      <c r="KAR11" s="28"/>
      <c r="KAS11" s="28"/>
      <c r="KAT11" s="28"/>
      <c r="KAU11" s="28"/>
      <c r="KAV11" s="28"/>
      <c r="KAW11" s="28"/>
      <c r="KAX11" s="28"/>
      <c r="KAY11" s="28"/>
      <c r="KAZ11" s="28"/>
      <c r="KBA11" s="28"/>
      <c r="KBB11" s="28"/>
      <c r="KBC11" s="28"/>
      <c r="KBD11" s="28"/>
      <c r="KBE11" s="28"/>
      <c r="KBF11" s="28"/>
      <c r="KBG11" s="28"/>
      <c r="KBH11" s="28"/>
      <c r="KBI11" s="28"/>
      <c r="KBJ11" s="28"/>
      <c r="KBK11" s="28"/>
      <c r="KBL11" s="28"/>
      <c r="KBM11" s="28"/>
      <c r="KBN11" s="28"/>
      <c r="KBO11" s="28"/>
      <c r="KBP11" s="28"/>
      <c r="KBQ11" s="28"/>
      <c r="KBR11" s="28"/>
      <c r="KBS11" s="28"/>
      <c r="KBT11" s="28"/>
      <c r="KBU11" s="28"/>
      <c r="KBV11" s="28"/>
      <c r="KBW11" s="28"/>
      <c r="KBX11" s="28"/>
      <c r="KBY11" s="28"/>
      <c r="KBZ11" s="28"/>
      <c r="KCA11" s="28"/>
      <c r="KCB11" s="28"/>
      <c r="KCC11" s="28"/>
      <c r="KCD11" s="28"/>
      <c r="KCE11" s="28"/>
      <c r="KCF11" s="28"/>
      <c r="KCG11" s="28"/>
      <c r="KCH11" s="28"/>
      <c r="KCI11" s="28"/>
      <c r="KCJ11" s="28"/>
      <c r="KCK11" s="28"/>
      <c r="KCL11" s="28"/>
      <c r="KCM11" s="28"/>
      <c r="KCN11" s="28"/>
      <c r="KCO11" s="28"/>
      <c r="KCP11" s="28"/>
      <c r="KCQ11" s="28"/>
      <c r="KCR11" s="28"/>
      <c r="KCS11" s="28"/>
      <c r="KCT11" s="28"/>
      <c r="KCU11" s="28"/>
      <c r="KCV11" s="28"/>
      <c r="KCW11" s="28"/>
      <c r="KCX11" s="28"/>
      <c r="KCY11" s="28"/>
      <c r="KCZ11" s="28"/>
      <c r="KDA11" s="28"/>
      <c r="KDB11" s="28"/>
      <c r="KDC11" s="28"/>
      <c r="KDD11" s="28"/>
      <c r="KDE11" s="28"/>
      <c r="KDF11" s="28"/>
      <c r="KDG11" s="28"/>
      <c r="KDH11" s="28"/>
      <c r="KDI11" s="28"/>
      <c r="KDJ11" s="28"/>
      <c r="KDK11" s="28"/>
      <c r="KDL11" s="28"/>
      <c r="KDM11" s="28"/>
      <c r="KDN11" s="28"/>
      <c r="KDO11" s="28"/>
      <c r="KDP11" s="28"/>
      <c r="KDQ11" s="28"/>
      <c r="KDR11" s="28"/>
      <c r="KDS11" s="28"/>
      <c r="KDT11" s="28"/>
      <c r="KDU11" s="28"/>
      <c r="KDV11" s="28"/>
      <c r="KDW11" s="28"/>
      <c r="KDX11" s="28"/>
      <c r="KDY11" s="28"/>
      <c r="KDZ11" s="28"/>
      <c r="KEA11" s="28"/>
      <c r="KEB11" s="28"/>
      <c r="KEC11" s="28"/>
      <c r="KED11" s="28"/>
      <c r="KEE11" s="28"/>
      <c r="KEF11" s="28"/>
      <c r="KEG11" s="28"/>
      <c r="KEH11" s="28"/>
      <c r="KEI11" s="28"/>
      <c r="KEJ11" s="28"/>
      <c r="KEK11" s="28"/>
      <c r="KEL11" s="28"/>
      <c r="KEM11" s="28"/>
      <c r="KEN11" s="28"/>
      <c r="KEO11" s="28"/>
      <c r="KEP11" s="28"/>
      <c r="KEQ11" s="28"/>
      <c r="KER11" s="28"/>
      <c r="KES11" s="28"/>
      <c r="KET11" s="28"/>
      <c r="KEU11" s="28"/>
      <c r="KEV11" s="28"/>
      <c r="KEW11" s="28"/>
      <c r="KEX11" s="28"/>
      <c r="KEY11" s="28"/>
      <c r="KEZ11" s="28"/>
      <c r="KFA11" s="28"/>
      <c r="KFB11" s="28"/>
      <c r="KFC11" s="28"/>
      <c r="KFD11" s="28"/>
      <c r="KFE11" s="28"/>
      <c r="KFF11" s="28"/>
      <c r="KFG11" s="28"/>
      <c r="KFH11" s="28"/>
      <c r="KFI11" s="28"/>
      <c r="KFJ11" s="28"/>
      <c r="KFK11" s="28"/>
      <c r="KFL11" s="28"/>
      <c r="KFM11" s="28"/>
      <c r="KFN11" s="28"/>
      <c r="KFO11" s="28"/>
      <c r="KFP11" s="28"/>
      <c r="KFQ11" s="28"/>
      <c r="KFR11" s="28"/>
      <c r="KFS11" s="28"/>
      <c r="KFT11" s="28"/>
      <c r="KFU11" s="28"/>
      <c r="KFV11" s="28"/>
      <c r="KFW11" s="28"/>
      <c r="KFX11" s="28"/>
      <c r="KFY11" s="28"/>
      <c r="KFZ11" s="28"/>
      <c r="KGA11" s="28"/>
      <c r="KGB11" s="28"/>
      <c r="KGC11" s="28"/>
      <c r="KGD11" s="28"/>
      <c r="KGE11" s="28"/>
      <c r="KGF11" s="28"/>
      <c r="KGG11" s="28"/>
      <c r="KGH11" s="28"/>
      <c r="KGI11" s="28"/>
      <c r="KGJ11" s="28"/>
      <c r="KGK11" s="28"/>
      <c r="KGL11" s="28"/>
      <c r="KGM11" s="28"/>
      <c r="KGN11" s="28"/>
      <c r="KGO11" s="28"/>
      <c r="KGP11" s="28"/>
      <c r="KGQ11" s="28"/>
      <c r="KGR11" s="28"/>
      <c r="KGS11" s="28"/>
      <c r="KGT11" s="28"/>
      <c r="KGU11" s="28"/>
      <c r="KGV11" s="28"/>
      <c r="KGW11" s="28"/>
      <c r="KGX11" s="28"/>
      <c r="KGY11" s="28"/>
      <c r="KGZ11" s="28"/>
      <c r="KHA11" s="28"/>
      <c r="KHB11" s="28"/>
      <c r="KHC11" s="28"/>
      <c r="KHD11" s="28"/>
      <c r="KHE11" s="28"/>
      <c r="KHF11" s="28"/>
      <c r="KHG11" s="28"/>
      <c r="KHH11" s="28"/>
      <c r="KHI11" s="28"/>
      <c r="KHJ11" s="28"/>
      <c r="KHK11" s="28"/>
      <c r="KHL11" s="28"/>
      <c r="KHM11" s="28"/>
      <c r="KHN11" s="28"/>
      <c r="KHO11" s="28"/>
      <c r="KHP11" s="28"/>
      <c r="KHQ11" s="28"/>
      <c r="KHR11" s="28"/>
      <c r="KHS11" s="28"/>
      <c r="KHT11" s="28"/>
      <c r="KHU11" s="28"/>
      <c r="KHV11" s="28"/>
      <c r="KHW11" s="28"/>
      <c r="KHX11" s="28"/>
      <c r="KHY11" s="28"/>
      <c r="KHZ11" s="28"/>
      <c r="KIA11" s="28"/>
      <c r="KIB11" s="28"/>
      <c r="KIC11" s="28"/>
      <c r="KID11" s="28"/>
      <c r="KIE11" s="28"/>
      <c r="KIF11" s="28"/>
      <c r="KIG11" s="28"/>
      <c r="KIH11" s="28"/>
      <c r="KII11" s="28"/>
      <c r="KIJ11" s="28"/>
      <c r="KIK11" s="28"/>
      <c r="KIL11" s="28"/>
      <c r="KIM11" s="28"/>
      <c r="KIN11" s="28"/>
      <c r="KIO11" s="28"/>
      <c r="KIP11" s="28"/>
      <c r="KIQ11" s="28"/>
      <c r="KIR11" s="28"/>
      <c r="KIS11" s="28"/>
      <c r="KIT11" s="28"/>
      <c r="KIU11" s="28"/>
      <c r="KIV11" s="28"/>
      <c r="KIW11" s="28"/>
      <c r="KIX11" s="28"/>
      <c r="KIY11" s="28"/>
      <c r="KIZ11" s="28"/>
      <c r="KJA11" s="28"/>
      <c r="KJB11" s="28"/>
      <c r="KJC11" s="28"/>
      <c r="KJD11" s="28"/>
      <c r="KJE11" s="28"/>
      <c r="KJF11" s="28"/>
      <c r="KJG11" s="28"/>
      <c r="KJH11" s="28"/>
      <c r="KJI11" s="28"/>
      <c r="KJJ11" s="28"/>
      <c r="KJK11" s="28"/>
      <c r="KJL11" s="28"/>
      <c r="KJM11" s="28"/>
      <c r="KJN11" s="28"/>
      <c r="KJO11" s="28"/>
      <c r="KJP11" s="28"/>
      <c r="KJQ11" s="28"/>
      <c r="KJR11" s="28"/>
      <c r="KJS11" s="28"/>
      <c r="KJT11" s="28"/>
      <c r="KJU11" s="28"/>
      <c r="KJV11" s="28"/>
      <c r="KJW11" s="28"/>
      <c r="KJX11" s="28"/>
      <c r="KJY11" s="28"/>
      <c r="KJZ11" s="28"/>
      <c r="KKA11" s="28"/>
      <c r="KKB11" s="28"/>
      <c r="KKC11" s="28"/>
      <c r="KKD11" s="28"/>
      <c r="KKE11" s="28"/>
      <c r="KKF11" s="28"/>
      <c r="KKG11" s="28"/>
      <c r="KKH11" s="28"/>
      <c r="KKI11" s="28"/>
      <c r="KKJ11" s="28"/>
      <c r="KKK11" s="28"/>
      <c r="KKL11" s="28"/>
      <c r="KKM11" s="28"/>
      <c r="KKN11" s="28"/>
      <c r="KKO11" s="28"/>
      <c r="KKP11" s="28"/>
      <c r="KKQ11" s="28"/>
      <c r="KKR11" s="28"/>
      <c r="KKS11" s="28"/>
      <c r="KKT11" s="28"/>
      <c r="KKU11" s="28"/>
      <c r="KKV11" s="28"/>
      <c r="KKW11" s="28"/>
      <c r="KKX11" s="28"/>
      <c r="KKY11" s="28"/>
      <c r="KKZ11" s="28"/>
      <c r="KLA11" s="28"/>
      <c r="KLB11" s="28"/>
      <c r="KLC11" s="28"/>
      <c r="KLD11" s="28"/>
      <c r="KLE11" s="28"/>
      <c r="KLF11" s="28"/>
      <c r="KLG11" s="28"/>
      <c r="KLH11" s="28"/>
      <c r="KLI11" s="28"/>
      <c r="KLJ11" s="28"/>
      <c r="KLK11" s="28"/>
      <c r="KLL11" s="28"/>
      <c r="KLM11" s="28"/>
      <c r="KLN11" s="28"/>
      <c r="KLO11" s="28"/>
      <c r="KLP11" s="28"/>
      <c r="KLQ11" s="28"/>
      <c r="KLR11" s="28"/>
      <c r="KLS11" s="28"/>
      <c r="KLT11" s="28"/>
      <c r="KLU11" s="28"/>
      <c r="KLV11" s="28"/>
      <c r="KLW11" s="28"/>
      <c r="KLX11" s="28"/>
      <c r="KLY11" s="28"/>
      <c r="KLZ11" s="28"/>
      <c r="KMA11" s="28"/>
      <c r="KMB11" s="28"/>
      <c r="KMC11" s="28"/>
      <c r="KMD11" s="28"/>
      <c r="KME11" s="28"/>
      <c r="KMF11" s="28"/>
      <c r="KMG11" s="28"/>
      <c r="KMH11" s="28"/>
      <c r="KMI11" s="28"/>
      <c r="KMJ11" s="28"/>
      <c r="KMK11" s="28"/>
      <c r="KML11" s="28"/>
      <c r="KMM11" s="28"/>
      <c r="KMN11" s="28"/>
      <c r="KMO11" s="28"/>
      <c r="KMP11" s="28"/>
      <c r="KMQ11" s="28"/>
      <c r="KMR11" s="28"/>
      <c r="KMS11" s="28"/>
      <c r="KMT11" s="28"/>
      <c r="KMU11" s="28"/>
      <c r="KMV11" s="28"/>
      <c r="KMW11" s="28"/>
      <c r="KMX11" s="28"/>
      <c r="KMY11" s="28"/>
      <c r="KMZ11" s="28"/>
      <c r="KNA11" s="28"/>
      <c r="KNB11" s="28"/>
      <c r="KNC11" s="28"/>
      <c r="KND11" s="28"/>
      <c r="KNE11" s="28"/>
      <c r="KNF11" s="28"/>
      <c r="KNG11" s="28"/>
      <c r="KNH11" s="28"/>
      <c r="KNI11" s="28"/>
      <c r="KNJ11" s="28"/>
      <c r="KNK11" s="28"/>
      <c r="KNL11" s="28"/>
      <c r="KNM11" s="28"/>
      <c r="KNN11" s="28"/>
      <c r="KNO11" s="28"/>
      <c r="KNP11" s="28"/>
      <c r="KNQ11" s="28"/>
      <c r="KNR11" s="28"/>
      <c r="KNS11" s="28"/>
      <c r="KNT11" s="28"/>
      <c r="KNU11" s="28"/>
      <c r="KNV11" s="28"/>
      <c r="KNW11" s="28"/>
      <c r="KNX11" s="28"/>
      <c r="KNY11" s="28"/>
      <c r="KNZ11" s="28"/>
      <c r="KOA11" s="28"/>
      <c r="KOB11" s="28"/>
      <c r="KOC11" s="28"/>
      <c r="KOD11" s="28"/>
      <c r="KOE11" s="28"/>
      <c r="KOF11" s="28"/>
      <c r="KOG11" s="28"/>
      <c r="KOH11" s="28"/>
      <c r="KOI11" s="28"/>
      <c r="KOJ11" s="28"/>
      <c r="KOK11" s="28"/>
      <c r="KOL11" s="28"/>
      <c r="KOM11" s="28"/>
      <c r="KON11" s="28"/>
      <c r="KOO11" s="28"/>
      <c r="KOP11" s="28"/>
      <c r="KOQ11" s="28"/>
      <c r="KOR11" s="28"/>
      <c r="KOS11" s="28"/>
      <c r="KOT11" s="28"/>
      <c r="KOU11" s="28"/>
      <c r="KOV11" s="28"/>
      <c r="KOW11" s="28"/>
      <c r="KOX11" s="28"/>
      <c r="KOY11" s="28"/>
      <c r="KOZ11" s="28"/>
      <c r="KPA11" s="28"/>
      <c r="KPB11" s="28"/>
      <c r="KPC11" s="28"/>
      <c r="KPD11" s="28"/>
      <c r="KPE11" s="28"/>
      <c r="KPF11" s="28"/>
      <c r="KPG11" s="28"/>
      <c r="KPH11" s="28"/>
      <c r="KPI11" s="28"/>
      <c r="KPJ11" s="28"/>
      <c r="KPK11" s="28"/>
      <c r="KPL11" s="28"/>
      <c r="KPM11" s="28"/>
      <c r="KPN11" s="28"/>
      <c r="KPO11" s="28"/>
      <c r="KPP11" s="28"/>
      <c r="KPQ11" s="28"/>
      <c r="KPR11" s="28"/>
      <c r="KPS11" s="28"/>
      <c r="KPT11" s="28"/>
      <c r="KPU11" s="28"/>
      <c r="KPV11" s="28"/>
      <c r="KPW11" s="28"/>
      <c r="KPX11" s="28"/>
      <c r="KPY11" s="28"/>
      <c r="KPZ11" s="28"/>
      <c r="KQA11" s="28"/>
      <c r="KQB11" s="28"/>
      <c r="KQC11" s="28"/>
      <c r="KQD11" s="28"/>
      <c r="KQE11" s="28"/>
      <c r="KQF11" s="28"/>
      <c r="KQG11" s="28"/>
      <c r="KQH11" s="28"/>
      <c r="KQI11" s="28"/>
      <c r="KQJ11" s="28"/>
      <c r="KQK11" s="28"/>
      <c r="KQL11" s="28"/>
      <c r="KQM11" s="28"/>
      <c r="KQN11" s="28"/>
      <c r="KQO11" s="28"/>
      <c r="KQP11" s="28"/>
      <c r="KQQ11" s="28"/>
      <c r="KQR11" s="28"/>
      <c r="KQS11" s="28"/>
      <c r="KQT11" s="28"/>
      <c r="KQU11" s="28"/>
      <c r="KQV11" s="28"/>
      <c r="KQW11" s="28"/>
      <c r="KQX11" s="28"/>
      <c r="KQY11" s="28"/>
      <c r="KQZ11" s="28"/>
      <c r="KRA11" s="28"/>
      <c r="KRB11" s="28"/>
      <c r="KRC11" s="28"/>
      <c r="KRD11" s="28"/>
      <c r="KRE11" s="28"/>
      <c r="KRF11" s="28"/>
      <c r="KRG11" s="28"/>
      <c r="KRH11" s="28"/>
      <c r="KRI11" s="28"/>
      <c r="KRJ11" s="28"/>
      <c r="KRK11" s="28"/>
      <c r="KRL11" s="28"/>
      <c r="KRM11" s="28"/>
      <c r="KRN11" s="28"/>
      <c r="KRO11" s="28"/>
      <c r="KRP11" s="28"/>
      <c r="KRQ11" s="28"/>
      <c r="KRR11" s="28"/>
      <c r="KRS11" s="28"/>
      <c r="KRT11" s="28"/>
      <c r="KRU11" s="28"/>
      <c r="KRV11" s="28"/>
      <c r="KRW11" s="28"/>
      <c r="KRX11" s="28"/>
      <c r="KRY11" s="28"/>
      <c r="KRZ11" s="28"/>
      <c r="KSA11" s="28"/>
      <c r="KSB11" s="28"/>
      <c r="KSC11" s="28"/>
      <c r="KSD11" s="28"/>
      <c r="KSE11" s="28"/>
      <c r="KSF11" s="28"/>
      <c r="KSG11" s="28"/>
      <c r="KSH11" s="28"/>
      <c r="KSI11" s="28"/>
      <c r="KSJ11" s="28"/>
      <c r="KSK11" s="28"/>
      <c r="KSL11" s="28"/>
      <c r="KSM11" s="28"/>
      <c r="KSN11" s="28"/>
      <c r="KSO11" s="28"/>
      <c r="KSP11" s="28"/>
      <c r="KSQ11" s="28"/>
      <c r="KSR11" s="28"/>
      <c r="KSS11" s="28"/>
      <c r="KST11" s="28"/>
      <c r="KSU11" s="28"/>
      <c r="KSV11" s="28"/>
      <c r="KSW11" s="28"/>
      <c r="KSX11" s="28"/>
      <c r="KSY11" s="28"/>
      <c r="KSZ11" s="28"/>
      <c r="KTA11" s="28"/>
      <c r="KTB11" s="28"/>
      <c r="KTC11" s="28"/>
      <c r="KTD11" s="28"/>
      <c r="KTE11" s="28"/>
      <c r="KTF11" s="28"/>
      <c r="KTG11" s="28"/>
      <c r="KTH11" s="28"/>
      <c r="KTI11" s="28"/>
      <c r="KTJ11" s="28"/>
      <c r="KTK11" s="28"/>
      <c r="KTL11" s="28"/>
      <c r="KTM11" s="28"/>
      <c r="KTN11" s="28"/>
      <c r="KTO11" s="28"/>
      <c r="KTP11" s="28"/>
      <c r="KTQ11" s="28"/>
      <c r="KTR11" s="28"/>
      <c r="KTS11" s="28"/>
      <c r="KTT11" s="28"/>
      <c r="KTU11" s="28"/>
      <c r="KTV11" s="28"/>
      <c r="KTW11" s="28"/>
      <c r="KTX11" s="28"/>
      <c r="KTY11" s="28"/>
      <c r="KTZ11" s="28"/>
      <c r="KUA11" s="28"/>
      <c r="KUB11" s="28"/>
      <c r="KUC11" s="28"/>
      <c r="KUD11" s="28"/>
      <c r="KUE11" s="28"/>
      <c r="KUF11" s="28"/>
      <c r="KUG11" s="28"/>
      <c r="KUH11" s="28"/>
      <c r="KUI11" s="28"/>
      <c r="KUJ11" s="28"/>
      <c r="KUK11" s="28"/>
      <c r="KUL11" s="28"/>
      <c r="KUM11" s="28"/>
      <c r="KUN11" s="28"/>
      <c r="KUO11" s="28"/>
      <c r="KUP11" s="28"/>
      <c r="KUQ11" s="28"/>
      <c r="KUR11" s="28"/>
      <c r="KUS11" s="28"/>
      <c r="KUT11" s="28"/>
      <c r="KUU11" s="28"/>
      <c r="KUV11" s="28"/>
      <c r="KUW11" s="28"/>
      <c r="KUX11" s="28"/>
      <c r="KUY11" s="28"/>
      <c r="KUZ11" s="28"/>
      <c r="KVA11" s="28"/>
      <c r="KVB11" s="28"/>
      <c r="KVC11" s="28"/>
      <c r="KVD11" s="28"/>
      <c r="KVE11" s="28"/>
      <c r="KVF11" s="28"/>
      <c r="KVG11" s="28"/>
      <c r="KVH11" s="28"/>
      <c r="KVI11" s="28"/>
      <c r="KVJ11" s="28"/>
      <c r="KVK11" s="28"/>
      <c r="KVL11" s="28"/>
      <c r="KVM11" s="28"/>
      <c r="KVN11" s="28"/>
      <c r="KVO11" s="28"/>
      <c r="KVP11" s="28"/>
      <c r="KVQ11" s="28"/>
      <c r="KVR11" s="28"/>
      <c r="KVS11" s="28"/>
      <c r="KVT11" s="28"/>
      <c r="KVU11" s="28"/>
      <c r="KVV11" s="28"/>
      <c r="KVW11" s="28"/>
      <c r="KVX11" s="28"/>
      <c r="KVY11" s="28"/>
      <c r="KVZ11" s="28"/>
      <c r="KWA11" s="28"/>
      <c r="KWB11" s="28"/>
      <c r="KWC11" s="28"/>
      <c r="KWD11" s="28"/>
      <c r="KWE11" s="28"/>
      <c r="KWF11" s="28"/>
      <c r="KWG11" s="28"/>
      <c r="KWH11" s="28"/>
      <c r="KWI11" s="28"/>
      <c r="KWJ11" s="28"/>
      <c r="KWK11" s="28"/>
      <c r="KWL11" s="28"/>
      <c r="KWM11" s="28"/>
      <c r="KWN11" s="28"/>
      <c r="KWO11" s="28"/>
      <c r="KWP11" s="28"/>
      <c r="KWQ11" s="28"/>
      <c r="KWR11" s="28"/>
      <c r="KWS11" s="28"/>
      <c r="KWT11" s="28"/>
      <c r="KWU11" s="28"/>
      <c r="KWV11" s="28"/>
      <c r="KWW11" s="28"/>
      <c r="KWX11" s="28"/>
      <c r="KWY11" s="28"/>
      <c r="KWZ11" s="28"/>
      <c r="KXA11" s="28"/>
      <c r="KXB11" s="28"/>
      <c r="KXC11" s="28"/>
      <c r="KXD11" s="28"/>
      <c r="KXE11" s="28"/>
      <c r="KXF11" s="28"/>
      <c r="KXG11" s="28"/>
      <c r="KXH11" s="28"/>
      <c r="KXI11" s="28"/>
      <c r="KXJ11" s="28"/>
      <c r="KXK11" s="28"/>
      <c r="KXL11" s="28"/>
      <c r="KXM11" s="28"/>
      <c r="KXN11" s="28"/>
      <c r="KXO11" s="28"/>
      <c r="KXP11" s="28"/>
      <c r="KXQ11" s="28"/>
      <c r="KXR11" s="28"/>
      <c r="KXS11" s="28"/>
      <c r="KXT11" s="28"/>
      <c r="KXU11" s="28"/>
      <c r="KXV11" s="28"/>
      <c r="KXW11" s="28"/>
      <c r="KXX11" s="28"/>
      <c r="KXY11" s="28"/>
      <c r="KXZ11" s="28"/>
      <c r="KYA11" s="28"/>
      <c r="KYB11" s="28"/>
      <c r="KYC11" s="28"/>
      <c r="KYD11" s="28"/>
      <c r="KYE11" s="28"/>
      <c r="KYF11" s="28"/>
      <c r="KYG11" s="28"/>
      <c r="KYH11" s="28"/>
      <c r="KYI11" s="28"/>
      <c r="KYJ11" s="28"/>
      <c r="KYK11" s="28"/>
      <c r="KYL11" s="28"/>
      <c r="KYM11" s="28"/>
      <c r="KYN11" s="28"/>
      <c r="KYO11" s="28"/>
      <c r="KYP11" s="28"/>
      <c r="KYQ11" s="28"/>
      <c r="KYR11" s="28"/>
      <c r="KYS11" s="28"/>
      <c r="KYT11" s="28"/>
      <c r="KYU11" s="28"/>
      <c r="KYV11" s="28"/>
      <c r="KYW11" s="28"/>
      <c r="KYX11" s="28"/>
      <c r="KYY11" s="28"/>
      <c r="KYZ11" s="28"/>
      <c r="KZA11" s="28"/>
      <c r="KZB11" s="28"/>
      <c r="KZC11" s="28"/>
      <c r="KZD11" s="28"/>
      <c r="KZE11" s="28"/>
      <c r="KZF11" s="28"/>
      <c r="KZG11" s="28"/>
      <c r="KZH11" s="28"/>
      <c r="KZI11" s="28"/>
      <c r="KZJ11" s="28"/>
      <c r="KZK11" s="28"/>
      <c r="KZL11" s="28"/>
      <c r="KZM11" s="28"/>
      <c r="KZN11" s="28"/>
      <c r="KZO11" s="28"/>
      <c r="KZP11" s="28"/>
      <c r="KZQ11" s="28"/>
      <c r="KZR11" s="28"/>
      <c r="KZS11" s="28"/>
      <c r="KZT11" s="28"/>
      <c r="KZU11" s="28"/>
      <c r="KZV11" s="28"/>
      <c r="KZW11" s="28"/>
      <c r="KZX11" s="28"/>
      <c r="KZY11" s="28"/>
      <c r="KZZ11" s="28"/>
      <c r="LAA11" s="28"/>
      <c r="LAB11" s="28"/>
      <c r="LAC11" s="28"/>
      <c r="LAD11" s="28"/>
      <c r="LAE11" s="28"/>
      <c r="LAF11" s="28"/>
      <c r="LAG11" s="28"/>
      <c r="LAH11" s="28"/>
      <c r="LAI11" s="28"/>
      <c r="LAJ11" s="28"/>
      <c r="LAK11" s="28"/>
      <c r="LAL11" s="28"/>
      <c r="LAM11" s="28"/>
      <c r="LAN11" s="28"/>
      <c r="LAO11" s="28"/>
      <c r="LAP11" s="28"/>
      <c r="LAQ11" s="28"/>
      <c r="LAR11" s="28"/>
      <c r="LAS11" s="28"/>
      <c r="LAT11" s="28"/>
      <c r="LAU11" s="28"/>
      <c r="LAV11" s="28"/>
      <c r="LAW11" s="28"/>
      <c r="LAX11" s="28"/>
      <c r="LAY11" s="28"/>
      <c r="LAZ11" s="28"/>
      <c r="LBA11" s="28"/>
      <c r="LBB11" s="28"/>
      <c r="LBC11" s="28"/>
      <c r="LBD11" s="28"/>
      <c r="LBE11" s="28"/>
      <c r="LBF11" s="28"/>
      <c r="LBG11" s="28"/>
      <c r="LBH11" s="28"/>
      <c r="LBI11" s="28"/>
      <c r="LBJ11" s="28"/>
      <c r="LBK11" s="28"/>
      <c r="LBL11" s="28"/>
      <c r="LBM11" s="28"/>
      <c r="LBN11" s="28"/>
      <c r="LBO11" s="28"/>
      <c r="LBP11" s="28"/>
      <c r="LBQ11" s="28"/>
      <c r="LBR11" s="28"/>
      <c r="LBS11" s="28"/>
      <c r="LBT11" s="28"/>
      <c r="LBU11" s="28"/>
      <c r="LBV11" s="28"/>
      <c r="LBW11" s="28"/>
      <c r="LBX11" s="28"/>
      <c r="LBY11" s="28"/>
      <c r="LBZ11" s="28"/>
      <c r="LCA11" s="28"/>
      <c r="LCB11" s="28"/>
      <c r="LCC11" s="28"/>
      <c r="LCD11" s="28"/>
      <c r="LCE11" s="28"/>
      <c r="LCF11" s="28"/>
      <c r="LCG11" s="28"/>
      <c r="LCH11" s="28"/>
      <c r="LCI11" s="28"/>
      <c r="LCJ11" s="28"/>
      <c r="LCK11" s="28"/>
      <c r="LCL11" s="28"/>
      <c r="LCM11" s="28"/>
      <c r="LCN11" s="28"/>
      <c r="LCO11" s="28"/>
      <c r="LCP11" s="28"/>
      <c r="LCQ11" s="28"/>
      <c r="LCR11" s="28"/>
      <c r="LCS11" s="28"/>
      <c r="LCT11" s="28"/>
      <c r="LCU11" s="28"/>
      <c r="LCV11" s="28"/>
      <c r="LCW11" s="28"/>
      <c r="LCX11" s="28"/>
      <c r="LCY11" s="28"/>
      <c r="LCZ11" s="28"/>
      <c r="LDA11" s="28"/>
      <c r="LDB11" s="28"/>
      <c r="LDC11" s="28"/>
      <c r="LDD11" s="28"/>
      <c r="LDE11" s="28"/>
      <c r="LDF11" s="28"/>
      <c r="LDG11" s="28"/>
      <c r="LDH11" s="28"/>
      <c r="LDI11" s="28"/>
      <c r="LDJ11" s="28"/>
      <c r="LDK11" s="28"/>
      <c r="LDL11" s="28"/>
      <c r="LDM11" s="28"/>
      <c r="LDN11" s="28"/>
      <c r="LDO11" s="28"/>
      <c r="LDP11" s="28"/>
      <c r="LDQ11" s="28"/>
      <c r="LDR11" s="28"/>
      <c r="LDS11" s="28"/>
      <c r="LDT11" s="28"/>
      <c r="LDU11" s="28"/>
      <c r="LDV11" s="28"/>
      <c r="LDW11" s="28"/>
      <c r="LDX11" s="28"/>
      <c r="LDY11" s="28"/>
      <c r="LDZ11" s="28"/>
      <c r="LEA11" s="28"/>
      <c r="LEB11" s="28"/>
      <c r="LEC11" s="28"/>
      <c r="LED11" s="28"/>
      <c r="LEE11" s="28"/>
      <c r="LEF11" s="28"/>
      <c r="LEG11" s="28"/>
      <c r="LEH11" s="28"/>
      <c r="LEI11" s="28"/>
      <c r="LEJ11" s="28"/>
      <c r="LEK11" s="28"/>
      <c r="LEL11" s="28"/>
      <c r="LEM11" s="28"/>
      <c r="LEN11" s="28"/>
      <c r="LEO11" s="28"/>
      <c r="LEP11" s="28"/>
      <c r="LEQ11" s="28"/>
      <c r="LER11" s="28"/>
      <c r="LES11" s="28"/>
      <c r="LET11" s="28"/>
      <c r="LEU11" s="28"/>
      <c r="LEV11" s="28"/>
      <c r="LEW11" s="28"/>
      <c r="LEX11" s="28"/>
      <c r="LEY11" s="28"/>
      <c r="LEZ11" s="28"/>
      <c r="LFA11" s="28"/>
      <c r="LFB11" s="28"/>
      <c r="LFC11" s="28"/>
      <c r="LFD11" s="28"/>
      <c r="LFE11" s="28"/>
      <c r="LFF11" s="28"/>
      <c r="LFG11" s="28"/>
      <c r="LFH11" s="28"/>
      <c r="LFI11" s="28"/>
      <c r="LFJ11" s="28"/>
      <c r="LFK11" s="28"/>
      <c r="LFL11" s="28"/>
      <c r="LFM11" s="28"/>
      <c r="LFN11" s="28"/>
      <c r="LFO11" s="28"/>
      <c r="LFP11" s="28"/>
      <c r="LFQ11" s="28"/>
      <c r="LFR11" s="28"/>
      <c r="LFS11" s="28"/>
      <c r="LFT11" s="28"/>
      <c r="LFU11" s="28"/>
      <c r="LFV11" s="28"/>
      <c r="LFW11" s="28"/>
      <c r="LFX11" s="28"/>
      <c r="LFY11" s="28"/>
      <c r="LFZ11" s="28"/>
      <c r="LGA11" s="28"/>
      <c r="LGB11" s="28"/>
      <c r="LGC11" s="28"/>
      <c r="LGD11" s="28"/>
      <c r="LGE11" s="28"/>
      <c r="LGF11" s="28"/>
      <c r="LGG11" s="28"/>
      <c r="LGH11" s="28"/>
      <c r="LGI11" s="28"/>
      <c r="LGJ11" s="28"/>
      <c r="LGK11" s="28"/>
      <c r="LGL11" s="28"/>
      <c r="LGM11" s="28"/>
      <c r="LGN11" s="28"/>
      <c r="LGO11" s="28"/>
      <c r="LGP11" s="28"/>
      <c r="LGQ11" s="28"/>
      <c r="LGR11" s="28"/>
      <c r="LGS11" s="28"/>
      <c r="LGT11" s="28"/>
      <c r="LGU11" s="28"/>
      <c r="LGV11" s="28"/>
      <c r="LGW11" s="28"/>
      <c r="LGX11" s="28"/>
      <c r="LGY11" s="28"/>
      <c r="LGZ11" s="28"/>
      <c r="LHA11" s="28"/>
      <c r="LHB11" s="28"/>
      <c r="LHC11" s="28"/>
      <c r="LHD11" s="28"/>
      <c r="LHE11" s="28"/>
      <c r="LHF11" s="28"/>
      <c r="LHG11" s="28"/>
      <c r="LHH11" s="28"/>
      <c r="LHI11" s="28"/>
      <c r="LHJ11" s="28"/>
      <c r="LHK11" s="28"/>
      <c r="LHL11" s="28"/>
      <c r="LHM11" s="28"/>
      <c r="LHN11" s="28"/>
      <c r="LHO11" s="28"/>
      <c r="LHP11" s="28"/>
      <c r="LHQ11" s="28"/>
      <c r="LHR11" s="28"/>
      <c r="LHS11" s="28"/>
      <c r="LHT11" s="28"/>
      <c r="LHU11" s="28"/>
      <c r="LHV11" s="28"/>
      <c r="LHW11" s="28"/>
      <c r="LHX11" s="28"/>
      <c r="LHY11" s="28"/>
      <c r="LHZ11" s="28"/>
      <c r="LIA11" s="28"/>
      <c r="LIB11" s="28"/>
      <c r="LIC11" s="28"/>
      <c r="LID11" s="28"/>
      <c r="LIE11" s="28"/>
      <c r="LIF11" s="28"/>
      <c r="LIG11" s="28"/>
      <c r="LIH11" s="28"/>
      <c r="LII11" s="28"/>
      <c r="LIJ11" s="28"/>
      <c r="LIK11" s="28"/>
      <c r="LIL11" s="28"/>
      <c r="LIM11" s="28"/>
      <c r="LIN11" s="28"/>
      <c r="LIO11" s="28"/>
      <c r="LIP11" s="28"/>
      <c r="LIQ11" s="28"/>
      <c r="LIR11" s="28"/>
      <c r="LIS11" s="28"/>
      <c r="LIT11" s="28"/>
      <c r="LIU11" s="28"/>
      <c r="LIV11" s="28"/>
      <c r="LIW11" s="28"/>
      <c r="LIX11" s="28"/>
      <c r="LIY11" s="28"/>
      <c r="LIZ11" s="28"/>
      <c r="LJA11" s="28"/>
      <c r="LJB11" s="28"/>
      <c r="LJC11" s="28"/>
      <c r="LJD11" s="28"/>
      <c r="LJE11" s="28"/>
      <c r="LJF11" s="28"/>
      <c r="LJG11" s="28"/>
      <c r="LJH11" s="28"/>
      <c r="LJI11" s="28"/>
      <c r="LJJ11" s="28"/>
      <c r="LJK11" s="28"/>
      <c r="LJL11" s="28"/>
      <c r="LJM11" s="28"/>
      <c r="LJN11" s="28"/>
      <c r="LJO11" s="28"/>
      <c r="LJP11" s="28"/>
      <c r="LJQ11" s="28"/>
      <c r="LJR11" s="28"/>
      <c r="LJS11" s="28"/>
      <c r="LJT11" s="28"/>
      <c r="LJU11" s="28"/>
      <c r="LJV11" s="28"/>
      <c r="LJW11" s="28"/>
      <c r="LJX11" s="28"/>
      <c r="LJY11" s="28"/>
      <c r="LJZ11" s="28"/>
      <c r="LKA11" s="28"/>
      <c r="LKB11" s="28"/>
      <c r="LKC11" s="28"/>
      <c r="LKD11" s="28"/>
      <c r="LKE11" s="28"/>
      <c r="LKF11" s="28"/>
      <c r="LKG11" s="28"/>
      <c r="LKH11" s="28"/>
      <c r="LKI11" s="28"/>
      <c r="LKJ11" s="28"/>
      <c r="LKK11" s="28"/>
      <c r="LKL11" s="28"/>
      <c r="LKM11" s="28"/>
      <c r="LKN11" s="28"/>
      <c r="LKO11" s="28"/>
      <c r="LKP11" s="28"/>
      <c r="LKQ11" s="28"/>
      <c r="LKR11" s="28"/>
      <c r="LKS11" s="28"/>
      <c r="LKT11" s="28"/>
      <c r="LKU11" s="28"/>
      <c r="LKV11" s="28"/>
      <c r="LKW11" s="28"/>
      <c r="LKX11" s="28"/>
      <c r="LKY11" s="28"/>
      <c r="LKZ11" s="28"/>
      <c r="LLA11" s="28"/>
      <c r="LLB11" s="28"/>
      <c r="LLC11" s="28"/>
      <c r="LLD11" s="28"/>
      <c r="LLE11" s="28"/>
      <c r="LLF11" s="28"/>
      <c r="LLG11" s="28"/>
      <c r="LLH11" s="28"/>
      <c r="LLI11" s="28"/>
      <c r="LLJ11" s="28"/>
      <c r="LLK11" s="28"/>
      <c r="LLL11" s="28"/>
      <c r="LLM11" s="28"/>
      <c r="LLN11" s="28"/>
      <c r="LLO11" s="28"/>
      <c r="LLP11" s="28"/>
      <c r="LLQ11" s="28"/>
      <c r="LLR11" s="28"/>
      <c r="LLS11" s="28"/>
      <c r="LLT11" s="28"/>
      <c r="LLU11" s="28"/>
      <c r="LLV11" s="28"/>
      <c r="LLW11" s="28"/>
      <c r="LLX11" s="28"/>
      <c r="LLY11" s="28"/>
      <c r="LLZ11" s="28"/>
      <c r="LMA11" s="28"/>
      <c r="LMB11" s="28"/>
      <c r="LMC11" s="28"/>
      <c r="LMD11" s="28"/>
      <c r="LME11" s="28"/>
      <c r="LMF11" s="28"/>
      <c r="LMG11" s="28"/>
      <c r="LMH11" s="28"/>
      <c r="LMI11" s="28"/>
      <c r="LMJ11" s="28"/>
      <c r="LMK11" s="28"/>
      <c r="LML11" s="28"/>
      <c r="LMM11" s="28"/>
      <c r="LMN11" s="28"/>
      <c r="LMO11" s="28"/>
      <c r="LMP11" s="28"/>
      <c r="LMQ11" s="28"/>
      <c r="LMR11" s="28"/>
      <c r="LMS11" s="28"/>
      <c r="LMT11" s="28"/>
      <c r="LMU11" s="28"/>
      <c r="LMV11" s="28"/>
      <c r="LMW11" s="28"/>
      <c r="LMX11" s="28"/>
      <c r="LMY11" s="28"/>
      <c r="LMZ11" s="28"/>
      <c r="LNA11" s="28"/>
      <c r="LNB11" s="28"/>
      <c r="LNC11" s="28"/>
      <c r="LND11" s="28"/>
      <c r="LNE11" s="28"/>
      <c r="LNF11" s="28"/>
      <c r="LNG11" s="28"/>
      <c r="LNH11" s="28"/>
      <c r="LNI11" s="28"/>
      <c r="LNJ11" s="28"/>
      <c r="LNK11" s="28"/>
      <c r="LNL11" s="28"/>
      <c r="LNM11" s="28"/>
      <c r="LNN11" s="28"/>
      <c r="LNO11" s="28"/>
      <c r="LNP11" s="28"/>
      <c r="LNQ11" s="28"/>
      <c r="LNR11" s="28"/>
      <c r="LNS11" s="28"/>
      <c r="LNT11" s="28"/>
      <c r="LNU11" s="28"/>
      <c r="LNV11" s="28"/>
      <c r="LNW11" s="28"/>
      <c r="LNX11" s="28"/>
      <c r="LNY11" s="28"/>
      <c r="LNZ11" s="28"/>
      <c r="LOA11" s="28"/>
      <c r="LOB11" s="28"/>
      <c r="LOC11" s="28"/>
      <c r="LOD11" s="28"/>
      <c r="LOE11" s="28"/>
      <c r="LOF11" s="28"/>
      <c r="LOG11" s="28"/>
      <c r="LOH11" s="28"/>
      <c r="LOI11" s="28"/>
      <c r="LOJ11" s="28"/>
      <c r="LOK11" s="28"/>
      <c r="LOL11" s="28"/>
      <c r="LOM11" s="28"/>
      <c r="LON11" s="28"/>
      <c r="LOO11" s="28"/>
      <c r="LOP11" s="28"/>
      <c r="LOQ11" s="28"/>
      <c r="LOR11" s="28"/>
      <c r="LOS11" s="28"/>
      <c r="LOT11" s="28"/>
      <c r="LOU11" s="28"/>
      <c r="LOV11" s="28"/>
      <c r="LOW11" s="28"/>
      <c r="LOX11" s="28"/>
      <c r="LOY11" s="28"/>
      <c r="LOZ11" s="28"/>
      <c r="LPA11" s="28"/>
      <c r="LPB11" s="28"/>
      <c r="LPC11" s="28"/>
      <c r="LPD11" s="28"/>
      <c r="LPE11" s="28"/>
      <c r="LPF11" s="28"/>
      <c r="LPG11" s="28"/>
      <c r="LPH11" s="28"/>
      <c r="LPI11" s="28"/>
      <c r="LPJ11" s="28"/>
      <c r="LPK11" s="28"/>
      <c r="LPL11" s="28"/>
      <c r="LPM11" s="28"/>
      <c r="LPN11" s="28"/>
      <c r="LPO11" s="28"/>
      <c r="LPP11" s="28"/>
      <c r="LPQ11" s="28"/>
      <c r="LPR11" s="28"/>
      <c r="LPS11" s="28"/>
      <c r="LPT11" s="28"/>
      <c r="LPU11" s="28"/>
      <c r="LPV11" s="28"/>
      <c r="LPW11" s="28"/>
      <c r="LPX11" s="28"/>
      <c r="LPY11" s="28"/>
      <c r="LPZ11" s="28"/>
      <c r="LQA11" s="28"/>
      <c r="LQB11" s="28"/>
      <c r="LQC11" s="28"/>
      <c r="LQD11" s="28"/>
      <c r="LQE11" s="28"/>
      <c r="LQF11" s="28"/>
      <c r="LQG11" s="28"/>
      <c r="LQH11" s="28"/>
      <c r="LQI11" s="28"/>
      <c r="LQJ11" s="28"/>
      <c r="LQK11" s="28"/>
      <c r="LQL11" s="28"/>
      <c r="LQM11" s="28"/>
      <c r="LQN11" s="28"/>
      <c r="LQO11" s="28"/>
      <c r="LQP11" s="28"/>
      <c r="LQQ11" s="28"/>
      <c r="LQR11" s="28"/>
      <c r="LQS11" s="28"/>
      <c r="LQT11" s="28"/>
      <c r="LQU11" s="28"/>
      <c r="LQV11" s="28"/>
      <c r="LQW11" s="28"/>
      <c r="LQX11" s="28"/>
      <c r="LQY11" s="28"/>
      <c r="LQZ11" s="28"/>
      <c r="LRA11" s="28"/>
      <c r="LRB11" s="28"/>
      <c r="LRC11" s="28"/>
      <c r="LRD11" s="28"/>
      <c r="LRE11" s="28"/>
      <c r="LRF11" s="28"/>
      <c r="LRG11" s="28"/>
      <c r="LRH11" s="28"/>
      <c r="LRI11" s="28"/>
      <c r="LRJ11" s="28"/>
      <c r="LRK11" s="28"/>
      <c r="LRL11" s="28"/>
      <c r="LRM11" s="28"/>
      <c r="LRN11" s="28"/>
      <c r="LRO11" s="28"/>
      <c r="LRP11" s="28"/>
      <c r="LRQ11" s="28"/>
      <c r="LRR11" s="28"/>
      <c r="LRS11" s="28"/>
      <c r="LRT11" s="28"/>
      <c r="LRU11" s="28"/>
      <c r="LRV11" s="28"/>
      <c r="LRW11" s="28"/>
      <c r="LRX11" s="28"/>
      <c r="LRY11" s="28"/>
      <c r="LRZ11" s="28"/>
      <c r="LSA11" s="28"/>
      <c r="LSB11" s="28"/>
      <c r="LSC11" s="28"/>
      <c r="LSD11" s="28"/>
      <c r="LSE11" s="28"/>
      <c r="LSF11" s="28"/>
      <c r="LSG11" s="28"/>
      <c r="LSH11" s="28"/>
      <c r="LSI11" s="28"/>
      <c r="LSJ11" s="28"/>
      <c r="LSK11" s="28"/>
      <c r="LSL11" s="28"/>
      <c r="LSM11" s="28"/>
      <c r="LSN11" s="28"/>
      <c r="LSO11" s="28"/>
      <c r="LSP11" s="28"/>
      <c r="LSQ11" s="28"/>
      <c r="LSR11" s="28"/>
      <c r="LSS11" s="28"/>
      <c r="LST11" s="28"/>
      <c r="LSU11" s="28"/>
      <c r="LSV11" s="28"/>
      <c r="LSW11" s="28"/>
      <c r="LSX11" s="28"/>
      <c r="LSY11" s="28"/>
      <c r="LSZ11" s="28"/>
      <c r="LTA11" s="28"/>
      <c r="LTB11" s="28"/>
      <c r="LTC11" s="28"/>
      <c r="LTD11" s="28"/>
      <c r="LTE11" s="28"/>
      <c r="LTF11" s="28"/>
      <c r="LTG11" s="28"/>
      <c r="LTH11" s="28"/>
      <c r="LTI11" s="28"/>
      <c r="LTJ11" s="28"/>
      <c r="LTK11" s="28"/>
      <c r="LTL11" s="28"/>
      <c r="LTM11" s="28"/>
      <c r="LTN11" s="28"/>
      <c r="LTO11" s="28"/>
      <c r="LTP11" s="28"/>
      <c r="LTQ11" s="28"/>
      <c r="LTR11" s="28"/>
      <c r="LTS11" s="28"/>
      <c r="LTT11" s="28"/>
      <c r="LTU11" s="28"/>
      <c r="LTV11" s="28"/>
      <c r="LTW11" s="28"/>
      <c r="LTX11" s="28"/>
      <c r="LTY11" s="28"/>
      <c r="LTZ11" s="28"/>
      <c r="LUA11" s="28"/>
      <c r="LUB11" s="28"/>
      <c r="LUC11" s="28"/>
      <c r="LUD11" s="28"/>
      <c r="LUE11" s="28"/>
      <c r="LUF11" s="28"/>
      <c r="LUG11" s="28"/>
      <c r="LUH11" s="28"/>
      <c r="LUI11" s="28"/>
      <c r="LUJ11" s="28"/>
      <c r="LUK11" s="28"/>
      <c r="LUL11" s="28"/>
      <c r="LUM11" s="28"/>
      <c r="LUN11" s="28"/>
      <c r="LUO11" s="28"/>
      <c r="LUP11" s="28"/>
      <c r="LUQ11" s="28"/>
      <c r="LUR11" s="28"/>
      <c r="LUS11" s="28"/>
      <c r="LUT11" s="28"/>
      <c r="LUU11" s="28"/>
      <c r="LUV11" s="28"/>
      <c r="LUW11" s="28"/>
      <c r="LUX11" s="28"/>
      <c r="LUY11" s="28"/>
      <c r="LUZ11" s="28"/>
      <c r="LVA11" s="28"/>
      <c r="LVB11" s="28"/>
      <c r="LVC11" s="28"/>
      <c r="LVD11" s="28"/>
      <c r="LVE11" s="28"/>
      <c r="LVF11" s="28"/>
      <c r="LVG11" s="28"/>
      <c r="LVH11" s="28"/>
      <c r="LVI11" s="28"/>
      <c r="LVJ11" s="28"/>
      <c r="LVK11" s="28"/>
      <c r="LVL11" s="28"/>
      <c r="LVM11" s="28"/>
      <c r="LVN11" s="28"/>
      <c r="LVO11" s="28"/>
      <c r="LVP11" s="28"/>
      <c r="LVQ11" s="28"/>
      <c r="LVR11" s="28"/>
      <c r="LVS11" s="28"/>
      <c r="LVT11" s="28"/>
      <c r="LVU11" s="28"/>
      <c r="LVV11" s="28"/>
      <c r="LVW11" s="28"/>
      <c r="LVX11" s="28"/>
      <c r="LVY11" s="28"/>
      <c r="LVZ11" s="28"/>
      <c r="LWA11" s="28"/>
      <c r="LWB11" s="28"/>
      <c r="LWC11" s="28"/>
      <c r="LWD11" s="28"/>
      <c r="LWE11" s="28"/>
      <c r="LWF11" s="28"/>
      <c r="LWG11" s="28"/>
      <c r="LWH11" s="28"/>
      <c r="LWI11" s="28"/>
      <c r="LWJ11" s="28"/>
      <c r="LWK11" s="28"/>
      <c r="LWL11" s="28"/>
      <c r="LWM11" s="28"/>
      <c r="LWN11" s="28"/>
      <c r="LWO11" s="28"/>
      <c r="LWP11" s="28"/>
      <c r="LWQ11" s="28"/>
      <c r="LWR11" s="28"/>
      <c r="LWS11" s="28"/>
      <c r="LWT11" s="28"/>
      <c r="LWU11" s="28"/>
      <c r="LWV11" s="28"/>
      <c r="LWW11" s="28"/>
      <c r="LWX11" s="28"/>
      <c r="LWY11" s="28"/>
      <c r="LWZ11" s="28"/>
      <c r="LXA11" s="28"/>
      <c r="LXB11" s="28"/>
      <c r="LXC11" s="28"/>
      <c r="LXD11" s="28"/>
      <c r="LXE11" s="28"/>
      <c r="LXF11" s="28"/>
      <c r="LXG11" s="28"/>
      <c r="LXH11" s="28"/>
      <c r="LXI11" s="28"/>
      <c r="LXJ11" s="28"/>
      <c r="LXK11" s="28"/>
      <c r="LXL11" s="28"/>
      <c r="LXM11" s="28"/>
      <c r="LXN11" s="28"/>
      <c r="LXO11" s="28"/>
      <c r="LXP11" s="28"/>
      <c r="LXQ11" s="28"/>
      <c r="LXR11" s="28"/>
      <c r="LXS11" s="28"/>
      <c r="LXT11" s="28"/>
      <c r="LXU11" s="28"/>
      <c r="LXV11" s="28"/>
      <c r="LXW11" s="28"/>
      <c r="LXX11" s="28"/>
      <c r="LXY11" s="28"/>
      <c r="LXZ11" s="28"/>
      <c r="LYA11" s="28"/>
      <c r="LYB11" s="28"/>
      <c r="LYC11" s="28"/>
      <c r="LYD11" s="28"/>
      <c r="LYE11" s="28"/>
      <c r="LYF11" s="28"/>
      <c r="LYG11" s="28"/>
      <c r="LYH11" s="28"/>
      <c r="LYI11" s="28"/>
      <c r="LYJ11" s="28"/>
      <c r="LYK11" s="28"/>
      <c r="LYL11" s="28"/>
      <c r="LYM11" s="28"/>
      <c r="LYN11" s="28"/>
      <c r="LYO11" s="28"/>
      <c r="LYP11" s="28"/>
      <c r="LYQ11" s="28"/>
      <c r="LYR11" s="28"/>
      <c r="LYS11" s="28"/>
      <c r="LYT11" s="28"/>
      <c r="LYU11" s="28"/>
      <c r="LYV11" s="28"/>
      <c r="LYW11" s="28"/>
      <c r="LYX11" s="28"/>
      <c r="LYY11" s="28"/>
      <c r="LYZ11" s="28"/>
      <c r="LZA11" s="28"/>
      <c r="LZB11" s="28"/>
      <c r="LZC11" s="28"/>
      <c r="LZD11" s="28"/>
      <c r="LZE11" s="28"/>
      <c r="LZF11" s="28"/>
      <c r="LZG11" s="28"/>
      <c r="LZH11" s="28"/>
      <c r="LZI11" s="28"/>
      <c r="LZJ11" s="28"/>
      <c r="LZK11" s="28"/>
      <c r="LZL11" s="28"/>
      <c r="LZM11" s="28"/>
      <c r="LZN11" s="28"/>
      <c r="LZO11" s="28"/>
      <c r="LZP11" s="28"/>
      <c r="LZQ11" s="28"/>
      <c r="LZR11" s="28"/>
      <c r="LZS11" s="28"/>
      <c r="LZT11" s="28"/>
      <c r="LZU11" s="28"/>
      <c r="LZV11" s="28"/>
      <c r="LZW11" s="28"/>
      <c r="LZX11" s="28"/>
      <c r="LZY11" s="28"/>
      <c r="LZZ11" s="28"/>
      <c r="MAA11" s="28"/>
      <c r="MAB11" s="28"/>
      <c r="MAC11" s="28"/>
      <c r="MAD11" s="28"/>
      <c r="MAE11" s="28"/>
      <c r="MAF11" s="28"/>
      <c r="MAG11" s="28"/>
      <c r="MAH11" s="28"/>
      <c r="MAI11" s="28"/>
      <c r="MAJ11" s="28"/>
      <c r="MAK11" s="28"/>
      <c r="MAL11" s="28"/>
      <c r="MAM11" s="28"/>
      <c r="MAN11" s="28"/>
      <c r="MAO11" s="28"/>
      <c r="MAP11" s="28"/>
      <c r="MAQ11" s="28"/>
      <c r="MAR11" s="28"/>
      <c r="MAS11" s="28"/>
      <c r="MAT11" s="28"/>
      <c r="MAU11" s="28"/>
      <c r="MAV11" s="28"/>
      <c r="MAW11" s="28"/>
      <c r="MAX11" s="28"/>
      <c r="MAY11" s="28"/>
      <c r="MAZ11" s="28"/>
      <c r="MBA11" s="28"/>
      <c r="MBB11" s="28"/>
      <c r="MBC11" s="28"/>
      <c r="MBD11" s="28"/>
      <c r="MBE11" s="28"/>
      <c r="MBF11" s="28"/>
      <c r="MBG11" s="28"/>
      <c r="MBH11" s="28"/>
      <c r="MBI11" s="28"/>
      <c r="MBJ11" s="28"/>
      <c r="MBK11" s="28"/>
      <c r="MBL11" s="28"/>
      <c r="MBM11" s="28"/>
      <c r="MBN11" s="28"/>
      <c r="MBO11" s="28"/>
      <c r="MBP11" s="28"/>
      <c r="MBQ11" s="28"/>
      <c r="MBR11" s="28"/>
      <c r="MBS11" s="28"/>
      <c r="MBT11" s="28"/>
      <c r="MBU11" s="28"/>
      <c r="MBV11" s="28"/>
      <c r="MBW11" s="28"/>
      <c r="MBX11" s="28"/>
      <c r="MBY11" s="28"/>
      <c r="MBZ11" s="28"/>
      <c r="MCA11" s="28"/>
      <c r="MCB11" s="28"/>
      <c r="MCC11" s="28"/>
      <c r="MCD11" s="28"/>
      <c r="MCE11" s="28"/>
      <c r="MCF11" s="28"/>
      <c r="MCG11" s="28"/>
      <c r="MCH11" s="28"/>
      <c r="MCI11" s="28"/>
      <c r="MCJ11" s="28"/>
      <c r="MCK11" s="28"/>
      <c r="MCL11" s="28"/>
      <c r="MCM11" s="28"/>
      <c r="MCN11" s="28"/>
      <c r="MCO11" s="28"/>
      <c r="MCP11" s="28"/>
      <c r="MCQ11" s="28"/>
      <c r="MCR11" s="28"/>
      <c r="MCS11" s="28"/>
      <c r="MCT11" s="28"/>
      <c r="MCU11" s="28"/>
      <c r="MCV11" s="28"/>
      <c r="MCW11" s="28"/>
      <c r="MCX11" s="28"/>
      <c r="MCY11" s="28"/>
      <c r="MCZ11" s="28"/>
      <c r="MDA11" s="28"/>
      <c r="MDB11" s="28"/>
      <c r="MDC11" s="28"/>
      <c r="MDD11" s="28"/>
      <c r="MDE11" s="28"/>
      <c r="MDF11" s="28"/>
      <c r="MDG11" s="28"/>
      <c r="MDH11" s="28"/>
      <c r="MDI11" s="28"/>
      <c r="MDJ11" s="28"/>
      <c r="MDK11" s="28"/>
      <c r="MDL11" s="28"/>
      <c r="MDM11" s="28"/>
      <c r="MDN11" s="28"/>
      <c r="MDO11" s="28"/>
      <c r="MDP11" s="28"/>
      <c r="MDQ11" s="28"/>
      <c r="MDR11" s="28"/>
      <c r="MDS11" s="28"/>
      <c r="MDT11" s="28"/>
      <c r="MDU11" s="28"/>
      <c r="MDV11" s="28"/>
      <c r="MDW11" s="28"/>
      <c r="MDX11" s="28"/>
      <c r="MDY11" s="28"/>
      <c r="MDZ11" s="28"/>
      <c r="MEA11" s="28"/>
      <c r="MEB11" s="28"/>
      <c r="MEC11" s="28"/>
      <c r="MED11" s="28"/>
      <c r="MEE11" s="28"/>
      <c r="MEF11" s="28"/>
      <c r="MEG11" s="28"/>
      <c r="MEH11" s="28"/>
      <c r="MEI11" s="28"/>
      <c r="MEJ11" s="28"/>
      <c r="MEK11" s="28"/>
      <c r="MEL11" s="28"/>
      <c r="MEM11" s="28"/>
      <c r="MEN11" s="28"/>
      <c r="MEO11" s="28"/>
      <c r="MEP11" s="28"/>
      <c r="MEQ11" s="28"/>
      <c r="MER11" s="28"/>
      <c r="MES11" s="28"/>
      <c r="MET11" s="28"/>
      <c r="MEU11" s="28"/>
      <c r="MEV11" s="28"/>
      <c r="MEW11" s="28"/>
      <c r="MEX11" s="28"/>
      <c r="MEY11" s="28"/>
      <c r="MEZ11" s="28"/>
      <c r="MFA11" s="28"/>
      <c r="MFB11" s="28"/>
      <c r="MFC11" s="28"/>
      <c r="MFD11" s="28"/>
      <c r="MFE11" s="28"/>
      <c r="MFF11" s="28"/>
      <c r="MFG11" s="28"/>
      <c r="MFH11" s="28"/>
      <c r="MFI11" s="28"/>
      <c r="MFJ11" s="28"/>
      <c r="MFK11" s="28"/>
      <c r="MFL11" s="28"/>
      <c r="MFM11" s="28"/>
      <c r="MFN11" s="28"/>
      <c r="MFO11" s="28"/>
      <c r="MFP11" s="28"/>
      <c r="MFQ11" s="28"/>
      <c r="MFR11" s="28"/>
      <c r="MFS11" s="28"/>
      <c r="MFT11" s="28"/>
      <c r="MFU11" s="28"/>
      <c r="MFV11" s="28"/>
      <c r="MFW11" s="28"/>
      <c r="MFX11" s="28"/>
      <c r="MFY11" s="28"/>
      <c r="MFZ11" s="28"/>
      <c r="MGA11" s="28"/>
      <c r="MGB11" s="28"/>
      <c r="MGC11" s="28"/>
      <c r="MGD11" s="28"/>
      <c r="MGE11" s="28"/>
      <c r="MGF11" s="28"/>
      <c r="MGG11" s="28"/>
      <c r="MGH11" s="28"/>
      <c r="MGI11" s="28"/>
      <c r="MGJ11" s="28"/>
      <c r="MGK11" s="28"/>
      <c r="MGL11" s="28"/>
      <c r="MGM11" s="28"/>
      <c r="MGN11" s="28"/>
      <c r="MGO11" s="28"/>
      <c r="MGP11" s="28"/>
      <c r="MGQ11" s="28"/>
      <c r="MGR11" s="28"/>
      <c r="MGS11" s="28"/>
      <c r="MGT11" s="28"/>
      <c r="MGU11" s="28"/>
      <c r="MGV11" s="28"/>
      <c r="MGW11" s="28"/>
      <c r="MGX11" s="28"/>
      <c r="MGY11" s="28"/>
      <c r="MGZ11" s="28"/>
      <c r="MHA11" s="28"/>
      <c r="MHB11" s="28"/>
      <c r="MHC11" s="28"/>
      <c r="MHD11" s="28"/>
      <c r="MHE11" s="28"/>
      <c r="MHF11" s="28"/>
      <c r="MHG11" s="28"/>
      <c r="MHH11" s="28"/>
      <c r="MHI11" s="28"/>
      <c r="MHJ11" s="28"/>
      <c r="MHK11" s="28"/>
      <c r="MHL11" s="28"/>
      <c r="MHM11" s="28"/>
      <c r="MHN11" s="28"/>
      <c r="MHO11" s="28"/>
      <c r="MHP11" s="28"/>
      <c r="MHQ11" s="28"/>
      <c r="MHR11" s="28"/>
      <c r="MHS11" s="28"/>
      <c r="MHT11" s="28"/>
      <c r="MHU11" s="28"/>
      <c r="MHV11" s="28"/>
      <c r="MHW11" s="28"/>
      <c r="MHX11" s="28"/>
      <c r="MHY11" s="28"/>
      <c r="MHZ11" s="28"/>
      <c r="MIA11" s="28"/>
      <c r="MIB11" s="28"/>
      <c r="MIC11" s="28"/>
      <c r="MID11" s="28"/>
      <c r="MIE11" s="28"/>
      <c r="MIF11" s="28"/>
      <c r="MIG11" s="28"/>
      <c r="MIH11" s="28"/>
      <c r="MII11" s="28"/>
      <c r="MIJ11" s="28"/>
      <c r="MIK11" s="28"/>
      <c r="MIL11" s="28"/>
      <c r="MIM11" s="28"/>
      <c r="MIN11" s="28"/>
      <c r="MIO11" s="28"/>
      <c r="MIP11" s="28"/>
      <c r="MIQ11" s="28"/>
      <c r="MIR11" s="28"/>
      <c r="MIS11" s="28"/>
      <c r="MIT11" s="28"/>
      <c r="MIU11" s="28"/>
      <c r="MIV11" s="28"/>
      <c r="MIW11" s="28"/>
      <c r="MIX11" s="28"/>
      <c r="MIY11" s="28"/>
      <c r="MIZ11" s="28"/>
      <c r="MJA11" s="28"/>
      <c r="MJB11" s="28"/>
      <c r="MJC11" s="28"/>
      <c r="MJD11" s="28"/>
      <c r="MJE11" s="28"/>
      <c r="MJF11" s="28"/>
      <c r="MJG11" s="28"/>
      <c r="MJH11" s="28"/>
      <c r="MJI11" s="28"/>
      <c r="MJJ11" s="28"/>
      <c r="MJK11" s="28"/>
      <c r="MJL11" s="28"/>
      <c r="MJM11" s="28"/>
      <c r="MJN11" s="28"/>
      <c r="MJO11" s="28"/>
      <c r="MJP11" s="28"/>
      <c r="MJQ11" s="28"/>
      <c r="MJR11" s="28"/>
      <c r="MJS11" s="28"/>
      <c r="MJT11" s="28"/>
      <c r="MJU11" s="28"/>
      <c r="MJV11" s="28"/>
      <c r="MJW11" s="28"/>
      <c r="MJX11" s="28"/>
      <c r="MJY11" s="28"/>
      <c r="MJZ11" s="28"/>
      <c r="MKA11" s="28"/>
      <c r="MKB11" s="28"/>
      <c r="MKC11" s="28"/>
      <c r="MKD11" s="28"/>
      <c r="MKE11" s="28"/>
      <c r="MKF11" s="28"/>
      <c r="MKG11" s="28"/>
      <c r="MKH11" s="28"/>
      <c r="MKI11" s="28"/>
      <c r="MKJ11" s="28"/>
      <c r="MKK11" s="28"/>
      <c r="MKL11" s="28"/>
      <c r="MKM11" s="28"/>
      <c r="MKN11" s="28"/>
      <c r="MKO11" s="28"/>
      <c r="MKP11" s="28"/>
      <c r="MKQ11" s="28"/>
      <c r="MKR11" s="28"/>
      <c r="MKS11" s="28"/>
      <c r="MKT11" s="28"/>
      <c r="MKU11" s="28"/>
      <c r="MKV11" s="28"/>
      <c r="MKW11" s="28"/>
      <c r="MKX11" s="28"/>
      <c r="MKY11" s="28"/>
      <c r="MKZ11" s="28"/>
      <c r="MLA11" s="28"/>
      <c r="MLB11" s="28"/>
      <c r="MLC11" s="28"/>
      <c r="MLD11" s="28"/>
      <c r="MLE11" s="28"/>
      <c r="MLF11" s="28"/>
      <c r="MLG11" s="28"/>
      <c r="MLH11" s="28"/>
      <c r="MLI11" s="28"/>
      <c r="MLJ11" s="28"/>
      <c r="MLK11" s="28"/>
      <c r="MLL11" s="28"/>
      <c r="MLM11" s="28"/>
      <c r="MLN11" s="28"/>
      <c r="MLO11" s="28"/>
      <c r="MLP11" s="28"/>
      <c r="MLQ11" s="28"/>
      <c r="MLR11" s="28"/>
      <c r="MLS11" s="28"/>
      <c r="MLT11" s="28"/>
      <c r="MLU11" s="28"/>
      <c r="MLV11" s="28"/>
      <c r="MLW11" s="28"/>
      <c r="MLX11" s="28"/>
      <c r="MLY11" s="28"/>
      <c r="MLZ11" s="28"/>
      <c r="MMA11" s="28"/>
      <c r="MMB11" s="28"/>
      <c r="MMC11" s="28"/>
      <c r="MMD11" s="28"/>
      <c r="MME11" s="28"/>
      <c r="MMF11" s="28"/>
      <c r="MMG11" s="28"/>
      <c r="MMH11" s="28"/>
      <c r="MMI11" s="28"/>
      <c r="MMJ11" s="28"/>
      <c r="MMK11" s="28"/>
      <c r="MML11" s="28"/>
      <c r="MMM11" s="28"/>
      <c r="MMN11" s="28"/>
      <c r="MMO11" s="28"/>
      <c r="MMP11" s="28"/>
      <c r="MMQ11" s="28"/>
      <c r="MMR11" s="28"/>
      <c r="MMS11" s="28"/>
      <c r="MMT11" s="28"/>
      <c r="MMU11" s="28"/>
      <c r="MMV11" s="28"/>
      <c r="MMW11" s="28"/>
      <c r="MMX11" s="28"/>
      <c r="MMY11" s="28"/>
      <c r="MMZ11" s="28"/>
      <c r="MNA11" s="28"/>
      <c r="MNB11" s="28"/>
      <c r="MNC11" s="28"/>
      <c r="MND11" s="28"/>
      <c r="MNE11" s="28"/>
      <c r="MNF11" s="28"/>
      <c r="MNG11" s="28"/>
      <c r="MNH11" s="28"/>
      <c r="MNI11" s="28"/>
      <c r="MNJ11" s="28"/>
      <c r="MNK11" s="28"/>
      <c r="MNL11" s="28"/>
      <c r="MNM11" s="28"/>
      <c r="MNN11" s="28"/>
      <c r="MNO11" s="28"/>
      <c r="MNP11" s="28"/>
      <c r="MNQ11" s="28"/>
      <c r="MNR11" s="28"/>
      <c r="MNS11" s="28"/>
      <c r="MNT11" s="28"/>
      <c r="MNU11" s="28"/>
      <c r="MNV11" s="28"/>
      <c r="MNW11" s="28"/>
      <c r="MNX11" s="28"/>
      <c r="MNY11" s="28"/>
      <c r="MNZ11" s="28"/>
      <c r="MOA11" s="28"/>
      <c r="MOB11" s="28"/>
      <c r="MOC11" s="28"/>
      <c r="MOD11" s="28"/>
      <c r="MOE11" s="28"/>
      <c r="MOF11" s="28"/>
      <c r="MOG11" s="28"/>
      <c r="MOH11" s="28"/>
      <c r="MOI11" s="28"/>
      <c r="MOJ11" s="28"/>
      <c r="MOK11" s="28"/>
      <c r="MOL11" s="28"/>
      <c r="MOM11" s="28"/>
      <c r="MON11" s="28"/>
      <c r="MOO11" s="28"/>
      <c r="MOP11" s="28"/>
      <c r="MOQ11" s="28"/>
      <c r="MOR11" s="28"/>
      <c r="MOS11" s="28"/>
      <c r="MOT11" s="28"/>
      <c r="MOU11" s="28"/>
      <c r="MOV11" s="28"/>
      <c r="MOW11" s="28"/>
      <c r="MOX11" s="28"/>
      <c r="MOY11" s="28"/>
      <c r="MOZ11" s="28"/>
      <c r="MPA11" s="28"/>
      <c r="MPB11" s="28"/>
      <c r="MPC11" s="28"/>
      <c r="MPD11" s="28"/>
      <c r="MPE11" s="28"/>
      <c r="MPF11" s="28"/>
      <c r="MPG11" s="28"/>
      <c r="MPH11" s="28"/>
      <c r="MPI11" s="28"/>
      <c r="MPJ11" s="28"/>
      <c r="MPK11" s="28"/>
      <c r="MPL11" s="28"/>
      <c r="MPM11" s="28"/>
      <c r="MPN11" s="28"/>
      <c r="MPO11" s="28"/>
      <c r="MPP11" s="28"/>
      <c r="MPQ11" s="28"/>
      <c r="MPR11" s="28"/>
      <c r="MPS11" s="28"/>
      <c r="MPT11" s="28"/>
      <c r="MPU11" s="28"/>
      <c r="MPV11" s="28"/>
      <c r="MPW11" s="28"/>
      <c r="MPX11" s="28"/>
      <c r="MPY11" s="28"/>
      <c r="MPZ11" s="28"/>
      <c r="MQA11" s="28"/>
      <c r="MQB11" s="28"/>
      <c r="MQC11" s="28"/>
      <c r="MQD11" s="28"/>
      <c r="MQE11" s="28"/>
      <c r="MQF11" s="28"/>
      <c r="MQG11" s="28"/>
      <c r="MQH11" s="28"/>
      <c r="MQI11" s="28"/>
      <c r="MQJ11" s="28"/>
      <c r="MQK11" s="28"/>
      <c r="MQL11" s="28"/>
      <c r="MQM11" s="28"/>
      <c r="MQN11" s="28"/>
      <c r="MQO11" s="28"/>
      <c r="MQP11" s="28"/>
      <c r="MQQ11" s="28"/>
      <c r="MQR11" s="28"/>
      <c r="MQS11" s="28"/>
      <c r="MQT11" s="28"/>
      <c r="MQU11" s="28"/>
      <c r="MQV11" s="28"/>
      <c r="MQW11" s="28"/>
      <c r="MQX11" s="28"/>
      <c r="MQY11" s="28"/>
      <c r="MQZ11" s="28"/>
      <c r="MRA11" s="28"/>
      <c r="MRB11" s="28"/>
      <c r="MRC11" s="28"/>
      <c r="MRD11" s="28"/>
      <c r="MRE11" s="28"/>
      <c r="MRF11" s="28"/>
      <c r="MRG11" s="28"/>
      <c r="MRH11" s="28"/>
      <c r="MRI11" s="28"/>
      <c r="MRJ11" s="28"/>
      <c r="MRK11" s="28"/>
      <c r="MRL11" s="28"/>
      <c r="MRM11" s="28"/>
      <c r="MRN11" s="28"/>
      <c r="MRO11" s="28"/>
      <c r="MRP11" s="28"/>
      <c r="MRQ11" s="28"/>
      <c r="MRR11" s="28"/>
      <c r="MRS11" s="28"/>
      <c r="MRT11" s="28"/>
      <c r="MRU11" s="28"/>
      <c r="MRV11" s="28"/>
      <c r="MRW11" s="28"/>
      <c r="MRX11" s="28"/>
      <c r="MRY11" s="28"/>
      <c r="MRZ11" s="28"/>
      <c r="MSA11" s="28"/>
      <c r="MSB11" s="28"/>
      <c r="MSC11" s="28"/>
      <c r="MSD11" s="28"/>
      <c r="MSE11" s="28"/>
      <c r="MSF11" s="28"/>
      <c r="MSG11" s="28"/>
      <c r="MSH11" s="28"/>
      <c r="MSI11" s="28"/>
      <c r="MSJ11" s="28"/>
      <c r="MSK11" s="28"/>
      <c r="MSL11" s="28"/>
      <c r="MSM11" s="28"/>
      <c r="MSN11" s="28"/>
      <c r="MSO11" s="28"/>
      <c r="MSP11" s="28"/>
      <c r="MSQ11" s="28"/>
      <c r="MSR11" s="28"/>
      <c r="MSS11" s="28"/>
      <c r="MST11" s="28"/>
      <c r="MSU11" s="28"/>
      <c r="MSV11" s="28"/>
      <c r="MSW11" s="28"/>
      <c r="MSX11" s="28"/>
      <c r="MSY11" s="28"/>
      <c r="MSZ11" s="28"/>
      <c r="MTA11" s="28"/>
      <c r="MTB11" s="28"/>
      <c r="MTC11" s="28"/>
      <c r="MTD11" s="28"/>
      <c r="MTE11" s="28"/>
      <c r="MTF11" s="28"/>
      <c r="MTG11" s="28"/>
      <c r="MTH11" s="28"/>
      <c r="MTI11" s="28"/>
      <c r="MTJ11" s="28"/>
      <c r="MTK11" s="28"/>
      <c r="MTL11" s="28"/>
      <c r="MTM11" s="28"/>
      <c r="MTN11" s="28"/>
      <c r="MTO11" s="28"/>
      <c r="MTP11" s="28"/>
      <c r="MTQ11" s="28"/>
      <c r="MTR11" s="28"/>
      <c r="MTS11" s="28"/>
      <c r="MTT11" s="28"/>
      <c r="MTU11" s="28"/>
      <c r="MTV11" s="28"/>
      <c r="MTW11" s="28"/>
      <c r="MTX11" s="28"/>
      <c r="MTY11" s="28"/>
      <c r="MTZ11" s="28"/>
      <c r="MUA11" s="28"/>
      <c r="MUB11" s="28"/>
      <c r="MUC11" s="28"/>
      <c r="MUD11" s="28"/>
      <c r="MUE11" s="28"/>
      <c r="MUF11" s="28"/>
      <c r="MUG11" s="28"/>
      <c r="MUH11" s="28"/>
      <c r="MUI11" s="28"/>
      <c r="MUJ11" s="28"/>
      <c r="MUK11" s="28"/>
      <c r="MUL11" s="28"/>
      <c r="MUM11" s="28"/>
      <c r="MUN11" s="28"/>
      <c r="MUO11" s="28"/>
      <c r="MUP11" s="28"/>
      <c r="MUQ11" s="28"/>
      <c r="MUR11" s="28"/>
      <c r="MUS11" s="28"/>
      <c r="MUT11" s="28"/>
      <c r="MUU11" s="28"/>
      <c r="MUV11" s="28"/>
      <c r="MUW11" s="28"/>
      <c r="MUX11" s="28"/>
      <c r="MUY11" s="28"/>
      <c r="MUZ11" s="28"/>
      <c r="MVA11" s="28"/>
      <c r="MVB11" s="28"/>
      <c r="MVC11" s="28"/>
      <c r="MVD11" s="28"/>
      <c r="MVE11" s="28"/>
      <c r="MVF11" s="28"/>
      <c r="MVG11" s="28"/>
      <c r="MVH11" s="28"/>
      <c r="MVI11" s="28"/>
      <c r="MVJ11" s="28"/>
      <c r="MVK11" s="28"/>
      <c r="MVL11" s="28"/>
      <c r="MVM11" s="28"/>
      <c r="MVN11" s="28"/>
      <c r="MVO11" s="28"/>
      <c r="MVP11" s="28"/>
      <c r="MVQ11" s="28"/>
      <c r="MVR11" s="28"/>
      <c r="MVS11" s="28"/>
      <c r="MVT11" s="28"/>
      <c r="MVU11" s="28"/>
      <c r="MVV11" s="28"/>
      <c r="MVW11" s="28"/>
      <c r="MVX11" s="28"/>
      <c r="MVY11" s="28"/>
      <c r="MVZ11" s="28"/>
      <c r="MWA11" s="28"/>
      <c r="MWB11" s="28"/>
      <c r="MWC11" s="28"/>
      <c r="MWD11" s="28"/>
      <c r="MWE11" s="28"/>
      <c r="MWF11" s="28"/>
      <c r="MWG11" s="28"/>
      <c r="MWH11" s="28"/>
      <c r="MWI11" s="28"/>
      <c r="MWJ11" s="28"/>
      <c r="MWK11" s="28"/>
      <c r="MWL11" s="28"/>
      <c r="MWM11" s="28"/>
      <c r="MWN11" s="28"/>
      <c r="MWO11" s="28"/>
      <c r="MWP11" s="28"/>
      <c r="MWQ11" s="28"/>
      <c r="MWR11" s="28"/>
      <c r="MWS11" s="28"/>
      <c r="MWT11" s="28"/>
      <c r="MWU11" s="28"/>
      <c r="MWV11" s="28"/>
      <c r="MWW11" s="28"/>
      <c r="MWX11" s="28"/>
      <c r="MWY11" s="28"/>
      <c r="MWZ11" s="28"/>
      <c r="MXA11" s="28"/>
      <c r="MXB11" s="28"/>
      <c r="MXC11" s="28"/>
      <c r="MXD11" s="28"/>
      <c r="MXE11" s="28"/>
      <c r="MXF11" s="28"/>
      <c r="MXG11" s="28"/>
      <c r="MXH11" s="28"/>
      <c r="MXI11" s="28"/>
      <c r="MXJ11" s="28"/>
      <c r="MXK11" s="28"/>
      <c r="MXL11" s="28"/>
      <c r="MXM11" s="28"/>
      <c r="MXN11" s="28"/>
      <c r="MXO11" s="28"/>
      <c r="MXP11" s="28"/>
      <c r="MXQ11" s="28"/>
      <c r="MXR11" s="28"/>
      <c r="MXS11" s="28"/>
      <c r="MXT11" s="28"/>
      <c r="MXU11" s="28"/>
      <c r="MXV11" s="28"/>
      <c r="MXW11" s="28"/>
      <c r="MXX11" s="28"/>
      <c r="MXY11" s="28"/>
      <c r="MXZ11" s="28"/>
      <c r="MYA11" s="28"/>
      <c r="MYB11" s="28"/>
      <c r="MYC11" s="28"/>
      <c r="MYD11" s="28"/>
      <c r="MYE11" s="28"/>
      <c r="MYF11" s="28"/>
      <c r="MYG11" s="28"/>
      <c r="MYH11" s="28"/>
      <c r="MYI11" s="28"/>
      <c r="MYJ11" s="28"/>
      <c r="MYK11" s="28"/>
      <c r="MYL11" s="28"/>
      <c r="MYM11" s="28"/>
      <c r="MYN11" s="28"/>
      <c r="MYO11" s="28"/>
      <c r="MYP11" s="28"/>
      <c r="MYQ11" s="28"/>
      <c r="MYR11" s="28"/>
      <c r="MYS11" s="28"/>
      <c r="MYT11" s="28"/>
      <c r="MYU11" s="28"/>
      <c r="MYV11" s="28"/>
      <c r="MYW11" s="28"/>
      <c r="MYX11" s="28"/>
      <c r="MYY11" s="28"/>
      <c r="MYZ11" s="28"/>
      <c r="MZA11" s="28"/>
      <c r="MZB11" s="28"/>
      <c r="MZC11" s="28"/>
      <c r="MZD11" s="28"/>
      <c r="MZE11" s="28"/>
      <c r="MZF11" s="28"/>
      <c r="MZG11" s="28"/>
      <c r="MZH11" s="28"/>
      <c r="MZI11" s="28"/>
      <c r="MZJ11" s="28"/>
      <c r="MZK11" s="28"/>
      <c r="MZL11" s="28"/>
      <c r="MZM11" s="28"/>
      <c r="MZN11" s="28"/>
      <c r="MZO11" s="28"/>
      <c r="MZP11" s="28"/>
      <c r="MZQ11" s="28"/>
      <c r="MZR11" s="28"/>
      <c r="MZS11" s="28"/>
      <c r="MZT11" s="28"/>
      <c r="MZU11" s="28"/>
      <c r="MZV11" s="28"/>
      <c r="MZW11" s="28"/>
      <c r="MZX11" s="28"/>
      <c r="MZY11" s="28"/>
      <c r="MZZ11" s="28"/>
      <c r="NAA11" s="28"/>
      <c r="NAB11" s="28"/>
      <c r="NAC11" s="28"/>
      <c r="NAD11" s="28"/>
      <c r="NAE11" s="28"/>
      <c r="NAF11" s="28"/>
      <c r="NAG11" s="28"/>
      <c r="NAH11" s="28"/>
      <c r="NAI11" s="28"/>
      <c r="NAJ11" s="28"/>
      <c r="NAK11" s="28"/>
      <c r="NAL11" s="28"/>
      <c r="NAM11" s="28"/>
      <c r="NAN11" s="28"/>
      <c r="NAO11" s="28"/>
      <c r="NAP11" s="28"/>
      <c r="NAQ11" s="28"/>
      <c r="NAR11" s="28"/>
      <c r="NAS11" s="28"/>
      <c r="NAT11" s="28"/>
      <c r="NAU11" s="28"/>
      <c r="NAV11" s="28"/>
      <c r="NAW11" s="28"/>
      <c r="NAX11" s="28"/>
      <c r="NAY11" s="28"/>
      <c r="NAZ11" s="28"/>
      <c r="NBA11" s="28"/>
      <c r="NBB11" s="28"/>
      <c r="NBC11" s="28"/>
      <c r="NBD11" s="28"/>
      <c r="NBE11" s="28"/>
      <c r="NBF11" s="28"/>
      <c r="NBG11" s="28"/>
      <c r="NBH11" s="28"/>
      <c r="NBI11" s="28"/>
      <c r="NBJ11" s="28"/>
      <c r="NBK11" s="28"/>
      <c r="NBL11" s="28"/>
      <c r="NBM11" s="28"/>
      <c r="NBN11" s="28"/>
      <c r="NBO11" s="28"/>
      <c r="NBP11" s="28"/>
      <c r="NBQ11" s="28"/>
      <c r="NBR11" s="28"/>
      <c r="NBS11" s="28"/>
      <c r="NBT11" s="28"/>
      <c r="NBU11" s="28"/>
      <c r="NBV11" s="28"/>
      <c r="NBW11" s="28"/>
      <c r="NBX11" s="28"/>
      <c r="NBY11" s="28"/>
      <c r="NBZ11" s="28"/>
      <c r="NCA11" s="28"/>
      <c r="NCB11" s="28"/>
      <c r="NCC11" s="28"/>
      <c r="NCD11" s="28"/>
      <c r="NCE11" s="28"/>
      <c r="NCF11" s="28"/>
      <c r="NCG11" s="28"/>
      <c r="NCH11" s="28"/>
      <c r="NCI11" s="28"/>
      <c r="NCJ11" s="28"/>
      <c r="NCK11" s="28"/>
      <c r="NCL11" s="28"/>
      <c r="NCM11" s="28"/>
      <c r="NCN11" s="28"/>
      <c r="NCO11" s="28"/>
      <c r="NCP11" s="28"/>
      <c r="NCQ11" s="28"/>
      <c r="NCR11" s="28"/>
      <c r="NCS11" s="28"/>
      <c r="NCT11" s="28"/>
      <c r="NCU11" s="28"/>
      <c r="NCV11" s="28"/>
      <c r="NCW11" s="28"/>
      <c r="NCX11" s="28"/>
      <c r="NCY11" s="28"/>
      <c r="NCZ11" s="28"/>
      <c r="NDA11" s="28"/>
      <c r="NDB11" s="28"/>
      <c r="NDC11" s="28"/>
      <c r="NDD11" s="28"/>
      <c r="NDE11" s="28"/>
      <c r="NDF11" s="28"/>
      <c r="NDG11" s="28"/>
      <c r="NDH11" s="28"/>
      <c r="NDI11" s="28"/>
      <c r="NDJ11" s="28"/>
      <c r="NDK11" s="28"/>
      <c r="NDL11" s="28"/>
      <c r="NDM11" s="28"/>
      <c r="NDN11" s="28"/>
      <c r="NDO11" s="28"/>
      <c r="NDP11" s="28"/>
      <c r="NDQ11" s="28"/>
      <c r="NDR11" s="28"/>
      <c r="NDS11" s="28"/>
      <c r="NDT11" s="28"/>
      <c r="NDU11" s="28"/>
      <c r="NDV11" s="28"/>
      <c r="NDW11" s="28"/>
      <c r="NDX11" s="28"/>
      <c r="NDY11" s="28"/>
      <c r="NDZ11" s="28"/>
      <c r="NEA11" s="28"/>
      <c r="NEB11" s="28"/>
      <c r="NEC11" s="28"/>
      <c r="NED11" s="28"/>
      <c r="NEE11" s="28"/>
      <c r="NEF11" s="28"/>
      <c r="NEG11" s="28"/>
      <c r="NEH11" s="28"/>
      <c r="NEI11" s="28"/>
      <c r="NEJ11" s="28"/>
      <c r="NEK11" s="28"/>
      <c r="NEL11" s="28"/>
      <c r="NEM11" s="28"/>
      <c r="NEN11" s="28"/>
      <c r="NEO11" s="28"/>
      <c r="NEP11" s="28"/>
      <c r="NEQ11" s="28"/>
      <c r="NER11" s="28"/>
      <c r="NES11" s="28"/>
      <c r="NET11" s="28"/>
      <c r="NEU11" s="28"/>
      <c r="NEV11" s="28"/>
      <c r="NEW11" s="28"/>
      <c r="NEX11" s="28"/>
      <c r="NEY11" s="28"/>
      <c r="NEZ11" s="28"/>
      <c r="NFA11" s="28"/>
      <c r="NFB11" s="28"/>
      <c r="NFC11" s="28"/>
      <c r="NFD11" s="28"/>
      <c r="NFE11" s="28"/>
      <c r="NFF11" s="28"/>
      <c r="NFG11" s="28"/>
      <c r="NFH11" s="28"/>
      <c r="NFI11" s="28"/>
      <c r="NFJ11" s="28"/>
      <c r="NFK11" s="28"/>
      <c r="NFL11" s="28"/>
      <c r="NFM11" s="28"/>
      <c r="NFN11" s="28"/>
      <c r="NFO11" s="28"/>
      <c r="NFP11" s="28"/>
      <c r="NFQ11" s="28"/>
      <c r="NFR11" s="28"/>
      <c r="NFS11" s="28"/>
      <c r="NFT11" s="28"/>
      <c r="NFU11" s="28"/>
      <c r="NFV11" s="28"/>
      <c r="NFW11" s="28"/>
      <c r="NFX11" s="28"/>
      <c r="NFY11" s="28"/>
      <c r="NFZ11" s="28"/>
      <c r="NGA11" s="28"/>
      <c r="NGB11" s="28"/>
      <c r="NGC11" s="28"/>
      <c r="NGD11" s="28"/>
      <c r="NGE11" s="28"/>
      <c r="NGF11" s="28"/>
      <c r="NGG11" s="28"/>
      <c r="NGH11" s="28"/>
      <c r="NGI11" s="28"/>
      <c r="NGJ11" s="28"/>
      <c r="NGK11" s="28"/>
      <c r="NGL11" s="28"/>
      <c r="NGM11" s="28"/>
      <c r="NGN11" s="28"/>
      <c r="NGO11" s="28"/>
      <c r="NGP11" s="28"/>
      <c r="NGQ11" s="28"/>
      <c r="NGR11" s="28"/>
      <c r="NGS11" s="28"/>
      <c r="NGT11" s="28"/>
      <c r="NGU11" s="28"/>
      <c r="NGV11" s="28"/>
      <c r="NGW11" s="28"/>
      <c r="NGX11" s="28"/>
      <c r="NGY11" s="28"/>
      <c r="NGZ11" s="28"/>
      <c r="NHA11" s="28"/>
      <c r="NHB11" s="28"/>
      <c r="NHC11" s="28"/>
      <c r="NHD11" s="28"/>
      <c r="NHE11" s="28"/>
      <c r="NHF11" s="28"/>
      <c r="NHG11" s="28"/>
      <c r="NHH11" s="28"/>
      <c r="NHI11" s="28"/>
      <c r="NHJ11" s="28"/>
      <c r="NHK11" s="28"/>
      <c r="NHL11" s="28"/>
      <c r="NHM11" s="28"/>
      <c r="NHN11" s="28"/>
      <c r="NHO11" s="28"/>
      <c r="NHP11" s="28"/>
      <c r="NHQ11" s="28"/>
      <c r="NHR11" s="28"/>
      <c r="NHS11" s="28"/>
      <c r="NHT11" s="28"/>
      <c r="NHU11" s="28"/>
      <c r="NHV11" s="28"/>
      <c r="NHW11" s="28"/>
      <c r="NHX11" s="28"/>
      <c r="NHY11" s="28"/>
      <c r="NHZ11" s="28"/>
      <c r="NIA11" s="28"/>
      <c r="NIB11" s="28"/>
      <c r="NIC11" s="28"/>
      <c r="NID11" s="28"/>
      <c r="NIE11" s="28"/>
      <c r="NIF11" s="28"/>
      <c r="NIG11" s="28"/>
      <c r="NIH11" s="28"/>
      <c r="NII11" s="28"/>
      <c r="NIJ11" s="28"/>
      <c r="NIK11" s="28"/>
      <c r="NIL11" s="28"/>
      <c r="NIM11" s="28"/>
      <c r="NIN11" s="28"/>
      <c r="NIO11" s="28"/>
      <c r="NIP11" s="28"/>
      <c r="NIQ11" s="28"/>
      <c r="NIR11" s="28"/>
      <c r="NIS11" s="28"/>
      <c r="NIT11" s="28"/>
      <c r="NIU11" s="28"/>
      <c r="NIV11" s="28"/>
      <c r="NIW11" s="28"/>
      <c r="NIX11" s="28"/>
      <c r="NIY11" s="28"/>
      <c r="NIZ11" s="28"/>
      <c r="NJA11" s="28"/>
      <c r="NJB11" s="28"/>
      <c r="NJC11" s="28"/>
      <c r="NJD11" s="28"/>
      <c r="NJE11" s="28"/>
      <c r="NJF11" s="28"/>
      <c r="NJG11" s="28"/>
      <c r="NJH11" s="28"/>
      <c r="NJI11" s="28"/>
      <c r="NJJ11" s="28"/>
      <c r="NJK11" s="28"/>
      <c r="NJL11" s="28"/>
      <c r="NJM11" s="28"/>
      <c r="NJN11" s="28"/>
      <c r="NJO11" s="28"/>
      <c r="NJP11" s="28"/>
      <c r="NJQ11" s="28"/>
      <c r="NJR11" s="28"/>
      <c r="NJS11" s="28"/>
      <c r="NJT11" s="28"/>
      <c r="NJU11" s="28"/>
      <c r="NJV11" s="28"/>
      <c r="NJW11" s="28"/>
      <c r="NJX11" s="28"/>
      <c r="NJY11" s="28"/>
      <c r="NJZ11" s="28"/>
      <c r="NKA11" s="28"/>
      <c r="NKB11" s="28"/>
      <c r="NKC11" s="28"/>
      <c r="NKD11" s="28"/>
      <c r="NKE11" s="28"/>
      <c r="NKF11" s="28"/>
      <c r="NKG11" s="28"/>
      <c r="NKH11" s="28"/>
      <c r="NKI11" s="28"/>
      <c r="NKJ11" s="28"/>
      <c r="NKK11" s="28"/>
      <c r="NKL11" s="28"/>
      <c r="NKM11" s="28"/>
      <c r="NKN11" s="28"/>
      <c r="NKO11" s="28"/>
      <c r="NKP11" s="28"/>
      <c r="NKQ11" s="28"/>
      <c r="NKR11" s="28"/>
      <c r="NKS11" s="28"/>
      <c r="NKT11" s="28"/>
      <c r="NKU11" s="28"/>
      <c r="NKV11" s="28"/>
      <c r="NKW11" s="28"/>
      <c r="NKX11" s="28"/>
      <c r="NKY11" s="28"/>
      <c r="NKZ11" s="28"/>
      <c r="NLA11" s="28"/>
      <c r="NLB11" s="28"/>
      <c r="NLC11" s="28"/>
      <c r="NLD11" s="28"/>
      <c r="NLE11" s="28"/>
      <c r="NLF11" s="28"/>
      <c r="NLG11" s="28"/>
      <c r="NLH11" s="28"/>
      <c r="NLI11" s="28"/>
      <c r="NLJ11" s="28"/>
      <c r="NLK11" s="28"/>
      <c r="NLL11" s="28"/>
      <c r="NLM11" s="28"/>
      <c r="NLN11" s="28"/>
      <c r="NLO11" s="28"/>
      <c r="NLP11" s="28"/>
      <c r="NLQ11" s="28"/>
      <c r="NLR11" s="28"/>
      <c r="NLS11" s="28"/>
      <c r="NLT11" s="28"/>
      <c r="NLU11" s="28"/>
      <c r="NLV11" s="28"/>
      <c r="NLW11" s="28"/>
      <c r="NLX11" s="28"/>
      <c r="NLY11" s="28"/>
      <c r="NLZ11" s="28"/>
      <c r="NMA11" s="28"/>
      <c r="NMB11" s="28"/>
      <c r="NMC11" s="28"/>
      <c r="NMD11" s="28"/>
      <c r="NME11" s="28"/>
      <c r="NMF11" s="28"/>
      <c r="NMG11" s="28"/>
      <c r="NMH11" s="28"/>
      <c r="NMI11" s="28"/>
      <c r="NMJ11" s="28"/>
      <c r="NMK11" s="28"/>
      <c r="NML11" s="28"/>
      <c r="NMM11" s="28"/>
      <c r="NMN11" s="28"/>
      <c r="NMO11" s="28"/>
      <c r="NMP11" s="28"/>
      <c r="NMQ11" s="28"/>
      <c r="NMR11" s="28"/>
      <c r="NMS11" s="28"/>
      <c r="NMT11" s="28"/>
      <c r="NMU11" s="28"/>
      <c r="NMV11" s="28"/>
      <c r="NMW11" s="28"/>
      <c r="NMX11" s="28"/>
      <c r="NMY11" s="28"/>
      <c r="NMZ11" s="28"/>
      <c r="NNA11" s="28"/>
      <c r="NNB11" s="28"/>
      <c r="NNC11" s="28"/>
      <c r="NND11" s="28"/>
      <c r="NNE11" s="28"/>
      <c r="NNF11" s="28"/>
      <c r="NNG11" s="28"/>
      <c r="NNH11" s="28"/>
      <c r="NNI11" s="28"/>
      <c r="NNJ11" s="28"/>
      <c r="NNK11" s="28"/>
      <c r="NNL11" s="28"/>
      <c r="NNM11" s="28"/>
      <c r="NNN11" s="28"/>
      <c r="NNO11" s="28"/>
      <c r="NNP11" s="28"/>
      <c r="NNQ11" s="28"/>
      <c r="NNR11" s="28"/>
      <c r="NNS11" s="28"/>
      <c r="NNT11" s="28"/>
      <c r="NNU11" s="28"/>
      <c r="NNV11" s="28"/>
      <c r="NNW11" s="28"/>
      <c r="NNX11" s="28"/>
      <c r="NNY11" s="28"/>
      <c r="NNZ11" s="28"/>
      <c r="NOA11" s="28"/>
      <c r="NOB11" s="28"/>
      <c r="NOC11" s="28"/>
      <c r="NOD11" s="28"/>
      <c r="NOE11" s="28"/>
      <c r="NOF11" s="28"/>
      <c r="NOG11" s="28"/>
      <c r="NOH11" s="28"/>
      <c r="NOI11" s="28"/>
      <c r="NOJ11" s="28"/>
      <c r="NOK11" s="28"/>
      <c r="NOL11" s="28"/>
      <c r="NOM11" s="28"/>
      <c r="NON11" s="28"/>
      <c r="NOO11" s="28"/>
      <c r="NOP11" s="28"/>
      <c r="NOQ11" s="28"/>
      <c r="NOR11" s="28"/>
      <c r="NOS11" s="28"/>
      <c r="NOT11" s="28"/>
      <c r="NOU11" s="28"/>
      <c r="NOV11" s="28"/>
      <c r="NOW11" s="28"/>
      <c r="NOX11" s="28"/>
      <c r="NOY11" s="28"/>
      <c r="NOZ11" s="28"/>
      <c r="NPA11" s="28"/>
      <c r="NPB11" s="28"/>
      <c r="NPC11" s="28"/>
      <c r="NPD11" s="28"/>
      <c r="NPE11" s="28"/>
      <c r="NPF11" s="28"/>
      <c r="NPG11" s="28"/>
      <c r="NPH11" s="28"/>
      <c r="NPI11" s="28"/>
      <c r="NPJ11" s="28"/>
      <c r="NPK11" s="28"/>
      <c r="NPL11" s="28"/>
      <c r="NPM11" s="28"/>
      <c r="NPN11" s="28"/>
      <c r="NPO11" s="28"/>
      <c r="NPP11" s="28"/>
      <c r="NPQ11" s="28"/>
      <c r="NPR11" s="28"/>
      <c r="NPS11" s="28"/>
      <c r="NPT11" s="28"/>
      <c r="NPU11" s="28"/>
      <c r="NPV11" s="28"/>
      <c r="NPW11" s="28"/>
      <c r="NPX11" s="28"/>
      <c r="NPY11" s="28"/>
      <c r="NPZ11" s="28"/>
      <c r="NQA11" s="28"/>
      <c r="NQB11" s="28"/>
      <c r="NQC11" s="28"/>
      <c r="NQD11" s="28"/>
      <c r="NQE11" s="28"/>
      <c r="NQF11" s="28"/>
      <c r="NQG11" s="28"/>
      <c r="NQH11" s="28"/>
      <c r="NQI11" s="28"/>
      <c r="NQJ11" s="28"/>
      <c r="NQK11" s="28"/>
      <c r="NQL11" s="28"/>
      <c r="NQM11" s="28"/>
      <c r="NQN11" s="28"/>
      <c r="NQO11" s="28"/>
      <c r="NQP11" s="28"/>
      <c r="NQQ11" s="28"/>
      <c r="NQR11" s="28"/>
      <c r="NQS11" s="28"/>
      <c r="NQT11" s="28"/>
      <c r="NQU11" s="28"/>
      <c r="NQV11" s="28"/>
      <c r="NQW11" s="28"/>
      <c r="NQX11" s="28"/>
      <c r="NQY11" s="28"/>
      <c r="NQZ11" s="28"/>
      <c r="NRA11" s="28"/>
      <c r="NRB11" s="28"/>
      <c r="NRC11" s="28"/>
      <c r="NRD11" s="28"/>
      <c r="NRE11" s="28"/>
      <c r="NRF11" s="28"/>
      <c r="NRG11" s="28"/>
      <c r="NRH11" s="28"/>
      <c r="NRI11" s="28"/>
      <c r="NRJ11" s="28"/>
      <c r="NRK11" s="28"/>
      <c r="NRL11" s="28"/>
      <c r="NRM11" s="28"/>
      <c r="NRN11" s="28"/>
      <c r="NRO11" s="28"/>
      <c r="NRP11" s="28"/>
      <c r="NRQ11" s="28"/>
      <c r="NRR11" s="28"/>
      <c r="NRS11" s="28"/>
      <c r="NRT11" s="28"/>
      <c r="NRU11" s="28"/>
      <c r="NRV11" s="28"/>
      <c r="NRW11" s="28"/>
      <c r="NRX11" s="28"/>
      <c r="NRY11" s="28"/>
      <c r="NRZ11" s="28"/>
      <c r="NSA11" s="28"/>
      <c r="NSB11" s="28"/>
      <c r="NSC11" s="28"/>
      <c r="NSD11" s="28"/>
      <c r="NSE11" s="28"/>
      <c r="NSF11" s="28"/>
      <c r="NSG11" s="28"/>
      <c r="NSH11" s="28"/>
      <c r="NSI11" s="28"/>
      <c r="NSJ11" s="28"/>
      <c r="NSK11" s="28"/>
      <c r="NSL11" s="28"/>
      <c r="NSM11" s="28"/>
      <c r="NSN11" s="28"/>
      <c r="NSO11" s="28"/>
      <c r="NSP11" s="28"/>
      <c r="NSQ11" s="28"/>
      <c r="NSR11" s="28"/>
      <c r="NSS11" s="28"/>
      <c r="NST11" s="28"/>
      <c r="NSU11" s="28"/>
      <c r="NSV11" s="28"/>
      <c r="NSW11" s="28"/>
      <c r="NSX11" s="28"/>
      <c r="NSY11" s="28"/>
      <c r="NSZ11" s="28"/>
      <c r="NTA11" s="28"/>
      <c r="NTB11" s="28"/>
      <c r="NTC11" s="28"/>
      <c r="NTD11" s="28"/>
      <c r="NTE11" s="28"/>
      <c r="NTF11" s="28"/>
      <c r="NTG11" s="28"/>
      <c r="NTH11" s="28"/>
      <c r="NTI11" s="28"/>
      <c r="NTJ11" s="28"/>
      <c r="NTK11" s="28"/>
      <c r="NTL11" s="28"/>
      <c r="NTM11" s="28"/>
      <c r="NTN11" s="28"/>
      <c r="NTO11" s="28"/>
      <c r="NTP11" s="28"/>
      <c r="NTQ11" s="28"/>
      <c r="NTR11" s="28"/>
      <c r="NTS11" s="28"/>
      <c r="NTT11" s="28"/>
      <c r="NTU11" s="28"/>
      <c r="NTV11" s="28"/>
      <c r="NTW11" s="28"/>
      <c r="NTX11" s="28"/>
      <c r="NTY11" s="28"/>
      <c r="NTZ11" s="28"/>
      <c r="NUA11" s="28"/>
      <c r="NUB11" s="28"/>
      <c r="NUC11" s="28"/>
      <c r="NUD11" s="28"/>
      <c r="NUE11" s="28"/>
      <c r="NUF11" s="28"/>
      <c r="NUG11" s="28"/>
      <c r="NUH11" s="28"/>
      <c r="NUI11" s="28"/>
      <c r="NUJ11" s="28"/>
      <c r="NUK11" s="28"/>
      <c r="NUL11" s="28"/>
      <c r="NUM11" s="28"/>
      <c r="NUN11" s="28"/>
      <c r="NUO11" s="28"/>
      <c r="NUP11" s="28"/>
      <c r="NUQ11" s="28"/>
      <c r="NUR11" s="28"/>
      <c r="NUS11" s="28"/>
      <c r="NUT11" s="28"/>
      <c r="NUU11" s="28"/>
      <c r="NUV11" s="28"/>
      <c r="NUW11" s="28"/>
      <c r="NUX11" s="28"/>
      <c r="NUY11" s="28"/>
      <c r="NUZ11" s="28"/>
      <c r="NVA11" s="28"/>
      <c r="NVB11" s="28"/>
      <c r="NVC11" s="28"/>
      <c r="NVD11" s="28"/>
      <c r="NVE11" s="28"/>
      <c r="NVF11" s="28"/>
      <c r="NVG11" s="28"/>
      <c r="NVH11" s="28"/>
      <c r="NVI11" s="28"/>
      <c r="NVJ11" s="28"/>
      <c r="NVK11" s="28"/>
      <c r="NVL11" s="28"/>
      <c r="NVM11" s="28"/>
      <c r="NVN11" s="28"/>
      <c r="NVO11" s="28"/>
      <c r="NVP11" s="28"/>
      <c r="NVQ11" s="28"/>
      <c r="NVR11" s="28"/>
      <c r="NVS11" s="28"/>
      <c r="NVT11" s="28"/>
      <c r="NVU11" s="28"/>
      <c r="NVV11" s="28"/>
      <c r="NVW11" s="28"/>
      <c r="NVX11" s="28"/>
      <c r="NVY11" s="28"/>
      <c r="NVZ11" s="28"/>
      <c r="NWA11" s="28"/>
      <c r="NWB11" s="28"/>
      <c r="NWC11" s="28"/>
      <c r="NWD11" s="28"/>
      <c r="NWE11" s="28"/>
      <c r="NWF11" s="28"/>
      <c r="NWG11" s="28"/>
      <c r="NWH11" s="28"/>
      <c r="NWI11" s="28"/>
      <c r="NWJ11" s="28"/>
      <c r="NWK11" s="28"/>
      <c r="NWL11" s="28"/>
      <c r="NWM11" s="28"/>
      <c r="NWN11" s="28"/>
      <c r="NWO11" s="28"/>
      <c r="NWP11" s="28"/>
      <c r="NWQ11" s="28"/>
      <c r="NWR11" s="28"/>
      <c r="NWS11" s="28"/>
      <c r="NWT11" s="28"/>
      <c r="NWU11" s="28"/>
      <c r="NWV11" s="28"/>
      <c r="NWW11" s="28"/>
      <c r="NWX11" s="28"/>
      <c r="NWY11" s="28"/>
      <c r="NWZ11" s="28"/>
      <c r="NXA11" s="28"/>
      <c r="NXB11" s="28"/>
      <c r="NXC11" s="28"/>
      <c r="NXD11" s="28"/>
      <c r="NXE11" s="28"/>
      <c r="NXF11" s="28"/>
      <c r="NXG11" s="28"/>
      <c r="NXH11" s="28"/>
      <c r="NXI11" s="28"/>
      <c r="NXJ11" s="28"/>
      <c r="NXK11" s="28"/>
      <c r="NXL11" s="28"/>
      <c r="NXM11" s="28"/>
      <c r="NXN11" s="28"/>
      <c r="NXO11" s="28"/>
      <c r="NXP11" s="28"/>
      <c r="NXQ11" s="28"/>
      <c r="NXR11" s="28"/>
      <c r="NXS11" s="28"/>
      <c r="NXT11" s="28"/>
      <c r="NXU11" s="28"/>
      <c r="NXV11" s="28"/>
      <c r="NXW11" s="28"/>
      <c r="NXX11" s="28"/>
      <c r="NXY11" s="28"/>
      <c r="NXZ11" s="28"/>
      <c r="NYA11" s="28"/>
      <c r="NYB11" s="28"/>
      <c r="NYC11" s="28"/>
      <c r="NYD11" s="28"/>
      <c r="NYE11" s="28"/>
      <c r="NYF11" s="28"/>
      <c r="NYG11" s="28"/>
      <c r="NYH11" s="28"/>
      <c r="NYI11" s="28"/>
      <c r="NYJ11" s="28"/>
      <c r="NYK11" s="28"/>
      <c r="NYL11" s="28"/>
      <c r="NYM11" s="28"/>
      <c r="NYN11" s="28"/>
      <c r="NYO11" s="28"/>
      <c r="NYP11" s="28"/>
      <c r="NYQ11" s="28"/>
      <c r="NYR11" s="28"/>
      <c r="NYS11" s="28"/>
      <c r="NYT11" s="28"/>
      <c r="NYU11" s="28"/>
      <c r="NYV11" s="28"/>
      <c r="NYW11" s="28"/>
      <c r="NYX11" s="28"/>
      <c r="NYY11" s="28"/>
      <c r="NYZ11" s="28"/>
      <c r="NZA11" s="28"/>
      <c r="NZB11" s="28"/>
      <c r="NZC11" s="28"/>
      <c r="NZD11" s="28"/>
      <c r="NZE11" s="28"/>
      <c r="NZF11" s="28"/>
      <c r="NZG11" s="28"/>
      <c r="NZH11" s="28"/>
      <c r="NZI11" s="28"/>
      <c r="NZJ11" s="28"/>
      <c r="NZK11" s="28"/>
      <c r="NZL11" s="28"/>
      <c r="NZM11" s="28"/>
      <c r="NZN11" s="28"/>
      <c r="NZO11" s="28"/>
      <c r="NZP11" s="28"/>
      <c r="NZQ11" s="28"/>
      <c r="NZR11" s="28"/>
      <c r="NZS11" s="28"/>
      <c r="NZT11" s="28"/>
      <c r="NZU11" s="28"/>
      <c r="NZV11" s="28"/>
      <c r="NZW11" s="28"/>
      <c r="NZX11" s="28"/>
      <c r="NZY11" s="28"/>
      <c r="NZZ11" s="28"/>
      <c r="OAA11" s="28"/>
      <c r="OAB11" s="28"/>
      <c r="OAC11" s="28"/>
      <c r="OAD11" s="28"/>
      <c r="OAE11" s="28"/>
      <c r="OAF11" s="28"/>
      <c r="OAG11" s="28"/>
      <c r="OAH11" s="28"/>
      <c r="OAI11" s="28"/>
      <c r="OAJ11" s="28"/>
      <c r="OAK11" s="28"/>
      <c r="OAL11" s="28"/>
      <c r="OAM11" s="28"/>
      <c r="OAN11" s="28"/>
      <c r="OAO11" s="28"/>
      <c r="OAP11" s="28"/>
      <c r="OAQ11" s="28"/>
      <c r="OAR11" s="28"/>
      <c r="OAS11" s="28"/>
      <c r="OAT11" s="28"/>
      <c r="OAU11" s="28"/>
      <c r="OAV11" s="28"/>
      <c r="OAW11" s="28"/>
      <c r="OAX11" s="28"/>
      <c r="OAY11" s="28"/>
      <c r="OAZ11" s="28"/>
      <c r="OBA11" s="28"/>
      <c r="OBB11" s="28"/>
      <c r="OBC11" s="28"/>
      <c r="OBD11" s="28"/>
      <c r="OBE11" s="28"/>
      <c r="OBF11" s="28"/>
      <c r="OBG11" s="28"/>
      <c r="OBH11" s="28"/>
      <c r="OBI11" s="28"/>
      <c r="OBJ11" s="28"/>
      <c r="OBK11" s="28"/>
      <c r="OBL11" s="28"/>
      <c r="OBM11" s="28"/>
      <c r="OBN11" s="28"/>
      <c r="OBO11" s="28"/>
      <c r="OBP11" s="28"/>
      <c r="OBQ11" s="28"/>
      <c r="OBR11" s="28"/>
      <c r="OBS11" s="28"/>
      <c r="OBT11" s="28"/>
      <c r="OBU11" s="28"/>
      <c r="OBV11" s="28"/>
      <c r="OBW11" s="28"/>
      <c r="OBX11" s="28"/>
      <c r="OBY11" s="28"/>
      <c r="OBZ11" s="28"/>
      <c r="OCA11" s="28"/>
      <c r="OCB11" s="28"/>
      <c r="OCC11" s="28"/>
      <c r="OCD11" s="28"/>
      <c r="OCE11" s="28"/>
      <c r="OCF11" s="28"/>
      <c r="OCG11" s="28"/>
      <c r="OCH11" s="28"/>
      <c r="OCI11" s="28"/>
      <c r="OCJ11" s="28"/>
      <c r="OCK11" s="28"/>
      <c r="OCL11" s="28"/>
      <c r="OCM11" s="28"/>
      <c r="OCN11" s="28"/>
      <c r="OCO11" s="28"/>
      <c r="OCP11" s="28"/>
      <c r="OCQ11" s="28"/>
      <c r="OCR11" s="28"/>
      <c r="OCS11" s="28"/>
      <c r="OCT11" s="28"/>
      <c r="OCU11" s="28"/>
      <c r="OCV11" s="28"/>
      <c r="OCW11" s="28"/>
      <c r="OCX11" s="28"/>
      <c r="OCY11" s="28"/>
      <c r="OCZ11" s="28"/>
      <c r="ODA11" s="28"/>
      <c r="ODB11" s="28"/>
      <c r="ODC11" s="28"/>
      <c r="ODD11" s="28"/>
      <c r="ODE11" s="28"/>
      <c r="ODF11" s="28"/>
      <c r="ODG11" s="28"/>
      <c r="ODH11" s="28"/>
      <c r="ODI11" s="28"/>
      <c r="ODJ11" s="28"/>
      <c r="ODK11" s="28"/>
      <c r="ODL11" s="28"/>
      <c r="ODM11" s="28"/>
      <c r="ODN11" s="28"/>
      <c r="ODO11" s="28"/>
      <c r="ODP11" s="28"/>
      <c r="ODQ11" s="28"/>
      <c r="ODR11" s="28"/>
      <c r="ODS11" s="28"/>
      <c r="ODT11" s="28"/>
      <c r="ODU11" s="28"/>
      <c r="ODV11" s="28"/>
      <c r="ODW11" s="28"/>
      <c r="ODX11" s="28"/>
      <c r="ODY11" s="28"/>
      <c r="ODZ11" s="28"/>
      <c r="OEA11" s="28"/>
      <c r="OEB11" s="28"/>
      <c r="OEC11" s="28"/>
      <c r="OED11" s="28"/>
      <c r="OEE11" s="28"/>
      <c r="OEF11" s="28"/>
      <c r="OEG11" s="28"/>
      <c r="OEH11" s="28"/>
      <c r="OEI11" s="28"/>
      <c r="OEJ11" s="28"/>
      <c r="OEK11" s="28"/>
      <c r="OEL11" s="28"/>
      <c r="OEM11" s="28"/>
      <c r="OEN11" s="28"/>
      <c r="OEO11" s="28"/>
      <c r="OEP11" s="28"/>
      <c r="OEQ11" s="28"/>
      <c r="OER11" s="28"/>
      <c r="OES11" s="28"/>
      <c r="OET11" s="28"/>
      <c r="OEU11" s="28"/>
      <c r="OEV11" s="28"/>
      <c r="OEW11" s="28"/>
      <c r="OEX11" s="28"/>
      <c r="OEY11" s="28"/>
      <c r="OEZ11" s="28"/>
      <c r="OFA11" s="28"/>
      <c r="OFB11" s="28"/>
      <c r="OFC11" s="28"/>
      <c r="OFD11" s="28"/>
      <c r="OFE11" s="28"/>
      <c r="OFF11" s="28"/>
      <c r="OFG11" s="28"/>
      <c r="OFH11" s="28"/>
      <c r="OFI11" s="28"/>
      <c r="OFJ11" s="28"/>
      <c r="OFK11" s="28"/>
      <c r="OFL11" s="28"/>
      <c r="OFM11" s="28"/>
      <c r="OFN11" s="28"/>
      <c r="OFO11" s="28"/>
      <c r="OFP11" s="28"/>
      <c r="OFQ11" s="28"/>
      <c r="OFR11" s="28"/>
      <c r="OFS11" s="28"/>
      <c r="OFT11" s="28"/>
      <c r="OFU11" s="28"/>
      <c r="OFV11" s="28"/>
      <c r="OFW11" s="28"/>
      <c r="OFX11" s="28"/>
      <c r="OFY11" s="28"/>
      <c r="OFZ11" s="28"/>
      <c r="OGA11" s="28"/>
      <c r="OGB11" s="28"/>
      <c r="OGC11" s="28"/>
      <c r="OGD11" s="28"/>
      <c r="OGE11" s="28"/>
      <c r="OGF11" s="28"/>
      <c r="OGG11" s="28"/>
      <c r="OGH11" s="28"/>
      <c r="OGI11" s="28"/>
      <c r="OGJ11" s="28"/>
      <c r="OGK11" s="28"/>
      <c r="OGL11" s="28"/>
      <c r="OGM11" s="28"/>
      <c r="OGN11" s="28"/>
      <c r="OGO11" s="28"/>
      <c r="OGP11" s="28"/>
      <c r="OGQ11" s="28"/>
      <c r="OGR11" s="28"/>
      <c r="OGS11" s="28"/>
      <c r="OGT11" s="28"/>
      <c r="OGU11" s="28"/>
      <c r="OGV11" s="28"/>
      <c r="OGW11" s="28"/>
      <c r="OGX11" s="28"/>
      <c r="OGY11" s="28"/>
      <c r="OGZ11" s="28"/>
      <c r="OHA11" s="28"/>
      <c r="OHB11" s="28"/>
      <c r="OHC11" s="28"/>
      <c r="OHD11" s="28"/>
      <c r="OHE11" s="28"/>
      <c r="OHF11" s="28"/>
      <c r="OHG11" s="28"/>
      <c r="OHH11" s="28"/>
      <c r="OHI11" s="28"/>
      <c r="OHJ11" s="28"/>
      <c r="OHK11" s="28"/>
      <c r="OHL11" s="28"/>
      <c r="OHM11" s="28"/>
      <c r="OHN11" s="28"/>
      <c r="OHO11" s="28"/>
      <c r="OHP11" s="28"/>
      <c r="OHQ11" s="28"/>
      <c r="OHR11" s="28"/>
      <c r="OHS11" s="28"/>
      <c r="OHT11" s="28"/>
      <c r="OHU11" s="28"/>
      <c r="OHV11" s="28"/>
      <c r="OHW11" s="28"/>
      <c r="OHX11" s="28"/>
      <c r="OHY11" s="28"/>
      <c r="OHZ11" s="28"/>
      <c r="OIA11" s="28"/>
      <c r="OIB11" s="28"/>
      <c r="OIC11" s="28"/>
      <c r="OID11" s="28"/>
      <c r="OIE11" s="28"/>
      <c r="OIF11" s="28"/>
      <c r="OIG11" s="28"/>
      <c r="OIH11" s="28"/>
      <c r="OII11" s="28"/>
      <c r="OIJ11" s="28"/>
      <c r="OIK11" s="28"/>
      <c r="OIL11" s="28"/>
      <c r="OIM11" s="28"/>
      <c r="OIN11" s="28"/>
      <c r="OIO11" s="28"/>
      <c r="OIP11" s="28"/>
      <c r="OIQ11" s="28"/>
      <c r="OIR11" s="28"/>
      <c r="OIS11" s="28"/>
      <c r="OIT11" s="28"/>
      <c r="OIU11" s="28"/>
      <c r="OIV11" s="28"/>
      <c r="OIW11" s="28"/>
      <c r="OIX11" s="28"/>
      <c r="OIY11" s="28"/>
      <c r="OIZ11" s="28"/>
      <c r="OJA11" s="28"/>
      <c r="OJB11" s="28"/>
      <c r="OJC11" s="28"/>
      <c r="OJD11" s="28"/>
      <c r="OJE11" s="28"/>
      <c r="OJF11" s="28"/>
      <c r="OJG11" s="28"/>
      <c r="OJH11" s="28"/>
      <c r="OJI11" s="28"/>
      <c r="OJJ11" s="28"/>
      <c r="OJK11" s="28"/>
      <c r="OJL11" s="28"/>
      <c r="OJM11" s="28"/>
      <c r="OJN11" s="28"/>
      <c r="OJO11" s="28"/>
      <c r="OJP11" s="28"/>
      <c r="OJQ11" s="28"/>
      <c r="OJR11" s="28"/>
      <c r="OJS11" s="28"/>
      <c r="OJT11" s="28"/>
      <c r="OJU11" s="28"/>
      <c r="OJV11" s="28"/>
      <c r="OJW11" s="28"/>
      <c r="OJX11" s="28"/>
      <c r="OJY11" s="28"/>
      <c r="OJZ11" s="28"/>
      <c r="OKA11" s="28"/>
      <c r="OKB11" s="28"/>
      <c r="OKC11" s="28"/>
      <c r="OKD11" s="28"/>
      <c r="OKE11" s="28"/>
      <c r="OKF11" s="28"/>
      <c r="OKG11" s="28"/>
      <c r="OKH11" s="28"/>
      <c r="OKI11" s="28"/>
      <c r="OKJ11" s="28"/>
      <c r="OKK11" s="28"/>
      <c r="OKL11" s="28"/>
      <c r="OKM11" s="28"/>
      <c r="OKN11" s="28"/>
      <c r="OKO11" s="28"/>
      <c r="OKP11" s="28"/>
      <c r="OKQ11" s="28"/>
      <c r="OKR11" s="28"/>
      <c r="OKS11" s="28"/>
      <c r="OKT11" s="28"/>
      <c r="OKU11" s="28"/>
      <c r="OKV11" s="28"/>
      <c r="OKW11" s="28"/>
      <c r="OKX11" s="28"/>
      <c r="OKY11" s="28"/>
      <c r="OKZ11" s="28"/>
      <c r="OLA11" s="28"/>
      <c r="OLB11" s="28"/>
      <c r="OLC11" s="28"/>
      <c r="OLD11" s="28"/>
      <c r="OLE11" s="28"/>
      <c r="OLF11" s="28"/>
      <c r="OLG11" s="28"/>
      <c r="OLH11" s="28"/>
      <c r="OLI11" s="28"/>
      <c r="OLJ11" s="28"/>
      <c r="OLK11" s="28"/>
      <c r="OLL11" s="28"/>
      <c r="OLM11" s="28"/>
      <c r="OLN11" s="28"/>
      <c r="OLO11" s="28"/>
      <c r="OLP11" s="28"/>
      <c r="OLQ11" s="28"/>
      <c r="OLR11" s="28"/>
      <c r="OLS11" s="28"/>
      <c r="OLT11" s="28"/>
      <c r="OLU11" s="28"/>
      <c r="OLV11" s="28"/>
      <c r="OLW11" s="28"/>
      <c r="OLX11" s="28"/>
      <c r="OLY11" s="28"/>
      <c r="OLZ11" s="28"/>
      <c r="OMA11" s="28"/>
      <c r="OMB11" s="28"/>
      <c r="OMC11" s="28"/>
      <c r="OMD11" s="28"/>
      <c r="OME11" s="28"/>
      <c r="OMF11" s="28"/>
      <c r="OMG11" s="28"/>
      <c r="OMH11" s="28"/>
      <c r="OMI11" s="28"/>
      <c r="OMJ11" s="28"/>
      <c r="OMK11" s="28"/>
      <c r="OML11" s="28"/>
      <c r="OMM11" s="28"/>
      <c r="OMN11" s="28"/>
      <c r="OMO11" s="28"/>
      <c r="OMP11" s="28"/>
      <c r="OMQ11" s="28"/>
      <c r="OMR11" s="28"/>
      <c r="OMS11" s="28"/>
      <c r="OMT11" s="28"/>
      <c r="OMU11" s="28"/>
      <c r="OMV11" s="28"/>
      <c r="OMW11" s="28"/>
      <c r="OMX11" s="28"/>
      <c r="OMY11" s="28"/>
      <c r="OMZ11" s="28"/>
      <c r="ONA11" s="28"/>
      <c r="ONB11" s="28"/>
      <c r="ONC11" s="28"/>
      <c r="OND11" s="28"/>
      <c r="ONE11" s="28"/>
      <c r="ONF11" s="28"/>
      <c r="ONG11" s="28"/>
      <c r="ONH11" s="28"/>
      <c r="ONI11" s="28"/>
      <c r="ONJ11" s="28"/>
      <c r="ONK11" s="28"/>
      <c r="ONL11" s="28"/>
      <c r="ONM11" s="28"/>
      <c r="ONN11" s="28"/>
      <c r="ONO11" s="28"/>
      <c r="ONP11" s="28"/>
      <c r="ONQ11" s="28"/>
      <c r="ONR11" s="28"/>
      <c r="ONS11" s="28"/>
      <c r="ONT11" s="28"/>
      <c r="ONU11" s="28"/>
      <c r="ONV11" s="28"/>
      <c r="ONW11" s="28"/>
      <c r="ONX11" s="28"/>
      <c r="ONY11" s="28"/>
      <c r="ONZ11" s="28"/>
      <c r="OOA11" s="28"/>
      <c r="OOB11" s="28"/>
      <c r="OOC11" s="28"/>
      <c r="OOD11" s="28"/>
      <c r="OOE11" s="28"/>
      <c r="OOF11" s="28"/>
      <c r="OOG11" s="28"/>
      <c r="OOH11" s="28"/>
      <c r="OOI11" s="28"/>
      <c r="OOJ11" s="28"/>
      <c r="OOK11" s="28"/>
      <c r="OOL11" s="28"/>
      <c r="OOM11" s="28"/>
      <c r="OON11" s="28"/>
      <c r="OOO11" s="28"/>
      <c r="OOP11" s="28"/>
      <c r="OOQ11" s="28"/>
      <c r="OOR11" s="28"/>
      <c r="OOS11" s="28"/>
      <c r="OOT11" s="28"/>
      <c r="OOU11" s="28"/>
      <c r="OOV11" s="28"/>
      <c r="OOW11" s="28"/>
      <c r="OOX11" s="28"/>
      <c r="OOY11" s="28"/>
      <c r="OOZ11" s="28"/>
      <c r="OPA11" s="28"/>
      <c r="OPB11" s="28"/>
      <c r="OPC11" s="28"/>
      <c r="OPD11" s="28"/>
      <c r="OPE11" s="28"/>
      <c r="OPF11" s="28"/>
      <c r="OPG11" s="28"/>
      <c r="OPH11" s="28"/>
      <c r="OPI11" s="28"/>
      <c r="OPJ11" s="28"/>
      <c r="OPK11" s="28"/>
      <c r="OPL11" s="28"/>
      <c r="OPM11" s="28"/>
      <c r="OPN11" s="28"/>
      <c r="OPO11" s="28"/>
      <c r="OPP11" s="28"/>
      <c r="OPQ11" s="28"/>
      <c r="OPR11" s="28"/>
      <c r="OPS11" s="28"/>
      <c r="OPT11" s="28"/>
      <c r="OPU11" s="28"/>
      <c r="OPV11" s="28"/>
      <c r="OPW11" s="28"/>
      <c r="OPX11" s="28"/>
      <c r="OPY11" s="28"/>
      <c r="OPZ11" s="28"/>
      <c r="OQA11" s="28"/>
      <c r="OQB11" s="28"/>
      <c r="OQC11" s="28"/>
      <c r="OQD11" s="28"/>
      <c r="OQE11" s="28"/>
      <c r="OQF11" s="28"/>
      <c r="OQG11" s="28"/>
      <c r="OQH11" s="28"/>
      <c r="OQI11" s="28"/>
      <c r="OQJ11" s="28"/>
      <c r="OQK11" s="28"/>
      <c r="OQL11" s="28"/>
      <c r="OQM11" s="28"/>
      <c r="OQN11" s="28"/>
      <c r="OQO11" s="28"/>
      <c r="OQP11" s="28"/>
      <c r="OQQ11" s="28"/>
      <c r="OQR11" s="28"/>
      <c r="OQS11" s="28"/>
      <c r="OQT11" s="28"/>
      <c r="OQU11" s="28"/>
      <c r="OQV11" s="28"/>
      <c r="OQW11" s="28"/>
      <c r="OQX11" s="28"/>
      <c r="OQY11" s="28"/>
      <c r="OQZ11" s="28"/>
      <c r="ORA11" s="28"/>
      <c r="ORB11" s="28"/>
      <c r="ORC11" s="28"/>
      <c r="ORD11" s="28"/>
      <c r="ORE11" s="28"/>
      <c r="ORF11" s="28"/>
      <c r="ORG11" s="28"/>
      <c r="ORH11" s="28"/>
      <c r="ORI11" s="28"/>
      <c r="ORJ11" s="28"/>
      <c r="ORK11" s="28"/>
      <c r="ORL11" s="28"/>
      <c r="ORM11" s="28"/>
      <c r="ORN11" s="28"/>
      <c r="ORO11" s="28"/>
      <c r="ORP11" s="28"/>
      <c r="ORQ11" s="28"/>
      <c r="ORR11" s="28"/>
      <c r="ORS11" s="28"/>
      <c r="ORT11" s="28"/>
      <c r="ORU11" s="28"/>
      <c r="ORV11" s="28"/>
      <c r="ORW11" s="28"/>
      <c r="ORX11" s="28"/>
      <c r="ORY11" s="28"/>
      <c r="ORZ11" s="28"/>
      <c r="OSA11" s="28"/>
      <c r="OSB11" s="28"/>
      <c r="OSC11" s="28"/>
      <c r="OSD11" s="28"/>
      <c r="OSE11" s="28"/>
      <c r="OSF11" s="28"/>
      <c r="OSG11" s="28"/>
      <c r="OSH11" s="28"/>
      <c r="OSI11" s="28"/>
      <c r="OSJ11" s="28"/>
      <c r="OSK11" s="28"/>
      <c r="OSL11" s="28"/>
      <c r="OSM11" s="28"/>
      <c r="OSN11" s="28"/>
      <c r="OSO11" s="28"/>
      <c r="OSP11" s="28"/>
      <c r="OSQ11" s="28"/>
      <c r="OSR11" s="28"/>
      <c r="OSS11" s="28"/>
      <c r="OST11" s="28"/>
      <c r="OSU11" s="28"/>
      <c r="OSV11" s="28"/>
      <c r="OSW11" s="28"/>
      <c r="OSX11" s="28"/>
      <c r="OSY11" s="28"/>
      <c r="OSZ11" s="28"/>
      <c r="OTA11" s="28"/>
      <c r="OTB11" s="28"/>
      <c r="OTC11" s="28"/>
      <c r="OTD11" s="28"/>
      <c r="OTE11" s="28"/>
      <c r="OTF11" s="28"/>
      <c r="OTG11" s="28"/>
      <c r="OTH11" s="28"/>
      <c r="OTI11" s="28"/>
      <c r="OTJ11" s="28"/>
      <c r="OTK11" s="28"/>
      <c r="OTL11" s="28"/>
      <c r="OTM11" s="28"/>
      <c r="OTN11" s="28"/>
      <c r="OTO11" s="28"/>
      <c r="OTP11" s="28"/>
      <c r="OTQ11" s="28"/>
      <c r="OTR11" s="28"/>
      <c r="OTS11" s="28"/>
      <c r="OTT11" s="28"/>
      <c r="OTU11" s="28"/>
      <c r="OTV11" s="28"/>
      <c r="OTW11" s="28"/>
      <c r="OTX11" s="28"/>
      <c r="OTY11" s="28"/>
      <c r="OTZ11" s="28"/>
      <c r="OUA11" s="28"/>
      <c r="OUB11" s="28"/>
      <c r="OUC11" s="28"/>
      <c r="OUD11" s="28"/>
      <c r="OUE11" s="28"/>
      <c r="OUF11" s="28"/>
      <c r="OUG11" s="28"/>
      <c r="OUH11" s="28"/>
      <c r="OUI11" s="28"/>
      <c r="OUJ11" s="28"/>
      <c r="OUK11" s="28"/>
      <c r="OUL11" s="28"/>
      <c r="OUM11" s="28"/>
      <c r="OUN11" s="28"/>
      <c r="OUO11" s="28"/>
      <c r="OUP11" s="28"/>
      <c r="OUQ11" s="28"/>
      <c r="OUR11" s="28"/>
      <c r="OUS11" s="28"/>
      <c r="OUT11" s="28"/>
      <c r="OUU11" s="28"/>
      <c r="OUV11" s="28"/>
      <c r="OUW11" s="28"/>
      <c r="OUX11" s="28"/>
      <c r="OUY11" s="28"/>
      <c r="OUZ11" s="28"/>
      <c r="OVA11" s="28"/>
      <c r="OVB11" s="28"/>
      <c r="OVC11" s="28"/>
      <c r="OVD11" s="28"/>
      <c r="OVE11" s="28"/>
      <c r="OVF11" s="28"/>
      <c r="OVG11" s="28"/>
      <c r="OVH11" s="28"/>
      <c r="OVI11" s="28"/>
      <c r="OVJ11" s="28"/>
      <c r="OVK11" s="28"/>
      <c r="OVL11" s="28"/>
      <c r="OVM11" s="28"/>
      <c r="OVN11" s="28"/>
      <c r="OVO11" s="28"/>
      <c r="OVP11" s="28"/>
      <c r="OVQ11" s="28"/>
      <c r="OVR11" s="28"/>
      <c r="OVS11" s="28"/>
      <c r="OVT11" s="28"/>
      <c r="OVU11" s="28"/>
      <c r="OVV11" s="28"/>
      <c r="OVW11" s="28"/>
      <c r="OVX11" s="28"/>
      <c r="OVY11" s="28"/>
      <c r="OVZ11" s="28"/>
      <c r="OWA11" s="28"/>
      <c r="OWB11" s="28"/>
      <c r="OWC11" s="28"/>
      <c r="OWD11" s="28"/>
      <c r="OWE11" s="28"/>
      <c r="OWF11" s="28"/>
      <c r="OWG11" s="28"/>
      <c r="OWH11" s="28"/>
      <c r="OWI11" s="28"/>
      <c r="OWJ11" s="28"/>
      <c r="OWK11" s="28"/>
      <c r="OWL11" s="28"/>
      <c r="OWM11" s="28"/>
      <c r="OWN11" s="28"/>
      <c r="OWO11" s="28"/>
      <c r="OWP11" s="28"/>
      <c r="OWQ11" s="28"/>
      <c r="OWR11" s="28"/>
      <c r="OWS11" s="28"/>
      <c r="OWT11" s="28"/>
      <c r="OWU11" s="28"/>
      <c r="OWV11" s="28"/>
      <c r="OWW11" s="28"/>
      <c r="OWX11" s="28"/>
      <c r="OWY11" s="28"/>
      <c r="OWZ11" s="28"/>
      <c r="OXA11" s="28"/>
      <c r="OXB11" s="28"/>
      <c r="OXC11" s="28"/>
      <c r="OXD11" s="28"/>
      <c r="OXE11" s="28"/>
      <c r="OXF11" s="28"/>
      <c r="OXG11" s="28"/>
      <c r="OXH11" s="28"/>
      <c r="OXI11" s="28"/>
      <c r="OXJ11" s="28"/>
      <c r="OXK11" s="28"/>
      <c r="OXL11" s="28"/>
      <c r="OXM11" s="28"/>
      <c r="OXN11" s="28"/>
      <c r="OXO11" s="28"/>
      <c r="OXP11" s="28"/>
      <c r="OXQ11" s="28"/>
      <c r="OXR11" s="28"/>
      <c r="OXS11" s="28"/>
      <c r="OXT11" s="28"/>
      <c r="OXU11" s="28"/>
      <c r="OXV11" s="28"/>
      <c r="OXW11" s="28"/>
      <c r="OXX11" s="28"/>
      <c r="OXY11" s="28"/>
      <c r="OXZ11" s="28"/>
      <c r="OYA11" s="28"/>
      <c r="OYB11" s="28"/>
      <c r="OYC11" s="28"/>
      <c r="OYD11" s="28"/>
      <c r="OYE11" s="28"/>
      <c r="OYF11" s="28"/>
      <c r="OYG11" s="28"/>
      <c r="OYH11" s="28"/>
      <c r="OYI11" s="28"/>
      <c r="OYJ11" s="28"/>
      <c r="OYK11" s="28"/>
      <c r="OYL11" s="28"/>
      <c r="OYM11" s="28"/>
      <c r="OYN11" s="28"/>
      <c r="OYO11" s="28"/>
      <c r="OYP11" s="28"/>
      <c r="OYQ11" s="28"/>
      <c r="OYR11" s="28"/>
      <c r="OYS11" s="28"/>
      <c r="OYT11" s="28"/>
      <c r="OYU11" s="28"/>
      <c r="OYV11" s="28"/>
      <c r="OYW11" s="28"/>
      <c r="OYX11" s="28"/>
      <c r="OYY11" s="28"/>
      <c r="OYZ11" s="28"/>
      <c r="OZA11" s="28"/>
      <c r="OZB11" s="28"/>
      <c r="OZC11" s="28"/>
      <c r="OZD11" s="28"/>
      <c r="OZE11" s="28"/>
      <c r="OZF11" s="28"/>
      <c r="OZG11" s="28"/>
      <c r="OZH11" s="28"/>
      <c r="OZI11" s="28"/>
      <c r="OZJ11" s="28"/>
      <c r="OZK11" s="28"/>
      <c r="OZL11" s="28"/>
      <c r="OZM11" s="28"/>
      <c r="OZN11" s="28"/>
      <c r="OZO11" s="28"/>
      <c r="OZP11" s="28"/>
      <c r="OZQ11" s="28"/>
      <c r="OZR11" s="28"/>
      <c r="OZS11" s="28"/>
      <c r="OZT11" s="28"/>
      <c r="OZU11" s="28"/>
      <c r="OZV11" s="28"/>
      <c r="OZW11" s="28"/>
      <c r="OZX11" s="28"/>
      <c r="OZY11" s="28"/>
      <c r="OZZ11" s="28"/>
      <c r="PAA11" s="28"/>
      <c r="PAB11" s="28"/>
      <c r="PAC11" s="28"/>
      <c r="PAD11" s="28"/>
      <c r="PAE11" s="28"/>
      <c r="PAF11" s="28"/>
      <c r="PAG11" s="28"/>
      <c r="PAH11" s="28"/>
      <c r="PAI11" s="28"/>
      <c r="PAJ11" s="28"/>
      <c r="PAK11" s="28"/>
      <c r="PAL11" s="28"/>
      <c r="PAM11" s="28"/>
      <c r="PAN11" s="28"/>
      <c r="PAO11" s="28"/>
      <c r="PAP11" s="28"/>
      <c r="PAQ11" s="28"/>
      <c r="PAR11" s="28"/>
      <c r="PAS11" s="28"/>
      <c r="PAT11" s="28"/>
      <c r="PAU11" s="28"/>
      <c r="PAV11" s="28"/>
      <c r="PAW11" s="28"/>
      <c r="PAX11" s="28"/>
      <c r="PAY11" s="28"/>
      <c r="PAZ11" s="28"/>
      <c r="PBA11" s="28"/>
      <c r="PBB11" s="28"/>
      <c r="PBC11" s="28"/>
      <c r="PBD11" s="28"/>
      <c r="PBE11" s="28"/>
      <c r="PBF11" s="28"/>
      <c r="PBG11" s="28"/>
      <c r="PBH11" s="28"/>
      <c r="PBI11" s="28"/>
      <c r="PBJ11" s="28"/>
      <c r="PBK11" s="28"/>
      <c r="PBL11" s="28"/>
      <c r="PBM11" s="28"/>
      <c r="PBN11" s="28"/>
      <c r="PBO11" s="28"/>
      <c r="PBP11" s="28"/>
      <c r="PBQ11" s="28"/>
      <c r="PBR11" s="28"/>
      <c r="PBS11" s="28"/>
      <c r="PBT11" s="28"/>
      <c r="PBU11" s="28"/>
      <c r="PBV11" s="28"/>
      <c r="PBW11" s="28"/>
      <c r="PBX11" s="28"/>
      <c r="PBY11" s="28"/>
      <c r="PBZ11" s="28"/>
      <c r="PCA11" s="28"/>
      <c r="PCB11" s="28"/>
      <c r="PCC11" s="28"/>
      <c r="PCD11" s="28"/>
      <c r="PCE11" s="28"/>
      <c r="PCF11" s="28"/>
      <c r="PCG11" s="28"/>
      <c r="PCH11" s="28"/>
      <c r="PCI11" s="28"/>
      <c r="PCJ11" s="28"/>
      <c r="PCK11" s="28"/>
      <c r="PCL11" s="28"/>
      <c r="PCM11" s="28"/>
      <c r="PCN11" s="28"/>
      <c r="PCO11" s="28"/>
      <c r="PCP11" s="28"/>
      <c r="PCQ11" s="28"/>
      <c r="PCR11" s="28"/>
      <c r="PCS11" s="28"/>
      <c r="PCT11" s="28"/>
      <c r="PCU11" s="28"/>
      <c r="PCV11" s="28"/>
      <c r="PCW11" s="28"/>
      <c r="PCX11" s="28"/>
      <c r="PCY11" s="28"/>
      <c r="PCZ11" s="28"/>
      <c r="PDA11" s="28"/>
      <c r="PDB11" s="28"/>
      <c r="PDC11" s="28"/>
      <c r="PDD11" s="28"/>
      <c r="PDE11" s="28"/>
      <c r="PDF11" s="28"/>
      <c r="PDG11" s="28"/>
      <c r="PDH11" s="28"/>
      <c r="PDI11" s="28"/>
      <c r="PDJ11" s="28"/>
      <c r="PDK11" s="28"/>
      <c r="PDL11" s="28"/>
      <c r="PDM11" s="28"/>
      <c r="PDN11" s="28"/>
      <c r="PDO11" s="28"/>
      <c r="PDP11" s="28"/>
      <c r="PDQ11" s="28"/>
      <c r="PDR11" s="28"/>
      <c r="PDS11" s="28"/>
      <c r="PDT11" s="28"/>
      <c r="PDU11" s="28"/>
      <c r="PDV11" s="28"/>
      <c r="PDW11" s="28"/>
      <c r="PDX11" s="28"/>
      <c r="PDY11" s="28"/>
      <c r="PDZ11" s="28"/>
      <c r="PEA11" s="28"/>
      <c r="PEB11" s="28"/>
      <c r="PEC11" s="28"/>
      <c r="PED11" s="28"/>
      <c r="PEE11" s="28"/>
      <c r="PEF11" s="28"/>
      <c r="PEG11" s="28"/>
      <c r="PEH11" s="28"/>
      <c r="PEI11" s="28"/>
      <c r="PEJ11" s="28"/>
      <c r="PEK11" s="28"/>
      <c r="PEL11" s="28"/>
      <c r="PEM11" s="28"/>
      <c r="PEN11" s="28"/>
      <c r="PEO11" s="28"/>
      <c r="PEP11" s="28"/>
      <c r="PEQ11" s="28"/>
      <c r="PER11" s="28"/>
      <c r="PES11" s="28"/>
      <c r="PET11" s="28"/>
      <c r="PEU11" s="28"/>
      <c r="PEV11" s="28"/>
      <c r="PEW11" s="28"/>
      <c r="PEX11" s="28"/>
      <c r="PEY11" s="28"/>
      <c r="PEZ11" s="28"/>
      <c r="PFA11" s="28"/>
      <c r="PFB11" s="28"/>
      <c r="PFC11" s="28"/>
      <c r="PFD11" s="28"/>
      <c r="PFE11" s="28"/>
      <c r="PFF11" s="28"/>
      <c r="PFG11" s="28"/>
      <c r="PFH11" s="28"/>
      <c r="PFI11" s="28"/>
      <c r="PFJ11" s="28"/>
      <c r="PFK11" s="28"/>
      <c r="PFL11" s="28"/>
      <c r="PFM11" s="28"/>
      <c r="PFN11" s="28"/>
      <c r="PFO11" s="28"/>
      <c r="PFP11" s="28"/>
      <c r="PFQ11" s="28"/>
      <c r="PFR11" s="28"/>
      <c r="PFS11" s="28"/>
      <c r="PFT11" s="28"/>
      <c r="PFU11" s="28"/>
      <c r="PFV11" s="28"/>
      <c r="PFW11" s="28"/>
      <c r="PFX11" s="28"/>
      <c r="PFY11" s="28"/>
      <c r="PFZ11" s="28"/>
      <c r="PGA11" s="28"/>
      <c r="PGB11" s="28"/>
      <c r="PGC11" s="28"/>
      <c r="PGD11" s="28"/>
      <c r="PGE11" s="28"/>
      <c r="PGF11" s="28"/>
      <c r="PGG11" s="28"/>
      <c r="PGH11" s="28"/>
      <c r="PGI11" s="28"/>
      <c r="PGJ11" s="28"/>
      <c r="PGK11" s="28"/>
      <c r="PGL11" s="28"/>
      <c r="PGM11" s="28"/>
      <c r="PGN11" s="28"/>
      <c r="PGO11" s="28"/>
      <c r="PGP11" s="28"/>
      <c r="PGQ11" s="28"/>
      <c r="PGR11" s="28"/>
      <c r="PGS11" s="28"/>
      <c r="PGT11" s="28"/>
      <c r="PGU11" s="28"/>
      <c r="PGV11" s="28"/>
      <c r="PGW11" s="28"/>
      <c r="PGX11" s="28"/>
      <c r="PGY11" s="28"/>
      <c r="PGZ11" s="28"/>
      <c r="PHA11" s="28"/>
      <c r="PHB11" s="28"/>
      <c r="PHC11" s="28"/>
      <c r="PHD11" s="28"/>
      <c r="PHE11" s="28"/>
      <c r="PHF11" s="28"/>
      <c r="PHG11" s="28"/>
      <c r="PHH11" s="28"/>
      <c r="PHI11" s="28"/>
      <c r="PHJ11" s="28"/>
      <c r="PHK11" s="28"/>
      <c r="PHL11" s="28"/>
      <c r="PHM11" s="28"/>
      <c r="PHN11" s="28"/>
      <c r="PHO11" s="28"/>
      <c r="PHP11" s="28"/>
      <c r="PHQ11" s="28"/>
      <c r="PHR11" s="28"/>
      <c r="PHS11" s="28"/>
      <c r="PHT11" s="28"/>
      <c r="PHU11" s="28"/>
      <c r="PHV11" s="28"/>
      <c r="PHW11" s="28"/>
      <c r="PHX11" s="28"/>
      <c r="PHY11" s="28"/>
      <c r="PHZ11" s="28"/>
      <c r="PIA11" s="28"/>
      <c r="PIB11" s="28"/>
      <c r="PIC11" s="28"/>
      <c r="PID11" s="28"/>
      <c r="PIE11" s="28"/>
      <c r="PIF11" s="28"/>
      <c r="PIG11" s="28"/>
      <c r="PIH11" s="28"/>
      <c r="PII11" s="28"/>
      <c r="PIJ11" s="28"/>
      <c r="PIK11" s="28"/>
      <c r="PIL11" s="28"/>
      <c r="PIM11" s="28"/>
      <c r="PIN11" s="28"/>
      <c r="PIO11" s="28"/>
      <c r="PIP11" s="28"/>
      <c r="PIQ11" s="28"/>
      <c r="PIR11" s="28"/>
      <c r="PIS11" s="28"/>
      <c r="PIT11" s="28"/>
      <c r="PIU11" s="28"/>
      <c r="PIV11" s="28"/>
      <c r="PIW11" s="28"/>
      <c r="PIX11" s="28"/>
      <c r="PIY11" s="28"/>
      <c r="PIZ11" s="28"/>
      <c r="PJA11" s="28"/>
      <c r="PJB11" s="28"/>
      <c r="PJC11" s="28"/>
      <c r="PJD11" s="28"/>
      <c r="PJE11" s="28"/>
      <c r="PJF11" s="28"/>
      <c r="PJG11" s="28"/>
      <c r="PJH11" s="28"/>
      <c r="PJI11" s="28"/>
      <c r="PJJ11" s="28"/>
      <c r="PJK11" s="28"/>
      <c r="PJL11" s="28"/>
      <c r="PJM11" s="28"/>
      <c r="PJN11" s="28"/>
      <c r="PJO11" s="28"/>
      <c r="PJP11" s="28"/>
      <c r="PJQ11" s="28"/>
      <c r="PJR11" s="28"/>
      <c r="PJS11" s="28"/>
      <c r="PJT11" s="28"/>
      <c r="PJU11" s="28"/>
      <c r="PJV11" s="28"/>
      <c r="PJW11" s="28"/>
      <c r="PJX11" s="28"/>
      <c r="PJY11" s="28"/>
      <c r="PJZ11" s="28"/>
      <c r="PKA11" s="28"/>
      <c r="PKB11" s="28"/>
      <c r="PKC11" s="28"/>
      <c r="PKD11" s="28"/>
      <c r="PKE11" s="28"/>
      <c r="PKF11" s="28"/>
      <c r="PKG11" s="28"/>
      <c r="PKH11" s="28"/>
      <c r="PKI11" s="28"/>
      <c r="PKJ11" s="28"/>
      <c r="PKK11" s="28"/>
      <c r="PKL11" s="28"/>
      <c r="PKM11" s="28"/>
      <c r="PKN11" s="28"/>
      <c r="PKO11" s="28"/>
      <c r="PKP11" s="28"/>
      <c r="PKQ11" s="28"/>
      <c r="PKR11" s="28"/>
      <c r="PKS11" s="28"/>
      <c r="PKT11" s="28"/>
      <c r="PKU11" s="28"/>
      <c r="PKV11" s="28"/>
      <c r="PKW11" s="28"/>
      <c r="PKX11" s="28"/>
      <c r="PKY11" s="28"/>
      <c r="PKZ11" s="28"/>
      <c r="PLA11" s="28"/>
      <c r="PLB11" s="28"/>
      <c r="PLC11" s="28"/>
      <c r="PLD11" s="28"/>
      <c r="PLE11" s="28"/>
      <c r="PLF11" s="28"/>
      <c r="PLG11" s="28"/>
      <c r="PLH11" s="28"/>
      <c r="PLI11" s="28"/>
      <c r="PLJ11" s="28"/>
      <c r="PLK11" s="28"/>
      <c r="PLL11" s="28"/>
      <c r="PLM11" s="28"/>
      <c r="PLN11" s="28"/>
      <c r="PLO11" s="28"/>
      <c r="PLP11" s="28"/>
      <c r="PLQ11" s="28"/>
      <c r="PLR11" s="28"/>
      <c r="PLS11" s="28"/>
      <c r="PLT11" s="28"/>
      <c r="PLU11" s="28"/>
      <c r="PLV11" s="28"/>
      <c r="PLW11" s="28"/>
      <c r="PLX11" s="28"/>
      <c r="PLY11" s="28"/>
      <c r="PLZ11" s="28"/>
      <c r="PMA11" s="28"/>
      <c r="PMB11" s="28"/>
      <c r="PMC11" s="28"/>
      <c r="PMD11" s="28"/>
      <c r="PME11" s="28"/>
      <c r="PMF11" s="28"/>
      <c r="PMG11" s="28"/>
      <c r="PMH11" s="28"/>
      <c r="PMI11" s="28"/>
      <c r="PMJ11" s="28"/>
      <c r="PMK11" s="28"/>
      <c r="PML11" s="28"/>
      <c r="PMM11" s="28"/>
      <c r="PMN11" s="28"/>
      <c r="PMO11" s="28"/>
      <c r="PMP11" s="28"/>
      <c r="PMQ11" s="28"/>
      <c r="PMR11" s="28"/>
      <c r="PMS11" s="28"/>
      <c r="PMT11" s="28"/>
      <c r="PMU11" s="28"/>
      <c r="PMV11" s="28"/>
      <c r="PMW11" s="28"/>
      <c r="PMX11" s="28"/>
      <c r="PMY11" s="28"/>
      <c r="PMZ11" s="28"/>
      <c r="PNA11" s="28"/>
      <c r="PNB11" s="28"/>
      <c r="PNC11" s="28"/>
      <c r="PND11" s="28"/>
      <c r="PNE11" s="28"/>
      <c r="PNF11" s="28"/>
      <c r="PNG11" s="28"/>
      <c r="PNH11" s="28"/>
      <c r="PNI11" s="28"/>
      <c r="PNJ11" s="28"/>
      <c r="PNK11" s="28"/>
      <c r="PNL11" s="28"/>
      <c r="PNM11" s="28"/>
      <c r="PNN11" s="28"/>
      <c r="PNO11" s="28"/>
      <c r="PNP11" s="28"/>
      <c r="PNQ11" s="28"/>
      <c r="PNR11" s="28"/>
      <c r="PNS11" s="28"/>
      <c r="PNT11" s="28"/>
      <c r="PNU11" s="28"/>
      <c r="PNV11" s="28"/>
      <c r="PNW11" s="28"/>
      <c r="PNX11" s="28"/>
      <c r="PNY11" s="28"/>
      <c r="PNZ11" s="28"/>
      <c r="POA11" s="28"/>
      <c r="POB11" s="28"/>
      <c r="POC11" s="28"/>
      <c r="POD11" s="28"/>
      <c r="POE11" s="28"/>
      <c r="POF11" s="28"/>
      <c r="POG11" s="28"/>
      <c r="POH11" s="28"/>
      <c r="POI11" s="28"/>
      <c r="POJ11" s="28"/>
      <c r="POK11" s="28"/>
      <c r="POL11" s="28"/>
      <c r="POM11" s="28"/>
      <c r="PON11" s="28"/>
      <c r="POO11" s="28"/>
      <c r="POP11" s="28"/>
      <c r="POQ11" s="28"/>
      <c r="POR11" s="28"/>
      <c r="POS11" s="28"/>
      <c r="POT11" s="28"/>
      <c r="POU11" s="28"/>
      <c r="POV11" s="28"/>
      <c r="POW11" s="28"/>
      <c r="POX11" s="28"/>
      <c r="POY11" s="28"/>
      <c r="POZ11" s="28"/>
      <c r="PPA11" s="28"/>
      <c r="PPB11" s="28"/>
      <c r="PPC11" s="28"/>
      <c r="PPD11" s="28"/>
      <c r="PPE11" s="28"/>
      <c r="PPF11" s="28"/>
      <c r="PPG11" s="28"/>
      <c r="PPH11" s="28"/>
      <c r="PPI11" s="28"/>
      <c r="PPJ11" s="28"/>
      <c r="PPK11" s="28"/>
      <c r="PPL11" s="28"/>
      <c r="PPM11" s="28"/>
      <c r="PPN11" s="28"/>
      <c r="PPO11" s="28"/>
      <c r="PPP11" s="28"/>
      <c r="PPQ11" s="28"/>
      <c r="PPR11" s="28"/>
      <c r="PPS11" s="28"/>
      <c r="PPT11" s="28"/>
      <c r="PPU11" s="28"/>
      <c r="PPV11" s="28"/>
      <c r="PPW11" s="28"/>
      <c r="PPX11" s="28"/>
      <c r="PPY11" s="28"/>
      <c r="PPZ11" s="28"/>
      <c r="PQA11" s="28"/>
      <c r="PQB11" s="28"/>
      <c r="PQC11" s="28"/>
      <c r="PQD11" s="28"/>
      <c r="PQE11" s="28"/>
      <c r="PQF11" s="28"/>
      <c r="PQG11" s="28"/>
      <c r="PQH11" s="28"/>
      <c r="PQI11" s="28"/>
      <c r="PQJ11" s="28"/>
      <c r="PQK11" s="28"/>
      <c r="PQL11" s="28"/>
      <c r="PQM11" s="28"/>
      <c r="PQN11" s="28"/>
      <c r="PQO11" s="28"/>
      <c r="PQP11" s="28"/>
      <c r="PQQ11" s="28"/>
      <c r="PQR11" s="28"/>
      <c r="PQS11" s="28"/>
      <c r="PQT11" s="28"/>
      <c r="PQU11" s="28"/>
      <c r="PQV11" s="28"/>
      <c r="PQW11" s="28"/>
      <c r="PQX11" s="28"/>
      <c r="PQY11" s="28"/>
      <c r="PQZ11" s="28"/>
      <c r="PRA11" s="28"/>
      <c r="PRB11" s="28"/>
      <c r="PRC11" s="28"/>
      <c r="PRD11" s="28"/>
      <c r="PRE11" s="28"/>
      <c r="PRF11" s="28"/>
      <c r="PRG11" s="28"/>
      <c r="PRH11" s="28"/>
      <c r="PRI11" s="28"/>
      <c r="PRJ11" s="28"/>
      <c r="PRK11" s="28"/>
      <c r="PRL11" s="28"/>
      <c r="PRM11" s="28"/>
      <c r="PRN11" s="28"/>
      <c r="PRO11" s="28"/>
      <c r="PRP11" s="28"/>
      <c r="PRQ11" s="28"/>
      <c r="PRR11" s="28"/>
      <c r="PRS11" s="28"/>
      <c r="PRT11" s="28"/>
      <c r="PRU11" s="28"/>
      <c r="PRV11" s="28"/>
      <c r="PRW11" s="28"/>
      <c r="PRX11" s="28"/>
      <c r="PRY11" s="28"/>
      <c r="PRZ11" s="28"/>
      <c r="PSA11" s="28"/>
      <c r="PSB11" s="28"/>
      <c r="PSC11" s="28"/>
      <c r="PSD11" s="28"/>
      <c r="PSE11" s="28"/>
      <c r="PSF11" s="28"/>
      <c r="PSG11" s="28"/>
      <c r="PSH11" s="28"/>
      <c r="PSI11" s="28"/>
      <c r="PSJ11" s="28"/>
      <c r="PSK11" s="28"/>
      <c r="PSL11" s="28"/>
      <c r="PSM11" s="28"/>
      <c r="PSN11" s="28"/>
      <c r="PSO11" s="28"/>
      <c r="PSP11" s="28"/>
      <c r="PSQ11" s="28"/>
      <c r="PSR11" s="28"/>
      <c r="PSS11" s="28"/>
      <c r="PST11" s="28"/>
      <c r="PSU11" s="28"/>
      <c r="PSV11" s="28"/>
      <c r="PSW11" s="28"/>
      <c r="PSX11" s="28"/>
      <c r="PSY11" s="28"/>
      <c r="PSZ11" s="28"/>
      <c r="PTA11" s="28"/>
      <c r="PTB11" s="28"/>
      <c r="PTC11" s="28"/>
      <c r="PTD11" s="28"/>
      <c r="PTE11" s="28"/>
      <c r="PTF11" s="28"/>
      <c r="PTG11" s="28"/>
      <c r="PTH11" s="28"/>
      <c r="PTI11" s="28"/>
      <c r="PTJ11" s="28"/>
      <c r="PTK11" s="28"/>
      <c r="PTL11" s="28"/>
      <c r="PTM11" s="28"/>
      <c r="PTN11" s="28"/>
      <c r="PTO11" s="28"/>
      <c r="PTP11" s="28"/>
      <c r="PTQ11" s="28"/>
      <c r="PTR11" s="28"/>
      <c r="PTS11" s="28"/>
      <c r="PTT11" s="28"/>
      <c r="PTU11" s="28"/>
      <c r="PTV11" s="28"/>
      <c r="PTW11" s="28"/>
      <c r="PTX11" s="28"/>
      <c r="PTY11" s="28"/>
      <c r="PTZ11" s="28"/>
      <c r="PUA11" s="28"/>
      <c r="PUB11" s="28"/>
      <c r="PUC11" s="28"/>
      <c r="PUD11" s="28"/>
      <c r="PUE11" s="28"/>
      <c r="PUF11" s="28"/>
      <c r="PUG11" s="28"/>
      <c r="PUH11" s="28"/>
      <c r="PUI11" s="28"/>
      <c r="PUJ11" s="28"/>
      <c r="PUK11" s="28"/>
      <c r="PUL11" s="28"/>
      <c r="PUM11" s="28"/>
      <c r="PUN11" s="28"/>
      <c r="PUO11" s="28"/>
      <c r="PUP11" s="28"/>
      <c r="PUQ11" s="28"/>
      <c r="PUR11" s="28"/>
      <c r="PUS11" s="28"/>
      <c r="PUT11" s="28"/>
      <c r="PUU11" s="28"/>
      <c r="PUV11" s="28"/>
      <c r="PUW11" s="28"/>
      <c r="PUX11" s="28"/>
      <c r="PUY11" s="28"/>
      <c r="PUZ11" s="28"/>
      <c r="PVA11" s="28"/>
      <c r="PVB11" s="28"/>
      <c r="PVC11" s="28"/>
      <c r="PVD11" s="28"/>
      <c r="PVE11" s="28"/>
      <c r="PVF11" s="28"/>
      <c r="PVG11" s="28"/>
      <c r="PVH11" s="28"/>
      <c r="PVI11" s="28"/>
      <c r="PVJ11" s="28"/>
      <c r="PVK11" s="28"/>
      <c r="PVL11" s="28"/>
      <c r="PVM11" s="28"/>
      <c r="PVN11" s="28"/>
      <c r="PVO11" s="28"/>
      <c r="PVP11" s="28"/>
      <c r="PVQ11" s="28"/>
      <c r="PVR11" s="28"/>
      <c r="PVS11" s="28"/>
      <c r="PVT11" s="28"/>
      <c r="PVU11" s="28"/>
      <c r="PVV11" s="28"/>
      <c r="PVW11" s="28"/>
      <c r="PVX11" s="28"/>
      <c r="PVY11" s="28"/>
      <c r="PVZ11" s="28"/>
      <c r="PWA11" s="28"/>
      <c r="PWB11" s="28"/>
      <c r="PWC11" s="28"/>
      <c r="PWD11" s="28"/>
      <c r="PWE11" s="28"/>
      <c r="PWF11" s="28"/>
      <c r="PWG11" s="28"/>
      <c r="PWH11" s="28"/>
      <c r="PWI11" s="28"/>
      <c r="PWJ11" s="28"/>
      <c r="PWK11" s="28"/>
      <c r="PWL11" s="28"/>
      <c r="PWM11" s="28"/>
      <c r="PWN11" s="28"/>
      <c r="PWO11" s="28"/>
      <c r="PWP11" s="28"/>
      <c r="PWQ11" s="28"/>
      <c r="PWR11" s="28"/>
      <c r="PWS11" s="28"/>
      <c r="PWT11" s="28"/>
      <c r="PWU11" s="28"/>
      <c r="PWV11" s="28"/>
      <c r="PWW11" s="28"/>
      <c r="PWX11" s="28"/>
      <c r="PWY11" s="28"/>
      <c r="PWZ11" s="28"/>
      <c r="PXA11" s="28"/>
      <c r="PXB11" s="28"/>
      <c r="PXC11" s="28"/>
      <c r="PXD11" s="28"/>
      <c r="PXE11" s="28"/>
      <c r="PXF11" s="28"/>
      <c r="PXG11" s="28"/>
      <c r="PXH11" s="28"/>
      <c r="PXI11" s="28"/>
      <c r="PXJ11" s="28"/>
      <c r="PXK11" s="28"/>
      <c r="PXL11" s="28"/>
      <c r="PXM11" s="28"/>
      <c r="PXN11" s="28"/>
      <c r="PXO11" s="28"/>
      <c r="PXP11" s="28"/>
      <c r="PXQ11" s="28"/>
      <c r="PXR11" s="28"/>
      <c r="PXS11" s="28"/>
      <c r="PXT11" s="28"/>
      <c r="PXU11" s="28"/>
      <c r="PXV11" s="28"/>
      <c r="PXW11" s="28"/>
      <c r="PXX11" s="28"/>
      <c r="PXY11" s="28"/>
      <c r="PXZ11" s="28"/>
      <c r="PYA11" s="28"/>
      <c r="PYB11" s="28"/>
      <c r="PYC11" s="28"/>
      <c r="PYD11" s="28"/>
      <c r="PYE11" s="28"/>
      <c r="PYF11" s="28"/>
      <c r="PYG11" s="28"/>
      <c r="PYH11" s="28"/>
      <c r="PYI11" s="28"/>
      <c r="PYJ11" s="28"/>
      <c r="PYK11" s="28"/>
      <c r="PYL11" s="28"/>
      <c r="PYM11" s="28"/>
      <c r="PYN11" s="28"/>
      <c r="PYO11" s="28"/>
      <c r="PYP11" s="28"/>
      <c r="PYQ11" s="28"/>
      <c r="PYR11" s="28"/>
      <c r="PYS11" s="28"/>
      <c r="PYT11" s="28"/>
      <c r="PYU11" s="28"/>
      <c r="PYV11" s="28"/>
      <c r="PYW11" s="28"/>
      <c r="PYX11" s="28"/>
      <c r="PYY11" s="28"/>
      <c r="PYZ11" s="28"/>
      <c r="PZA11" s="28"/>
      <c r="PZB11" s="28"/>
      <c r="PZC11" s="28"/>
      <c r="PZD11" s="28"/>
      <c r="PZE11" s="28"/>
      <c r="PZF11" s="28"/>
      <c r="PZG11" s="28"/>
      <c r="PZH11" s="28"/>
      <c r="PZI11" s="28"/>
      <c r="PZJ11" s="28"/>
      <c r="PZK11" s="28"/>
      <c r="PZL11" s="28"/>
      <c r="PZM11" s="28"/>
      <c r="PZN11" s="28"/>
      <c r="PZO11" s="28"/>
      <c r="PZP11" s="28"/>
      <c r="PZQ11" s="28"/>
      <c r="PZR11" s="28"/>
      <c r="PZS11" s="28"/>
      <c r="PZT11" s="28"/>
      <c r="PZU11" s="28"/>
      <c r="PZV11" s="28"/>
      <c r="PZW11" s="28"/>
      <c r="PZX11" s="28"/>
      <c r="PZY11" s="28"/>
      <c r="PZZ11" s="28"/>
      <c r="QAA11" s="28"/>
      <c r="QAB11" s="28"/>
      <c r="QAC11" s="28"/>
      <c r="QAD11" s="28"/>
      <c r="QAE11" s="28"/>
      <c r="QAF11" s="28"/>
      <c r="QAG11" s="28"/>
      <c r="QAH11" s="28"/>
      <c r="QAI11" s="28"/>
      <c r="QAJ11" s="28"/>
      <c r="QAK11" s="28"/>
      <c r="QAL11" s="28"/>
      <c r="QAM11" s="28"/>
      <c r="QAN11" s="28"/>
      <c r="QAO11" s="28"/>
      <c r="QAP11" s="28"/>
      <c r="QAQ11" s="28"/>
      <c r="QAR11" s="28"/>
      <c r="QAS11" s="28"/>
      <c r="QAT11" s="28"/>
      <c r="QAU11" s="28"/>
      <c r="QAV11" s="28"/>
      <c r="QAW11" s="28"/>
      <c r="QAX11" s="28"/>
      <c r="QAY11" s="28"/>
      <c r="QAZ11" s="28"/>
      <c r="QBA11" s="28"/>
      <c r="QBB11" s="28"/>
      <c r="QBC11" s="28"/>
      <c r="QBD11" s="28"/>
      <c r="QBE11" s="28"/>
      <c r="QBF11" s="28"/>
      <c r="QBG11" s="28"/>
      <c r="QBH11" s="28"/>
      <c r="QBI11" s="28"/>
      <c r="QBJ11" s="28"/>
      <c r="QBK11" s="28"/>
      <c r="QBL11" s="28"/>
      <c r="QBM11" s="28"/>
      <c r="QBN11" s="28"/>
      <c r="QBO11" s="28"/>
      <c r="QBP11" s="28"/>
      <c r="QBQ11" s="28"/>
      <c r="QBR11" s="28"/>
      <c r="QBS11" s="28"/>
      <c r="QBT11" s="28"/>
      <c r="QBU11" s="28"/>
      <c r="QBV11" s="28"/>
      <c r="QBW11" s="28"/>
      <c r="QBX11" s="28"/>
      <c r="QBY11" s="28"/>
      <c r="QBZ11" s="28"/>
      <c r="QCA11" s="28"/>
      <c r="QCB11" s="28"/>
      <c r="QCC11" s="28"/>
      <c r="QCD11" s="28"/>
      <c r="QCE11" s="28"/>
      <c r="QCF11" s="28"/>
      <c r="QCG11" s="28"/>
      <c r="QCH11" s="28"/>
      <c r="QCI11" s="28"/>
      <c r="QCJ11" s="28"/>
      <c r="QCK11" s="28"/>
      <c r="QCL11" s="28"/>
      <c r="QCM11" s="28"/>
      <c r="QCN11" s="28"/>
      <c r="QCO11" s="28"/>
      <c r="QCP11" s="28"/>
      <c r="QCQ11" s="28"/>
      <c r="QCR11" s="28"/>
      <c r="QCS11" s="28"/>
      <c r="QCT11" s="28"/>
      <c r="QCU11" s="28"/>
      <c r="QCV11" s="28"/>
      <c r="QCW11" s="28"/>
      <c r="QCX11" s="28"/>
      <c r="QCY11" s="28"/>
      <c r="QCZ11" s="28"/>
      <c r="QDA11" s="28"/>
      <c r="QDB11" s="28"/>
      <c r="QDC11" s="28"/>
      <c r="QDD11" s="28"/>
      <c r="QDE11" s="28"/>
      <c r="QDF11" s="28"/>
      <c r="QDG11" s="28"/>
      <c r="QDH11" s="28"/>
      <c r="QDI11" s="28"/>
      <c r="QDJ11" s="28"/>
      <c r="QDK11" s="28"/>
      <c r="QDL11" s="28"/>
      <c r="QDM11" s="28"/>
      <c r="QDN11" s="28"/>
      <c r="QDO11" s="28"/>
      <c r="QDP11" s="28"/>
      <c r="QDQ11" s="28"/>
      <c r="QDR11" s="28"/>
      <c r="QDS11" s="28"/>
      <c r="QDT11" s="28"/>
      <c r="QDU11" s="28"/>
      <c r="QDV11" s="28"/>
      <c r="QDW11" s="28"/>
      <c r="QDX11" s="28"/>
      <c r="QDY11" s="28"/>
      <c r="QDZ11" s="28"/>
      <c r="QEA11" s="28"/>
      <c r="QEB11" s="28"/>
      <c r="QEC11" s="28"/>
      <c r="QED11" s="28"/>
      <c r="QEE11" s="28"/>
      <c r="QEF11" s="28"/>
      <c r="QEG11" s="28"/>
      <c r="QEH11" s="28"/>
      <c r="QEI11" s="28"/>
      <c r="QEJ11" s="28"/>
      <c r="QEK11" s="28"/>
      <c r="QEL11" s="28"/>
      <c r="QEM11" s="28"/>
      <c r="QEN11" s="28"/>
      <c r="QEO11" s="28"/>
      <c r="QEP11" s="28"/>
      <c r="QEQ11" s="28"/>
      <c r="QER11" s="28"/>
      <c r="QES11" s="28"/>
      <c r="QET11" s="28"/>
      <c r="QEU11" s="28"/>
      <c r="QEV11" s="28"/>
      <c r="QEW11" s="28"/>
      <c r="QEX11" s="28"/>
      <c r="QEY11" s="28"/>
      <c r="QEZ11" s="28"/>
      <c r="QFA11" s="28"/>
      <c r="QFB11" s="28"/>
      <c r="QFC11" s="28"/>
      <c r="QFD11" s="28"/>
      <c r="QFE11" s="28"/>
      <c r="QFF11" s="28"/>
      <c r="QFG11" s="28"/>
      <c r="QFH11" s="28"/>
      <c r="QFI11" s="28"/>
      <c r="QFJ11" s="28"/>
      <c r="QFK11" s="28"/>
      <c r="QFL11" s="28"/>
      <c r="QFM11" s="28"/>
      <c r="QFN11" s="28"/>
      <c r="QFO11" s="28"/>
      <c r="QFP11" s="28"/>
      <c r="QFQ11" s="28"/>
      <c r="QFR11" s="28"/>
      <c r="QFS11" s="28"/>
      <c r="QFT11" s="28"/>
      <c r="QFU11" s="28"/>
      <c r="QFV11" s="28"/>
      <c r="QFW11" s="28"/>
      <c r="QFX11" s="28"/>
      <c r="QFY11" s="28"/>
      <c r="QFZ11" s="28"/>
      <c r="QGA11" s="28"/>
      <c r="QGB11" s="28"/>
      <c r="QGC11" s="28"/>
      <c r="QGD11" s="28"/>
      <c r="QGE11" s="28"/>
      <c r="QGF11" s="28"/>
      <c r="QGG11" s="28"/>
      <c r="QGH11" s="28"/>
      <c r="QGI11" s="28"/>
      <c r="QGJ11" s="28"/>
      <c r="QGK11" s="28"/>
      <c r="QGL11" s="28"/>
      <c r="QGM11" s="28"/>
      <c r="QGN11" s="28"/>
      <c r="QGO11" s="28"/>
      <c r="QGP11" s="28"/>
      <c r="QGQ11" s="28"/>
      <c r="QGR11" s="28"/>
      <c r="QGS11" s="28"/>
      <c r="QGT11" s="28"/>
      <c r="QGU11" s="28"/>
      <c r="QGV11" s="28"/>
      <c r="QGW11" s="28"/>
      <c r="QGX11" s="28"/>
      <c r="QGY11" s="28"/>
      <c r="QGZ11" s="28"/>
      <c r="QHA11" s="28"/>
      <c r="QHB11" s="28"/>
      <c r="QHC11" s="28"/>
      <c r="QHD11" s="28"/>
      <c r="QHE11" s="28"/>
      <c r="QHF11" s="28"/>
      <c r="QHG11" s="28"/>
      <c r="QHH11" s="28"/>
      <c r="QHI11" s="28"/>
      <c r="QHJ11" s="28"/>
      <c r="QHK11" s="28"/>
      <c r="QHL11" s="28"/>
      <c r="QHM11" s="28"/>
      <c r="QHN11" s="28"/>
      <c r="QHO11" s="28"/>
      <c r="QHP11" s="28"/>
      <c r="QHQ11" s="28"/>
      <c r="QHR11" s="28"/>
      <c r="QHS11" s="28"/>
      <c r="QHT11" s="28"/>
      <c r="QHU11" s="28"/>
      <c r="QHV11" s="28"/>
      <c r="QHW11" s="28"/>
      <c r="QHX11" s="28"/>
      <c r="QHY11" s="28"/>
      <c r="QHZ11" s="28"/>
      <c r="QIA11" s="28"/>
      <c r="QIB11" s="28"/>
      <c r="QIC11" s="28"/>
      <c r="QID11" s="28"/>
      <c r="QIE11" s="28"/>
      <c r="QIF11" s="28"/>
      <c r="QIG11" s="28"/>
      <c r="QIH11" s="28"/>
      <c r="QII11" s="28"/>
      <c r="QIJ11" s="28"/>
      <c r="QIK11" s="28"/>
      <c r="QIL11" s="28"/>
      <c r="QIM11" s="28"/>
      <c r="QIN11" s="28"/>
      <c r="QIO11" s="28"/>
      <c r="QIP11" s="28"/>
      <c r="QIQ11" s="28"/>
      <c r="QIR11" s="28"/>
      <c r="QIS11" s="28"/>
      <c r="QIT11" s="28"/>
      <c r="QIU11" s="28"/>
      <c r="QIV11" s="28"/>
      <c r="QIW11" s="28"/>
      <c r="QIX11" s="28"/>
      <c r="QIY11" s="28"/>
      <c r="QIZ11" s="28"/>
      <c r="QJA11" s="28"/>
      <c r="QJB11" s="28"/>
      <c r="QJC11" s="28"/>
      <c r="QJD11" s="28"/>
      <c r="QJE11" s="28"/>
      <c r="QJF11" s="28"/>
      <c r="QJG11" s="28"/>
      <c r="QJH11" s="28"/>
      <c r="QJI11" s="28"/>
      <c r="QJJ11" s="28"/>
      <c r="QJK11" s="28"/>
      <c r="QJL11" s="28"/>
      <c r="QJM11" s="28"/>
      <c r="QJN11" s="28"/>
      <c r="QJO11" s="28"/>
      <c r="QJP11" s="28"/>
      <c r="QJQ11" s="28"/>
      <c r="QJR11" s="28"/>
      <c r="QJS11" s="28"/>
      <c r="QJT11" s="28"/>
      <c r="QJU11" s="28"/>
      <c r="QJV11" s="28"/>
      <c r="QJW11" s="28"/>
      <c r="QJX11" s="28"/>
      <c r="QJY11" s="28"/>
      <c r="QJZ11" s="28"/>
      <c r="QKA11" s="28"/>
      <c r="QKB11" s="28"/>
      <c r="QKC11" s="28"/>
      <c r="QKD11" s="28"/>
      <c r="QKE11" s="28"/>
      <c r="QKF11" s="28"/>
      <c r="QKG11" s="28"/>
      <c r="QKH11" s="28"/>
      <c r="QKI11" s="28"/>
      <c r="QKJ11" s="28"/>
      <c r="QKK11" s="28"/>
      <c r="QKL11" s="28"/>
      <c r="QKM11" s="28"/>
      <c r="QKN11" s="28"/>
      <c r="QKO11" s="28"/>
      <c r="QKP11" s="28"/>
      <c r="QKQ11" s="28"/>
      <c r="QKR11" s="28"/>
      <c r="QKS11" s="28"/>
      <c r="QKT11" s="28"/>
      <c r="QKU11" s="28"/>
      <c r="QKV11" s="28"/>
      <c r="QKW11" s="28"/>
      <c r="QKX11" s="28"/>
      <c r="QKY11" s="28"/>
      <c r="QKZ11" s="28"/>
      <c r="QLA11" s="28"/>
      <c r="QLB11" s="28"/>
      <c r="QLC11" s="28"/>
      <c r="QLD11" s="28"/>
      <c r="QLE11" s="28"/>
      <c r="QLF11" s="28"/>
      <c r="QLG11" s="28"/>
      <c r="QLH11" s="28"/>
      <c r="QLI11" s="28"/>
      <c r="QLJ11" s="28"/>
      <c r="QLK11" s="28"/>
      <c r="QLL11" s="28"/>
      <c r="QLM11" s="28"/>
      <c r="QLN11" s="28"/>
      <c r="QLO11" s="28"/>
      <c r="QLP11" s="28"/>
      <c r="QLQ11" s="28"/>
      <c r="QLR11" s="28"/>
      <c r="QLS11" s="28"/>
      <c r="QLT11" s="28"/>
      <c r="QLU11" s="28"/>
      <c r="QLV11" s="28"/>
      <c r="QLW11" s="28"/>
      <c r="QLX11" s="28"/>
      <c r="QLY11" s="28"/>
      <c r="QLZ11" s="28"/>
      <c r="QMA11" s="28"/>
      <c r="QMB11" s="28"/>
      <c r="QMC11" s="28"/>
      <c r="QMD11" s="28"/>
      <c r="QME11" s="28"/>
      <c r="QMF11" s="28"/>
      <c r="QMG11" s="28"/>
      <c r="QMH11" s="28"/>
      <c r="QMI11" s="28"/>
      <c r="QMJ11" s="28"/>
      <c r="QMK11" s="28"/>
      <c r="QML11" s="28"/>
      <c r="QMM11" s="28"/>
      <c r="QMN11" s="28"/>
      <c r="QMO11" s="28"/>
      <c r="QMP11" s="28"/>
      <c r="QMQ11" s="28"/>
      <c r="QMR11" s="28"/>
      <c r="QMS11" s="28"/>
      <c r="QMT11" s="28"/>
      <c r="QMU11" s="28"/>
      <c r="QMV11" s="28"/>
      <c r="QMW11" s="28"/>
      <c r="QMX11" s="28"/>
      <c r="QMY11" s="28"/>
      <c r="QMZ11" s="28"/>
      <c r="QNA11" s="28"/>
      <c r="QNB11" s="28"/>
      <c r="QNC11" s="28"/>
      <c r="QND11" s="28"/>
      <c r="QNE11" s="28"/>
      <c r="QNF11" s="28"/>
      <c r="QNG11" s="28"/>
      <c r="QNH11" s="28"/>
      <c r="QNI11" s="28"/>
      <c r="QNJ11" s="28"/>
      <c r="QNK11" s="28"/>
      <c r="QNL11" s="28"/>
      <c r="QNM11" s="28"/>
      <c r="QNN11" s="28"/>
      <c r="QNO11" s="28"/>
      <c r="QNP11" s="28"/>
      <c r="QNQ11" s="28"/>
      <c r="QNR11" s="28"/>
      <c r="QNS11" s="28"/>
      <c r="QNT11" s="28"/>
      <c r="QNU11" s="28"/>
      <c r="QNV11" s="28"/>
      <c r="QNW11" s="28"/>
      <c r="QNX11" s="28"/>
      <c r="QNY11" s="28"/>
      <c r="QNZ11" s="28"/>
      <c r="QOA11" s="28"/>
      <c r="QOB11" s="28"/>
      <c r="QOC11" s="28"/>
      <c r="QOD11" s="28"/>
      <c r="QOE11" s="28"/>
      <c r="QOF11" s="28"/>
      <c r="QOG11" s="28"/>
      <c r="QOH11" s="28"/>
      <c r="QOI11" s="28"/>
      <c r="QOJ11" s="28"/>
      <c r="QOK11" s="28"/>
      <c r="QOL11" s="28"/>
      <c r="QOM11" s="28"/>
      <c r="QON11" s="28"/>
      <c r="QOO11" s="28"/>
      <c r="QOP11" s="28"/>
      <c r="QOQ11" s="28"/>
      <c r="QOR11" s="28"/>
      <c r="QOS11" s="28"/>
      <c r="QOT11" s="28"/>
      <c r="QOU11" s="28"/>
      <c r="QOV11" s="28"/>
      <c r="QOW11" s="28"/>
      <c r="QOX11" s="28"/>
      <c r="QOY11" s="28"/>
      <c r="QOZ11" s="28"/>
      <c r="QPA11" s="28"/>
      <c r="QPB11" s="28"/>
      <c r="QPC11" s="28"/>
      <c r="QPD11" s="28"/>
      <c r="QPE11" s="28"/>
      <c r="QPF11" s="28"/>
      <c r="QPG11" s="28"/>
      <c r="QPH11" s="28"/>
      <c r="QPI11" s="28"/>
      <c r="QPJ11" s="28"/>
      <c r="QPK11" s="28"/>
      <c r="QPL11" s="28"/>
      <c r="QPM11" s="28"/>
      <c r="QPN11" s="28"/>
      <c r="QPO11" s="28"/>
      <c r="QPP11" s="28"/>
      <c r="QPQ11" s="28"/>
      <c r="QPR11" s="28"/>
      <c r="QPS11" s="28"/>
      <c r="QPT11" s="28"/>
      <c r="QPU11" s="28"/>
      <c r="QPV11" s="28"/>
      <c r="QPW11" s="28"/>
      <c r="QPX11" s="28"/>
      <c r="QPY11" s="28"/>
      <c r="QPZ11" s="28"/>
      <c r="QQA11" s="28"/>
      <c r="QQB11" s="28"/>
      <c r="QQC11" s="28"/>
      <c r="QQD11" s="28"/>
      <c r="QQE11" s="28"/>
      <c r="QQF11" s="28"/>
      <c r="QQG11" s="28"/>
      <c r="QQH11" s="28"/>
      <c r="QQI11" s="28"/>
      <c r="QQJ11" s="28"/>
      <c r="QQK11" s="28"/>
      <c r="QQL11" s="28"/>
      <c r="QQM11" s="28"/>
      <c r="QQN11" s="28"/>
      <c r="QQO11" s="28"/>
      <c r="QQP11" s="28"/>
      <c r="QQQ11" s="28"/>
      <c r="QQR11" s="28"/>
      <c r="QQS11" s="28"/>
      <c r="QQT11" s="28"/>
      <c r="QQU11" s="28"/>
      <c r="QQV11" s="28"/>
      <c r="QQW11" s="28"/>
      <c r="QQX11" s="28"/>
      <c r="QQY11" s="28"/>
      <c r="QQZ11" s="28"/>
      <c r="QRA11" s="28"/>
      <c r="QRB11" s="28"/>
      <c r="QRC11" s="28"/>
      <c r="QRD11" s="28"/>
      <c r="QRE11" s="28"/>
      <c r="QRF11" s="28"/>
      <c r="QRG11" s="28"/>
      <c r="QRH11" s="28"/>
      <c r="QRI11" s="28"/>
      <c r="QRJ11" s="28"/>
      <c r="QRK11" s="28"/>
      <c r="QRL11" s="28"/>
      <c r="QRM11" s="28"/>
      <c r="QRN11" s="28"/>
      <c r="QRO11" s="28"/>
      <c r="QRP11" s="28"/>
      <c r="QRQ11" s="28"/>
      <c r="QRR11" s="28"/>
      <c r="QRS11" s="28"/>
      <c r="QRT11" s="28"/>
      <c r="QRU11" s="28"/>
      <c r="QRV11" s="28"/>
      <c r="QRW11" s="28"/>
      <c r="QRX11" s="28"/>
      <c r="QRY11" s="28"/>
      <c r="QRZ11" s="28"/>
      <c r="QSA11" s="28"/>
      <c r="QSB11" s="28"/>
      <c r="QSC11" s="28"/>
      <c r="QSD11" s="28"/>
      <c r="QSE11" s="28"/>
      <c r="QSF11" s="28"/>
      <c r="QSG11" s="28"/>
      <c r="QSH11" s="28"/>
      <c r="QSI11" s="28"/>
      <c r="QSJ11" s="28"/>
      <c r="QSK11" s="28"/>
      <c r="QSL11" s="28"/>
      <c r="QSM11" s="28"/>
      <c r="QSN11" s="28"/>
      <c r="QSO11" s="28"/>
      <c r="QSP11" s="28"/>
      <c r="QSQ11" s="28"/>
      <c r="QSR11" s="28"/>
      <c r="QSS11" s="28"/>
      <c r="QST11" s="28"/>
      <c r="QSU11" s="28"/>
      <c r="QSV11" s="28"/>
      <c r="QSW11" s="28"/>
      <c r="QSX11" s="28"/>
      <c r="QSY11" s="28"/>
      <c r="QSZ11" s="28"/>
      <c r="QTA11" s="28"/>
      <c r="QTB11" s="28"/>
      <c r="QTC11" s="28"/>
      <c r="QTD11" s="28"/>
      <c r="QTE11" s="28"/>
      <c r="QTF11" s="28"/>
      <c r="QTG11" s="28"/>
      <c r="QTH11" s="28"/>
      <c r="QTI11" s="28"/>
      <c r="QTJ11" s="28"/>
      <c r="QTK11" s="28"/>
      <c r="QTL11" s="28"/>
      <c r="QTM11" s="28"/>
      <c r="QTN11" s="28"/>
      <c r="QTO11" s="28"/>
      <c r="QTP11" s="28"/>
      <c r="QTQ11" s="28"/>
      <c r="QTR11" s="28"/>
      <c r="QTS11" s="28"/>
      <c r="QTT11" s="28"/>
      <c r="QTU11" s="28"/>
      <c r="QTV11" s="28"/>
      <c r="QTW11" s="28"/>
      <c r="QTX11" s="28"/>
      <c r="QTY11" s="28"/>
      <c r="QTZ11" s="28"/>
      <c r="QUA11" s="28"/>
      <c r="QUB11" s="28"/>
      <c r="QUC11" s="28"/>
      <c r="QUD11" s="28"/>
      <c r="QUE11" s="28"/>
      <c r="QUF11" s="28"/>
      <c r="QUG11" s="28"/>
      <c r="QUH11" s="28"/>
      <c r="QUI11" s="28"/>
      <c r="QUJ11" s="28"/>
      <c r="QUK11" s="28"/>
      <c r="QUL11" s="28"/>
      <c r="QUM11" s="28"/>
      <c r="QUN11" s="28"/>
      <c r="QUO11" s="28"/>
      <c r="QUP11" s="28"/>
      <c r="QUQ11" s="28"/>
      <c r="QUR11" s="28"/>
      <c r="QUS11" s="28"/>
      <c r="QUT11" s="28"/>
      <c r="QUU11" s="28"/>
      <c r="QUV11" s="28"/>
      <c r="QUW11" s="28"/>
      <c r="QUX11" s="28"/>
      <c r="QUY11" s="28"/>
      <c r="QUZ11" s="28"/>
      <c r="QVA11" s="28"/>
      <c r="QVB11" s="28"/>
      <c r="QVC11" s="28"/>
      <c r="QVD11" s="28"/>
      <c r="QVE11" s="28"/>
      <c r="QVF11" s="28"/>
      <c r="QVG11" s="28"/>
      <c r="QVH11" s="28"/>
      <c r="QVI11" s="28"/>
      <c r="QVJ11" s="28"/>
      <c r="QVK11" s="28"/>
      <c r="QVL11" s="28"/>
      <c r="QVM11" s="28"/>
      <c r="QVN11" s="28"/>
      <c r="QVO11" s="28"/>
      <c r="QVP11" s="28"/>
      <c r="QVQ11" s="28"/>
      <c r="QVR11" s="28"/>
      <c r="QVS11" s="28"/>
      <c r="QVT11" s="28"/>
      <c r="QVU11" s="28"/>
      <c r="QVV11" s="28"/>
      <c r="QVW11" s="28"/>
      <c r="QVX11" s="28"/>
      <c r="QVY11" s="28"/>
      <c r="QVZ11" s="28"/>
      <c r="QWA11" s="28"/>
      <c r="QWB11" s="28"/>
      <c r="QWC11" s="28"/>
      <c r="QWD11" s="28"/>
      <c r="QWE11" s="28"/>
      <c r="QWF11" s="28"/>
      <c r="QWG11" s="28"/>
      <c r="QWH11" s="28"/>
      <c r="QWI11" s="28"/>
      <c r="QWJ11" s="28"/>
      <c r="QWK11" s="28"/>
      <c r="QWL11" s="28"/>
      <c r="QWM11" s="28"/>
      <c r="QWN11" s="28"/>
      <c r="QWO11" s="28"/>
      <c r="QWP11" s="28"/>
      <c r="QWQ11" s="28"/>
      <c r="QWR11" s="28"/>
      <c r="QWS11" s="28"/>
      <c r="QWT11" s="28"/>
      <c r="QWU11" s="28"/>
      <c r="QWV11" s="28"/>
      <c r="QWW11" s="28"/>
      <c r="QWX11" s="28"/>
      <c r="QWY11" s="28"/>
      <c r="QWZ11" s="28"/>
      <c r="QXA11" s="28"/>
      <c r="QXB11" s="28"/>
      <c r="QXC11" s="28"/>
      <c r="QXD11" s="28"/>
      <c r="QXE11" s="28"/>
      <c r="QXF11" s="28"/>
      <c r="QXG11" s="28"/>
      <c r="QXH11" s="28"/>
      <c r="QXI11" s="28"/>
      <c r="QXJ11" s="28"/>
      <c r="QXK11" s="28"/>
      <c r="QXL11" s="28"/>
      <c r="QXM11" s="28"/>
      <c r="QXN11" s="28"/>
      <c r="QXO11" s="28"/>
      <c r="QXP11" s="28"/>
      <c r="QXQ11" s="28"/>
      <c r="QXR11" s="28"/>
      <c r="QXS11" s="28"/>
      <c r="QXT11" s="28"/>
      <c r="QXU11" s="28"/>
      <c r="QXV11" s="28"/>
      <c r="QXW11" s="28"/>
      <c r="QXX11" s="28"/>
      <c r="QXY11" s="28"/>
      <c r="QXZ11" s="28"/>
      <c r="QYA11" s="28"/>
      <c r="QYB11" s="28"/>
      <c r="QYC11" s="28"/>
      <c r="QYD11" s="28"/>
      <c r="QYE11" s="28"/>
      <c r="QYF11" s="28"/>
      <c r="QYG11" s="28"/>
      <c r="QYH11" s="28"/>
      <c r="QYI11" s="28"/>
      <c r="QYJ11" s="28"/>
      <c r="QYK11" s="28"/>
      <c r="QYL11" s="28"/>
      <c r="QYM11" s="28"/>
      <c r="QYN11" s="28"/>
      <c r="QYO11" s="28"/>
      <c r="QYP11" s="28"/>
      <c r="QYQ11" s="28"/>
      <c r="QYR11" s="28"/>
      <c r="QYS11" s="28"/>
      <c r="QYT11" s="28"/>
      <c r="QYU11" s="28"/>
      <c r="QYV11" s="28"/>
      <c r="QYW11" s="28"/>
      <c r="QYX11" s="28"/>
      <c r="QYY11" s="28"/>
      <c r="QYZ11" s="28"/>
      <c r="QZA11" s="28"/>
      <c r="QZB11" s="28"/>
      <c r="QZC11" s="28"/>
      <c r="QZD11" s="28"/>
      <c r="QZE11" s="28"/>
      <c r="QZF11" s="28"/>
      <c r="QZG11" s="28"/>
      <c r="QZH11" s="28"/>
      <c r="QZI11" s="28"/>
      <c r="QZJ11" s="28"/>
      <c r="QZK11" s="28"/>
      <c r="QZL11" s="28"/>
      <c r="QZM11" s="28"/>
      <c r="QZN11" s="28"/>
      <c r="QZO11" s="28"/>
      <c r="QZP11" s="28"/>
      <c r="QZQ11" s="28"/>
      <c r="QZR11" s="28"/>
      <c r="QZS11" s="28"/>
      <c r="QZT11" s="28"/>
      <c r="QZU11" s="28"/>
      <c r="QZV11" s="28"/>
      <c r="QZW11" s="28"/>
      <c r="QZX11" s="28"/>
      <c r="QZY11" s="28"/>
      <c r="QZZ11" s="28"/>
      <c r="RAA11" s="28"/>
      <c r="RAB11" s="28"/>
      <c r="RAC11" s="28"/>
      <c r="RAD11" s="28"/>
      <c r="RAE11" s="28"/>
      <c r="RAF11" s="28"/>
      <c r="RAG11" s="28"/>
      <c r="RAH11" s="28"/>
      <c r="RAI11" s="28"/>
      <c r="RAJ11" s="28"/>
      <c r="RAK11" s="28"/>
      <c r="RAL11" s="28"/>
      <c r="RAM11" s="28"/>
      <c r="RAN11" s="28"/>
      <c r="RAO11" s="28"/>
      <c r="RAP11" s="28"/>
      <c r="RAQ11" s="28"/>
      <c r="RAR11" s="28"/>
      <c r="RAS11" s="28"/>
      <c r="RAT11" s="28"/>
      <c r="RAU11" s="28"/>
      <c r="RAV11" s="28"/>
      <c r="RAW11" s="28"/>
      <c r="RAX11" s="28"/>
      <c r="RAY11" s="28"/>
      <c r="RAZ11" s="28"/>
      <c r="RBA11" s="28"/>
      <c r="RBB11" s="28"/>
      <c r="RBC11" s="28"/>
      <c r="RBD11" s="28"/>
      <c r="RBE11" s="28"/>
      <c r="RBF11" s="28"/>
      <c r="RBG11" s="28"/>
      <c r="RBH11" s="28"/>
      <c r="RBI11" s="28"/>
      <c r="RBJ11" s="28"/>
      <c r="RBK11" s="28"/>
      <c r="RBL11" s="28"/>
      <c r="RBM11" s="28"/>
      <c r="RBN11" s="28"/>
      <c r="RBO11" s="28"/>
      <c r="RBP11" s="28"/>
      <c r="RBQ11" s="28"/>
      <c r="RBR11" s="28"/>
      <c r="RBS11" s="28"/>
      <c r="RBT11" s="28"/>
      <c r="RBU11" s="28"/>
      <c r="RBV11" s="28"/>
      <c r="RBW11" s="28"/>
      <c r="RBX11" s="28"/>
      <c r="RBY11" s="28"/>
      <c r="RBZ11" s="28"/>
      <c r="RCA11" s="28"/>
      <c r="RCB11" s="28"/>
      <c r="RCC11" s="28"/>
      <c r="RCD11" s="28"/>
      <c r="RCE11" s="28"/>
      <c r="RCF11" s="28"/>
      <c r="RCG11" s="28"/>
      <c r="RCH11" s="28"/>
      <c r="RCI11" s="28"/>
      <c r="RCJ11" s="28"/>
      <c r="RCK11" s="28"/>
      <c r="RCL11" s="28"/>
      <c r="RCM11" s="28"/>
      <c r="RCN11" s="28"/>
      <c r="RCO11" s="28"/>
      <c r="RCP11" s="28"/>
      <c r="RCQ11" s="28"/>
      <c r="RCR11" s="28"/>
      <c r="RCS11" s="28"/>
      <c r="RCT11" s="28"/>
      <c r="RCU11" s="28"/>
      <c r="RCV11" s="28"/>
      <c r="RCW11" s="28"/>
      <c r="RCX11" s="28"/>
      <c r="RCY11" s="28"/>
      <c r="RCZ11" s="28"/>
      <c r="RDA11" s="28"/>
      <c r="RDB11" s="28"/>
      <c r="RDC11" s="28"/>
      <c r="RDD11" s="28"/>
      <c r="RDE11" s="28"/>
      <c r="RDF11" s="28"/>
      <c r="RDG11" s="28"/>
      <c r="RDH11" s="28"/>
      <c r="RDI11" s="28"/>
      <c r="RDJ11" s="28"/>
      <c r="RDK11" s="28"/>
      <c r="RDL11" s="28"/>
      <c r="RDM11" s="28"/>
      <c r="RDN11" s="28"/>
      <c r="RDO11" s="28"/>
      <c r="RDP11" s="28"/>
      <c r="RDQ11" s="28"/>
      <c r="RDR11" s="28"/>
      <c r="RDS11" s="28"/>
      <c r="RDT11" s="28"/>
      <c r="RDU11" s="28"/>
      <c r="RDV11" s="28"/>
      <c r="RDW11" s="28"/>
      <c r="RDX11" s="28"/>
      <c r="RDY11" s="28"/>
      <c r="RDZ11" s="28"/>
      <c r="REA11" s="28"/>
      <c r="REB11" s="28"/>
      <c r="REC11" s="28"/>
      <c r="RED11" s="28"/>
      <c r="REE11" s="28"/>
      <c r="REF11" s="28"/>
      <c r="REG11" s="28"/>
      <c r="REH11" s="28"/>
      <c r="REI11" s="28"/>
      <c r="REJ11" s="28"/>
      <c r="REK11" s="28"/>
      <c r="REL11" s="28"/>
      <c r="REM11" s="28"/>
      <c r="REN11" s="28"/>
      <c r="REO11" s="28"/>
      <c r="REP11" s="28"/>
      <c r="REQ11" s="28"/>
      <c r="RER11" s="28"/>
      <c r="RES11" s="28"/>
      <c r="RET11" s="28"/>
      <c r="REU11" s="28"/>
      <c r="REV11" s="28"/>
      <c r="REW11" s="28"/>
      <c r="REX11" s="28"/>
      <c r="REY11" s="28"/>
      <c r="REZ11" s="28"/>
      <c r="RFA11" s="28"/>
      <c r="RFB11" s="28"/>
      <c r="RFC11" s="28"/>
      <c r="RFD11" s="28"/>
      <c r="RFE11" s="28"/>
      <c r="RFF11" s="28"/>
      <c r="RFG11" s="28"/>
      <c r="RFH11" s="28"/>
      <c r="RFI11" s="28"/>
      <c r="RFJ11" s="28"/>
      <c r="RFK11" s="28"/>
      <c r="RFL11" s="28"/>
      <c r="RFM11" s="28"/>
      <c r="RFN11" s="28"/>
      <c r="RFO11" s="28"/>
      <c r="RFP11" s="28"/>
      <c r="RFQ11" s="28"/>
      <c r="RFR11" s="28"/>
      <c r="RFS11" s="28"/>
      <c r="RFT11" s="28"/>
      <c r="RFU11" s="28"/>
      <c r="RFV11" s="28"/>
      <c r="RFW11" s="28"/>
      <c r="RFX11" s="28"/>
      <c r="RFY11" s="28"/>
      <c r="RFZ11" s="28"/>
      <c r="RGA11" s="28"/>
      <c r="RGB11" s="28"/>
      <c r="RGC11" s="28"/>
      <c r="RGD11" s="28"/>
      <c r="RGE11" s="28"/>
      <c r="RGF11" s="28"/>
      <c r="RGG11" s="28"/>
      <c r="RGH11" s="28"/>
      <c r="RGI11" s="28"/>
      <c r="RGJ11" s="28"/>
      <c r="RGK11" s="28"/>
      <c r="RGL11" s="28"/>
      <c r="RGM11" s="28"/>
      <c r="RGN11" s="28"/>
      <c r="RGO11" s="28"/>
      <c r="RGP11" s="28"/>
      <c r="RGQ11" s="28"/>
      <c r="RGR11" s="28"/>
      <c r="RGS11" s="28"/>
      <c r="RGT11" s="28"/>
      <c r="RGU11" s="28"/>
      <c r="RGV11" s="28"/>
      <c r="RGW11" s="28"/>
      <c r="RGX11" s="28"/>
      <c r="RGY11" s="28"/>
      <c r="RGZ11" s="28"/>
      <c r="RHA11" s="28"/>
      <c r="RHB11" s="28"/>
      <c r="RHC11" s="28"/>
      <c r="RHD11" s="28"/>
      <c r="RHE11" s="28"/>
      <c r="RHF11" s="28"/>
      <c r="RHG11" s="28"/>
      <c r="RHH11" s="28"/>
      <c r="RHI11" s="28"/>
      <c r="RHJ11" s="28"/>
      <c r="RHK11" s="28"/>
      <c r="RHL11" s="28"/>
      <c r="RHM11" s="28"/>
      <c r="RHN11" s="28"/>
      <c r="RHO11" s="28"/>
      <c r="RHP11" s="28"/>
      <c r="RHQ11" s="28"/>
      <c r="RHR11" s="28"/>
      <c r="RHS11" s="28"/>
      <c r="RHT11" s="28"/>
      <c r="RHU11" s="28"/>
      <c r="RHV11" s="28"/>
      <c r="RHW11" s="28"/>
      <c r="RHX11" s="28"/>
      <c r="RHY11" s="28"/>
      <c r="RHZ11" s="28"/>
      <c r="RIA11" s="28"/>
      <c r="RIB11" s="28"/>
      <c r="RIC11" s="28"/>
      <c r="RID11" s="28"/>
      <c r="RIE11" s="28"/>
      <c r="RIF11" s="28"/>
      <c r="RIG11" s="28"/>
      <c r="RIH11" s="28"/>
      <c r="RII11" s="28"/>
      <c r="RIJ11" s="28"/>
      <c r="RIK11" s="28"/>
      <c r="RIL11" s="28"/>
      <c r="RIM11" s="28"/>
      <c r="RIN11" s="28"/>
      <c r="RIO11" s="28"/>
      <c r="RIP11" s="28"/>
      <c r="RIQ11" s="28"/>
      <c r="RIR11" s="28"/>
      <c r="RIS11" s="28"/>
      <c r="RIT11" s="28"/>
      <c r="RIU11" s="28"/>
      <c r="RIV11" s="28"/>
      <c r="RIW11" s="28"/>
      <c r="RIX11" s="28"/>
      <c r="RIY11" s="28"/>
      <c r="RIZ11" s="28"/>
      <c r="RJA11" s="28"/>
      <c r="RJB11" s="28"/>
      <c r="RJC11" s="28"/>
      <c r="RJD11" s="28"/>
      <c r="RJE11" s="28"/>
      <c r="RJF11" s="28"/>
      <c r="RJG11" s="28"/>
      <c r="RJH11" s="28"/>
      <c r="RJI11" s="28"/>
      <c r="RJJ11" s="28"/>
      <c r="RJK11" s="28"/>
      <c r="RJL11" s="28"/>
      <c r="RJM11" s="28"/>
      <c r="RJN11" s="28"/>
      <c r="RJO11" s="28"/>
      <c r="RJP11" s="28"/>
      <c r="RJQ11" s="28"/>
      <c r="RJR11" s="28"/>
      <c r="RJS11" s="28"/>
      <c r="RJT11" s="28"/>
      <c r="RJU11" s="28"/>
      <c r="RJV11" s="28"/>
      <c r="RJW11" s="28"/>
      <c r="RJX11" s="28"/>
      <c r="RJY11" s="28"/>
      <c r="RJZ11" s="28"/>
      <c r="RKA11" s="28"/>
      <c r="RKB11" s="28"/>
      <c r="RKC11" s="28"/>
      <c r="RKD11" s="28"/>
      <c r="RKE11" s="28"/>
      <c r="RKF11" s="28"/>
      <c r="RKG11" s="28"/>
      <c r="RKH11" s="28"/>
      <c r="RKI11" s="28"/>
      <c r="RKJ11" s="28"/>
      <c r="RKK11" s="28"/>
      <c r="RKL11" s="28"/>
      <c r="RKM11" s="28"/>
      <c r="RKN11" s="28"/>
      <c r="RKO11" s="28"/>
      <c r="RKP11" s="28"/>
      <c r="RKQ11" s="28"/>
      <c r="RKR11" s="28"/>
      <c r="RKS11" s="28"/>
      <c r="RKT11" s="28"/>
      <c r="RKU11" s="28"/>
      <c r="RKV11" s="28"/>
      <c r="RKW11" s="28"/>
      <c r="RKX11" s="28"/>
      <c r="RKY11" s="28"/>
      <c r="RKZ11" s="28"/>
      <c r="RLA11" s="28"/>
      <c r="RLB11" s="28"/>
      <c r="RLC11" s="28"/>
      <c r="RLD11" s="28"/>
      <c r="RLE11" s="28"/>
      <c r="RLF11" s="28"/>
      <c r="RLG11" s="28"/>
      <c r="RLH11" s="28"/>
      <c r="RLI11" s="28"/>
      <c r="RLJ11" s="28"/>
      <c r="RLK11" s="28"/>
      <c r="RLL11" s="28"/>
      <c r="RLM11" s="28"/>
      <c r="RLN11" s="28"/>
      <c r="RLO11" s="28"/>
      <c r="RLP11" s="28"/>
      <c r="RLQ11" s="28"/>
      <c r="RLR11" s="28"/>
      <c r="RLS11" s="28"/>
      <c r="RLT11" s="28"/>
      <c r="RLU11" s="28"/>
      <c r="RLV11" s="28"/>
      <c r="RLW11" s="28"/>
      <c r="RLX11" s="28"/>
      <c r="RLY11" s="28"/>
      <c r="RLZ11" s="28"/>
      <c r="RMA11" s="28"/>
      <c r="RMB11" s="28"/>
      <c r="RMC11" s="28"/>
      <c r="RMD11" s="28"/>
      <c r="RME11" s="28"/>
      <c r="RMF11" s="28"/>
      <c r="RMG11" s="28"/>
      <c r="RMH11" s="28"/>
      <c r="RMI11" s="28"/>
      <c r="RMJ11" s="28"/>
      <c r="RMK11" s="28"/>
      <c r="RML11" s="28"/>
      <c r="RMM11" s="28"/>
      <c r="RMN11" s="28"/>
      <c r="RMO11" s="28"/>
      <c r="RMP11" s="28"/>
      <c r="RMQ11" s="28"/>
      <c r="RMR11" s="28"/>
      <c r="RMS11" s="28"/>
      <c r="RMT11" s="28"/>
      <c r="RMU11" s="28"/>
      <c r="RMV11" s="28"/>
      <c r="RMW11" s="28"/>
      <c r="RMX11" s="28"/>
      <c r="RMY11" s="28"/>
      <c r="RMZ11" s="28"/>
      <c r="RNA11" s="28"/>
      <c r="RNB11" s="28"/>
      <c r="RNC11" s="28"/>
      <c r="RND11" s="28"/>
      <c r="RNE11" s="28"/>
      <c r="RNF11" s="28"/>
      <c r="RNG11" s="28"/>
      <c r="RNH11" s="28"/>
      <c r="RNI11" s="28"/>
      <c r="RNJ11" s="28"/>
      <c r="RNK11" s="28"/>
      <c r="RNL11" s="28"/>
      <c r="RNM11" s="28"/>
      <c r="RNN11" s="28"/>
      <c r="RNO11" s="28"/>
      <c r="RNP11" s="28"/>
      <c r="RNQ11" s="28"/>
      <c r="RNR11" s="28"/>
      <c r="RNS11" s="28"/>
      <c r="RNT11" s="28"/>
      <c r="RNU11" s="28"/>
      <c r="RNV11" s="28"/>
      <c r="RNW11" s="28"/>
      <c r="RNX11" s="28"/>
      <c r="RNY11" s="28"/>
      <c r="RNZ11" s="28"/>
      <c r="ROA11" s="28"/>
      <c r="ROB11" s="28"/>
      <c r="ROC11" s="28"/>
      <c r="ROD11" s="28"/>
      <c r="ROE11" s="28"/>
      <c r="ROF11" s="28"/>
      <c r="ROG11" s="28"/>
      <c r="ROH11" s="28"/>
      <c r="ROI11" s="28"/>
      <c r="ROJ11" s="28"/>
      <c r="ROK11" s="28"/>
      <c r="ROL11" s="28"/>
      <c r="ROM11" s="28"/>
      <c r="RON11" s="28"/>
      <c r="ROO11" s="28"/>
      <c r="ROP11" s="28"/>
      <c r="ROQ11" s="28"/>
      <c r="ROR11" s="28"/>
      <c r="ROS11" s="28"/>
      <c r="ROT11" s="28"/>
      <c r="ROU11" s="28"/>
      <c r="ROV11" s="28"/>
      <c r="ROW11" s="28"/>
      <c r="ROX11" s="28"/>
      <c r="ROY11" s="28"/>
      <c r="ROZ11" s="28"/>
      <c r="RPA11" s="28"/>
      <c r="RPB11" s="28"/>
      <c r="RPC11" s="28"/>
      <c r="RPD11" s="28"/>
      <c r="RPE11" s="28"/>
      <c r="RPF11" s="28"/>
      <c r="RPG11" s="28"/>
      <c r="RPH11" s="28"/>
      <c r="RPI11" s="28"/>
      <c r="RPJ11" s="28"/>
      <c r="RPK11" s="28"/>
      <c r="RPL11" s="28"/>
      <c r="RPM11" s="28"/>
      <c r="RPN11" s="28"/>
      <c r="RPO11" s="28"/>
      <c r="RPP11" s="28"/>
      <c r="RPQ11" s="28"/>
      <c r="RPR11" s="28"/>
      <c r="RPS11" s="28"/>
      <c r="RPT11" s="28"/>
      <c r="RPU11" s="28"/>
      <c r="RPV11" s="28"/>
      <c r="RPW11" s="28"/>
      <c r="RPX11" s="28"/>
      <c r="RPY11" s="28"/>
      <c r="RPZ11" s="28"/>
      <c r="RQA11" s="28"/>
      <c r="RQB11" s="28"/>
      <c r="RQC11" s="28"/>
      <c r="RQD11" s="28"/>
      <c r="RQE11" s="28"/>
      <c r="RQF11" s="28"/>
      <c r="RQG11" s="28"/>
      <c r="RQH11" s="28"/>
      <c r="RQI11" s="28"/>
      <c r="RQJ11" s="28"/>
      <c r="RQK11" s="28"/>
      <c r="RQL11" s="28"/>
      <c r="RQM11" s="28"/>
      <c r="RQN11" s="28"/>
      <c r="RQO11" s="28"/>
      <c r="RQP11" s="28"/>
      <c r="RQQ11" s="28"/>
      <c r="RQR11" s="28"/>
      <c r="RQS11" s="28"/>
      <c r="RQT11" s="28"/>
      <c r="RQU11" s="28"/>
      <c r="RQV11" s="28"/>
      <c r="RQW11" s="28"/>
      <c r="RQX11" s="28"/>
      <c r="RQY11" s="28"/>
      <c r="RQZ11" s="28"/>
      <c r="RRA11" s="28"/>
      <c r="RRB11" s="28"/>
      <c r="RRC11" s="28"/>
      <c r="RRD11" s="28"/>
      <c r="RRE11" s="28"/>
      <c r="RRF11" s="28"/>
      <c r="RRG11" s="28"/>
      <c r="RRH11" s="28"/>
      <c r="RRI11" s="28"/>
      <c r="RRJ11" s="28"/>
      <c r="RRK11" s="28"/>
      <c r="RRL11" s="28"/>
      <c r="RRM11" s="28"/>
      <c r="RRN11" s="28"/>
      <c r="RRO11" s="28"/>
      <c r="RRP11" s="28"/>
      <c r="RRQ11" s="28"/>
      <c r="RRR11" s="28"/>
      <c r="RRS11" s="28"/>
      <c r="RRT11" s="28"/>
      <c r="RRU11" s="28"/>
      <c r="RRV11" s="28"/>
      <c r="RRW11" s="28"/>
      <c r="RRX11" s="28"/>
      <c r="RRY11" s="28"/>
      <c r="RRZ11" s="28"/>
      <c r="RSA11" s="28"/>
      <c r="RSB11" s="28"/>
      <c r="RSC11" s="28"/>
      <c r="RSD11" s="28"/>
      <c r="RSE11" s="28"/>
      <c r="RSF11" s="28"/>
      <c r="RSG11" s="28"/>
      <c r="RSH11" s="28"/>
      <c r="RSI11" s="28"/>
      <c r="RSJ11" s="28"/>
      <c r="RSK11" s="28"/>
      <c r="RSL11" s="28"/>
      <c r="RSM11" s="28"/>
      <c r="RSN11" s="28"/>
      <c r="RSO11" s="28"/>
      <c r="RSP11" s="28"/>
      <c r="RSQ11" s="28"/>
      <c r="RSR11" s="28"/>
      <c r="RSS11" s="28"/>
      <c r="RST11" s="28"/>
      <c r="RSU11" s="28"/>
      <c r="RSV11" s="28"/>
      <c r="RSW11" s="28"/>
      <c r="RSX11" s="28"/>
      <c r="RSY11" s="28"/>
      <c r="RSZ11" s="28"/>
      <c r="RTA11" s="28"/>
      <c r="RTB11" s="28"/>
      <c r="RTC11" s="28"/>
      <c r="RTD11" s="28"/>
      <c r="RTE11" s="28"/>
      <c r="RTF11" s="28"/>
      <c r="RTG11" s="28"/>
      <c r="RTH11" s="28"/>
      <c r="RTI11" s="28"/>
      <c r="RTJ11" s="28"/>
      <c r="RTK11" s="28"/>
      <c r="RTL11" s="28"/>
      <c r="RTM11" s="28"/>
      <c r="RTN11" s="28"/>
      <c r="RTO11" s="28"/>
      <c r="RTP11" s="28"/>
      <c r="RTQ11" s="28"/>
      <c r="RTR11" s="28"/>
      <c r="RTS11" s="28"/>
      <c r="RTT11" s="28"/>
      <c r="RTU11" s="28"/>
      <c r="RTV11" s="28"/>
      <c r="RTW11" s="28"/>
      <c r="RTX11" s="28"/>
      <c r="RTY11" s="28"/>
      <c r="RTZ11" s="28"/>
      <c r="RUA11" s="28"/>
      <c r="RUB11" s="28"/>
      <c r="RUC11" s="28"/>
      <c r="RUD11" s="28"/>
      <c r="RUE11" s="28"/>
      <c r="RUF11" s="28"/>
      <c r="RUG11" s="28"/>
      <c r="RUH11" s="28"/>
      <c r="RUI11" s="28"/>
      <c r="RUJ11" s="28"/>
      <c r="RUK11" s="28"/>
      <c r="RUL11" s="28"/>
      <c r="RUM11" s="28"/>
      <c r="RUN11" s="28"/>
      <c r="RUO11" s="28"/>
      <c r="RUP11" s="28"/>
      <c r="RUQ11" s="28"/>
      <c r="RUR11" s="28"/>
      <c r="RUS11" s="28"/>
      <c r="RUT11" s="28"/>
      <c r="RUU11" s="28"/>
      <c r="RUV11" s="28"/>
      <c r="RUW11" s="28"/>
      <c r="RUX11" s="28"/>
      <c r="RUY11" s="28"/>
      <c r="RUZ11" s="28"/>
      <c r="RVA11" s="28"/>
      <c r="RVB11" s="28"/>
      <c r="RVC11" s="28"/>
      <c r="RVD11" s="28"/>
      <c r="RVE11" s="28"/>
      <c r="RVF11" s="28"/>
      <c r="RVG11" s="28"/>
      <c r="RVH11" s="28"/>
      <c r="RVI11" s="28"/>
      <c r="RVJ11" s="28"/>
      <c r="RVK11" s="28"/>
      <c r="RVL11" s="28"/>
      <c r="RVM11" s="28"/>
      <c r="RVN11" s="28"/>
      <c r="RVO11" s="28"/>
      <c r="RVP11" s="28"/>
      <c r="RVQ11" s="28"/>
      <c r="RVR11" s="28"/>
      <c r="RVS11" s="28"/>
      <c r="RVT11" s="28"/>
      <c r="RVU11" s="28"/>
      <c r="RVV11" s="28"/>
      <c r="RVW11" s="28"/>
      <c r="RVX11" s="28"/>
      <c r="RVY11" s="28"/>
      <c r="RVZ11" s="28"/>
      <c r="RWA11" s="28"/>
      <c r="RWB11" s="28"/>
      <c r="RWC11" s="28"/>
      <c r="RWD11" s="28"/>
      <c r="RWE11" s="28"/>
      <c r="RWF11" s="28"/>
      <c r="RWG11" s="28"/>
      <c r="RWH11" s="28"/>
      <c r="RWI11" s="28"/>
      <c r="RWJ11" s="28"/>
      <c r="RWK11" s="28"/>
      <c r="RWL11" s="28"/>
      <c r="RWM11" s="28"/>
      <c r="RWN11" s="28"/>
      <c r="RWO11" s="28"/>
      <c r="RWP11" s="28"/>
      <c r="RWQ11" s="28"/>
      <c r="RWR11" s="28"/>
      <c r="RWS11" s="28"/>
      <c r="RWT11" s="28"/>
      <c r="RWU11" s="28"/>
      <c r="RWV11" s="28"/>
      <c r="RWW11" s="28"/>
      <c r="RWX11" s="28"/>
      <c r="RWY11" s="28"/>
      <c r="RWZ11" s="28"/>
      <c r="RXA11" s="28"/>
      <c r="RXB11" s="28"/>
      <c r="RXC11" s="28"/>
      <c r="RXD11" s="28"/>
      <c r="RXE11" s="28"/>
      <c r="RXF11" s="28"/>
      <c r="RXG11" s="28"/>
      <c r="RXH11" s="28"/>
      <c r="RXI11" s="28"/>
      <c r="RXJ11" s="28"/>
      <c r="RXK11" s="28"/>
      <c r="RXL11" s="28"/>
      <c r="RXM11" s="28"/>
      <c r="RXN11" s="28"/>
      <c r="RXO11" s="28"/>
      <c r="RXP11" s="28"/>
      <c r="RXQ11" s="28"/>
      <c r="RXR11" s="28"/>
      <c r="RXS11" s="28"/>
      <c r="RXT11" s="28"/>
      <c r="RXU11" s="28"/>
      <c r="RXV11" s="28"/>
      <c r="RXW11" s="28"/>
      <c r="RXX11" s="28"/>
      <c r="RXY11" s="28"/>
      <c r="RXZ11" s="28"/>
      <c r="RYA11" s="28"/>
      <c r="RYB11" s="28"/>
      <c r="RYC11" s="28"/>
      <c r="RYD11" s="28"/>
      <c r="RYE11" s="28"/>
      <c r="RYF11" s="28"/>
      <c r="RYG11" s="28"/>
      <c r="RYH11" s="28"/>
      <c r="RYI11" s="28"/>
      <c r="RYJ11" s="28"/>
      <c r="RYK11" s="28"/>
      <c r="RYL11" s="28"/>
      <c r="RYM11" s="28"/>
      <c r="RYN11" s="28"/>
      <c r="RYO11" s="28"/>
      <c r="RYP11" s="28"/>
      <c r="RYQ11" s="28"/>
      <c r="RYR11" s="28"/>
      <c r="RYS11" s="28"/>
      <c r="RYT11" s="28"/>
      <c r="RYU11" s="28"/>
      <c r="RYV11" s="28"/>
      <c r="RYW11" s="28"/>
      <c r="RYX11" s="28"/>
      <c r="RYY11" s="28"/>
      <c r="RYZ11" s="28"/>
      <c r="RZA11" s="28"/>
      <c r="RZB11" s="28"/>
      <c r="RZC11" s="28"/>
      <c r="RZD11" s="28"/>
      <c r="RZE11" s="28"/>
      <c r="RZF11" s="28"/>
      <c r="RZG11" s="28"/>
      <c r="RZH11" s="28"/>
      <c r="RZI11" s="28"/>
      <c r="RZJ11" s="28"/>
      <c r="RZK11" s="28"/>
      <c r="RZL11" s="28"/>
      <c r="RZM11" s="28"/>
      <c r="RZN11" s="28"/>
      <c r="RZO11" s="28"/>
      <c r="RZP11" s="28"/>
      <c r="RZQ11" s="28"/>
      <c r="RZR11" s="28"/>
      <c r="RZS11" s="28"/>
      <c r="RZT11" s="28"/>
      <c r="RZU11" s="28"/>
      <c r="RZV11" s="28"/>
      <c r="RZW11" s="28"/>
      <c r="RZX11" s="28"/>
      <c r="RZY11" s="28"/>
      <c r="RZZ11" s="28"/>
      <c r="SAA11" s="28"/>
      <c r="SAB11" s="28"/>
      <c r="SAC11" s="28"/>
      <c r="SAD11" s="28"/>
      <c r="SAE11" s="28"/>
      <c r="SAF11" s="28"/>
      <c r="SAG11" s="28"/>
      <c r="SAH11" s="28"/>
      <c r="SAI11" s="28"/>
      <c r="SAJ11" s="28"/>
      <c r="SAK11" s="28"/>
      <c r="SAL11" s="28"/>
      <c r="SAM11" s="28"/>
      <c r="SAN11" s="28"/>
      <c r="SAO11" s="28"/>
      <c r="SAP11" s="28"/>
      <c r="SAQ11" s="28"/>
      <c r="SAR11" s="28"/>
      <c r="SAS11" s="28"/>
      <c r="SAT11" s="28"/>
      <c r="SAU11" s="28"/>
      <c r="SAV11" s="28"/>
      <c r="SAW11" s="28"/>
      <c r="SAX11" s="28"/>
      <c r="SAY11" s="28"/>
      <c r="SAZ11" s="28"/>
      <c r="SBA11" s="28"/>
      <c r="SBB11" s="28"/>
      <c r="SBC11" s="28"/>
      <c r="SBD11" s="28"/>
      <c r="SBE11" s="28"/>
      <c r="SBF11" s="28"/>
      <c r="SBG11" s="28"/>
      <c r="SBH11" s="28"/>
      <c r="SBI11" s="28"/>
      <c r="SBJ11" s="28"/>
      <c r="SBK11" s="28"/>
      <c r="SBL11" s="28"/>
      <c r="SBM11" s="28"/>
      <c r="SBN11" s="28"/>
      <c r="SBO11" s="28"/>
      <c r="SBP11" s="28"/>
      <c r="SBQ11" s="28"/>
      <c r="SBR11" s="28"/>
      <c r="SBS11" s="28"/>
      <c r="SBT11" s="28"/>
      <c r="SBU11" s="28"/>
      <c r="SBV11" s="28"/>
      <c r="SBW11" s="28"/>
      <c r="SBX11" s="28"/>
      <c r="SBY11" s="28"/>
      <c r="SBZ11" s="28"/>
      <c r="SCA11" s="28"/>
      <c r="SCB11" s="28"/>
      <c r="SCC11" s="28"/>
      <c r="SCD11" s="28"/>
      <c r="SCE11" s="28"/>
      <c r="SCF11" s="28"/>
      <c r="SCG11" s="28"/>
      <c r="SCH11" s="28"/>
      <c r="SCI11" s="28"/>
      <c r="SCJ11" s="28"/>
      <c r="SCK11" s="28"/>
      <c r="SCL11" s="28"/>
      <c r="SCM11" s="28"/>
      <c r="SCN11" s="28"/>
      <c r="SCO11" s="28"/>
      <c r="SCP11" s="28"/>
      <c r="SCQ11" s="28"/>
      <c r="SCR11" s="28"/>
      <c r="SCS11" s="28"/>
      <c r="SCT11" s="28"/>
      <c r="SCU11" s="28"/>
      <c r="SCV11" s="28"/>
      <c r="SCW11" s="28"/>
      <c r="SCX11" s="28"/>
      <c r="SCY11" s="28"/>
      <c r="SCZ11" s="28"/>
      <c r="SDA11" s="28"/>
      <c r="SDB11" s="28"/>
      <c r="SDC11" s="28"/>
      <c r="SDD11" s="28"/>
      <c r="SDE11" s="28"/>
      <c r="SDF11" s="28"/>
      <c r="SDG11" s="28"/>
      <c r="SDH11" s="28"/>
      <c r="SDI11" s="28"/>
      <c r="SDJ11" s="28"/>
      <c r="SDK11" s="28"/>
      <c r="SDL11" s="28"/>
      <c r="SDM11" s="28"/>
      <c r="SDN11" s="28"/>
      <c r="SDO11" s="28"/>
      <c r="SDP11" s="28"/>
      <c r="SDQ11" s="28"/>
      <c r="SDR11" s="28"/>
      <c r="SDS11" s="28"/>
      <c r="SDT11" s="28"/>
      <c r="SDU11" s="28"/>
      <c r="SDV11" s="28"/>
      <c r="SDW11" s="28"/>
      <c r="SDX11" s="28"/>
      <c r="SDY11" s="28"/>
      <c r="SDZ11" s="28"/>
      <c r="SEA11" s="28"/>
      <c r="SEB11" s="28"/>
      <c r="SEC11" s="28"/>
      <c r="SED11" s="28"/>
      <c r="SEE11" s="28"/>
      <c r="SEF11" s="28"/>
      <c r="SEG11" s="28"/>
      <c r="SEH11" s="28"/>
      <c r="SEI11" s="28"/>
      <c r="SEJ11" s="28"/>
      <c r="SEK11" s="28"/>
      <c r="SEL11" s="28"/>
      <c r="SEM11" s="28"/>
      <c r="SEN11" s="28"/>
      <c r="SEO11" s="28"/>
      <c r="SEP11" s="28"/>
      <c r="SEQ11" s="28"/>
      <c r="SER11" s="28"/>
      <c r="SES11" s="28"/>
      <c r="SET11" s="28"/>
      <c r="SEU11" s="28"/>
      <c r="SEV11" s="28"/>
      <c r="SEW11" s="28"/>
      <c r="SEX11" s="28"/>
      <c r="SEY11" s="28"/>
      <c r="SEZ11" s="28"/>
      <c r="SFA11" s="28"/>
      <c r="SFB11" s="28"/>
      <c r="SFC11" s="28"/>
      <c r="SFD11" s="28"/>
      <c r="SFE11" s="28"/>
      <c r="SFF11" s="28"/>
      <c r="SFG11" s="28"/>
      <c r="SFH11" s="28"/>
      <c r="SFI11" s="28"/>
      <c r="SFJ11" s="28"/>
      <c r="SFK11" s="28"/>
      <c r="SFL11" s="28"/>
      <c r="SFM11" s="28"/>
      <c r="SFN11" s="28"/>
      <c r="SFO11" s="28"/>
      <c r="SFP11" s="28"/>
      <c r="SFQ11" s="28"/>
      <c r="SFR11" s="28"/>
      <c r="SFS11" s="28"/>
      <c r="SFT11" s="28"/>
      <c r="SFU11" s="28"/>
      <c r="SFV11" s="28"/>
      <c r="SFW11" s="28"/>
      <c r="SFX11" s="28"/>
      <c r="SFY11" s="28"/>
      <c r="SFZ11" s="28"/>
      <c r="SGA11" s="28"/>
      <c r="SGB11" s="28"/>
      <c r="SGC11" s="28"/>
      <c r="SGD11" s="28"/>
      <c r="SGE11" s="28"/>
      <c r="SGF11" s="28"/>
      <c r="SGG11" s="28"/>
      <c r="SGH11" s="28"/>
      <c r="SGI11" s="28"/>
      <c r="SGJ11" s="28"/>
      <c r="SGK11" s="28"/>
      <c r="SGL11" s="28"/>
      <c r="SGM11" s="28"/>
      <c r="SGN11" s="28"/>
      <c r="SGO11" s="28"/>
      <c r="SGP11" s="28"/>
      <c r="SGQ11" s="28"/>
      <c r="SGR11" s="28"/>
      <c r="SGS11" s="28"/>
      <c r="SGT11" s="28"/>
      <c r="SGU11" s="28"/>
      <c r="SGV11" s="28"/>
      <c r="SGW11" s="28"/>
      <c r="SGX11" s="28"/>
      <c r="SGY11" s="28"/>
      <c r="SGZ11" s="28"/>
      <c r="SHA11" s="28"/>
      <c r="SHB11" s="28"/>
      <c r="SHC11" s="28"/>
      <c r="SHD11" s="28"/>
      <c r="SHE11" s="28"/>
      <c r="SHF11" s="28"/>
      <c r="SHG11" s="28"/>
      <c r="SHH11" s="28"/>
      <c r="SHI11" s="28"/>
      <c r="SHJ11" s="28"/>
      <c r="SHK11" s="28"/>
      <c r="SHL11" s="28"/>
      <c r="SHM11" s="28"/>
      <c r="SHN11" s="28"/>
      <c r="SHO11" s="28"/>
      <c r="SHP11" s="28"/>
      <c r="SHQ11" s="28"/>
      <c r="SHR11" s="28"/>
      <c r="SHS11" s="28"/>
      <c r="SHT11" s="28"/>
      <c r="SHU11" s="28"/>
      <c r="SHV11" s="28"/>
      <c r="SHW11" s="28"/>
      <c r="SHX11" s="28"/>
      <c r="SHY11" s="28"/>
      <c r="SHZ11" s="28"/>
      <c r="SIA11" s="28"/>
      <c r="SIB11" s="28"/>
      <c r="SIC11" s="28"/>
      <c r="SID11" s="28"/>
      <c r="SIE11" s="28"/>
      <c r="SIF11" s="28"/>
      <c r="SIG11" s="28"/>
      <c r="SIH11" s="28"/>
      <c r="SII11" s="28"/>
      <c r="SIJ11" s="28"/>
      <c r="SIK11" s="28"/>
      <c r="SIL11" s="28"/>
      <c r="SIM11" s="28"/>
      <c r="SIN11" s="28"/>
      <c r="SIO11" s="28"/>
      <c r="SIP11" s="28"/>
      <c r="SIQ11" s="28"/>
      <c r="SIR11" s="28"/>
      <c r="SIS11" s="28"/>
      <c r="SIT11" s="28"/>
      <c r="SIU11" s="28"/>
      <c r="SIV11" s="28"/>
      <c r="SIW11" s="28"/>
      <c r="SIX11" s="28"/>
      <c r="SIY11" s="28"/>
      <c r="SIZ11" s="28"/>
      <c r="SJA11" s="28"/>
      <c r="SJB11" s="28"/>
      <c r="SJC11" s="28"/>
      <c r="SJD11" s="28"/>
      <c r="SJE11" s="28"/>
      <c r="SJF11" s="28"/>
      <c r="SJG11" s="28"/>
      <c r="SJH11" s="28"/>
      <c r="SJI11" s="28"/>
      <c r="SJJ11" s="28"/>
      <c r="SJK11" s="28"/>
      <c r="SJL11" s="28"/>
      <c r="SJM11" s="28"/>
      <c r="SJN11" s="28"/>
      <c r="SJO11" s="28"/>
      <c r="SJP11" s="28"/>
      <c r="SJQ11" s="28"/>
      <c r="SJR11" s="28"/>
      <c r="SJS11" s="28"/>
      <c r="SJT11" s="28"/>
      <c r="SJU11" s="28"/>
      <c r="SJV11" s="28"/>
      <c r="SJW11" s="28"/>
      <c r="SJX11" s="28"/>
      <c r="SJY11" s="28"/>
      <c r="SJZ11" s="28"/>
      <c r="SKA11" s="28"/>
      <c r="SKB11" s="28"/>
      <c r="SKC11" s="28"/>
      <c r="SKD11" s="28"/>
      <c r="SKE11" s="28"/>
      <c r="SKF11" s="28"/>
      <c r="SKG11" s="28"/>
      <c r="SKH11" s="28"/>
      <c r="SKI11" s="28"/>
      <c r="SKJ11" s="28"/>
      <c r="SKK11" s="28"/>
      <c r="SKL11" s="28"/>
      <c r="SKM11" s="28"/>
      <c r="SKN11" s="28"/>
      <c r="SKO11" s="28"/>
      <c r="SKP11" s="28"/>
      <c r="SKQ11" s="28"/>
      <c r="SKR11" s="28"/>
      <c r="SKS11" s="28"/>
      <c r="SKT11" s="28"/>
      <c r="SKU11" s="28"/>
      <c r="SKV11" s="28"/>
      <c r="SKW11" s="28"/>
      <c r="SKX11" s="28"/>
      <c r="SKY11" s="28"/>
      <c r="SKZ11" s="28"/>
      <c r="SLA11" s="28"/>
      <c r="SLB11" s="28"/>
      <c r="SLC11" s="28"/>
      <c r="SLD11" s="28"/>
      <c r="SLE11" s="28"/>
      <c r="SLF11" s="28"/>
      <c r="SLG11" s="28"/>
      <c r="SLH11" s="28"/>
      <c r="SLI11" s="28"/>
      <c r="SLJ11" s="28"/>
      <c r="SLK11" s="28"/>
      <c r="SLL11" s="28"/>
      <c r="SLM11" s="28"/>
      <c r="SLN11" s="28"/>
      <c r="SLO11" s="28"/>
      <c r="SLP11" s="28"/>
      <c r="SLQ11" s="28"/>
      <c r="SLR11" s="28"/>
      <c r="SLS11" s="28"/>
      <c r="SLT11" s="28"/>
      <c r="SLU11" s="28"/>
      <c r="SLV11" s="28"/>
      <c r="SLW11" s="28"/>
      <c r="SLX11" s="28"/>
      <c r="SLY11" s="28"/>
      <c r="SLZ11" s="28"/>
      <c r="SMA11" s="28"/>
      <c r="SMB11" s="28"/>
      <c r="SMC11" s="28"/>
      <c r="SMD11" s="28"/>
      <c r="SME11" s="28"/>
      <c r="SMF11" s="28"/>
      <c r="SMG11" s="28"/>
      <c r="SMH11" s="28"/>
      <c r="SMI11" s="28"/>
      <c r="SMJ11" s="28"/>
      <c r="SMK11" s="28"/>
      <c r="SML11" s="28"/>
      <c r="SMM11" s="28"/>
      <c r="SMN11" s="28"/>
      <c r="SMO11" s="28"/>
      <c r="SMP11" s="28"/>
      <c r="SMQ11" s="28"/>
      <c r="SMR11" s="28"/>
      <c r="SMS11" s="28"/>
      <c r="SMT11" s="28"/>
      <c r="SMU11" s="28"/>
      <c r="SMV11" s="28"/>
      <c r="SMW11" s="28"/>
      <c r="SMX11" s="28"/>
      <c r="SMY11" s="28"/>
      <c r="SMZ11" s="28"/>
      <c r="SNA11" s="28"/>
      <c r="SNB11" s="28"/>
      <c r="SNC11" s="28"/>
      <c r="SND11" s="28"/>
      <c r="SNE11" s="28"/>
      <c r="SNF11" s="28"/>
      <c r="SNG11" s="28"/>
      <c r="SNH11" s="28"/>
      <c r="SNI11" s="28"/>
      <c r="SNJ11" s="28"/>
      <c r="SNK11" s="28"/>
      <c r="SNL11" s="28"/>
      <c r="SNM11" s="28"/>
      <c r="SNN11" s="28"/>
      <c r="SNO11" s="28"/>
      <c r="SNP11" s="28"/>
      <c r="SNQ11" s="28"/>
      <c r="SNR11" s="28"/>
      <c r="SNS11" s="28"/>
      <c r="SNT11" s="28"/>
      <c r="SNU11" s="28"/>
      <c r="SNV11" s="28"/>
      <c r="SNW11" s="28"/>
      <c r="SNX11" s="28"/>
      <c r="SNY11" s="28"/>
      <c r="SNZ11" s="28"/>
      <c r="SOA11" s="28"/>
      <c r="SOB11" s="28"/>
      <c r="SOC11" s="28"/>
      <c r="SOD11" s="28"/>
      <c r="SOE11" s="28"/>
      <c r="SOF11" s="28"/>
      <c r="SOG11" s="28"/>
      <c r="SOH11" s="28"/>
      <c r="SOI11" s="28"/>
      <c r="SOJ11" s="28"/>
      <c r="SOK11" s="28"/>
      <c r="SOL11" s="28"/>
      <c r="SOM11" s="28"/>
      <c r="SON11" s="28"/>
      <c r="SOO11" s="28"/>
      <c r="SOP11" s="28"/>
      <c r="SOQ11" s="28"/>
      <c r="SOR11" s="28"/>
      <c r="SOS11" s="28"/>
      <c r="SOT11" s="28"/>
      <c r="SOU11" s="28"/>
      <c r="SOV11" s="28"/>
      <c r="SOW11" s="28"/>
      <c r="SOX11" s="28"/>
      <c r="SOY11" s="28"/>
      <c r="SOZ11" s="28"/>
      <c r="SPA11" s="28"/>
      <c r="SPB11" s="28"/>
      <c r="SPC11" s="28"/>
      <c r="SPD11" s="28"/>
      <c r="SPE11" s="28"/>
      <c r="SPF11" s="28"/>
      <c r="SPG11" s="28"/>
      <c r="SPH11" s="28"/>
      <c r="SPI11" s="28"/>
      <c r="SPJ11" s="28"/>
      <c r="SPK11" s="28"/>
      <c r="SPL11" s="28"/>
      <c r="SPM11" s="28"/>
      <c r="SPN11" s="28"/>
      <c r="SPO11" s="28"/>
      <c r="SPP11" s="28"/>
      <c r="SPQ11" s="28"/>
      <c r="SPR11" s="28"/>
      <c r="SPS11" s="28"/>
      <c r="SPT11" s="28"/>
      <c r="SPU11" s="28"/>
      <c r="SPV11" s="28"/>
      <c r="SPW11" s="28"/>
      <c r="SPX11" s="28"/>
      <c r="SPY11" s="28"/>
      <c r="SPZ11" s="28"/>
      <c r="SQA11" s="28"/>
      <c r="SQB11" s="28"/>
      <c r="SQC11" s="28"/>
      <c r="SQD11" s="28"/>
      <c r="SQE11" s="28"/>
      <c r="SQF11" s="28"/>
      <c r="SQG11" s="28"/>
      <c r="SQH11" s="28"/>
      <c r="SQI11" s="28"/>
      <c r="SQJ11" s="28"/>
      <c r="SQK11" s="28"/>
      <c r="SQL11" s="28"/>
      <c r="SQM11" s="28"/>
      <c r="SQN11" s="28"/>
      <c r="SQO11" s="28"/>
      <c r="SQP11" s="28"/>
      <c r="SQQ11" s="28"/>
      <c r="SQR11" s="28"/>
      <c r="SQS11" s="28"/>
      <c r="SQT11" s="28"/>
      <c r="SQU11" s="28"/>
      <c r="SQV11" s="28"/>
      <c r="SQW11" s="28"/>
      <c r="SQX11" s="28"/>
      <c r="SQY11" s="28"/>
      <c r="SQZ11" s="28"/>
      <c r="SRA11" s="28"/>
      <c r="SRB11" s="28"/>
      <c r="SRC11" s="28"/>
      <c r="SRD11" s="28"/>
      <c r="SRE11" s="28"/>
      <c r="SRF11" s="28"/>
      <c r="SRG11" s="28"/>
      <c r="SRH11" s="28"/>
      <c r="SRI11" s="28"/>
      <c r="SRJ11" s="28"/>
      <c r="SRK11" s="28"/>
      <c r="SRL11" s="28"/>
      <c r="SRM11" s="28"/>
      <c r="SRN11" s="28"/>
      <c r="SRO11" s="28"/>
      <c r="SRP11" s="28"/>
      <c r="SRQ11" s="28"/>
      <c r="SRR11" s="28"/>
      <c r="SRS11" s="28"/>
      <c r="SRT11" s="28"/>
      <c r="SRU11" s="28"/>
      <c r="SRV11" s="28"/>
      <c r="SRW11" s="28"/>
      <c r="SRX11" s="28"/>
      <c r="SRY11" s="28"/>
      <c r="SRZ11" s="28"/>
      <c r="SSA11" s="28"/>
      <c r="SSB11" s="28"/>
      <c r="SSC11" s="28"/>
      <c r="SSD11" s="28"/>
      <c r="SSE11" s="28"/>
      <c r="SSF11" s="28"/>
      <c r="SSG11" s="28"/>
      <c r="SSH11" s="28"/>
      <c r="SSI11" s="28"/>
      <c r="SSJ11" s="28"/>
      <c r="SSK11" s="28"/>
      <c r="SSL11" s="28"/>
      <c r="SSM11" s="28"/>
      <c r="SSN11" s="28"/>
      <c r="SSO11" s="28"/>
      <c r="SSP11" s="28"/>
      <c r="SSQ11" s="28"/>
      <c r="SSR11" s="28"/>
      <c r="SSS11" s="28"/>
      <c r="SST11" s="28"/>
      <c r="SSU11" s="28"/>
      <c r="SSV11" s="28"/>
      <c r="SSW11" s="28"/>
      <c r="SSX11" s="28"/>
      <c r="SSY11" s="28"/>
      <c r="SSZ11" s="28"/>
      <c r="STA11" s="28"/>
      <c r="STB11" s="28"/>
      <c r="STC11" s="28"/>
      <c r="STD11" s="28"/>
      <c r="STE11" s="28"/>
      <c r="STF11" s="28"/>
      <c r="STG11" s="28"/>
      <c r="STH11" s="28"/>
      <c r="STI11" s="28"/>
      <c r="STJ11" s="28"/>
      <c r="STK11" s="28"/>
      <c r="STL11" s="28"/>
      <c r="STM11" s="28"/>
      <c r="STN11" s="28"/>
      <c r="STO11" s="28"/>
      <c r="STP11" s="28"/>
      <c r="STQ11" s="28"/>
      <c r="STR11" s="28"/>
      <c r="STS11" s="28"/>
      <c r="STT11" s="28"/>
      <c r="STU11" s="28"/>
      <c r="STV11" s="28"/>
      <c r="STW11" s="28"/>
      <c r="STX11" s="28"/>
      <c r="STY11" s="28"/>
      <c r="STZ11" s="28"/>
      <c r="SUA11" s="28"/>
      <c r="SUB11" s="28"/>
      <c r="SUC11" s="28"/>
      <c r="SUD11" s="28"/>
      <c r="SUE11" s="28"/>
      <c r="SUF11" s="28"/>
      <c r="SUG11" s="28"/>
      <c r="SUH11" s="28"/>
      <c r="SUI11" s="28"/>
      <c r="SUJ11" s="28"/>
      <c r="SUK11" s="28"/>
      <c r="SUL11" s="28"/>
      <c r="SUM11" s="28"/>
      <c r="SUN11" s="28"/>
      <c r="SUO11" s="28"/>
      <c r="SUP11" s="28"/>
      <c r="SUQ11" s="28"/>
      <c r="SUR11" s="28"/>
      <c r="SUS11" s="28"/>
      <c r="SUT11" s="28"/>
      <c r="SUU11" s="28"/>
      <c r="SUV11" s="28"/>
      <c r="SUW11" s="28"/>
      <c r="SUX11" s="28"/>
      <c r="SUY11" s="28"/>
      <c r="SUZ11" s="28"/>
      <c r="SVA11" s="28"/>
      <c r="SVB11" s="28"/>
      <c r="SVC11" s="28"/>
      <c r="SVD11" s="28"/>
      <c r="SVE11" s="28"/>
      <c r="SVF11" s="28"/>
      <c r="SVG11" s="28"/>
      <c r="SVH11" s="28"/>
      <c r="SVI11" s="28"/>
      <c r="SVJ11" s="28"/>
      <c r="SVK11" s="28"/>
      <c r="SVL11" s="28"/>
      <c r="SVM11" s="28"/>
      <c r="SVN11" s="28"/>
      <c r="SVO11" s="28"/>
      <c r="SVP11" s="28"/>
      <c r="SVQ11" s="28"/>
      <c r="SVR11" s="28"/>
      <c r="SVS11" s="28"/>
      <c r="SVT11" s="28"/>
      <c r="SVU11" s="28"/>
      <c r="SVV11" s="28"/>
      <c r="SVW11" s="28"/>
      <c r="SVX11" s="28"/>
      <c r="SVY11" s="28"/>
      <c r="SVZ11" s="28"/>
      <c r="SWA11" s="28"/>
      <c r="SWB11" s="28"/>
      <c r="SWC11" s="28"/>
      <c r="SWD11" s="28"/>
      <c r="SWE11" s="28"/>
      <c r="SWF11" s="28"/>
      <c r="SWG11" s="28"/>
      <c r="SWH11" s="28"/>
      <c r="SWI11" s="28"/>
      <c r="SWJ11" s="28"/>
      <c r="SWK11" s="28"/>
      <c r="SWL11" s="28"/>
      <c r="SWM11" s="28"/>
      <c r="SWN11" s="28"/>
      <c r="SWO11" s="28"/>
      <c r="SWP11" s="28"/>
      <c r="SWQ11" s="28"/>
      <c r="SWR11" s="28"/>
      <c r="SWS11" s="28"/>
      <c r="SWT11" s="28"/>
      <c r="SWU11" s="28"/>
      <c r="SWV11" s="28"/>
      <c r="SWW11" s="28"/>
      <c r="SWX11" s="28"/>
      <c r="SWY11" s="28"/>
      <c r="SWZ11" s="28"/>
      <c r="SXA11" s="28"/>
      <c r="SXB11" s="28"/>
      <c r="SXC11" s="28"/>
      <c r="SXD11" s="28"/>
      <c r="SXE11" s="28"/>
      <c r="SXF11" s="28"/>
      <c r="SXG11" s="28"/>
      <c r="SXH11" s="28"/>
      <c r="SXI11" s="28"/>
      <c r="SXJ11" s="28"/>
      <c r="SXK11" s="28"/>
      <c r="SXL11" s="28"/>
      <c r="SXM11" s="28"/>
      <c r="SXN11" s="28"/>
      <c r="SXO11" s="28"/>
      <c r="SXP11" s="28"/>
      <c r="SXQ11" s="28"/>
      <c r="SXR11" s="28"/>
      <c r="SXS11" s="28"/>
      <c r="SXT11" s="28"/>
      <c r="SXU11" s="28"/>
      <c r="SXV11" s="28"/>
      <c r="SXW11" s="28"/>
      <c r="SXX11" s="28"/>
      <c r="SXY11" s="28"/>
      <c r="SXZ11" s="28"/>
      <c r="SYA11" s="28"/>
      <c r="SYB11" s="28"/>
      <c r="SYC11" s="28"/>
      <c r="SYD11" s="28"/>
      <c r="SYE11" s="28"/>
      <c r="SYF11" s="28"/>
      <c r="SYG11" s="28"/>
      <c r="SYH11" s="28"/>
      <c r="SYI11" s="28"/>
      <c r="SYJ11" s="28"/>
      <c r="SYK11" s="28"/>
      <c r="SYL11" s="28"/>
      <c r="SYM11" s="28"/>
      <c r="SYN11" s="28"/>
      <c r="SYO11" s="28"/>
      <c r="SYP11" s="28"/>
      <c r="SYQ11" s="28"/>
      <c r="SYR11" s="28"/>
      <c r="SYS11" s="28"/>
      <c r="SYT11" s="28"/>
      <c r="SYU11" s="28"/>
      <c r="SYV11" s="28"/>
      <c r="SYW11" s="28"/>
      <c r="SYX11" s="28"/>
      <c r="SYY11" s="28"/>
      <c r="SYZ11" s="28"/>
      <c r="SZA11" s="28"/>
      <c r="SZB11" s="28"/>
      <c r="SZC11" s="28"/>
      <c r="SZD11" s="28"/>
      <c r="SZE11" s="28"/>
      <c r="SZF11" s="28"/>
      <c r="SZG11" s="28"/>
      <c r="SZH11" s="28"/>
      <c r="SZI11" s="28"/>
      <c r="SZJ11" s="28"/>
      <c r="SZK11" s="28"/>
      <c r="SZL11" s="28"/>
      <c r="SZM11" s="28"/>
      <c r="SZN11" s="28"/>
      <c r="SZO11" s="28"/>
      <c r="SZP11" s="28"/>
      <c r="SZQ11" s="28"/>
      <c r="SZR11" s="28"/>
      <c r="SZS11" s="28"/>
      <c r="SZT11" s="28"/>
      <c r="SZU11" s="28"/>
      <c r="SZV11" s="28"/>
      <c r="SZW11" s="28"/>
      <c r="SZX11" s="28"/>
      <c r="SZY11" s="28"/>
      <c r="SZZ11" s="28"/>
      <c r="TAA11" s="28"/>
      <c r="TAB11" s="28"/>
      <c r="TAC11" s="28"/>
      <c r="TAD11" s="28"/>
      <c r="TAE11" s="28"/>
      <c r="TAF11" s="28"/>
      <c r="TAG11" s="28"/>
      <c r="TAH11" s="28"/>
      <c r="TAI11" s="28"/>
      <c r="TAJ11" s="28"/>
      <c r="TAK11" s="28"/>
      <c r="TAL11" s="28"/>
      <c r="TAM11" s="28"/>
      <c r="TAN11" s="28"/>
      <c r="TAO11" s="28"/>
      <c r="TAP11" s="28"/>
      <c r="TAQ11" s="28"/>
      <c r="TAR11" s="28"/>
      <c r="TAS11" s="28"/>
      <c r="TAT11" s="28"/>
      <c r="TAU11" s="28"/>
      <c r="TAV11" s="28"/>
      <c r="TAW11" s="28"/>
      <c r="TAX11" s="28"/>
      <c r="TAY11" s="28"/>
      <c r="TAZ11" s="28"/>
      <c r="TBA11" s="28"/>
      <c r="TBB11" s="28"/>
      <c r="TBC11" s="28"/>
      <c r="TBD11" s="28"/>
      <c r="TBE11" s="28"/>
      <c r="TBF11" s="28"/>
      <c r="TBG11" s="28"/>
      <c r="TBH11" s="28"/>
      <c r="TBI11" s="28"/>
      <c r="TBJ11" s="28"/>
      <c r="TBK11" s="28"/>
      <c r="TBL11" s="28"/>
      <c r="TBM11" s="28"/>
      <c r="TBN11" s="28"/>
      <c r="TBO11" s="28"/>
      <c r="TBP11" s="28"/>
      <c r="TBQ11" s="28"/>
      <c r="TBR11" s="28"/>
      <c r="TBS11" s="28"/>
      <c r="TBT11" s="28"/>
      <c r="TBU11" s="28"/>
      <c r="TBV11" s="28"/>
      <c r="TBW11" s="28"/>
      <c r="TBX11" s="28"/>
      <c r="TBY11" s="28"/>
      <c r="TBZ11" s="28"/>
      <c r="TCA11" s="28"/>
      <c r="TCB11" s="28"/>
      <c r="TCC11" s="28"/>
      <c r="TCD11" s="28"/>
      <c r="TCE11" s="28"/>
      <c r="TCF11" s="28"/>
      <c r="TCG11" s="28"/>
      <c r="TCH11" s="28"/>
      <c r="TCI11" s="28"/>
      <c r="TCJ11" s="28"/>
      <c r="TCK11" s="28"/>
      <c r="TCL11" s="28"/>
      <c r="TCM11" s="28"/>
      <c r="TCN11" s="28"/>
      <c r="TCO11" s="28"/>
      <c r="TCP11" s="28"/>
      <c r="TCQ11" s="28"/>
      <c r="TCR11" s="28"/>
      <c r="TCS11" s="28"/>
      <c r="TCT11" s="28"/>
      <c r="TCU11" s="28"/>
      <c r="TCV11" s="28"/>
      <c r="TCW11" s="28"/>
      <c r="TCX11" s="28"/>
      <c r="TCY11" s="28"/>
      <c r="TCZ11" s="28"/>
      <c r="TDA11" s="28"/>
      <c r="TDB11" s="28"/>
      <c r="TDC11" s="28"/>
      <c r="TDD11" s="28"/>
      <c r="TDE11" s="28"/>
      <c r="TDF11" s="28"/>
      <c r="TDG11" s="28"/>
      <c r="TDH11" s="28"/>
      <c r="TDI11" s="28"/>
      <c r="TDJ11" s="28"/>
      <c r="TDK11" s="28"/>
      <c r="TDL11" s="28"/>
      <c r="TDM11" s="28"/>
      <c r="TDN11" s="28"/>
      <c r="TDO11" s="28"/>
      <c r="TDP11" s="28"/>
      <c r="TDQ11" s="28"/>
      <c r="TDR11" s="28"/>
      <c r="TDS11" s="28"/>
      <c r="TDT11" s="28"/>
      <c r="TDU11" s="28"/>
      <c r="TDV11" s="28"/>
      <c r="TDW11" s="28"/>
      <c r="TDX11" s="28"/>
      <c r="TDY11" s="28"/>
      <c r="TDZ11" s="28"/>
      <c r="TEA11" s="28"/>
      <c r="TEB11" s="28"/>
      <c r="TEC11" s="28"/>
      <c r="TED11" s="28"/>
      <c r="TEE11" s="28"/>
      <c r="TEF11" s="28"/>
      <c r="TEG11" s="28"/>
      <c r="TEH11" s="28"/>
      <c r="TEI11" s="28"/>
      <c r="TEJ11" s="28"/>
      <c r="TEK11" s="28"/>
      <c r="TEL11" s="28"/>
      <c r="TEM11" s="28"/>
      <c r="TEN11" s="28"/>
      <c r="TEO11" s="28"/>
      <c r="TEP11" s="28"/>
      <c r="TEQ11" s="28"/>
      <c r="TER11" s="28"/>
      <c r="TES11" s="28"/>
      <c r="TET11" s="28"/>
      <c r="TEU11" s="28"/>
      <c r="TEV11" s="28"/>
      <c r="TEW11" s="28"/>
      <c r="TEX11" s="28"/>
      <c r="TEY11" s="28"/>
      <c r="TEZ11" s="28"/>
      <c r="TFA11" s="28"/>
      <c r="TFB11" s="28"/>
      <c r="TFC11" s="28"/>
      <c r="TFD11" s="28"/>
      <c r="TFE11" s="28"/>
      <c r="TFF11" s="28"/>
      <c r="TFG11" s="28"/>
      <c r="TFH11" s="28"/>
      <c r="TFI11" s="28"/>
      <c r="TFJ11" s="28"/>
      <c r="TFK11" s="28"/>
      <c r="TFL11" s="28"/>
      <c r="TFM11" s="28"/>
      <c r="TFN11" s="28"/>
      <c r="TFO11" s="28"/>
      <c r="TFP11" s="28"/>
      <c r="TFQ11" s="28"/>
      <c r="TFR11" s="28"/>
      <c r="TFS11" s="28"/>
      <c r="TFT11" s="28"/>
      <c r="TFU11" s="28"/>
      <c r="TFV11" s="28"/>
      <c r="TFW11" s="28"/>
      <c r="TFX11" s="28"/>
      <c r="TFY11" s="28"/>
      <c r="TFZ11" s="28"/>
      <c r="TGA11" s="28"/>
      <c r="TGB11" s="28"/>
      <c r="TGC11" s="28"/>
      <c r="TGD11" s="28"/>
      <c r="TGE11" s="28"/>
      <c r="TGF11" s="28"/>
      <c r="TGG11" s="28"/>
      <c r="TGH11" s="28"/>
      <c r="TGI11" s="28"/>
      <c r="TGJ11" s="28"/>
      <c r="TGK11" s="28"/>
      <c r="TGL11" s="28"/>
      <c r="TGM11" s="28"/>
      <c r="TGN11" s="28"/>
      <c r="TGO11" s="28"/>
      <c r="TGP11" s="28"/>
      <c r="TGQ11" s="28"/>
      <c r="TGR11" s="28"/>
      <c r="TGS11" s="28"/>
      <c r="TGT11" s="28"/>
      <c r="TGU11" s="28"/>
      <c r="TGV11" s="28"/>
      <c r="TGW11" s="28"/>
      <c r="TGX11" s="28"/>
      <c r="TGY11" s="28"/>
      <c r="TGZ11" s="28"/>
      <c r="THA11" s="28"/>
      <c r="THB11" s="28"/>
      <c r="THC11" s="28"/>
      <c r="THD11" s="28"/>
      <c r="THE11" s="28"/>
      <c r="THF11" s="28"/>
      <c r="THG11" s="28"/>
      <c r="THH11" s="28"/>
      <c r="THI11" s="28"/>
      <c r="THJ11" s="28"/>
      <c r="THK11" s="28"/>
      <c r="THL11" s="28"/>
      <c r="THM11" s="28"/>
      <c r="THN11" s="28"/>
      <c r="THO11" s="28"/>
      <c r="THP11" s="28"/>
      <c r="THQ11" s="28"/>
      <c r="THR11" s="28"/>
      <c r="THS11" s="28"/>
      <c r="THT11" s="28"/>
      <c r="THU11" s="28"/>
      <c r="THV11" s="28"/>
      <c r="THW11" s="28"/>
      <c r="THX11" s="28"/>
      <c r="THY11" s="28"/>
      <c r="THZ11" s="28"/>
      <c r="TIA11" s="28"/>
      <c r="TIB11" s="28"/>
      <c r="TIC11" s="28"/>
      <c r="TID11" s="28"/>
      <c r="TIE11" s="28"/>
      <c r="TIF11" s="28"/>
      <c r="TIG11" s="28"/>
      <c r="TIH11" s="28"/>
      <c r="TII11" s="28"/>
      <c r="TIJ11" s="28"/>
      <c r="TIK11" s="28"/>
      <c r="TIL11" s="28"/>
      <c r="TIM11" s="28"/>
      <c r="TIN11" s="28"/>
      <c r="TIO11" s="28"/>
      <c r="TIP11" s="28"/>
      <c r="TIQ11" s="28"/>
      <c r="TIR11" s="28"/>
      <c r="TIS11" s="28"/>
      <c r="TIT11" s="28"/>
      <c r="TIU11" s="28"/>
      <c r="TIV11" s="28"/>
      <c r="TIW11" s="28"/>
      <c r="TIX11" s="28"/>
      <c r="TIY11" s="28"/>
      <c r="TIZ11" s="28"/>
      <c r="TJA11" s="28"/>
      <c r="TJB11" s="28"/>
      <c r="TJC11" s="28"/>
      <c r="TJD11" s="28"/>
      <c r="TJE11" s="28"/>
      <c r="TJF11" s="28"/>
      <c r="TJG11" s="28"/>
      <c r="TJH11" s="28"/>
      <c r="TJI11" s="28"/>
      <c r="TJJ11" s="28"/>
      <c r="TJK11" s="28"/>
      <c r="TJL11" s="28"/>
      <c r="TJM11" s="28"/>
      <c r="TJN11" s="28"/>
      <c r="TJO11" s="28"/>
      <c r="TJP11" s="28"/>
      <c r="TJQ11" s="28"/>
      <c r="TJR11" s="28"/>
      <c r="TJS11" s="28"/>
      <c r="TJT11" s="28"/>
      <c r="TJU11" s="28"/>
      <c r="TJV11" s="28"/>
      <c r="TJW11" s="28"/>
      <c r="TJX11" s="28"/>
      <c r="TJY11" s="28"/>
      <c r="TJZ11" s="28"/>
      <c r="TKA11" s="28"/>
      <c r="TKB11" s="28"/>
      <c r="TKC11" s="28"/>
      <c r="TKD11" s="28"/>
      <c r="TKE11" s="28"/>
      <c r="TKF11" s="28"/>
      <c r="TKG11" s="28"/>
      <c r="TKH11" s="28"/>
      <c r="TKI11" s="28"/>
      <c r="TKJ11" s="28"/>
      <c r="TKK11" s="28"/>
      <c r="TKL11" s="28"/>
      <c r="TKM11" s="28"/>
      <c r="TKN11" s="28"/>
      <c r="TKO11" s="28"/>
      <c r="TKP11" s="28"/>
      <c r="TKQ11" s="28"/>
      <c r="TKR11" s="28"/>
      <c r="TKS11" s="28"/>
      <c r="TKT11" s="28"/>
      <c r="TKU11" s="28"/>
      <c r="TKV11" s="28"/>
      <c r="TKW11" s="28"/>
      <c r="TKX11" s="28"/>
      <c r="TKY11" s="28"/>
      <c r="TKZ11" s="28"/>
      <c r="TLA11" s="28"/>
      <c r="TLB11" s="28"/>
      <c r="TLC11" s="28"/>
      <c r="TLD11" s="28"/>
      <c r="TLE11" s="28"/>
      <c r="TLF11" s="28"/>
      <c r="TLG11" s="28"/>
      <c r="TLH11" s="28"/>
      <c r="TLI11" s="28"/>
      <c r="TLJ11" s="28"/>
      <c r="TLK11" s="28"/>
      <c r="TLL11" s="28"/>
      <c r="TLM11" s="28"/>
      <c r="TLN11" s="28"/>
      <c r="TLO11" s="28"/>
      <c r="TLP11" s="28"/>
      <c r="TLQ11" s="28"/>
      <c r="TLR11" s="28"/>
      <c r="TLS11" s="28"/>
      <c r="TLT11" s="28"/>
      <c r="TLU11" s="28"/>
      <c r="TLV11" s="28"/>
      <c r="TLW11" s="28"/>
      <c r="TLX11" s="28"/>
      <c r="TLY11" s="28"/>
      <c r="TLZ11" s="28"/>
      <c r="TMA11" s="28"/>
      <c r="TMB11" s="28"/>
      <c r="TMC11" s="28"/>
      <c r="TMD11" s="28"/>
      <c r="TME11" s="28"/>
      <c r="TMF11" s="28"/>
      <c r="TMG11" s="28"/>
      <c r="TMH11" s="28"/>
      <c r="TMI11" s="28"/>
      <c r="TMJ11" s="28"/>
      <c r="TMK11" s="28"/>
      <c r="TML11" s="28"/>
      <c r="TMM11" s="28"/>
      <c r="TMN11" s="28"/>
      <c r="TMO11" s="28"/>
      <c r="TMP11" s="28"/>
      <c r="TMQ11" s="28"/>
      <c r="TMR11" s="28"/>
      <c r="TMS11" s="28"/>
      <c r="TMT11" s="28"/>
      <c r="TMU11" s="28"/>
      <c r="TMV11" s="28"/>
      <c r="TMW11" s="28"/>
      <c r="TMX11" s="28"/>
      <c r="TMY11" s="28"/>
      <c r="TMZ11" s="28"/>
      <c r="TNA11" s="28"/>
      <c r="TNB11" s="28"/>
      <c r="TNC11" s="28"/>
      <c r="TND11" s="28"/>
      <c r="TNE11" s="28"/>
      <c r="TNF11" s="28"/>
      <c r="TNG11" s="28"/>
      <c r="TNH11" s="28"/>
      <c r="TNI11" s="28"/>
      <c r="TNJ11" s="28"/>
      <c r="TNK11" s="28"/>
      <c r="TNL11" s="28"/>
      <c r="TNM11" s="28"/>
      <c r="TNN11" s="28"/>
      <c r="TNO11" s="28"/>
      <c r="TNP11" s="28"/>
      <c r="TNQ11" s="28"/>
      <c r="TNR11" s="28"/>
      <c r="TNS11" s="28"/>
      <c r="TNT11" s="28"/>
      <c r="TNU11" s="28"/>
      <c r="TNV11" s="28"/>
      <c r="TNW11" s="28"/>
      <c r="TNX11" s="28"/>
      <c r="TNY11" s="28"/>
      <c r="TNZ11" s="28"/>
      <c r="TOA11" s="28"/>
      <c r="TOB11" s="28"/>
      <c r="TOC11" s="28"/>
      <c r="TOD11" s="28"/>
      <c r="TOE11" s="28"/>
      <c r="TOF11" s="28"/>
      <c r="TOG11" s="28"/>
      <c r="TOH11" s="28"/>
      <c r="TOI11" s="28"/>
      <c r="TOJ11" s="28"/>
      <c r="TOK11" s="28"/>
      <c r="TOL11" s="28"/>
      <c r="TOM11" s="28"/>
      <c r="TON11" s="28"/>
      <c r="TOO11" s="28"/>
      <c r="TOP11" s="28"/>
      <c r="TOQ11" s="28"/>
      <c r="TOR11" s="28"/>
      <c r="TOS11" s="28"/>
      <c r="TOT11" s="28"/>
      <c r="TOU11" s="28"/>
      <c r="TOV11" s="28"/>
      <c r="TOW11" s="28"/>
      <c r="TOX11" s="28"/>
      <c r="TOY11" s="28"/>
      <c r="TOZ11" s="28"/>
      <c r="TPA11" s="28"/>
      <c r="TPB11" s="28"/>
      <c r="TPC11" s="28"/>
      <c r="TPD11" s="28"/>
      <c r="TPE11" s="28"/>
      <c r="TPF11" s="28"/>
      <c r="TPG11" s="28"/>
      <c r="TPH11" s="28"/>
      <c r="TPI11" s="28"/>
      <c r="TPJ11" s="28"/>
      <c r="TPK11" s="28"/>
      <c r="TPL11" s="28"/>
      <c r="TPM11" s="28"/>
      <c r="TPN11" s="28"/>
      <c r="TPO11" s="28"/>
      <c r="TPP11" s="28"/>
      <c r="TPQ11" s="28"/>
      <c r="TPR11" s="28"/>
      <c r="TPS11" s="28"/>
      <c r="TPT11" s="28"/>
      <c r="TPU11" s="28"/>
      <c r="TPV11" s="28"/>
      <c r="TPW11" s="28"/>
      <c r="TPX11" s="28"/>
      <c r="TPY11" s="28"/>
      <c r="TPZ11" s="28"/>
      <c r="TQA11" s="28"/>
      <c r="TQB11" s="28"/>
      <c r="TQC11" s="28"/>
      <c r="TQD11" s="28"/>
      <c r="TQE11" s="28"/>
      <c r="TQF11" s="28"/>
      <c r="TQG11" s="28"/>
      <c r="TQH11" s="28"/>
      <c r="TQI11" s="28"/>
      <c r="TQJ11" s="28"/>
      <c r="TQK11" s="28"/>
      <c r="TQL11" s="28"/>
      <c r="TQM11" s="28"/>
      <c r="TQN11" s="28"/>
      <c r="TQO11" s="28"/>
      <c r="TQP11" s="28"/>
      <c r="TQQ11" s="28"/>
      <c r="TQR11" s="28"/>
      <c r="TQS11" s="28"/>
      <c r="TQT11" s="28"/>
      <c r="TQU11" s="28"/>
      <c r="TQV11" s="28"/>
      <c r="TQW11" s="28"/>
      <c r="TQX11" s="28"/>
      <c r="TQY11" s="28"/>
      <c r="TQZ11" s="28"/>
      <c r="TRA11" s="28"/>
      <c r="TRB11" s="28"/>
      <c r="TRC11" s="28"/>
      <c r="TRD11" s="28"/>
      <c r="TRE11" s="28"/>
      <c r="TRF11" s="28"/>
      <c r="TRG11" s="28"/>
      <c r="TRH11" s="28"/>
      <c r="TRI11" s="28"/>
      <c r="TRJ11" s="28"/>
      <c r="TRK11" s="28"/>
      <c r="TRL11" s="28"/>
      <c r="TRM11" s="28"/>
      <c r="TRN11" s="28"/>
      <c r="TRO11" s="28"/>
      <c r="TRP11" s="28"/>
      <c r="TRQ11" s="28"/>
      <c r="TRR11" s="28"/>
      <c r="TRS11" s="28"/>
      <c r="TRT11" s="28"/>
      <c r="TRU11" s="28"/>
      <c r="TRV11" s="28"/>
      <c r="TRW11" s="28"/>
      <c r="TRX11" s="28"/>
      <c r="TRY11" s="28"/>
      <c r="TRZ11" s="28"/>
      <c r="TSA11" s="28"/>
      <c r="TSB11" s="28"/>
      <c r="TSC11" s="28"/>
      <c r="TSD11" s="28"/>
      <c r="TSE11" s="28"/>
      <c r="TSF11" s="28"/>
      <c r="TSG11" s="28"/>
      <c r="TSH11" s="28"/>
      <c r="TSI11" s="28"/>
      <c r="TSJ11" s="28"/>
      <c r="TSK11" s="28"/>
      <c r="TSL11" s="28"/>
      <c r="TSM11" s="28"/>
      <c r="TSN11" s="28"/>
      <c r="TSO11" s="28"/>
      <c r="TSP11" s="28"/>
      <c r="TSQ11" s="28"/>
      <c r="TSR11" s="28"/>
      <c r="TSS11" s="28"/>
      <c r="TST11" s="28"/>
      <c r="TSU11" s="28"/>
      <c r="TSV11" s="28"/>
      <c r="TSW11" s="28"/>
      <c r="TSX11" s="28"/>
      <c r="TSY11" s="28"/>
      <c r="TSZ11" s="28"/>
      <c r="TTA11" s="28"/>
      <c r="TTB11" s="28"/>
      <c r="TTC11" s="28"/>
      <c r="TTD11" s="28"/>
      <c r="TTE11" s="28"/>
      <c r="TTF11" s="28"/>
      <c r="TTG11" s="28"/>
      <c r="TTH11" s="28"/>
      <c r="TTI11" s="28"/>
      <c r="TTJ11" s="28"/>
      <c r="TTK11" s="28"/>
      <c r="TTL11" s="28"/>
      <c r="TTM11" s="28"/>
      <c r="TTN11" s="28"/>
      <c r="TTO11" s="28"/>
      <c r="TTP11" s="28"/>
      <c r="TTQ11" s="28"/>
      <c r="TTR11" s="28"/>
      <c r="TTS11" s="28"/>
      <c r="TTT11" s="28"/>
      <c r="TTU11" s="28"/>
      <c r="TTV11" s="28"/>
      <c r="TTW11" s="28"/>
      <c r="TTX11" s="28"/>
      <c r="TTY11" s="28"/>
      <c r="TTZ11" s="28"/>
      <c r="TUA11" s="28"/>
      <c r="TUB11" s="28"/>
      <c r="TUC11" s="28"/>
      <c r="TUD11" s="28"/>
      <c r="TUE11" s="28"/>
      <c r="TUF11" s="28"/>
      <c r="TUG11" s="28"/>
      <c r="TUH11" s="28"/>
      <c r="TUI11" s="28"/>
      <c r="TUJ11" s="28"/>
      <c r="TUK11" s="28"/>
      <c r="TUL11" s="28"/>
      <c r="TUM11" s="28"/>
      <c r="TUN11" s="28"/>
      <c r="TUO11" s="28"/>
      <c r="TUP11" s="28"/>
      <c r="TUQ11" s="28"/>
      <c r="TUR11" s="28"/>
      <c r="TUS11" s="28"/>
      <c r="TUT11" s="28"/>
      <c r="TUU11" s="28"/>
      <c r="TUV11" s="28"/>
      <c r="TUW11" s="28"/>
      <c r="TUX11" s="28"/>
      <c r="TUY11" s="28"/>
      <c r="TUZ11" s="28"/>
      <c r="TVA11" s="28"/>
      <c r="TVB11" s="28"/>
      <c r="TVC11" s="28"/>
      <c r="TVD11" s="28"/>
      <c r="TVE11" s="28"/>
      <c r="TVF11" s="28"/>
      <c r="TVG11" s="28"/>
      <c r="TVH11" s="28"/>
      <c r="TVI11" s="28"/>
      <c r="TVJ11" s="28"/>
      <c r="TVK11" s="28"/>
      <c r="TVL11" s="28"/>
      <c r="TVM11" s="28"/>
      <c r="TVN11" s="28"/>
      <c r="TVO11" s="28"/>
      <c r="TVP11" s="28"/>
      <c r="TVQ11" s="28"/>
      <c r="TVR11" s="28"/>
      <c r="TVS11" s="28"/>
      <c r="TVT11" s="28"/>
      <c r="TVU11" s="28"/>
      <c r="TVV11" s="28"/>
      <c r="TVW11" s="28"/>
      <c r="TVX11" s="28"/>
      <c r="TVY11" s="28"/>
      <c r="TVZ11" s="28"/>
      <c r="TWA11" s="28"/>
      <c r="TWB11" s="28"/>
      <c r="TWC11" s="28"/>
      <c r="TWD11" s="28"/>
      <c r="TWE11" s="28"/>
      <c r="TWF11" s="28"/>
      <c r="TWG11" s="28"/>
      <c r="TWH11" s="28"/>
      <c r="TWI11" s="28"/>
      <c r="TWJ11" s="28"/>
      <c r="TWK11" s="28"/>
      <c r="TWL11" s="28"/>
      <c r="TWM11" s="28"/>
      <c r="TWN11" s="28"/>
      <c r="TWO11" s="28"/>
      <c r="TWP11" s="28"/>
      <c r="TWQ11" s="28"/>
      <c r="TWR11" s="28"/>
      <c r="TWS11" s="28"/>
      <c r="TWT11" s="28"/>
      <c r="TWU11" s="28"/>
      <c r="TWV11" s="28"/>
      <c r="TWW11" s="28"/>
      <c r="TWX11" s="28"/>
      <c r="TWY11" s="28"/>
      <c r="TWZ11" s="28"/>
      <c r="TXA11" s="28"/>
      <c r="TXB11" s="28"/>
      <c r="TXC11" s="28"/>
      <c r="TXD11" s="28"/>
      <c r="TXE11" s="28"/>
      <c r="TXF11" s="28"/>
      <c r="TXG11" s="28"/>
      <c r="TXH11" s="28"/>
      <c r="TXI11" s="28"/>
      <c r="TXJ11" s="28"/>
      <c r="TXK11" s="28"/>
      <c r="TXL11" s="28"/>
      <c r="TXM11" s="28"/>
      <c r="TXN11" s="28"/>
      <c r="TXO11" s="28"/>
      <c r="TXP11" s="28"/>
      <c r="TXQ11" s="28"/>
      <c r="TXR11" s="28"/>
      <c r="TXS11" s="28"/>
      <c r="TXT11" s="28"/>
      <c r="TXU11" s="28"/>
      <c r="TXV11" s="28"/>
      <c r="TXW11" s="28"/>
      <c r="TXX11" s="28"/>
      <c r="TXY11" s="28"/>
      <c r="TXZ11" s="28"/>
      <c r="TYA11" s="28"/>
      <c r="TYB11" s="28"/>
      <c r="TYC11" s="28"/>
      <c r="TYD11" s="28"/>
      <c r="TYE11" s="28"/>
      <c r="TYF11" s="28"/>
      <c r="TYG11" s="28"/>
      <c r="TYH11" s="28"/>
      <c r="TYI11" s="28"/>
      <c r="TYJ11" s="28"/>
      <c r="TYK11" s="28"/>
      <c r="TYL11" s="28"/>
      <c r="TYM11" s="28"/>
      <c r="TYN11" s="28"/>
      <c r="TYO11" s="28"/>
      <c r="TYP11" s="28"/>
      <c r="TYQ11" s="28"/>
      <c r="TYR11" s="28"/>
      <c r="TYS11" s="28"/>
      <c r="TYT11" s="28"/>
      <c r="TYU11" s="28"/>
      <c r="TYV11" s="28"/>
      <c r="TYW11" s="28"/>
      <c r="TYX11" s="28"/>
      <c r="TYY11" s="28"/>
      <c r="TYZ11" s="28"/>
      <c r="TZA11" s="28"/>
      <c r="TZB11" s="28"/>
      <c r="TZC11" s="28"/>
      <c r="TZD11" s="28"/>
      <c r="TZE11" s="28"/>
      <c r="TZF11" s="28"/>
      <c r="TZG11" s="28"/>
      <c r="TZH11" s="28"/>
      <c r="TZI11" s="28"/>
      <c r="TZJ11" s="28"/>
      <c r="TZK11" s="28"/>
      <c r="TZL11" s="28"/>
      <c r="TZM11" s="28"/>
      <c r="TZN11" s="28"/>
      <c r="TZO11" s="28"/>
      <c r="TZP11" s="28"/>
      <c r="TZQ11" s="28"/>
      <c r="TZR11" s="28"/>
      <c r="TZS11" s="28"/>
      <c r="TZT11" s="28"/>
      <c r="TZU11" s="28"/>
      <c r="TZV11" s="28"/>
      <c r="TZW11" s="28"/>
      <c r="TZX11" s="28"/>
      <c r="TZY11" s="28"/>
      <c r="TZZ11" s="28"/>
      <c r="UAA11" s="28"/>
      <c r="UAB11" s="28"/>
      <c r="UAC11" s="28"/>
      <c r="UAD11" s="28"/>
      <c r="UAE11" s="28"/>
      <c r="UAF11" s="28"/>
      <c r="UAG11" s="28"/>
      <c r="UAH11" s="28"/>
      <c r="UAI11" s="28"/>
      <c r="UAJ11" s="28"/>
      <c r="UAK11" s="28"/>
      <c r="UAL11" s="28"/>
      <c r="UAM11" s="28"/>
      <c r="UAN11" s="28"/>
      <c r="UAO11" s="28"/>
      <c r="UAP11" s="28"/>
      <c r="UAQ11" s="28"/>
      <c r="UAR11" s="28"/>
      <c r="UAS11" s="28"/>
      <c r="UAT11" s="28"/>
      <c r="UAU11" s="28"/>
      <c r="UAV11" s="28"/>
      <c r="UAW11" s="28"/>
      <c r="UAX11" s="28"/>
      <c r="UAY11" s="28"/>
      <c r="UAZ11" s="28"/>
      <c r="UBA11" s="28"/>
      <c r="UBB11" s="28"/>
      <c r="UBC11" s="28"/>
      <c r="UBD11" s="28"/>
      <c r="UBE11" s="28"/>
      <c r="UBF11" s="28"/>
      <c r="UBG11" s="28"/>
      <c r="UBH11" s="28"/>
      <c r="UBI11" s="28"/>
      <c r="UBJ11" s="28"/>
      <c r="UBK11" s="28"/>
      <c r="UBL11" s="28"/>
      <c r="UBM11" s="28"/>
      <c r="UBN11" s="28"/>
      <c r="UBO11" s="28"/>
      <c r="UBP11" s="28"/>
      <c r="UBQ11" s="28"/>
      <c r="UBR11" s="28"/>
      <c r="UBS11" s="28"/>
      <c r="UBT11" s="28"/>
      <c r="UBU11" s="28"/>
      <c r="UBV11" s="28"/>
      <c r="UBW11" s="28"/>
      <c r="UBX11" s="28"/>
      <c r="UBY11" s="28"/>
      <c r="UBZ11" s="28"/>
      <c r="UCA11" s="28"/>
      <c r="UCB11" s="28"/>
      <c r="UCC11" s="28"/>
      <c r="UCD11" s="28"/>
      <c r="UCE11" s="28"/>
      <c r="UCF11" s="28"/>
      <c r="UCG11" s="28"/>
      <c r="UCH11" s="28"/>
      <c r="UCI11" s="28"/>
      <c r="UCJ11" s="28"/>
      <c r="UCK11" s="28"/>
      <c r="UCL11" s="28"/>
      <c r="UCM11" s="28"/>
      <c r="UCN11" s="28"/>
      <c r="UCO11" s="28"/>
      <c r="UCP11" s="28"/>
      <c r="UCQ11" s="28"/>
      <c r="UCR11" s="28"/>
      <c r="UCS11" s="28"/>
      <c r="UCT11" s="28"/>
      <c r="UCU11" s="28"/>
      <c r="UCV11" s="28"/>
      <c r="UCW11" s="28"/>
      <c r="UCX11" s="28"/>
      <c r="UCY11" s="28"/>
      <c r="UCZ11" s="28"/>
      <c r="UDA11" s="28"/>
      <c r="UDB11" s="28"/>
      <c r="UDC11" s="28"/>
      <c r="UDD11" s="28"/>
      <c r="UDE11" s="28"/>
      <c r="UDF11" s="28"/>
      <c r="UDG11" s="28"/>
      <c r="UDH11" s="28"/>
      <c r="UDI11" s="28"/>
      <c r="UDJ11" s="28"/>
      <c r="UDK11" s="28"/>
      <c r="UDL11" s="28"/>
      <c r="UDM11" s="28"/>
      <c r="UDN11" s="28"/>
      <c r="UDO11" s="28"/>
      <c r="UDP11" s="28"/>
      <c r="UDQ11" s="28"/>
      <c r="UDR11" s="28"/>
      <c r="UDS11" s="28"/>
      <c r="UDT11" s="28"/>
      <c r="UDU11" s="28"/>
      <c r="UDV11" s="28"/>
      <c r="UDW11" s="28"/>
      <c r="UDX11" s="28"/>
      <c r="UDY11" s="28"/>
      <c r="UDZ11" s="28"/>
      <c r="UEA11" s="28"/>
      <c r="UEB11" s="28"/>
      <c r="UEC11" s="28"/>
      <c r="UED11" s="28"/>
      <c r="UEE11" s="28"/>
      <c r="UEF11" s="28"/>
      <c r="UEG11" s="28"/>
      <c r="UEH11" s="28"/>
      <c r="UEI11" s="28"/>
      <c r="UEJ11" s="28"/>
      <c r="UEK11" s="28"/>
      <c r="UEL11" s="28"/>
      <c r="UEM11" s="28"/>
      <c r="UEN11" s="28"/>
      <c r="UEO11" s="28"/>
      <c r="UEP11" s="28"/>
      <c r="UEQ11" s="28"/>
      <c r="UER11" s="28"/>
      <c r="UES11" s="28"/>
      <c r="UET11" s="28"/>
      <c r="UEU11" s="28"/>
      <c r="UEV11" s="28"/>
      <c r="UEW11" s="28"/>
      <c r="UEX11" s="28"/>
      <c r="UEY11" s="28"/>
      <c r="UEZ11" s="28"/>
      <c r="UFA11" s="28"/>
      <c r="UFB11" s="28"/>
      <c r="UFC11" s="28"/>
      <c r="UFD11" s="28"/>
      <c r="UFE11" s="28"/>
      <c r="UFF11" s="28"/>
      <c r="UFG11" s="28"/>
      <c r="UFH11" s="28"/>
      <c r="UFI11" s="28"/>
      <c r="UFJ11" s="28"/>
      <c r="UFK11" s="28"/>
      <c r="UFL11" s="28"/>
      <c r="UFM11" s="28"/>
      <c r="UFN11" s="28"/>
      <c r="UFO11" s="28"/>
      <c r="UFP11" s="28"/>
      <c r="UFQ11" s="28"/>
      <c r="UFR11" s="28"/>
      <c r="UFS11" s="28"/>
      <c r="UFT11" s="28"/>
      <c r="UFU11" s="28"/>
      <c r="UFV11" s="28"/>
      <c r="UFW11" s="28"/>
      <c r="UFX11" s="28"/>
      <c r="UFY11" s="28"/>
      <c r="UFZ11" s="28"/>
      <c r="UGA11" s="28"/>
      <c r="UGB11" s="28"/>
      <c r="UGC11" s="28"/>
      <c r="UGD11" s="28"/>
      <c r="UGE11" s="28"/>
      <c r="UGF11" s="28"/>
      <c r="UGG11" s="28"/>
      <c r="UGH11" s="28"/>
      <c r="UGI11" s="28"/>
      <c r="UGJ11" s="28"/>
      <c r="UGK11" s="28"/>
      <c r="UGL11" s="28"/>
      <c r="UGM11" s="28"/>
      <c r="UGN11" s="28"/>
      <c r="UGO11" s="28"/>
      <c r="UGP11" s="28"/>
      <c r="UGQ11" s="28"/>
      <c r="UGR11" s="28"/>
      <c r="UGS11" s="28"/>
      <c r="UGT11" s="28"/>
      <c r="UGU11" s="28"/>
      <c r="UGV11" s="28"/>
      <c r="UGW11" s="28"/>
      <c r="UGX11" s="28"/>
      <c r="UGY11" s="28"/>
      <c r="UGZ11" s="28"/>
      <c r="UHA11" s="28"/>
      <c r="UHB11" s="28"/>
      <c r="UHC11" s="28"/>
      <c r="UHD11" s="28"/>
      <c r="UHE11" s="28"/>
      <c r="UHF11" s="28"/>
      <c r="UHG11" s="28"/>
      <c r="UHH11" s="28"/>
      <c r="UHI11" s="28"/>
      <c r="UHJ11" s="28"/>
      <c r="UHK11" s="28"/>
      <c r="UHL11" s="28"/>
      <c r="UHM11" s="28"/>
      <c r="UHN11" s="28"/>
      <c r="UHO11" s="28"/>
      <c r="UHP11" s="28"/>
      <c r="UHQ11" s="28"/>
      <c r="UHR11" s="28"/>
      <c r="UHS11" s="28"/>
      <c r="UHT11" s="28"/>
      <c r="UHU11" s="28"/>
      <c r="UHV11" s="28"/>
      <c r="UHW11" s="28"/>
      <c r="UHX11" s="28"/>
      <c r="UHY11" s="28"/>
      <c r="UHZ11" s="28"/>
      <c r="UIA11" s="28"/>
      <c r="UIB11" s="28"/>
      <c r="UIC11" s="28"/>
      <c r="UID11" s="28"/>
      <c r="UIE11" s="28"/>
      <c r="UIF11" s="28"/>
      <c r="UIG11" s="28"/>
      <c r="UIH11" s="28"/>
      <c r="UII11" s="28"/>
      <c r="UIJ11" s="28"/>
      <c r="UIK11" s="28"/>
      <c r="UIL11" s="28"/>
      <c r="UIM11" s="28"/>
      <c r="UIN11" s="28"/>
      <c r="UIO11" s="28"/>
      <c r="UIP11" s="28"/>
      <c r="UIQ11" s="28"/>
      <c r="UIR11" s="28"/>
      <c r="UIS11" s="28"/>
      <c r="UIT11" s="28"/>
      <c r="UIU11" s="28"/>
      <c r="UIV11" s="28"/>
      <c r="UIW11" s="28"/>
      <c r="UIX11" s="28"/>
      <c r="UIY11" s="28"/>
      <c r="UIZ11" s="28"/>
      <c r="UJA11" s="28"/>
      <c r="UJB11" s="28"/>
      <c r="UJC11" s="28"/>
      <c r="UJD11" s="28"/>
      <c r="UJE11" s="28"/>
      <c r="UJF11" s="28"/>
      <c r="UJG11" s="28"/>
      <c r="UJH11" s="28"/>
      <c r="UJI11" s="28"/>
      <c r="UJJ11" s="28"/>
      <c r="UJK11" s="28"/>
      <c r="UJL11" s="28"/>
      <c r="UJM11" s="28"/>
      <c r="UJN11" s="28"/>
      <c r="UJO11" s="28"/>
      <c r="UJP11" s="28"/>
      <c r="UJQ11" s="28"/>
      <c r="UJR11" s="28"/>
      <c r="UJS11" s="28"/>
      <c r="UJT11" s="28"/>
      <c r="UJU11" s="28"/>
      <c r="UJV11" s="28"/>
      <c r="UJW11" s="28"/>
      <c r="UJX11" s="28"/>
      <c r="UJY11" s="28"/>
      <c r="UJZ11" s="28"/>
      <c r="UKA11" s="28"/>
      <c r="UKB11" s="28"/>
      <c r="UKC11" s="28"/>
      <c r="UKD11" s="28"/>
      <c r="UKE11" s="28"/>
      <c r="UKF11" s="28"/>
      <c r="UKG11" s="28"/>
      <c r="UKH11" s="28"/>
      <c r="UKI11" s="28"/>
      <c r="UKJ11" s="28"/>
      <c r="UKK11" s="28"/>
      <c r="UKL11" s="28"/>
      <c r="UKM11" s="28"/>
      <c r="UKN11" s="28"/>
      <c r="UKO11" s="28"/>
      <c r="UKP11" s="28"/>
      <c r="UKQ11" s="28"/>
      <c r="UKR11" s="28"/>
      <c r="UKS11" s="28"/>
      <c r="UKT11" s="28"/>
      <c r="UKU11" s="28"/>
      <c r="UKV11" s="28"/>
      <c r="UKW11" s="28"/>
      <c r="UKX11" s="28"/>
      <c r="UKY11" s="28"/>
      <c r="UKZ11" s="28"/>
      <c r="ULA11" s="28"/>
      <c r="ULB11" s="28"/>
      <c r="ULC11" s="28"/>
      <c r="ULD11" s="28"/>
      <c r="ULE11" s="28"/>
      <c r="ULF11" s="28"/>
      <c r="ULG11" s="28"/>
      <c r="ULH11" s="28"/>
      <c r="ULI11" s="28"/>
      <c r="ULJ11" s="28"/>
      <c r="ULK11" s="28"/>
      <c r="ULL11" s="28"/>
      <c r="ULM11" s="28"/>
      <c r="ULN11" s="28"/>
      <c r="ULO11" s="28"/>
      <c r="ULP11" s="28"/>
      <c r="ULQ11" s="28"/>
      <c r="ULR11" s="28"/>
      <c r="ULS11" s="28"/>
      <c r="ULT11" s="28"/>
      <c r="ULU11" s="28"/>
      <c r="ULV11" s="28"/>
      <c r="ULW11" s="28"/>
      <c r="ULX11" s="28"/>
      <c r="ULY11" s="28"/>
      <c r="ULZ11" s="28"/>
      <c r="UMA11" s="28"/>
      <c r="UMB11" s="28"/>
      <c r="UMC11" s="28"/>
      <c r="UMD11" s="28"/>
      <c r="UME11" s="28"/>
      <c r="UMF11" s="28"/>
      <c r="UMG11" s="28"/>
      <c r="UMH11" s="28"/>
      <c r="UMI11" s="28"/>
      <c r="UMJ11" s="28"/>
      <c r="UMK11" s="28"/>
      <c r="UML11" s="28"/>
      <c r="UMM11" s="28"/>
      <c r="UMN11" s="28"/>
      <c r="UMO11" s="28"/>
      <c r="UMP11" s="28"/>
      <c r="UMQ11" s="28"/>
      <c r="UMR11" s="28"/>
      <c r="UMS11" s="28"/>
      <c r="UMT11" s="28"/>
      <c r="UMU11" s="28"/>
      <c r="UMV11" s="28"/>
      <c r="UMW11" s="28"/>
      <c r="UMX11" s="28"/>
      <c r="UMY11" s="28"/>
      <c r="UMZ11" s="28"/>
      <c r="UNA11" s="28"/>
      <c r="UNB11" s="28"/>
      <c r="UNC11" s="28"/>
      <c r="UND11" s="28"/>
      <c r="UNE11" s="28"/>
      <c r="UNF11" s="28"/>
      <c r="UNG11" s="28"/>
      <c r="UNH11" s="28"/>
      <c r="UNI11" s="28"/>
      <c r="UNJ11" s="28"/>
      <c r="UNK11" s="28"/>
      <c r="UNL11" s="28"/>
      <c r="UNM11" s="28"/>
      <c r="UNN11" s="28"/>
      <c r="UNO11" s="28"/>
      <c r="UNP11" s="28"/>
      <c r="UNQ11" s="28"/>
      <c r="UNR11" s="28"/>
      <c r="UNS11" s="28"/>
      <c r="UNT11" s="28"/>
      <c r="UNU11" s="28"/>
      <c r="UNV11" s="28"/>
      <c r="UNW11" s="28"/>
      <c r="UNX11" s="28"/>
      <c r="UNY11" s="28"/>
      <c r="UNZ11" s="28"/>
      <c r="UOA11" s="28"/>
      <c r="UOB11" s="28"/>
      <c r="UOC11" s="28"/>
      <c r="UOD11" s="28"/>
      <c r="UOE11" s="28"/>
      <c r="UOF11" s="28"/>
      <c r="UOG11" s="28"/>
      <c r="UOH11" s="28"/>
      <c r="UOI11" s="28"/>
      <c r="UOJ11" s="28"/>
      <c r="UOK11" s="28"/>
      <c r="UOL11" s="28"/>
      <c r="UOM11" s="28"/>
      <c r="UON11" s="28"/>
      <c r="UOO11" s="28"/>
      <c r="UOP11" s="28"/>
      <c r="UOQ11" s="28"/>
      <c r="UOR11" s="28"/>
      <c r="UOS11" s="28"/>
      <c r="UOT11" s="28"/>
      <c r="UOU11" s="28"/>
      <c r="UOV11" s="28"/>
      <c r="UOW11" s="28"/>
      <c r="UOX11" s="28"/>
      <c r="UOY11" s="28"/>
      <c r="UOZ11" s="28"/>
      <c r="UPA11" s="28"/>
      <c r="UPB11" s="28"/>
      <c r="UPC11" s="28"/>
      <c r="UPD11" s="28"/>
      <c r="UPE11" s="28"/>
      <c r="UPF11" s="28"/>
      <c r="UPG11" s="28"/>
      <c r="UPH11" s="28"/>
      <c r="UPI11" s="28"/>
      <c r="UPJ11" s="28"/>
      <c r="UPK11" s="28"/>
      <c r="UPL11" s="28"/>
      <c r="UPM11" s="28"/>
      <c r="UPN11" s="28"/>
      <c r="UPO11" s="28"/>
      <c r="UPP11" s="28"/>
      <c r="UPQ11" s="28"/>
      <c r="UPR11" s="28"/>
      <c r="UPS11" s="28"/>
      <c r="UPT11" s="28"/>
      <c r="UPU11" s="28"/>
      <c r="UPV11" s="28"/>
      <c r="UPW11" s="28"/>
      <c r="UPX11" s="28"/>
      <c r="UPY11" s="28"/>
      <c r="UPZ11" s="28"/>
      <c r="UQA11" s="28"/>
      <c r="UQB11" s="28"/>
      <c r="UQC11" s="28"/>
      <c r="UQD11" s="28"/>
      <c r="UQE11" s="28"/>
      <c r="UQF11" s="28"/>
      <c r="UQG11" s="28"/>
      <c r="UQH11" s="28"/>
      <c r="UQI11" s="28"/>
      <c r="UQJ11" s="28"/>
      <c r="UQK11" s="28"/>
      <c r="UQL11" s="28"/>
      <c r="UQM11" s="28"/>
      <c r="UQN11" s="28"/>
      <c r="UQO11" s="28"/>
      <c r="UQP11" s="28"/>
      <c r="UQQ11" s="28"/>
      <c r="UQR11" s="28"/>
      <c r="UQS11" s="28"/>
      <c r="UQT11" s="28"/>
      <c r="UQU11" s="28"/>
      <c r="UQV11" s="28"/>
      <c r="UQW11" s="28"/>
      <c r="UQX11" s="28"/>
      <c r="UQY11" s="28"/>
      <c r="UQZ11" s="28"/>
      <c r="URA11" s="28"/>
      <c r="URB11" s="28"/>
      <c r="URC11" s="28"/>
      <c r="URD11" s="28"/>
      <c r="URE11" s="28"/>
      <c r="URF11" s="28"/>
      <c r="URG11" s="28"/>
      <c r="URH11" s="28"/>
      <c r="URI11" s="28"/>
      <c r="URJ11" s="28"/>
      <c r="URK11" s="28"/>
      <c r="URL11" s="28"/>
      <c r="URM11" s="28"/>
      <c r="URN11" s="28"/>
      <c r="URO11" s="28"/>
      <c r="URP11" s="28"/>
      <c r="URQ11" s="28"/>
      <c r="URR11" s="28"/>
      <c r="URS11" s="28"/>
      <c r="URT11" s="28"/>
      <c r="URU11" s="28"/>
      <c r="URV11" s="28"/>
      <c r="URW11" s="28"/>
      <c r="URX11" s="28"/>
      <c r="URY11" s="28"/>
      <c r="URZ11" s="28"/>
      <c r="USA11" s="28"/>
      <c r="USB11" s="28"/>
      <c r="USC11" s="28"/>
      <c r="USD11" s="28"/>
      <c r="USE11" s="28"/>
      <c r="USF11" s="28"/>
      <c r="USG11" s="28"/>
      <c r="USH11" s="28"/>
      <c r="USI11" s="28"/>
      <c r="USJ11" s="28"/>
      <c r="USK11" s="28"/>
      <c r="USL11" s="28"/>
      <c r="USM11" s="28"/>
      <c r="USN11" s="28"/>
      <c r="USO11" s="28"/>
      <c r="USP11" s="28"/>
      <c r="USQ11" s="28"/>
      <c r="USR11" s="28"/>
      <c r="USS11" s="28"/>
      <c r="UST11" s="28"/>
      <c r="USU11" s="28"/>
      <c r="USV11" s="28"/>
      <c r="USW11" s="28"/>
      <c r="USX11" s="28"/>
      <c r="USY11" s="28"/>
      <c r="USZ11" s="28"/>
      <c r="UTA11" s="28"/>
      <c r="UTB11" s="28"/>
      <c r="UTC11" s="28"/>
      <c r="UTD11" s="28"/>
      <c r="UTE11" s="28"/>
      <c r="UTF11" s="28"/>
      <c r="UTG11" s="28"/>
      <c r="UTH11" s="28"/>
      <c r="UTI11" s="28"/>
      <c r="UTJ11" s="28"/>
      <c r="UTK11" s="28"/>
      <c r="UTL11" s="28"/>
      <c r="UTM11" s="28"/>
      <c r="UTN11" s="28"/>
      <c r="UTO11" s="28"/>
      <c r="UTP11" s="28"/>
      <c r="UTQ11" s="28"/>
      <c r="UTR11" s="28"/>
      <c r="UTS11" s="28"/>
      <c r="UTT11" s="28"/>
      <c r="UTU11" s="28"/>
      <c r="UTV11" s="28"/>
      <c r="UTW11" s="28"/>
      <c r="UTX11" s="28"/>
      <c r="UTY11" s="28"/>
      <c r="UTZ11" s="28"/>
      <c r="UUA11" s="28"/>
      <c r="UUB11" s="28"/>
      <c r="UUC11" s="28"/>
      <c r="UUD11" s="28"/>
      <c r="UUE11" s="28"/>
      <c r="UUF11" s="28"/>
      <c r="UUG11" s="28"/>
      <c r="UUH11" s="28"/>
      <c r="UUI11" s="28"/>
      <c r="UUJ11" s="28"/>
      <c r="UUK11" s="28"/>
      <c r="UUL11" s="28"/>
      <c r="UUM11" s="28"/>
      <c r="UUN11" s="28"/>
      <c r="UUO11" s="28"/>
      <c r="UUP11" s="28"/>
      <c r="UUQ11" s="28"/>
      <c r="UUR11" s="28"/>
      <c r="UUS11" s="28"/>
      <c r="UUT11" s="28"/>
      <c r="UUU11" s="28"/>
      <c r="UUV11" s="28"/>
      <c r="UUW11" s="28"/>
      <c r="UUX11" s="28"/>
      <c r="UUY11" s="28"/>
      <c r="UUZ11" s="28"/>
      <c r="UVA11" s="28"/>
      <c r="UVB11" s="28"/>
      <c r="UVC11" s="28"/>
      <c r="UVD11" s="28"/>
      <c r="UVE11" s="28"/>
      <c r="UVF11" s="28"/>
      <c r="UVG11" s="28"/>
      <c r="UVH11" s="28"/>
      <c r="UVI11" s="28"/>
      <c r="UVJ11" s="28"/>
      <c r="UVK11" s="28"/>
      <c r="UVL11" s="28"/>
      <c r="UVM11" s="28"/>
      <c r="UVN11" s="28"/>
      <c r="UVO11" s="28"/>
      <c r="UVP11" s="28"/>
      <c r="UVQ11" s="28"/>
      <c r="UVR11" s="28"/>
      <c r="UVS11" s="28"/>
      <c r="UVT11" s="28"/>
      <c r="UVU11" s="28"/>
      <c r="UVV11" s="28"/>
      <c r="UVW11" s="28"/>
      <c r="UVX11" s="28"/>
      <c r="UVY11" s="28"/>
      <c r="UVZ11" s="28"/>
      <c r="UWA11" s="28"/>
      <c r="UWB11" s="28"/>
      <c r="UWC11" s="28"/>
      <c r="UWD11" s="28"/>
      <c r="UWE11" s="28"/>
      <c r="UWF11" s="28"/>
      <c r="UWG11" s="28"/>
      <c r="UWH11" s="28"/>
      <c r="UWI11" s="28"/>
      <c r="UWJ11" s="28"/>
      <c r="UWK11" s="28"/>
      <c r="UWL11" s="28"/>
      <c r="UWM11" s="28"/>
      <c r="UWN11" s="28"/>
      <c r="UWO11" s="28"/>
      <c r="UWP11" s="28"/>
      <c r="UWQ11" s="28"/>
      <c r="UWR11" s="28"/>
      <c r="UWS11" s="28"/>
      <c r="UWT11" s="28"/>
      <c r="UWU11" s="28"/>
      <c r="UWV11" s="28"/>
      <c r="UWW11" s="28"/>
      <c r="UWX11" s="28"/>
      <c r="UWY11" s="28"/>
      <c r="UWZ11" s="28"/>
      <c r="UXA11" s="28"/>
      <c r="UXB11" s="28"/>
      <c r="UXC11" s="28"/>
      <c r="UXD11" s="28"/>
      <c r="UXE11" s="28"/>
      <c r="UXF11" s="28"/>
      <c r="UXG11" s="28"/>
      <c r="UXH11" s="28"/>
      <c r="UXI11" s="28"/>
      <c r="UXJ11" s="28"/>
      <c r="UXK11" s="28"/>
      <c r="UXL11" s="28"/>
      <c r="UXM11" s="28"/>
      <c r="UXN11" s="28"/>
      <c r="UXO11" s="28"/>
      <c r="UXP11" s="28"/>
      <c r="UXQ11" s="28"/>
      <c r="UXR11" s="28"/>
      <c r="UXS11" s="28"/>
      <c r="UXT11" s="28"/>
      <c r="UXU11" s="28"/>
      <c r="UXV11" s="28"/>
      <c r="UXW11" s="28"/>
      <c r="UXX11" s="28"/>
      <c r="UXY11" s="28"/>
      <c r="UXZ11" s="28"/>
      <c r="UYA11" s="28"/>
      <c r="UYB11" s="28"/>
      <c r="UYC11" s="28"/>
      <c r="UYD11" s="28"/>
      <c r="UYE11" s="28"/>
      <c r="UYF11" s="28"/>
      <c r="UYG11" s="28"/>
      <c r="UYH11" s="28"/>
      <c r="UYI11" s="28"/>
      <c r="UYJ11" s="28"/>
      <c r="UYK11" s="28"/>
      <c r="UYL11" s="28"/>
      <c r="UYM11" s="28"/>
      <c r="UYN11" s="28"/>
      <c r="UYO11" s="28"/>
      <c r="UYP11" s="28"/>
      <c r="UYQ11" s="28"/>
      <c r="UYR11" s="28"/>
      <c r="UYS11" s="28"/>
      <c r="UYT11" s="28"/>
      <c r="UYU11" s="28"/>
      <c r="UYV11" s="28"/>
      <c r="UYW11" s="28"/>
      <c r="UYX11" s="28"/>
      <c r="UYY11" s="28"/>
      <c r="UYZ11" s="28"/>
      <c r="UZA11" s="28"/>
      <c r="UZB11" s="28"/>
      <c r="UZC11" s="28"/>
      <c r="UZD11" s="28"/>
      <c r="UZE11" s="28"/>
      <c r="UZF11" s="28"/>
      <c r="UZG11" s="28"/>
      <c r="UZH11" s="28"/>
      <c r="UZI11" s="28"/>
      <c r="UZJ11" s="28"/>
      <c r="UZK11" s="28"/>
      <c r="UZL11" s="28"/>
      <c r="UZM11" s="28"/>
      <c r="UZN11" s="28"/>
      <c r="UZO11" s="28"/>
      <c r="UZP11" s="28"/>
      <c r="UZQ11" s="28"/>
      <c r="UZR11" s="28"/>
      <c r="UZS11" s="28"/>
      <c r="UZT11" s="28"/>
      <c r="UZU11" s="28"/>
      <c r="UZV11" s="28"/>
      <c r="UZW11" s="28"/>
      <c r="UZX11" s="28"/>
      <c r="UZY11" s="28"/>
      <c r="UZZ11" s="28"/>
      <c r="VAA11" s="28"/>
      <c r="VAB11" s="28"/>
      <c r="VAC11" s="28"/>
      <c r="VAD11" s="28"/>
      <c r="VAE11" s="28"/>
      <c r="VAF11" s="28"/>
      <c r="VAG11" s="28"/>
      <c r="VAH11" s="28"/>
      <c r="VAI11" s="28"/>
      <c r="VAJ11" s="28"/>
      <c r="VAK11" s="28"/>
      <c r="VAL11" s="28"/>
      <c r="VAM11" s="28"/>
      <c r="VAN11" s="28"/>
      <c r="VAO11" s="28"/>
      <c r="VAP11" s="28"/>
      <c r="VAQ11" s="28"/>
      <c r="VAR11" s="28"/>
      <c r="VAS11" s="28"/>
      <c r="VAT11" s="28"/>
      <c r="VAU11" s="28"/>
      <c r="VAV11" s="28"/>
      <c r="VAW11" s="28"/>
      <c r="VAX11" s="28"/>
      <c r="VAY11" s="28"/>
      <c r="VAZ11" s="28"/>
      <c r="VBA11" s="28"/>
      <c r="VBB11" s="28"/>
      <c r="VBC11" s="28"/>
      <c r="VBD11" s="28"/>
      <c r="VBE11" s="28"/>
      <c r="VBF11" s="28"/>
      <c r="VBG11" s="28"/>
      <c r="VBH11" s="28"/>
      <c r="VBI11" s="28"/>
      <c r="VBJ11" s="28"/>
      <c r="VBK11" s="28"/>
      <c r="VBL11" s="28"/>
      <c r="VBM11" s="28"/>
      <c r="VBN11" s="28"/>
      <c r="VBO11" s="28"/>
      <c r="VBP11" s="28"/>
      <c r="VBQ11" s="28"/>
      <c r="VBR11" s="28"/>
      <c r="VBS11" s="28"/>
      <c r="VBT11" s="28"/>
      <c r="VBU11" s="28"/>
      <c r="VBV11" s="28"/>
      <c r="VBW11" s="28"/>
      <c r="VBX11" s="28"/>
      <c r="VBY11" s="28"/>
      <c r="VBZ11" s="28"/>
      <c r="VCA11" s="28"/>
      <c r="VCB11" s="28"/>
      <c r="VCC11" s="28"/>
      <c r="VCD11" s="28"/>
      <c r="VCE11" s="28"/>
      <c r="VCF11" s="28"/>
      <c r="VCG11" s="28"/>
      <c r="VCH11" s="28"/>
      <c r="VCI11" s="28"/>
      <c r="VCJ11" s="28"/>
      <c r="VCK11" s="28"/>
      <c r="VCL11" s="28"/>
      <c r="VCM11" s="28"/>
      <c r="VCN11" s="28"/>
      <c r="VCO11" s="28"/>
      <c r="VCP11" s="28"/>
      <c r="VCQ11" s="28"/>
      <c r="VCR11" s="28"/>
      <c r="VCS11" s="28"/>
      <c r="VCT11" s="28"/>
      <c r="VCU11" s="28"/>
      <c r="VCV11" s="28"/>
      <c r="VCW11" s="28"/>
      <c r="VCX11" s="28"/>
      <c r="VCY11" s="28"/>
      <c r="VCZ11" s="28"/>
      <c r="VDA11" s="28"/>
      <c r="VDB11" s="28"/>
      <c r="VDC11" s="28"/>
      <c r="VDD11" s="28"/>
      <c r="VDE11" s="28"/>
      <c r="VDF11" s="28"/>
      <c r="VDG11" s="28"/>
      <c r="VDH11" s="28"/>
      <c r="VDI11" s="28"/>
      <c r="VDJ11" s="28"/>
      <c r="VDK11" s="28"/>
      <c r="VDL11" s="28"/>
      <c r="VDM11" s="28"/>
      <c r="VDN11" s="28"/>
      <c r="VDO11" s="28"/>
      <c r="VDP11" s="28"/>
      <c r="VDQ11" s="28"/>
      <c r="VDR11" s="28"/>
      <c r="VDS11" s="28"/>
      <c r="VDT11" s="28"/>
      <c r="VDU11" s="28"/>
      <c r="VDV11" s="28"/>
      <c r="VDW11" s="28"/>
      <c r="VDX11" s="28"/>
      <c r="VDY11" s="28"/>
      <c r="VDZ11" s="28"/>
      <c r="VEA11" s="28"/>
      <c r="VEB11" s="28"/>
      <c r="VEC11" s="28"/>
      <c r="VED11" s="28"/>
      <c r="VEE11" s="28"/>
      <c r="VEF11" s="28"/>
      <c r="VEG11" s="28"/>
      <c r="VEH11" s="28"/>
      <c r="VEI11" s="28"/>
      <c r="VEJ11" s="28"/>
      <c r="VEK11" s="28"/>
      <c r="VEL11" s="28"/>
      <c r="VEM11" s="28"/>
      <c r="VEN11" s="28"/>
      <c r="VEO11" s="28"/>
      <c r="VEP11" s="28"/>
      <c r="VEQ11" s="28"/>
      <c r="VER11" s="28"/>
      <c r="VES11" s="28"/>
      <c r="VET11" s="28"/>
      <c r="VEU11" s="28"/>
      <c r="VEV11" s="28"/>
      <c r="VEW11" s="28"/>
      <c r="VEX11" s="28"/>
      <c r="VEY11" s="28"/>
      <c r="VEZ11" s="28"/>
      <c r="VFA11" s="28"/>
      <c r="VFB11" s="28"/>
      <c r="VFC11" s="28"/>
      <c r="VFD11" s="28"/>
      <c r="VFE11" s="28"/>
      <c r="VFF11" s="28"/>
      <c r="VFG11" s="28"/>
      <c r="VFH11" s="28"/>
      <c r="VFI11" s="28"/>
      <c r="VFJ11" s="28"/>
      <c r="VFK11" s="28"/>
      <c r="VFL11" s="28"/>
      <c r="VFM11" s="28"/>
      <c r="VFN11" s="28"/>
      <c r="VFO11" s="28"/>
      <c r="VFP11" s="28"/>
      <c r="VFQ11" s="28"/>
      <c r="VFR11" s="28"/>
      <c r="VFS11" s="28"/>
      <c r="VFT11" s="28"/>
      <c r="VFU11" s="28"/>
      <c r="VFV11" s="28"/>
      <c r="VFW11" s="28"/>
      <c r="VFX11" s="28"/>
      <c r="VFY11" s="28"/>
      <c r="VFZ11" s="28"/>
      <c r="VGA11" s="28"/>
      <c r="VGB11" s="28"/>
      <c r="VGC11" s="28"/>
      <c r="VGD11" s="28"/>
      <c r="VGE11" s="28"/>
      <c r="VGF11" s="28"/>
      <c r="VGG11" s="28"/>
      <c r="VGH11" s="28"/>
      <c r="VGI11" s="28"/>
      <c r="VGJ11" s="28"/>
      <c r="VGK11" s="28"/>
      <c r="VGL11" s="28"/>
      <c r="VGM11" s="28"/>
      <c r="VGN11" s="28"/>
      <c r="VGO11" s="28"/>
      <c r="VGP11" s="28"/>
      <c r="VGQ11" s="28"/>
      <c r="VGR11" s="28"/>
      <c r="VGS11" s="28"/>
      <c r="VGT11" s="28"/>
      <c r="VGU11" s="28"/>
      <c r="VGV11" s="28"/>
      <c r="VGW11" s="28"/>
      <c r="VGX11" s="28"/>
      <c r="VGY11" s="28"/>
      <c r="VGZ11" s="28"/>
      <c r="VHA11" s="28"/>
      <c r="VHB11" s="28"/>
      <c r="VHC11" s="28"/>
      <c r="VHD11" s="28"/>
      <c r="VHE11" s="28"/>
      <c r="VHF11" s="28"/>
      <c r="VHG11" s="28"/>
      <c r="VHH11" s="28"/>
      <c r="VHI11" s="28"/>
      <c r="VHJ11" s="28"/>
      <c r="VHK11" s="28"/>
      <c r="VHL11" s="28"/>
      <c r="VHM11" s="28"/>
      <c r="VHN11" s="28"/>
      <c r="VHO11" s="28"/>
      <c r="VHP11" s="28"/>
      <c r="VHQ11" s="28"/>
      <c r="VHR11" s="28"/>
      <c r="VHS11" s="28"/>
      <c r="VHT11" s="28"/>
      <c r="VHU11" s="28"/>
      <c r="VHV11" s="28"/>
      <c r="VHW11" s="28"/>
      <c r="VHX11" s="28"/>
      <c r="VHY11" s="28"/>
      <c r="VHZ11" s="28"/>
      <c r="VIA11" s="28"/>
      <c r="VIB11" s="28"/>
      <c r="VIC11" s="28"/>
      <c r="VID11" s="28"/>
      <c r="VIE11" s="28"/>
      <c r="VIF11" s="28"/>
      <c r="VIG11" s="28"/>
      <c r="VIH11" s="28"/>
      <c r="VII11" s="28"/>
      <c r="VIJ11" s="28"/>
      <c r="VIK11" s="28"/>
      <c r="VIL11" s="28"/>
      <c r="VIM11" s="28"/>
      <c r="VIN11" s="28"/>
      <c r="VIO11" s="28"/>
      <c r="VIP11" s="28"/>
      <c r="VIQ11" s="28"/>
      <c r="VIR11" s="28"/>
      <c r="VIS11" s="28"/>
      <c r="VIT11" s="28"/>
      <c r="VIU11" s="28"/>
      <c r="VIV11" s="28"/>
      <c r="VIW11" s="28"/>
      <c r="VIX11" s="28"/>
      <c r="VIY11" s="28"/>
      <c r="VIZ11" s="28"/>
      <c r="VJA11" s="28"/>
      <c r="VJB11" s="28"/>
      <c r="VJC11" s="28"/>
      <c r="VJD11" s="28"/>
      <c r="VJE11" s="28"/>
      <c r="VJF11" s="28"/>
      <c r="VJG11" s="28"/>
      <c r="VJH11" s="28"/>
      <c r="VJI11" s="28"/>
      <c r="VJJ11" s="28"/>
      <c r="VJK11" s="28"/>
      <c r="VJL11" s="28"/>
      <c r="VJM11" s="28"/>
      <c r="VJN11" s="28"/>
      <c r="VJO11" s="28"/>
      <c r="VJP11" s="28"/>
      <c r="VJQ11" s="28"/>
      <c r="VJR11" s="28"/>
      <c r="VJS11" s="28"/>
      <c r="VJT11" s="28"/>
      <c r="VJU11" s="28"/>
      <c r="VJV11" s="28"/>
      <c r="VJW11" s="28"/>
      <c r="VJX11" s="28"/>
      <c r="VJY11" s="28"/>
      <c r="VJZ11" s="28"/>
      <c r="VKA11" s="28"/>
      <c r="VKB11" s="28"/>
      <c r="VKC11" s="28"/>
      <c r="VKD11" s="28"/>
      <c r="VKE11" s="28"/>
      <c r="VKF11" s="28"/>
      <c r="VKG11" s="28"/>
      <c r="VKH11" s="28"/>
      <c r="VKI11" s="28"/>
      <c r="VKJ11" s="28"/>
      <c r="VKK11" s="28"/>
      <c r="VKL11" s="28"/>
      <c r="VKM11" s="28"/>
      <c r="VKN11" s="28"/>
      <c r="VKO11" s="28"/>
      <c r="VKP11" s="28"/>
      <c r="VKQ11" s="28"/>
      <c r="VKR11" s="28"/>
      <c r="VKS11" s="28"/>
      <c r="VKT11" s="28"/>
      <c r="VKU11" s="28"/>
      <c r="VKV11" s="28"/>
      <c r="VKW11" s="28"/>
      <c r="VKX11" s="28"/>
      <c r="VKY11" s="28"/>
      <c r="VKZ11" s="28"/>
      <c r="VLA11" s="28"/>
      <c r="VLB11" s="28"/>
      <c r="VLC11" s="28"/>
      <c r="VLD11" s="28"/>
      <c r="VLE11" s="28"/>
      <c r="VLF11" s="28"/>
      <c r="VLG11" s="28"/>
      <c r="VLH11" s="28"/>
      <c r="VLI11" s="28"/>
      <c r="VLJ11" s="28"/>
      <c r="VLK11" s="28"/>
      <c r="VLL11" s="28"/>
      <c r="VLM11" s="28"/>
      <c r="VLN11" s="28"/>
      <c r="VLO11" s="28"/>
      <c r="VLP11" s="28"/>
      <c r="VLQ11" s="28"/>
      <c r="VLR11" s="28"/>
      <c r="VLS11" s="28"/>
      <c r="VLT11" s="28"/>
      <c r="VLU11" s="28"/>
      <c r="VLV11" s="28"/>
      <c r="VLW11" s="28"/>
      <c r="VLX11" s="28"/>
      <c r="VLY11" s="28"/>
      <c r="VLZ11" s="28"/>
      <c r="VMA11" s="28"/>
      <c r="VMB11" s="28"/>
      <c r="VMC11" s="28"/>
      <c r="VMD11" s="28"/>
      <c r="VME11" s="28"/>
      <c r="VMF11" s="28"/>
      <c r="VMG11" s="28"/>
      <c r="VMH11" s="28"/>
      <c r="VMI11" s="28"/>
      <c r="VMJ11" s="28"/>
      <c r="VMK11" s="28"/>
      <c r="VML11" s="28"/>
      <c r="VMM11" s="28"/>
      <c r="VMN11" s="28"/>
      <c r="VMO11" s="28"/>
      <c r="VMP11" s="28"/>
      <c r="VMQ11" s="28"/>
      <c r="VMR11" s="28"/>
      <c r="VMS11" s="28"/>
      <c r="VMT11" s="28"/>
      <c r="VMU11" s="28"/>
      <c r="VMV11" s="28"/>
      <c r="VMW11" s="28"/>
      <c r="VMX11" s="28"/>
      <c r="VMY11" s="28"/>
      <c r="VMZ11" s="28"/>
      <c r="VNA11" s="28"/>
      <c r="VNB11" s="28"/>
      <c r="VNC11" s="28"/>
      <c r="VND11" s="28"/>
      <c r="VNE11" s="28"/>
      <c r="VNF11" s="28"/>
      <c r="VNG11" s="28"/>
      <c r="VNH11" s="28"/>
      <c r="VNI11" s="28"/>
      <c r="VNJ11" s="28"/>
      <c r="VNK11" s="28"/>
      <c r="VNL11" s="28"/>
      <c r="VNM11" s="28"/>
      <c r="VNN11" s="28"/>
      <c r="VNO11" s="28"/>
      <c r="VNP11" s="28"/>
      <c r="VNQ11" s="28"/>
      <c r="VNR11" s="28"/>
      <c r="VNS11" s="28"/>
      <c r="VNT11" s="28"/>
      <c r="VNU11" s="28"/>
      <c r="VNV11" s="28"/>
      <c r="VNW11" s="28"/>
      <c r="VNX11" s="28"/>
      <c r="VNY11" s="28"/>
      <c r="VNZ11" s="28"/>
      <c r="VOA11" s="28"/>
      <c r="VOB11" s="28"/>
      <c r="VOC11" s="28"/>
      <c r="VOD11" s="28"/>
      <c r="VOE11" s="28"/>
      <c r="VOF11" s="28"/>
      <c r="VOG11" s="28"/>
      <c r="VOH11" s="28"/>
      <c r="VOI11" s="28"/>
      <c r="VOJ11" s="28"/>
      <c r="VOK11" s="28"/>
      <c r="VOL11" s="28"/>
      <c r="VOM11" s="28"/>
      <c r="VON11" s="28"/>
      <c r="VOO11" s="28"/>
      <c r="VOP11" s="28"/>
      <c r="VOQ11" s="28"/>
      <c r="VOR11" s="28"/>
      <c r="VOS11" s="28"/>
      <c r="VOT11" s="28"/>
      <c r="VOU11" s="28"/>
      <c r="VOV11" s="28"/>
      <c r="VOW11" s="28"/>
      <c r="VOX11" s="28"/>
      <c r="VOY11" s="28"/>
      <c r="VOZ11" s="28"/>
      <c r="VPA11" s="28"/>
      <c r="VPB11" s="28"/>
      <c r="VPC11" s="28"/>
      <c r="VPD11" s="28"/>
      <c r="VPE11" s="28"/>
      <c r="VPF11" s="28"/>
      <c r="VPG11" s="28"/>
      <c r="VPH11" s="28"/>
      <c r="VPI11" s="28"/>
      <c r="VPJ11" s="28"/>
      <c r="VPK11" s="28"/>
      <c r="VPL11" s="28"/>
      <c r="VPM11" s="28"/>
      <c r="VPN11" s="28"/>
      <c r="VPO11" s="28"/>
      <c r="VPP11" s="28"/>
      <c r="VPQ11" s="28"/>
      <c r="VPR11" s="28"/>
      <c r="VPS11" s="28"/>
      <c r="VPT11" s="28"/>
      <c r="VPU11" s="28"/>
      <c r="VPV11" s="28"/>
      <c r="VPW11" s="28"/>
      <c r="VPX11" s="28"/>
      <c r="VPY11" s="28"/>
      <c r="VPZ11" s="28"/>
      <c r="VQA11" s="28"/>
      <c r="VQB11" s="28"/>
      <c r="VQC11" s="28"/>
      <c r="VQD11" s="28"/>
      <c r="VQE11" s="28"/>
      <c r="VQF11" s="28"/>
      <c r="VQG11" s="28"/>
      <c r="VQH11" s="28"/>
      <c r="VQI11" s="28"/>
      <c r="VQJ11" s="28"/>
      <c r="VQK11" s="28"/>
      <c r="VQL11" s="28"/>
      <c r="VQM11" s="28"/>
      <c r="VQN11" s="28"/>
      <c r="VQO11" s="28"/>
      <c r="VQP11" s="28"/>
      <c r="VQQ11" s="28"/>
      <c r="VQR11" s="28"/>
      <c r="VQS11" s="28"/>
      <c r="VQT11" s="28"/>
      <c r="VQU11" s="28"/>
      <c r="VQV11" s="28"/>
      <c r="VQW11" s="28"/>
      <c r="VQX11" s="28"/>
      <c r="VQY11" s="28"/>
      <c r="VQZ11" s="28"/>
      <c r="VRA11" s="28"/>
      <c r="VRB11" s="28"/>
      <c r="VRC11" s="28"/>
      <c r="VRD11" s="28"/>
      <c r="VRE11" s="28"/>
      <c r="VRF11" s="28"/>
      <c r="VRG11" s="28"/>
      <c r="VRH11" s="28"/>
      <c r="VRI11" s="28"/>
      <c r="VRJ11" s="28"/>
      <c r="VRK11" s="28"/>
      <c r="VRL11" s="28"/>
      <c r="VRM11" s="28"/>
      <c r="VRN11" s="28"/>
      <c r="VRO11" s="28"/>
      <c r="VRP11" s="28"/>
      <c r="VRQ11" s="28"/>
      <c r="VRR11" s="28"/>
      <c r="VRS11" s="28"/>
      <c r="VRT11" s="28"/>
      <c r="VRU11" s="28"/>
      <c r="VRV11" s="28"/>
      <c r="VRW11" s="28"/>
      <c r="VRX11" s="28"/>
      <c r="VRY11" s="28"/>
      <c r="VRZ11" s="28"/>
      <c r="VSA11" s="28"/>
      <c r="VSB11" s="28"/>
      <c r="VSC11" s="28"/>
      <c r="VSD11" s="28"/>
      <c r="VSE11" s="28"/>
      <c r="VSF11" s="28"/>
      <c r="VSG11" s="28"/>
      <c r="VSH11" s="28"/>
      <c r="VSI11" s="28"/>
      <c r="VSJ11" s="28"/>
      <c r="VSK11" s="28"/>
      <c r="VSL11" s="28"/>
      <c r="VSM11" s="28"/>
      <c r="VSN11" s="28"/>
      <c r="VSO11" s="28"/>
      <c r="VSP11" s="28"/>
      <c r="VSQ11" s="28"/>
      <c r="VSR11" s="28"/>
      <c r="VSS11" s="28"/>
      <c r="VST11" s="28"/>
      <c r="VSU11" s="28"/>
      <c r="VSV11" s="28"/>
      <c r="VSW11" s="28"/>
      <c r="VSX11" s="28"/>
      <c r="VSY11" s="28"/>
      <c r="VSZ11" s="28"/>
      <c r="VTA11" s="28"/>
      <c r="VTB11" s="28"/>
      <c r="VTC11" s="28"/>
      <c r="VTD11" s="28"/>
      <c r="VTE11" s="28"/>
      <c r="VTF11" s="28"/>
      <c r="VTG11" s="28"/>
      <c r="VTH11" s="28"/>
      <c r="VTI11" s="28"/>
      <c r="VTJ11" s="28"/>
      <c r="VTK11" s="28"/>
      <c r="VTL11" s="28"/>
      <c r="VTM11" s="28"/>
      <c r="VTN11" s="28"/>
      <c r="VTO11" s="28"/>
      <c r="VTP11" s="28"/>
      <c r="VTQ11" s="28"/>
      <c r="VTR11" s="28"/>
      <c r="VTS11" s="28"/>
      <c r="VTT11" s="28"/>
      <c r="VTU11" s="28"/>
      <c r="VTV11" s="28"/>
      <c r="VTW11" s="28"/>
      <c r="VTX11" s="28"/>
      <c r="VTY11" s="28"/>
      <c r="VTZ11" s="28"/>
      <c r="VUA11" s="28"/>
      <c r="VUB11" s="28"/>
      <c r="VUC11" s="28"/>
      <c r="VUD11" s="28"/>
      <c r="VUE11" s="28"/>
      <c r="VUF11" s="28"/>
      <c r="VUG11" s="28"/>
      <c r="VUH11" s="28"/>
      <c r="VUI11" s="28"/>
      <c r="VUJ11" s="28"/>
      <c r="VUK11" s="28"/>
      <c r="VUL11" s="28"/>
      <c r="VUM11" s="28"/>
      <c r="VUN11" s="28"/>
      <c r="VUO11" s="28"/>
      <c r="VUP11" s="28"/>
      <c r="VUQ11" s="28"/>
      <c r="VUR11" s="28"/>
      <c r="VUS11" s="28"/>
      <c r="VUT11" s="28"/>
      <c r="VUU11" s="28"/>
      <c r="VUV11" s="28"/>
      <c r="VUW11" s="28"/>
      <c r="VUX11" s="28"/>
      <c r="VUY11" s="28"/>
      <c r="VUZ11" s="28"/>
      <c r="VVA11" s="28"/>
      <c r="VVB11" s="28"/>
      <c r="VVC11" s="28"/>
      <c r="VVD11" s="28"/>
      <c r="VVE11" s="28"/>
      <c r="VVF11" s="28"/>
      <c r="VVG11" s="28"/>
      <c r="VVH11" s="28"/>
      <c r="VVI11" s="28"/>
      <c r="VVJ11" s="28"/>
      <c r="VVK11" s="28"/>
      <c r="VVL11" s="28"/>
      <c r="VVM11" s="28"/>
      <c r="VVN11" s="28"/>
      <c r="VVO11" s="28"/>
      <c r="VVP11" s="28"/>
      <c r="VVQ11" s="28"/>
      <c r="VVR11" s="28"/>
      <c r="VVS11" s="28"/>
      <c r="VVT11" s="28"/>
      <c r="VVU11" s="28"/>
      <c r="VVV11" s="28"/>
      <c r="VVW11" s="28"/>
      <c r="VVX11" s="28"/>
      <c r="VVY11" s="28"/>
      <c r="VVZ11" s="28"/>
      <c r="VWA11" s="28"/>
      <c r="VWB11" s="28"/>
      <c r="VWC11" s="28"/>
      <c r="VWD11" s="28"/>
      <c r="VWE11" s="28"/>
      <c r="VWF11" s="28"/>
      <c r="VWG11" s="28"/>
      <c r="VWH11" s="28"/>
      <c r="VWI11" s="28"/>
      <c r="VWJ11" s="28"/>
      <c r="VWK11" s="28"/>
      <c r="VWL11" s="28"/>
      <c r="VWM11" s="28"/>
      <c r="VWN11" s="28"/>
      <c r="VWO11" s="28"/>
      <c r="VWP11" s="28"/>
      <c r="VWQ11" s="28"/>
      <c r="VWR11" s="28"/>
      <c r="VWS11" s="28"/>
      <c r="VWT11" s="28"/>
      <c r="VWU11" s="28"/>
      <c r="VWV11" s="28"/>
      <c r="VWW11" s="28"/>
      <c r="VWX11" s="28"/>
      <c r="VWY11" s="28"/>
      <c r="VWZ11" s="28"/>
      <c r="VXA11" s="28"/>
      <c r="VXB11" s="28"/>
      <c r="VXC11" s="28"/>
      <c r="VXD11" s="28"/>
      <c r="VXE11" s="28"/>
      <c r="VXF11" s="28"/>
      <c r="VXG11" s="28"/>
      <c r="VXH11" s="28"/>
      <c r="VXI11" s="28"/>
      <c r="VXJ11" s="28"/>
      <c r="VXK11" s="28"/>
      <c r="VXL11" s="28"/>
      <c r="VXM11" s="28"/>
      <c r="VXN11" s="28"/>
      <c r="VXO11" s="28"/>
      <c r="VXP11" s="28"/>
      <c r="VXQ11" s="28"/>
      <c r="VXR11" s="28"/>
      <c r="VXS11" s="28"/>
      <c r="VXT11" s="28"/>
      <c r="VXU11" s="28"/>
      <c r="VXV11" s="28"/>
      <c r="VXW11" s="28"/>
      <c r="VXX11" s="28"/>
      <c r="VXY11" s="28"/>
      <c r="VXZ11" s="28"/>
      <c r="VYA11" s="28"/>
      <c r="VYB11" s="28"/>
      <c r="VYC11" s="28"/>
      <c r="VYD11" s="28"/>
      <c r="VYE11" s="28"/>
      <c r="VYF11" s="28"/>
      <c r="VYG11" s="28"/>
      <c r="VYH11" s="28"/>
      <c r="VYI11" s="28"/>
      <c r="VYJ11" s="28"/>
      <c r="VYK11" s="28"/>
      <c r="VYL11" s="28"/>
      <c r="VYM11" s="28"/>
      <c r="VYN11" s="28"/>
      <c r="VYO11" s="28"/>
      <c r="VYP11" s="28"/>
      <c r="VYQ11" s="28"/>
      <c r="VYR11" s="28"/>
      <c r="VYS11" s="28"/>
      <c r="VYT11" s="28"/>
      <c r="VYU11" s="28"/>
      <c r="VYV11" s="28"/>
      <c r="VYW11" s="28"/>
      <c r="VYX11" s="28"/>
      <c r="VYY11" s="28"/>
      <c r="VYZ11" s="28"/>
      <c r="VZA11" s="28"/>
      <c r="VZB11" s="28"/>
      <c r="VZC11" s="28"/>
      <c r="VZD11" s="28"/>
      <c r="VZE11" s="28"/>
      <c r="VZF11" s="28"/>
      <c r="VZG11" s="28"/>
      <c r="VZH11" s="28"/>
      <c r="VZI11" s="28"/>
      <c r="VZJ11" s="28"/>
      <c r="VZK11" s="28"/>
      <c r="VZL11" s="28"/>
      <c r="VZM11" s="28"/>
      <c r="VZN11" s="28"/>
      <c r="VZO11" s="28"/>
      <c r="VZP11" s="28"/>
      <c r="VZQ11" s="28"/>
      <c r="VZR11" s="28"/>
      <c r="VZS11" s="28"/>
      <c r="VZT11" s="28"/>
      <c r="VZU11" s="28"/>
      <c r="VZV11" s="28"/>
      <c r="VZW11" s="28"/>
      <c r="VZX11" s="28"/>
      <c r="VZY11" s="28"/>
      <c r="VZZ11" s="28"/>
      <c r="WAA11" s="28"/>
      <c r="WAB11" s="28"/>
      <c r="WAC11" s="28"/>
      <c r="WAD11" s="28"/>
      <c r="WAE11" s="28"/>
      <c r="WAF11" s="28"/>
      <c r="WAG11" s="28"/>
      <c r="WAH11" s="28"/>
      <c r="WAI11" s="28"/>
      <c r="WAJ11" s="28"/>
      <c r="WAK11" s="28"/>
      <c r="WAL11" s="28"/>
      <c r="WAM11" s="28"/>
      <c r="WAN11" s="28"/>
      <c r="WAO11" s="28"/>
      <c r="WAP11" s="28"/>
      <c r="WAQ11" s="28"/>
      <c r="WAR11" s="28"/>
      <c r="WAS11" s="28"/>
      <c r="WAT11" s="28"/>
      <c r="WAU11" s="28"/>
      <c r="WAV11" s="28"/>
      <c r="WAW11" s="28"/>
      <c r="WAX11" s="28"/>
      <c r="WAY11" s="28"/>
      <c r="WAZ11" s="28"/>
      <c r="WBA11" s="28"/>
      <c r="WBB11" s="28"/>
      <c r="WBC11" s="28"/>
      <c r="WBD11" s="28"/>
      <c r="WBE11" s="28"/>
      <c r="WBF11" s="28"/>
      <c r="WBG11" s="28"/>
      <c r="WBH11" s="28"/>
      <c r="WBI11" s="28"/>
      <c r="WBJ11" s="28"/>
      <c r="WBK11" s="28"/>
      <c r="WBL11" s="28"/>
      <c r="WBM11" s="28"/>
      <c r="WBN11" s="28"/>
      <c r="WBO11" s="28"/>
      <c r="WBP11" s="28"/>
      <c r="WBQ11" s="28"/>
      <c r="WBR11" s="28"/>
      <c r="WBS11" s="28"/>
      <c r="WBT11" s="28"/>
      <c r="WBU11" s="28"/>
      <c r="WBV11" s="28"/>
      <c r="WBW11" s="28"/>
      <c r="WBX11" s="28"/>
      <c r="WBY11" s="28"/>
      <c r="WBZ11" s="28"/>
      <c r="WCA11" s="28"/>
      <c r="WCB11" s="28"/>
      <c r="WCC11" s="28"/>
      <c r="WCD11" s="28"/>
      <c r="WCE11" s="28"/>
      <c r="WCF11" s="28"/>
      <c r="WCG11" s="28"/>
      <c r="WCH11" s="28"/>
      <c r="WCI11" s="28"/>
      <c r="WCJ11" s="28"/>
      <c r="WCK11" s="28"/>
      <c r="WCL11" s="28"/>
      <c r="WCM11" s="28"/>
      <c r="WCN11" s="28"/>
      <c r="WCO11" s="28"/>
      <c r="WCP11" s="28"/>
      <c r="WCQ11" s="28"/>
      <c r="WCR11" s="28"/>
      <c r="WCS11" s="28"/>
      <c r="WCT11" s="28"/>
      <c r="WCU11" s="28"/>
      <c r="WCV11" s="28"/>
      <c r="WCW11" s="28"/>
      <c r="WCX11" s="28"/>
      <c r="WCY11" s="28"/>
      <c r="WCZ11" s="28"/>
      <c r="WDA11" s="28"/>
      <c r="WDB11" s="28"/>
      <c r="WDC11" s="28"/>
      <c r="WDD11" s="28"/>
      <c r="WDE11" s="28"/>
      <c r="WDF11" s="28"/>
      <c r="WDG11" s="28"/>
      <c r="WDH11" s="28"/>
      <c r="WDI11" s="28"/>
      <c r="WDJ11" s="28"/>
      <c r="WDK11" s="28"/>
      <c r="WDL11" s="28"/>
      <c r="WDM11" s="28"/>
      <c r="WDN11" s="28"/>
      <c r="WDO11" s="28"/>
      <c r="WDP11" s="28"/>
      <c r="WDQ11" s="28"/>
      <c r="WDR11" s="28"/>
      <c r="WDS11" s="28"/>
      <c r="WDT11" s="28"/>
      <c r="WDU11" s="28"/>
      <c r="WDV11" s="28"/>
      <c r="WDW11" s="28"/>
      <c r="WDX11" s="28"/>
      <c r="WDY11" s="28"/>
      <c r="WDZ11" s="28"/>
      <c r="WEA11" s="28"/>
      <c r="WEB11" s="28"/>
      <c r="WEC11" s="28"/>
      <c r="WED11" s="28"/>
      <c r="WEE11" s="28"/>
      <c r="WEF11" s="28"/>
      <c r="WEG11" s="28"/>
      <c r="WEH11" s="28"/>
      <c r="WEI11" s="28"/>
      <c r="WEJ11" s="28"/>
      <c r="WEK11" s="28"/>
      <c r="WEL11" s="28"/>
      <c r="WEM11" s="28"/>
      <c r="WEN11" s="28"/>
      <c r="WEO11" s="28"/>
      <c r="WEP11" s="28"/>
      <c r="WEQ11" s="28"/>
      <c r="WER11" s="28"/>
      <c r="WES11" s="28"/>
      <c r="WET11" s="28"/>
      <c r="WEU11" s="28"/>
      <c r="WEV11" s="28"/>
      <c r="WEW11" s="28"/>
      <c r="WEX11" s="28"/>
      <c r="WEY11" s="28"/>
      <c r="WEZ11" s="28"/>
      <c r="WFA11" s="28"/>
      <c r="WFB11" s="28"/>
      <c r="WFC11" s="28"/>
      <c r="WFD11" s="28"/>
      <c r="WFE11" s="28"/>
      <c r="WFF11" s="28"/>
      <c r="WFG11" s="28"/>
      <c r="WFH11" s="28"/>
      <c r="WFI11" s="28"/>
      <c r="WFJ11" s="28"/>
      <c r="WFK11" s="28"/>
      <c r="WFL11" s="28"/>
      <c r="WFM11" s="28"/>
      <c r="WFN11" s="28"/>
      <c r="WFO11" s="28"/>
      <c r="WFP11" s="28"/>
      <c r="WFQ11" s="28"/>
      <c r="WFR11" s="28"/>
      <c r="WFS11" s="28"/>
      <c r="WFT11" s="28"/>
      <c r="WFU11" s="28"/>
      <c r="WFV11" s="28"/>
      <c r="WFW11" s="28"/>
      <c r="WFX11" s="28"/>
      <c r="WFY11" s="28"/>
      <c r="WFZ11" s="28"/>
      <c r="WGA11" s="28"/>
      <c r="WGB11" s="28"/>
      <c r="WGC11" s="28"/>
      <c r="WGD11" s="28"/>
      <c r="WGE11" s="28"/>
      <c r="WGF11" s="28"/>
      <c r="WGG11" s="28"/>
      <c r="WGH11" s="28"/>
      <c r="WGI11" s="28"/>
      <c r="WGJ11" s="28"/>
      <c r="WGK11" s="28"/>
      <c r="WGL11" s="28"/>
      <c r="WGM11" s="28"/>
      <c r="WGN11" s="28"/>
      <c r="WGO11" s="28"/>
      <c r="WGP11" s="28"/>
      <c r="WGQ11" s="28"/>
      <c r="WGR11" s="28"/>
      <c r="WGS11" s="28"/>
      <c r="WGT11" s="28"/>
      <c r="WGU11" s="28"/>
      <c r="WGV11" s="28"/>
      <c r="WGW11" s="28"/>
      <c r="WGX11" s="28"/>
      <c r="WGY11" s="28"/>
      <c r="WGZ11" s="28"/>
      <c r="WHA11" s="28"/>
      <c r="WHB11" s="28"/>
      <c r="WHC11" s="28"/>
      <c r="WHD11" s="28"/>
      <c r="WHE11" s="28"/>
      <c r="WHF11" s="28"/>
      <c r="WHG11" s="28"/>
      <c r="WHH11" s="28"/>
      <c r="WHI11" s="28"/>
      <c r="WHJ11" s="28"/>
      <c r="WHK11" s="28"/>
      <c r="WHL11" s="28"/>
      <c r="WHM11" s="28"/>
      <c r="WHN11" s="28"/>
      <c r="WHO11" s="28"/>
      <c r="WHP11" s="28"/>
      <c r="WHQ11" s="28"/>
      <c r="WHR11" s="28"/>
      <c r="WHS11" s="28"/>
      <c r="WHT11" s="28"/>
      <c r="WHU11" s="28"/>
      <c r="WHV11" s="28"/>
      <c r="WHW11" s="28"/>
      <c r="WHX11" s="28"/>
      <c r="WHY11" s="28"/>
      <c r="WHZ11" s="28"/>
      <c r="WIA11" s="28"/>
      <c r="WIB11" s="28"/>
      <c r="WIC11" s="28"/>
      <c r="WID11" s="28"/>
      <c r="WIE11" s="28"/>
      <c r="WIF11" s="28"/>
      <c r="WIG11" s="28"/>
      <c r="WIH11" s="28"/>
      <c r="WII11" s="28"/>
      <c r="WIJ11" s="28"/>
      <c r="WIK11" s="28"/>
      <c r="WIL11" s="28"/>
      <c r="WIM11" s="28"/>
      <c r="WIN11" s="28"/>
      <c r="WIO11" s="28"/>
      <c r="WIP11" s="28"/>
      <c r="WIQ11" s="28"/>
      <c r="WIR11" s="28"/>
      <c r="WIS11" s="28"/>
      <c r="WIT11" s="28"/>
      <c r="WIU11" s="28"/>
      <c r="WIV11" s="28"/>
      <c r="WIW11" s="28"/>
      <c r="WIX11" s="28"/>
      <c r="WIY11" s="28"/>
      <c r="WIZ11" s="28"/>
      <c r="WJA11" s="28"/>
      <c r="WJB11" s="28"/>
      <c r="WJC11" s="28"/>
      <c r="WJD11" s="28"/>
      <c r="WJE11" s="28"/>
      <c r="WJF11" s="28"/>
      <c r="WJG11" s="28"/>
      <c r="WJH11" s="28"/>
      <c r="WJI11" s="28"/>
      <c r="WJJ11" s="28"/>
      <c r="WJK11" s="28"/>
      <c r="WJL11" s="28"/>
      <c r="WJM11" s="28"/>
      <c r="WJN11" s="28"/>
      <c r="WJO11" s="28"/>
      <c r="WJP11" s="28"/>
      <c r="WJQ11" s="28"/>
      <c r="WJR11" s="28"/>
      <c r="WJS11" s="28"/>
      <c r="WJT11" s="28"/>
      <c r="WJU11" s="28"/>
      <c r="WJV11" s="28"/>
      <c r="WJW11" s="28"/>
      <c r="WJX11" s="28"/>
      <c r="WJY11" s="28"/>
      <c r="WJZ11" s="28"/>
      <c r="WKA11" s="28"/>
      <c r="WKB11" s="28"/>
      <c r="WKC11" s="28"/>
      <c r="WKD11" s="28"/>
      <c r="WKE11" s="28"/>
      <c r="WKF11" s="28"/>
      <c r="WKG11" s="28"/>
      <c r="WKH11" s="28"/>
      <c r="WKI11" s="28"/>
      <c r="WKJ11" s="28"/>
      <c r="WKK11" s="28"/>
      <c r="WKL11" s="28"/>
      <c r="WKM11" s="28"/>
      <c r="WKN11" s="28"/>
      <c r="WKO11" s="28"/>
      <c r="WKP11" s="28"/>
      <c r="WKQ11" s="28"/>
      <c r="WKR11" s="28"/>
      <c r="WKS11" s="28"/>
      <c r="WKT11" s="28"/>
      <c r="WKU11" s="28"/>
      <c r="WKV11" s="28"/>
      <c r="WKW11" s="28"/>
      <c r="WKX11" s="28"/>
      <c r="WKY11" s="28"/>
      <c r="WKZ11" s="28"/>
      <c r="WLA11" s="28"/>
      <c r="WLB11" s="28"/>
      <c r="WLC11" s="28"/>
      <c r="WLD11" s="28"/>
      <c r="WLE11" s="28"/>
      <c r="WLF11" s="28"/>
      <c r="WLG11" s="28"/>
      <c r="WLH11" s="28"/>
      <c r="WLI11" s="28"/>
      <c r="WLJ11" s="28"/>
      <c r="WLK11" s="28"/>
      <c r="WLL11" s="28"/>
      <c r="WLM11" s="28"/>
      <c r="WLN11" s="28"/>
      <c r="WLO11" s="28"/>
      <c r="WLP11" s="28"/>
      <c r="WLQ11" s="28"/>
      <c r="WLR11" s="28"/>
      <c r="WLS11" s="28"/>
      <c r="WLT11" s="28"/>
      <c r="WLU11" s="28"/>
      <c r="WLV11" s="28"/>
      <c r="WLW11" s="28"/>
      <c r="WLX11" s="28"/>
      <c r="WLY11" s="28"/>
      <c r="WLZ11" s="28"/>
      <c r="WMA11" s="28"/>
      <c r="WMB11" s="28"/>
      <c r="WMC11" s="28"/>
      <c r="WMD11" s="28"/>
      <c r="WME11" s="28"/>
      <c r="WMF11" s="28"/>
      <c r="WMG11" s="28"/>
      <c r="WMH11" s="28"/>
      <c r="WMI11" s="28"/>
      <c r="WMJ11" s="28"/>
      <c r="WMK11" s="28"/>
      <c r="WML11" s="28"/>
      <c r="WMM11" s="28"/>
      <c r="WMN11" s="28"/>
      <c r="WMO11" s="28"/>
      <c r="WMP11" s="28"/>
      <c r="WMQ11" s="28"/>
      <c r="WMR11" s="28"/>
      <c r="WMS11" s="28"/>
      <c r="WMT11" s="28"/>
      <c r="WMU11" s="28"/>
      <c r="WMV11" s="28"/>
      <c r="WMW11" s="28"/>
      <c r="WMX11" s="28"/>
      <c r="WMY11" s="28"/>
      <c r="WMZ11" s="28"/>
      <c r="WNA11" s="28"/>
      <c r="WNB11" s="28"/>
      <c r="WNC11" s="28"/>
      <c r="WND11" s="28"/>
      <c r="WNE11" s="28"/>
      <c r="WNF11" s="28"/>
      <c r="WNG11" s="28"/>
      <c r="WNH11" s="28"/>
      <c r="WNI11" s="28"/>
      <c r="WNJ11" s="28"/>
      <c r="WNK11" s="28"/>
      <c r="WNL11" s="28"/>
      <c r="WNM11" s="28"/>
      <c r="WNN11" s="28"/>
      <c r="WNO11" s="28"/>
      <c r="WNP11" s="28"/>
      <c r="WNQ11" s="28"/>
      <c r="WNR11" s="28"/>
      <c r="WNS11" s="28"/>
      <c r="WNT11" s="28"/>
      <c r="WNU11" s="28"/>
      <c r="WNV11" s="28"/>
      <c r="WNW11" s="28"/>
      <c r="WNX11" s="28"/>
      <c r="WNY11" s="28"/>
      <c r="WNZ11" s="28"/>
      <c r="WOA11" s="28"/>
      <c r="WOB11" s="28"/>
      <c r="WOC11" s="28"/>
      <c r="WOD11" s="28"/>
      <c r="WOE11" s="28"/>
      <c r="WOF11" s="28"/>
      <c r="WOG11" s="28"/>
      <c r="WOH11" s="28"/>
      <c r="WOI11" s="28"/>
      <c r="WOJ11" s="28"/>
      <c r="WOK11" s="28"/>
      <c r="WOL11" s="28"/>
      <c r="WOM11" s="28"/>
      <c r="WON11" s="28"/>
      <c r="WOO11" s="28"/>
      <c r="WOP11" s="28"/>
      <c r="WOQ11" s="28"/>
      <c r="WOR11" s="28"/>
      <c r="WOS11" s="28"/>
      <c r="WOT11" s="28"/>
      <c r="WOU11" s="28"/>
      <c r="WOV11" s="28"/>
      <c r="WOW11" s="28"/>
      <c r="WOX11" s="28"/>
      <c r="WOY11" s="28"/>
      <c r="WOZ11" s="28"/>
      <c r="WPA11" s="28"/>
      <c r="WPB11" s="28"/>
      <c r="WPC11" s="28"/>
      <c r="WPD11" s="28"/>
      <c r="WPE11" s="28"/>
      <c r="WPF11" s="28"/>
      <c r="WPG11" s="28"/>
      <c r="WPH11" s="28"/>
      <c r="WPI11" s="28"/>
      <c r="WPJ11" s="28"/>
      <c r="WPK11" s="28"/>
      <c r="WPL11" s="28"/>
      <c r="WPM11" s="28"/>
      <c r="WPN11" s="28"/>
      <c r="WPO11" s="28"/>
      <c r="WPP11" s="28"/>
      <c r="WPQ11" s="28"/>
      <c r="WPR11" s="28"/>
      <c r="WPS11" s="28"/>
      <c r="WPT11" s="28"/>
      <c r="WPU11" s="28"/>
      <c r="WPV11" s="28"/>
      <c r="WPW11" s="28"/>
      <c r="WPX11" s="28"/>
      <c r="WPY11" s="28"/>
      <c r="WPZ11" s="28"/>
      <c r="WQA11" s="28"/>
      <c r="WQB11" s="28"/>
      <c r="WQC11" s="28"/>
      <c r="WQD11" s="28"/>
      <c r="WQE11" s="28"/>
      <c r="WQF11" s="28"/>
      <c r="WQG11" s="28"/>
      <c r="WQH11" s="28"/>
      <c r="WQI11" s="28"/>
      <c r="WQJ11" s="28"/>
      <c r="WQK11" s="28"/>
      <c r="WQL11" s="28"/>
      <c r="WQM11" s="28"/>
      <c r="WQN11" s="28"/>
      <c r="WQO11" s="28"/>
      <c r="WQP11" s="28"/>
      <c r="WQQ11" s="28"/>
      <c r="WQR11" s="28"/>
      <c r="WQS11" s="28"/>
      <c r="WQT11" s="28"/>
      <c r="WQU11" s="28"/>
      <c r="WQV11" s="28"/>
      <c r="WQW11" s="28"/>
      <c r="WQX11" s="28"/>
      <c r="WQY11" s="28"/>
      <c r="WQZ11" s="28"/>
      <c r="WRA11" s="28"/>
      <c r="WRB11" s="28"/>
      <c r="WRC11" s="28"/>
      <c r="WRD11" s="28"/>
      <c r="WRE11" s="28"/>
      <c r="WRF11" s="28"/>
      <c r="WRG11" s="28"/>
      <c r="WRH11" s="28"/>
      <c r="WRI11" s="28"/>
      <c r="WRJ11" s="28"/>
      <c r="WRK11" s="28"/>
      <c r="WRL11" s="28"/>
      <c r="WRM11" s="28"/>
      <c r="WRN11" s="28"/>
      <c r="WRO11" s="28"/>
      <c r="WRP11" s="28"/>
      <c r="WRQ11" s="28"/>
      <c r="WRR11" s="28"/>
      <c r="WRS11" s="28"/>
      <c r="WRT11" s="28"/>
      <c r="WRU11" s="28"/>
      <c r="WRV11" s="28"/>
      <c r="WRW11" s="28"/>
      <c r="WRX11" s="28"/>
      <c r="WRY11" s="28"/>
      <c r="WRZ11" s="28"/>
      <c r="WSA11" s="28"/>
      <c r="WSB11" s="28"/>
      <c r="WSC11" s="28"/>
      <c r="WSD11" s="28"/>
      <c r="WSE11" s="28"/>
      <c r="WSF11" s="28"/>
      <c r="WSG11" s="28"/>
      <c r="WSH11" s="28"/>
      <c r="WSI11" s="28"/>
      <c r="WSJ11" s="28"/>
      <c r="WSK11" s="28"/>
      <c r="WSL11" s="28"/>
      <c r="WSM11" s="28"/>
      <c r="WSN11" s="28"/>
      <c r="WSO11" s="28"/>
      <c r="WSP11" s="28"/>
      <c r="WSQ11" s="28"/>
      <c r="WSR11" s="28"/>
      <c r="WSS11" s="28"/>
      <c r="WST11" s="28"/>
      <c r="WSU11" s="28"/>
      <c r="WSV11" s="28"/>
      <c r="WSW11" s="28"/>
      <c r="WSX11" s="28"/>
      <c r="WSY11" s="28"/>
      <c r="WSZ11" s="28"/>
      <c r="WTA11" s="28"/>
      <c r="WTB11" s="28"/>
      <c r="WTC11" s="28"/>
      <c r="WTD11" s="28"/>
      <c r="WTE11" s="28"/>
      <c r="WTF11" s="28"/>
      <c r="WTG11" s="28"/>
      <c r="WTH11" s="28"/>
      <c r="WTI11" s="28"/>
      <c r="WTJ11" s="28"/>
      <c r="WTK11" s="28"/>
      <c r="WTL11" s="28"/>
      <c r="WTM11" s="28"/>
      <c r="WTN11" s="28"/>
      <c r="WTO11" s="28"/>
      <c r="WTP11" s="28"/>
      <c r="WTQ11" s="28"/>
      <c r="WTR11" s="28"/>
      <c r="WTS11" s="28"/>
      <c r="WTT11" s="28"/>
      <c r="WTU11" s="28"/>
      <c r="WTV11" s="28"/>
      <c r="WTW11" s="28"/>
      <c r="WTX11" s="28"/>
      <c r="WTY11" s="28"/>
      <c r="WTZ11" s="28"/>
      <c r="WUA11" s="28"/>
      <c r="WUB11" s="28"/>
      <c r="WUC11" s="28"/>
      <c r="WUD11" s="28"/>
      <c r="WUE11" s="28"/>
      <c r="WUF11" s="28"/>
      <c r="WUG11" s="28"/>
      <c r="WUH11" s="28"/>
      <c r="WUI11" s="28"/>
      <c r="WUJ11" s="28"/>
      <c r="WUK11" s="28"/>
      <c r="WUL11" s="28"/>
      <c r="WUM11" s="28"/>
      <c r="WUN11" s="28"/>
      <c r="WUO11" s="28"/>
      <c r="WUP11" s="28"/>
      <c r="WUQ11" s="28"/>
      <c r="WUR11" s="28"/>
      <c r="WUS11" s="28"/>
      <c r="WUT11" s="28"/>
      <c r="WUU11" s="28"/>
      <c r="WUV11" s="28"/>
      <c r="WUW11" s="28"/>
      <c r="WUX11" s="28"/>
      <c r="WUY11" s="28"/>
      <c r="WUZ11" s="28"/>
      <c r="WVA11" s="28"/>
      <c r="WVB11" s="28"/>
      <c r="WVC11" s="28"/>
      <c r="WVD11" s="28"/>
      <c r="WVE11" s="28"/>
      <c r="WVF11" s="28"/>
      <c r="WVG11" s="28"/>
      <c r="WVH11" s="28"/>
      <c r="WVI11" s="28"/>
      <c r="WVJ11" s="28"/>
      <c r="WVK11" s="28"/>
      <c r="WVL11" s="28"/>
      <c r="WVM11" s="28"/>
      <c r="WVN11" s="28"/>
      <c r="WVO11" s="28"/>
      <c r="WVP11" s="28"/>
      <c r="WVQ11" s="28"/>
      <c r="WVR11" s="28"/>
      <c r="WVS11" s="28"/>
      <c r="WVT11" s="28"/>
      <c r="WVU11" s="28"/>
      <c r="WVV11" s="28"/>
      <c r="WVW11" s="28"/>
      <c r="WVX11" s="28"/>
      <c r="WVY11" s="28"/>
      <c r="WVZ11" s="28"/>
      <c r="WWA11" s="28"/>
      <c r="WWB11" s="28"/>
      <c r="WWC11" s="28"/>
      <c r="WWD11" s="28"/>
      <c r="WWE11" s="28"/>
      <c r="WWF11" s="28"/>
      <c r="WWG11" s="28"/>
      <c r="WWH11" s="28"/>
      <c r="WWI11" s="28"/>
      <c r="WWJ11" s="28"/>
      <c r="WWK11" s="28"/>
      <c r="WWL11" s="28"/>
      <c r="WWM11" s="28"/>
      <c r="WWN11" s="28"/>
      <c r="WWO11" s="28"/>
      <c r="WWP11" s="28"/>
      <c r="WWQ11" s="28"/>
      <c r="WWR11" s="28"/>
      <c r="WWS11" s="28"/>
      <c r="WWT11" s="28"/>
      <c r="WWU11" s="28"/>
      <c r="WWV11" s="28"/>
      <c r="WWW11" s="28"/>
      <c r="WWX11" s="28"/>
      <c r="WWY11" s="28"/>
      <c r="WWZ11" s="28"/>
      <c r="WXA11" s="28"/>
      <c r="WXB11" s="28"/>
      <c r="WXC11" s="28"/>
      <c r="WXD11" s="28"/>
      <c r="WXE11" s="28"/>
      <c r="WXF11" s="28"/>
      <c r="WXG11" s="28"/>
      <c r="WXH11" s="28"/>
      <c r="WXI11" s="28"/>
      <c r="WXJ11" s="28"/>
      <c r="WXK11" s="28"/>
      <c r="WXL11" s="28"/>
      <c r="WXM11" s="28"/>
      <c r="WXN11" s="28"/>
      <c r="WXO11" s="28"/>
      <c r="WXP11" s="28"/>
      <c r="WXQ11" s="28"/>
      <c r="WXR11" s="28"/>
      <c r="WXS11" s="28"/>
      <c r="WXT11" s="28"/>
      <c r="WXU11" s="28"/>
      <c r="WXV11" s="28"/>
      <c r="WXW11" s="28"/>
      <c r="WXX11" s="28"/>
      <c r="WXY11" s="28"/>
      <c r="WXZ11" s="28"/>
      <c r="WYA11" s="28"/>
      <c r="WYB11" s="28"/>
      <c r="WYC11" s="28"/>
      <c r="WYD11" s="28"/>
      <c r="WYE11" s="28"/>
      <c r="WYF11" s="28"/>
      <c r="WYG11" s="28"/>
      <c r="WYH11" s="28"/>
      <c r="WYI11" s="28"/>
      <c r="WYJ11" s="28"/>
      <c r="WYK11" s="28"/>
      <c r="WYL11" s="28"/>
      <c r="WYM11" s="28"/>
      <c r="WYN11" s="28"/>
      <c r="WYO11" s="28"/>
      <c r="WYP11" s="28"/>
      <c r="WYQ11" s="28"/>
      <c r="WYR11" s="28"/>
      <c r="WYS11" s="28"/>
      <c r="WYT11" s="28"/>
      <c r="WYU11" s="28"/>
      <c r="WYV11" s="28"/>
      <c r="WYW11" s="28"/>
      <c r="WYX11" s="28"/>
      <c r="WYY11" s="28"/>
      <c r="WYZ11" s="28"/>
      <c r="WZA11" s="28"/>
      <c r="WZB11" s="28"/>
      <c r="WZC11" s="28"/>
      <c r="WZD11" s="28"/>
      <c r="WZE11" s="28"/>
      <c r="WZF11" s="28"/>
      <c r="WZG11" s="28"/>
      <c r="WZH11" s="28"/>
      <c r="WZI11" s="28"/>
      <c r="WZJ11" s="28"/>
      <c r="WZK11" s="28"/>
      <c r="WZL11" s="28"/>
      <c r="WZM11" s="28"/>
      <c r="WZN11" s="28"/>
      <c r="WZO11" s="28"/>
      <c r="WZP11" s="28"/>
      <c r="WZQ11" s="28"/>
      <c r="WZR11" s="28"/>
      <c r="WZS11" s="28"/>
      <c r="WZT11" s="28"/>
      <c r="WZU11" s="28"/>
      <c r="WZV11" s="28"/>
      <c r="WZW11" s="28"/>
      <c r="WZX11" s="28"/>
      <c r="WZY11" s="28"/>
      <c r="WZZ11" s="28"/>
      <c r="XAA11" s="28"/>
      <c r="XAB11" s="28"/>
      <c r="XAC11" s="28"/>
      <c r="XAD11" s="28"/>
      <c r="XAE11" s="28"/>
      <c r="XAF11" s="28"/>
      <c r="XAG11" s="28"/>
      <c r="XAH11" s="28"/>
      <c r="XAI11" s="28"/>
      <c r="XAJ11" s="28"/>
      <c r="XAK11" s="28"/>
      <c r="XAL11" s="28"/>
      <c r="XAM11" s="28"/>
      <c r="XAN11" s="28"/>
      <c r="XAO11" s="28"/>
      <c r="XAP11" s="28"/>
      <c r="XAQ11" s="28"/>
      <c r="XAR11" s="28"/>
      <c r="XAS11" s="28"/>
      <c r="XAT11" s="28"/>
      <c r="XAU11" s="28"/>
      <c r="XAV11" s="28"/>
      <c r="XAW11" s="28"/>
      <c r="XAX11" s="28"/>
      <c r="XAY11" s="28"/>
      <c r="XAZ11" s="28"/>
      <c r="XBA11" s="28"/>
      <c r="XBB11" s="28"/>
      <c r="XBC11" s="28"/>
      <c r="XBD11" s="28"/>
      <c r="XBE11" s="28"/>
      <c r="XBF11" s="28"/>
      <c r="XBG11" s="28"/>
      <c r="XBH11" s="28"/>
      <c r="XBI11" s="28"/>
      <c r="XBJ11" s="28"/>
      <c r="XBK11" s="28"/>
      <c r="XBL11" s="28"/>
      <c r="XBM11" s="28"/>
      <c r="XBN11" s="28"/>
      <c r="XBO11" s="28"/>
      <c r="XBP11" s="28"/>
      <c r="XBQ11" s="28"/>
      <c r="XBR11" s="28"/>
      <c r="XBS11" s="28"/>
      <c r="XBT11" s="28"/>
      <c r="XBU11" s="28"/>
      <c r="XBV11" s="28"/>
      <c r="XBW11" s="28"/>
      <c r="XBX11" s="28"/>
      <c r="XBY11" s="28"/>
      <c r="XBZ11" s="28"/>
      <c r="XCA11" s="28"/>
      <c r="XCB11" s="28"/>
      <c r="XCC11" s="28"/>
      <c r="XCD11" s="28"/>
      <c r="XCE11" s="28"/>
      <c r="XCF11" s="28"/>
      <c r="XCG11" s="28"/>
      <c r="XCH11" s="28"/>
      <c r="XCI11" s="28"/>
      <c r="XCJ11" s="28"/>
      <c r="XCK11" s="28"/>
      <c r="XCL11" s="28"/>
      <c r="XCM11" s="28"/>
      <c r="XCN11" s="28"/>
      <c r="XCO11" s="28"/>
      <c r="XCP11" s="28"/>
      <c r="XCQ11" s="28"/>
      <c r="XCR11" s="28"/>
      <c r="XCS11" s="28"/>
      <c r="XCT11" s="28"/>
      <c r="XCU11" s="28"/>
      <c r="XCV11" s="28"/>
      <c r="XCW11" s="28"/>
      <c r="XCX11" s="28"/>
      <c r="XCY11" s="28"/>
      <c r="XCZ11" s="28"/>
      <c r="XDA11" s="28"/>
      <c r="XDB11" s="28"/>
      <c r="XDC11" s="28"/>
      <c r="XDD11" s="28"/>
      <c r="XDE11" s="28"/>
      <c r="XDF11" s="28"/>
      <c r="XDG11" s="28"/>
      <c r="XDH11" s="28"/>
      <c r="XDI11" s="28"/>
      <c r="XDJ11" s="28"/>
      <c r="XDK11" s="28"/>
      <c r="XDL11" s="28"/>
      <c r="XDM11" s="28"/>
      <c r="XDN11" s="28"/>
      <c r="XDO11" s="28"/>
      <c r="XDP11" s="28"/>
      <c r="XDQ11" s="28"/>
      <c r="XDR11" s="28"/>
      <c r="XDS11" s="28"/>
      <c r="XDT11" s="28"/>
      <c r="XDU11" s="28"/>
      <c r="XDV11" s="28"/>
      <c r="XDW11" s="28"/>
      <c r="XDX11" s="28"/>
      <c r="XDY11" s="28"/>
      <c r="XDZ11" s="28"/>
      <c r="XEA11" s="28"/>
      <c r="XEB11" s="28"/>
      <c r="XEC11" s="28"/>
      <c r="XED11" s="28"/>
      <c r="XEE11" s="28"/>
      <c r="XEF11" s="28"/>
      <c r="XEG11" s="28"/>
      <c r="XEH11" s="28"/>
      <c r="XEI11" s="28"/>
      <c r="XEJ11" s="28"/>
      <c r="XEK11" s="28"/>
      <c r="XEL11" s="28"/>
      <c r="XEM11" s="28"/>
      <c r="XEN11" s="28"/>
      <c r="XEO11" s="28"/>
      <c r="XEP11" s="28"/>
      <c r="XEQ11" s="28"/>
      <c r="XER11" s="28"/>
      <c r="XES11" s="28"/>
      <c r="XET11" s="28"/>
      <c r="XEU11" s="28"/>
      <c r="XEV11" s="28"/>
      <c r="XEW11" s="28"/>
      <c r="XEX11" s="28"/>
      <c r="XEY11" s="28"/>
      <c r="XEZ11" s="28"/>
      <c r="XFA11" s="28"/>
      <c r="XFB11" s="28"/>
    </row>
    <row r="12" spans="1:16383" ht="60" x14ac:dyDescent="0.25">
      <c r="A12" s="35" t="s">
        <v>358</v>
      </c>
      <c r="B12" s="59">
        <v>440209</v>
      </c>
      <c r="C12" s="33" t="s">
        <v>844</v>
      </c>
      <c r="D12" s="36" t="s">
        <v>359</v>
      </c>
      <c r="E12" s="36"/>
      <c r="F12" s="37"/>
      <c r="G12" s="36" t="s">
        <v>219</v>
      </c>
      <c r="H12" s="33" t="s">
        <v>371</v>
      </c>
      <c r="I12" s="169">
        <v>11700980000</v>
      </c>
      <c r="J12" s="38" t="s">
        <v>362</v>
      </c>
      <c r="K12" s="28"/>
      <c r="L12" s="28"/>
    </row>
    <row r="13" spans="1:16383" ht="60" x14ac:dyDescent="0.25">
      <c r="A13" s="35" t="s">
        <v>358</v>
      </c>
      <c r="B13" s="59">
        <v>440209</v>
      </c>
      <c r="C13" s="33" t="s">
        <v>844</v>
      </c>
      <c r="D13" s="36" t="s">
        <v>359</v>
      </c>
      <c r="E13" s="36"/>
      <c r="F13" s="37"/>
      <c r="G13" s="36" t="s">
        <v>219</v>
      </c>
      <c r="H13" s="33" t="s">
        <v>371</v>
      </c>
      <c r="I13" s="169">
        <v>850000000</v>
      </c>
      <c r="J13" s="38" t="s">
        <v>369</v>
      </c>
      <c r="K13" s="28"/>
      <c r="L13" s="28"/>
    </row>
    <row r="14" spans="1:16383" ht="60" x14ac:dyDescent="0.25">
      <c r="A14" s="35" t="s">
        <v>358</v>
      </c>
      <c r="B14" s="59">
        <v>440209</v>
      </c>
      <c r="C14" s="33" t="s">
        <v>844</v>
      </c>
      <c r="D14" s="36" t="s">
        <v>359</v>
      </c>
      <c r="E14" s="36"/>
      <c r="F14" s="37"/>
      <c r="G14" s="36" t="s">
        <v>219</v>
      </c>
      <c r="H14" s="33" t="s">
        <v>371</v>
      </c>
      <c r="I14" s="169">
        <v>45000000</v>
      </c>
      <c r="J14" s="38" t="s">
        <v>370</v>
      </c>
      <c r="K14" s="28"/>
      <c r="L14" s="28"/>
    </row>
    <row r="15" spans="1:16383" ht="60" x14ac:dyDescent="0.25">
      <c r="A15" s="35" t="s">
        <v>388</v>
      </c>
      <c r="B15" s="59">
        <v>440209</v>
      </c>
      <c r="C15" s="33" t="s">
        <v>844</v>
      </c>
      <c r="D15" s="36" t="s">
        <v>873</v>
      </c>
      <c r="E15" s="36"/>
      <c r="F15" s="37"/>
      <c r="G15" s="36" t="s">
        <v>372</v>
      </c>
      <c r="H15" s="33" t="s">
        <v>373</v>
      </c>
      <c r="I15" s="168">
        <v>913420000</v>
      </c>
      <c r="J15" s="38" t="s">
        <v>362</v>
      </c>
      <c r="K15" s="28"/>
      <c r="L15" s="28"/>
    </row>
    <row r="16" spans="1:16383" ht="60" x14ac:dyDescent="0.25">
      <c r="A16" s="35" t="s">
        <v>388</v>
      </c>
      <c r="B16" s="59">
        <v>440209</v>
      </c>
      <c r="C16" s="33" t="s">
        <v>844</v>
      </c>
      <c r="D16" s="36" t="s">
        <v>873</v>
      </c>
      <c r="E16" s="36"/>
      <c r="F16" s="37"/>
      <c r="G16" s="36" t="s">
        <v>372</v>
      </c>
      <c r="H16" s="33" t="s">
        <v>373</v>
      </c>
      <c r="I16" s="168">
        <v>1398808</v>
      </c>
      <c r="J16" s="38" t="s">
        <v>370</v>
      </c>
      <c r="K16" s="28"/>
      <c r="L16" s="28"/>
    </row>
    <row r="17" spans="1:12" ht="45" x14ac:dyDescent="0.25">
      <c r="A17" s="35" t="s">
        <v>388</v>
      </c>
      <c r="B17" s="59">
        <v>440209</v>
      </c>
      <c r="C17" s="33" t="s">
        <v>844</v>
      </c>
      <c r="D17" s="36" t="s">
        <v>873</v>
      </c>
      <c r="E17" s="36"/>
      <c r="F17" s="37"/>
      <c r="G17" s="36" t="s">
        <v>372</v>
      </c>
      <c r="H17" s="33" t="s">
        <v>373</v>
      </c>
      <c r="I17" s="168">
        <v>325363000</v>
      </c>
      <c r="J17" s="38" t="s">
        <v>369</v>
      </c>
      <c r="K17" s="28"/>
      <c r="L17" s="28"/>
    </row>
    <row r="18" spans="1:12" ht="60" x14ac:dyDescent="0.25">
      <c r="A18" s="35" t="s">
        <v>358</v>
      </c>
      <c r="B18" s="59">
        <v>440209</v>
      </c>
      <c r="C18" s="33" t="s">
        <v>844</v>
      </c>
      <c r="D18" s="36" t="s">
        <v>359</v>
      </c>
      <c r="E18" s="36"/>
      <c r="F18" s="37"/>
      <c r="G18" s="37" t="s">
        <v>374</v>
      </c>
      <c r="H18" s="33" t="s">
        <v>375</v>
      </c>
      <c r="I18" s="169">
        <v>2051881000</v>
      </c>
      <c r="J18" s="38" t="s">
        <v>362</v>
      </c>
      <c r="K18" s="28"/>
      <c r="L18" s="28"/>
    </row>
    <row r="19" spans="1:12" ht="45" x14ac:dyDescent="0.25">
      <c r="A19" s="35" t="s">
        <v>358</v>
      </c>
      <c r="B19" s="59">
        <v>440209</v>
      </c>
      <c r="C19" s="33" t="s">
        <v>844</v>
      </c>
      <c r="D19" s="36" t="s">
        <v>359</v>
      </c>
      <c r="E19" s="36"/>
      <c r="F19" s="37"/>
      <c r="G19" s="37" t="s">
        <v>374</v>
      </c>
      <c r="H19" s="33" t="s">
        <v>375</v>
      </c>
      <c r="I19" s="169">
        <v>18693887210</v>
      </c>
      <c r="J19" s="38" t="s">
        <v>365</v>
      </c>
      <c r="K19" s="28"/>
      <c r="L19" s="28"/>
    </row>
    <row r="20" spans="1:12" ht="45" x14ac:dyDescent="0.25">
      <c r="A20" s="35" t="s">
        <v>358</v>
      </c>
      <c r="B20" s="59">
        <v>440209</v>
      </c>
      <c r="C20" s="33" t="s">
        <v>844</v>
      </c>
      <c r="D20" s="36" t="s">
        <v>359</v>
      </c>
      <c r="E20" s="36"/>
      <c r="F20" s="37"/>
      <c r="G20" s="37" t="s">
        <v>374</v>
      </c>
      <c r="H20" s="33" t="s">
        <v>375</v>
      </c>
      <c r="I20" s="169">
        <v>277372000</v>
      </c>
      <c r="J20" s="38" t="s">
        <v>369</v>
      </c>
      <c r="K20" s="28"/>
      <c r="L20" s="28"/>
    </row>
    <row r="21" spans="1:12" ht="60" x14ac:dyDescent="0.25">
      <c r="A21" s="35" t="s">
        <v>358</v>
      </c>
      <c r="B21" s="59">
        <v>440209</v>
      </c>
      <c r="C21" s="33" t="s">
        <v>844</v>
      </c>
      <c r="D21" s="36" t="s">
        <v>359</v>
      </c>
      <c r="E21" s="36"/>
      <c r="F21" s="37"/>
      <c r="G21" s="37" t="s">
        <v>376</v>
      </c>
      <c r="H21" s="33" t="s">
        <v>199</v>
      </c>
      <c r="I21" s="168">
        <v>971662470</v>
      </c>
      <c r="J21" s="38" t="s">
        <v>365</v>
      </c>
      <c r="K21" s="28"/>
      <c r="L21" s="28"/>
    </row>
    <row r="22" spans="1:12" ht="60" x14ac:dyDescent="0.25">
      <c r="A22" s="35" t="s">
        <v>358</v>
      </c>
      <c r="B22" s="59">
        <v>440209</v>
      </c>
      <c r="C22" s="33" t="s">
        <v>844</v>
      </c>
      <c r="D22" s="36" t="s">
        <v>359</v>
      </c>
      <c r="E22" s="36"/>
      <c r="F22" s="37"/>
      <c r="G22" s="37" t="s">
        <v>376</v>
      </c>
      <c r="H22" s="33" t="s">
        <v>199</v>
      </c>
      <c r="I22" s="168">
        <v>622430000</v>
      </c>
      <c r="J22" s="38" t="s">
        <v>362</v>
      </c>
      <c r="K22" s="28"/>
      <c r="L22" s="28"/>
    </row>
    <row r="23" spans="1:12" ht="60" x14ac:dyDescent="0.25">
      <c r="A23" s="35" t="s">
        <v>358</v>
      </c>
      <c r="B23" s="59">
        <v>440209</v>
      </c>
      <c r="C23" s="33" t="s">
        <v>844</v>
      </c>
      <c r="D23" s="36" t="s">
        <v>359</v>
      </c>
      <c r="E23" s="36"/>
      <c r="F23" s="37"/>
      <c r="G23" s="37" t="s">
        <v>376</v>
      </c>
      <c r="H23" s="33" t="s">
        <v>199</v>
      </c>
      <c r="I23" s="168">
        <v>153882000</v>
      </c>
      <c r="J23" s="38" t="s">
        <v>369</v>
      </c>
      <c r="K23" s="28"/>
      <c r="L23" s="28"/>
    </row>
    <row r="24" spans="1:12" ht="60" x14ac:dyDescent="0.25">
      <c r="A24" s="35" t="s">
        <v>358</v>
      </c>
      <c r="B24" s="59">
        <v>440209</v>
      </c>
      <c r="C24" s="33" t="s">
        <v>844</v>
      </c>
      <c r="D24" s="36" t="s">
        <v>359</v>
      </c>
      <c r="E24" s="36"/>
      <c r="F24" s="37"/>
      <c r="G24" s="37" t="s">
        <v>377</v>
      </c>
      <c r="H24" s="33" t="s">
        <v>378</v>
      </c>
      <c r="I24" s="169">
        <v>2000000</v>
      </c>
      <c r="J24" s="38" t="s">
        <v>369</v>
      </c>
      <c r="K24" s="28"/>
      <c r="L24" s="28"/>
    </row>
    <row r="25" spans="1:12" ht="60" x14ac:dyDescent="0.25">
      <c r="A25" s="35" t="s">
        <v>358</v>
      </c>
      <c r="B25" s="59">
        <v>440209</v>
      </c>
      <c r="C25" s="33" t="s">
        <v>844</v>
      </c>
      <c r="D25" s="36" t="s">
        <v>359</v>
      </c>
      <c r="E25" s="36"/>
      <c r="F25" s="37"/>
      <c r="G25" s="37" t="s">
        <v>377</v>
      </c>
      <c r="H25" s="33" t="s">
        <v>378</v>
      </c>
      <c r="I25" s="169">
        <v>241677000</v>
      </c>
      <c r="J25" s="38" t="s">
        <v>362</v>
      </c>
      <c r="K25" s="28"/>
      <c r="L25" s="28"/>
    </row>
    <row r="26" spans="1:12" ht="60" x14ac:dyDescent="0.25">
      <c r="A26" s="35" t="s">
        <v>358</v>
      </c>
      <c r="B26" s="59">
        <v>440209</v>
      </c>
      <c r="C26" s="33" t="s">
        <v>844</v>
      </c>
      <c r="D26" s="36" t="s">
        <v>359</v>
      </c>
      <c r="E26" s="36"/>
      <c r="F26" s="37"/>
      <c r="G26" s="37" t="s">
        <v>379</v>
      </c>
      <c r="H26" s="33" t="s">
        <v>380</v>
      </c>
      <c r="I26" s="168">
        <v>420965000</v>
      </c>
      <c r="J26" s="38" t="s">
        <v>362</v>
      </c>
      <c r="K26" s="28"/>
      <c r="L26" s="28"/>
    </row>
    <row r="27" spans="1:12" ht="60" x14ac:dyDescent="0.25">
      <c r="A27" s="35" t="s">
        <v>358</v>
      </c>
      <c r="B27" s="59">
        <v>440209</v>
      </c>
      <c r="C27" s="33" t="s">
        <v>844</v>
      </c>
      <c r="D27" s="36" t="s">
        <v>359</v>
      </c>
      <c r="E27" s="36"/>
      <c r="F27" s="37"/>
      <c r="G27" s="37" t="s">
        <v>379</v>
      </c>
      <c r="H27" s="33" t="s">
        <v>380</v>
      </c>
      <c r="I27" s="168">
        <v>6000000</v>
      </c>
      <c r="J27" s="38" t="s">
        <v>369</v>
      </c>
      <c r="K27" s="28"/>
      <c r="L27" s="28"/>
    </row>
    <row r="28" spans="1:12" ht="45" x14ac:dyDescent="0.25">
      <c r="A28" s="35" t="s">
        <v>381</v>
      </c>
      <c r="B28" s="59">
        <v>440202</v>
      </c>
      <c r="C28" s="33" t="s">
        <v>846</v>
      </c>
      <c r="D28" s="36" t="s">
        <v>382</v>
      </c>
      <c r="E28" s="36"/>
      <c r="F28" s="37"/>
      <c r="G28" s="37" t="s">
        <v>233</v>
      </c>
      <c r="H28" s="33" t="s">
        <v>383</v>
      </c>
      <c r="I28" s="169">
        <v>10000000</v>
      </c>
      <c r="J28" s="38" t="s">
        <v>369</v>
      </c>
      <c r="K28" s="28"/>
      <c r="L28" s="28"/>
    </row>
    <row r="29" spans="1:12" ht="60" x14ac:dyDescent="0.25">
      <c r="A29" s="35" t="s">
        <v>381</v>
      </c>
      <c r="B29" s="59">
        <v>440202</v>
      </c>
      <c r="C29" s="33" t="s">
        <v>846</v>
      </c>
      <c r="D29" s="36" t="s">
        <v>382</v>
      </c>
      <c r="E29" s="36"/>
      <c r="F29" s="37"/>
      <c r="G29" s="37" t="s">
        <v>233</v>
      </c>
      <c r="H29" s="33" t="s">
        <v>383</v>
      </c>
      <c r="I29" s="169">
        <v>13161077</v>
      </c>
      <c r="J29" s="38" t="s">
        <v>370</v>
      </c>
      <c r="K29" s="28"/>
      <c r="L29" s="28"/>
    </row>
    <row r="30" spans="1:12" ht="60" x14ac:dyDescent="0.25">
      <c r="A30" s="35" t="s">
        <v>381</v>
      </c>
      <c r="B30" s="59">
        <v>440202</v>
      </c>
      <c r="C30" s="33" t="s">
        <v>846</v>
      </c>
      <c r="D30" s="36" t="s">
        <v>382</v>
      </c>
      <c r="E30" s="36"/>
      <c r="F30" s="37"/>
      <c r="G30" s="37" t="s">
        <v>233</v>
      </c>
      <c r="H30" s="33" t="s">
        <v>383</v>
      </c>
      <c r="I30" s="169">
        <v>942561400</v>
      </c>
      <c r="J30" s="38" t="s">
        <v>362</v>
      </c>
      <c r="K30" s="28"/>
      <c r="L30" s="28"/>
    </row>
    <row r="31" spans="1:12" ht="60" x14ac:dyDescent="0.25">
      <c r="A31" s="35" t="s">
        <v>384</v>
      </c>
      <c r="B31" s="176">
        <v>440207</v>
      </c>
      <c r="C31" s="177" t="s">
        <v>845</v>
      </c>
      <c r="D31" s="36" t="s">
        <v>385</v>
      </c>
      <c r="E31" s="36"/>
      <c r="F31" s="37"/>
      <c r="G31" s="36" t="s">
        <v>386</v>
      </c>
      <c r="H31" s="33" t="s">
        <v>387</v>
      </c>
      <c r="I31" s="168">
        <v>3101676500</v>
      </c>
      <c r="J31" s="38" t="s">
        <v>362</v>
      </c>
      <c r="K31" s="28"/>
      <c r="L31" s="28"/>
    </row>
    <row r="32" spans="1:12" ht="60" x14ac:dyDescent="0.25">
      <c r="A32" s="35" t="s">
        <v>384</v>
      </c>
      <c r="B32" s="176">
        <v>440207</v>
      </c>
      <c r="C32" s="177" t="s">
        <v>845</v>
      </c>
      <c r="D32" s="36" t="s">
        <v>385</v>
      </c>
      <c r="E32" s="36"/>
      <c r="F32" s="37"/>
      <c r="G32" s="36" t="s">
        <v>386</v>
      </c>
      <c r="H32" s="33" t="s">
        <v>387</v>
      </c>
      <c r="I32" s="168">
        <v>55778038</v>
      </c>
      <c r="J32" s="38" t="s">
        <v>370</v>
      </c>
      <c r="K32" s="28"/>
      <c r="L32" s="28"/>
    </row>
    <row r="33" spans="1:12" ht="45" x14ac:dyDescent="0.25">
      <c r="A33" s="35" t="s">
        <v>384</v>
      </c>
      <c r="B33" s="176">
        <v>440207</v>
      </c>
      <c r="C33" s="177" t="s">
        <v>845</v>
      </c>
      <c r="D33" s="36" t="s">
        <v>385</v>
      </c>
      <c r="E33" s="36"/>
      <c r="F33" s="37"/>
      <c r="G33" s="36" t="s">
        <v>386</v>
      </c>
      <c r="H33" s="33" t="s">
        <v>387</v>
      </c>
      <c r="I33" s="168">
        <v>819797000</v>
      </c>
      <c r="J33" s="38" t="s">
        <v>369</v>
      </c>
      <c r="K33" s="28"/>
      <c r="L33" s="28"/>
    </row>
    <row r="34" spans="1:12" ht="45" x14ac:dyDescent="0.25">
      <c r="A34" s="35" t="s">
        <v>384</v>
      </c>
      <c r="B34" s="176">
        <v>440207</v>
      </c>
      <c r="C34" s="177" t="s">
        <v>845</v>
      </c>
      <c r="D34" s="36" t="s">
        <v>385</v>
      </c>
      <c r="E34" s="36"/>
      <c r="F34" s="37"/>
      <c r="G34" s="36" t="s">
        <v>386</v>
      </c>
      <c r="H34" s="33" t="s">
        <v>387</v>
      </c>
      <c r="I34" s="168">
        <v>867500000</v>
      </c>
      <c r="J34" s="38" t="s">
        <v>365</v>
      </c>
      <c r="K34" s="28"/>
      <c r="L34" s="28"/>
    </row>
    <row r="35" spans="1:12" ht="60" x14ac:dyDescent="0.25">
      <c r="A35" s="35" t="s">
        <v>388</v>
      </c>
      <c r="B35" s="59">
        <v>440202</v>
      </c>
      <c r="C35" s="33" t="s">
        <v>846</v>
      </c>
      <c r="D35" s="36" t="s">
        <v>389</v>
      </c>
      <c r="E35" s="36"/>
      <c r="F35" s="37"/>
      <c r="G35" s="32" t="s">
        <v>262</v>
      </c>
      <c r="H35" s="33" t="s">
        <v>390</v>
      </c>
      <c r="I35" s="169">
        <v>715633678</v>
      </c>
      <c r="J35" s="38" t="s">
        <v>362</v>
      </c>
      <c r="K35" s="28"/>
      <c r="L35" s="28"/>
    </row>
    <row r="36" spans="1:12" ht="60" x14ac:dyDescent="0.25">
      <c r="A36" s="35" t="s">
        <v>391</v>
      </c>
      <c r="B36" s="59">
        <v>440202</v>
      </c>
      <c r="C36" s="33" t="s">
        <v>846</v>
      </c>
      <c r="D36" s="36" t="s">
        <v>392</v>
      </c>
      <c r="E36" s="36"/>
      <c r="F36" s="37"/>
      <c r="G36" s="36" t="s">
        <v>257</v>
      </c>
      <c r="H36" s="33" t="s">
        <v>393</v>
      </c>
      <c r="I36" s="168">
        <v>1887616292</v>
      </c>
      <c r="J36" s="38" t="s">
        <v>362</v>
      </c>
      <c r="K36" s="28"/>
      <c r="L36" s="28"/>
    </row>
    <row r="37" spans="1:12" ht="60" x14ac:dyDescent="0.25">
      <c r="A37" s="35" t="s">
        <v>391</v>
      </c>
      <c r="B37" s="59">
        <v>440202</v>
      </c>
      <c r="C37" s="33" t="s">
        <v>846</v>
      </c>
      <c r="D37" s="36" t="s">
        <v>392</v>
      </c>
      <c r="E37" s="36"/>
      <c r="F37" s="37"/>
      <c r="G37" s="36" t="s">
        <v>257</v>
      </c>
      <c r="H37" s="33" t="s">
        <v>393</v>
      </c>
      <c r="I37" s="168">
        <v>8000000</v>
      </c>
      <c r="J37" s="38" t="s">
        <v>369</v>
      </c>
      <c r="K37" s="28"/>
      <c r="L37" s="28"/>
    </row>
    <row r="38" spans="1:12" ht="60" x14ac:dyDescent="0.25">
      <c r="A38" s="35" t="s">
        <v>366</v>
      </c>
      <c r="B38" s="59">
        <v>440202</v>
      </c>
      <c r="C38" s="33" t="s">
        <v>846</v>
      </c>
      <c r="D38" s="41" t="s">
        <v>394</v>
      </c>
      <c r="E38" s="41"/>
      <c r="F38" s="41"/>
      <c r="G38" s="36" t="s">
        <v>255</v>
      </c>
      <c r="H38" s="33" t="s">
        <v>395</v>
      </c>
      <c r="I38" s="169">
        <v>7321994470</v>
      </c>
      <c r="J38" s="38" t="s">
        <v>362</v>
      </c>
      <c r="K38" s="28"/>
      <c r="L38" s="28"/>
    </row>
    <row r="39" spans="1:12" ht="45" x14ac:dyDescent="0.25">
      <c r="A39" s="35" t="s">
        <v>366</v>
      </c>
      <c r="B39" s="59">
        <v>440202</v>
      </c>
      <c r="C39" s="33" t="s">
        <v>846</v>
      </c>
      <c r="D39" s="36" t="s">
        <v>394</v>
      </c>
      <c r="E39" s="36"/>
      <c r="F39" s="37"/>
      <c r="G39" s="36" t="s">
        <v>255</v>
      </c>
      <c r="H39" s="33" t="s">
        <v>395</v>
      </c>
      <c r="I39" s="169">
        <v>10193204969</v>
      </c>
      <c r="J39" s="38" t="s">
        <v>369</v>
      </c>
      <c r="K39" s="28"/>
      <c r="L39" s="28"/>
    </row>
    <row r="40" spans="1:12" ht="45" x14ac:dyDescent="0.25">
      <c r="A40" s="35" t="s">
        <v>366</v>
      </c>
      <c r="B40" s="59">
        <v>440202</v>
      </c>
      <c r="C40" s="33" t="s">
        <v>846</v>
      </c>
      <c r="D40" s="36" t="s">
        <v>394</v>
      </c>
      <c r="E40" s="36"/>
      <c r="F40" s="37"/>
      <c r="G40" s="36" t="s">
        <v>255</v>
      </c>
      <c r="H40" s="33" t="s">
        <v>395</v>
      </c>
      <c r="I40" s="169">
        <v>18095604699</v>
      </c>
      <c r="J40" s="38" t="s">
        <v>365</v>
      </c>
      <c r="K40" s="28"/>
      <c r="L40" s="28"/>
    </row>
    <row r="41" spans="1:12" ht="60" x14ac:dyDescent="0.25">
      <c r="A41" s="35" t="s">
        <v>366</v>
      </c>
      <c r="B41" s="59">
        <v>440202</v>
      </c>
      <c r="C41" s="33" t="s">
        <v>846</v>
      </c>
      <c r="D41" s="36" t="s">
        <v>394</v>
      </c>
      <c r="E41" s="36"/>
      <c r="F41" s="37"/>
      <c r="G41" s="36" t="s">
        <v>255</v>
      </c>
      <c r="H41" s="33" t="s">
        <v>395</v>
      </c>
      <c r="I41" s="169">
        <v>1129224573</v>
      </c>
      <c r="J41" s="38" t="s">
        <v>370</v>
      </c>
      <c r="K41" s="28"/>
      <c r="L41" s="28"/>
    </row>
    <row r="42" spans="1:12" ht="60" x14ac:dyDescent="0.25">
      <c r="A42" s="35" t="s">
        <v>396</v>
      </c>
      <c r="B42" s="59">
        <v>440205</v>
      </c>
      <c r="C42" s="33" t="s">
        <v>847</v>
      </c>
      <c r="D42" s="36" t="s">
        <v>397</v>
      </c>
      <c r="E42" s="36"/>
      <c r="F42" s="36"/>
      <c r="G42" s="36" t="s">
        <v>398</v>
      </c>
      <c r="H42" s="33" t="s">
        <v>399</v>
      </c>
      <c r="I42" s="168">
        <v>1286897150</v>
      </c>
      <c r="J42" s="38" t="s">
        <v>370</v>
      </c>
      <c r="K42" s="28"/>
      <c r="L42" s="28"/>
    </row>
    <row r="43" spans="1:12" ht="60" x14ac:dyDescent="0.25">
      <c r="A43" s="35" t="s">
        <v>396</v>
      </c>
      <c r="B43" s="59">
        <v>440205</v>
      </c>
      <c r="C43" s="33" t="s">
        <v>847</v>
      </c>
      <c r="D43" s="36" t="s">
        <v>397</v>
      </c>
      <c r="E43" s="36"/>
      <c r="F43" s="36"/>
      <c r="G43" s="36" t="s">
        <v>398</v>
      </c>
      <c r="H43" s="33" t="s">
        <v>399</v>
      </c>
      <c r="I43" s="168">
        <v>4988466196</v>
      </c>
      <c r="J43" s="38" t="s">
        <v>369</v>
      </c>
      <c r="K43" s="28"/>
      <c r="L43" s="28"/>
    </row>
    <row r="44" spans="1:12" ht="60" x14ac:dyDescent="0.25">
      <c r="A44" s="35" t="s">
        <v>400</v>
      </c>
      <c r="B44" s="59">
        <v>440202</v>
      </c>
      <c r="C44" s="33" t="s">
        <v>846</v>
      </c>
      <c r="D44" s="36" t="s">
        <v>401</v>
      </c>
      <c r="E44" s="36"/>
      <c r="F44" s="37"/>
      <c r="G44" s="36" t="s">
        <v>402</v>
      </c>
      <c r="H44" s="33" t="s">
        <v>403</v>
      </c>
      <c r="I44" s="169">
        <v>6000000</v>
      </c>
      <c r="J44" s="38" t="s">
        <v>369</v>
      </c>
      <c r="K44" s="28"/>
      <c r="L44" s="28"/>
    </row>
    <row r="45" spans="1:12" ht="60" x14ac:dyDescent="0.25">
      <c r="A45" s="35" t="s">
        <v>400</v>
      </c>
      <c r="B45" s="59">
        <v>440202</v>
      </c>
      <c r="C45" s="33" t="s">
        <v>846</v>
      </c>
      <c r="D45" s="36" t="s">
        <v>401</v>
      </c>
      <c r="E45" s="36"/>
      <c r="F45" s="37"/>
      <c r="G45" s="36" t="s">
        <v>402</v>
      </c>
      <c r="H45" s="33" t="s">
        <v>403</v>
      </c>
      <c r="I45" s="169">
        <v>822986394</v>
      </c>
      <c r="J45" s="38" t="s">
        <v>362</v>
      </c>
      <c r="K45" s="28"/>
      <c r="L45" s="28"/>
    </row>
    <row r="46" spans="1:12" ht="60" x14ac:dyDescent="0.25">
      <c r="A46" s="35" t="s">
        <v>400</v>
      </c>
      <c r="B46" s="59">
        <v>440202</v>
      </c>
      <c r="C46" s="33" t="s">
        <v>846</v>
      </c>
      <c r="D46" s="36" t="s">
        <v>404</v>
      </c>
      <c r="E46" s="36"/>
      <c r="F46" s="37"/>
      <c r="G46" s="36" t="s">
        <v>235</v>
      </c>
      <c r="H46" s="33" t="s">
        <v>405</v>
      </c>
      <c r="I46" s="168">
        <v>526797600</v>
      </c>
      <c r="J46" s="38" t="s">
        <v>362</v>
      </c>
      <c r="K46" s="28"/>
      <c r="L46" s="28"/>
    </row>
    <row r="47" spans="1:12" ht="60" x14ac:dyDescent="0.25">
      <c r="A47" s="35" t="s">
        <v>400</v>
      </c>
      <c r="B47" s="59">
        <v>440202</v>
      </c>
      <c r="C47" s="33" t="s">
        <v>846</v>
      </c>
      <c r="D47" s="36" t="s">
        <v>404</v>
      </c>
      <c r="E47" s="36"/>
      <c r="F47" s="37"/>
      <c r="G47" s="36" t="s">
        <v>235</v>
      </c>
      <c r="H47" s="33" t="s">
        <v>405</v>
      </c>
      <c r="I47" s="168">
        <v>3000000</v>
      </c>
      <c r="J47" s="38" t="s">
        <v>369</v>
      </c>
      <c r="K47" s="28"/>
      <c r="L47" s="28"/>
    </row>
    <row r="48" spans="1:12" ht="60" x14ac:dyDescent="0.25">
      <c r="A48" s="35" t="s">
        <v>406</v>
      </c>
      <c r="B48" s="59">
        <v>440205</v>
      </c>
      <c r="C48" s="33" t="s">
        <v>847</v>
      </c>
      <c r="D48" s="36" t="s">
        <v>407</v>
      </c>
      <c r="E48" s="36"/>
      <c r="F48" s="37"/>
      <c r="G48" s="36" t="s">
        <v>408</v>
      </c>
      <c r="H48" s="33" t="s">
        <v>286</v>
      </c>
      <c r="I48" s="169">
        <v>13169030547</v>
      </c>
      <c r="J48" s="38" t="s">
        <v>369</v>
      </c>
      <c r="K48" s="28"/>
      <c r="L48" s="28"/>
    </row>
    <row r="49" spans="1:12" ht="60" x14ac:dyDescent="0.25">
      <c r="A49" s="35" t="s">
        <v>406</v>
      </c>
      <c r="B49" s="59">
        <v>440205</v>
      </c>
      <c r="C49" s="33" t="s">
        <v>847</v>
      </c>
      <c r="D49" s="36" t="s">
        <v>407</v>
      </c>
      <c r="E49" s="36"/>
      <c r="F49" s="37"/>
      <c r="G49" s="36" t="s">
        <v>408</v>
      </c>
      <c r="H49" s="33" t="s">
        <v>286</v>
      </c>
      <c r="I49" s="169">
        <v>106171000</v>
      </c>
      <c r="J49" s="38" t="s">
        <v>362</v>
      </c>
      <c r="K49" s="28"/>
      <c r="L49" s="28"/>
    </row>
    <row r="50" spans="1:12" ht="60" x14ac:dyDescent="0.25">
      <c r="A50" s="35" t="s">
        <v>406</v>
      </c>
      <c r="B50" s="59">
        <v>440205</v>
      </c>
      <c r="C50" s="33" t="s">
        <v>847</v>
      </c>
      <c r="D50" s="36" t="s">
        <v>407</v>
      </c>
      <c r="E50" s="36"/>
      <c r="F50" s="37"/>
      <c r="G50" s="36" t="s">
        <v>408</v>
      </c>
      <c r="H50" s="33" t="s">
        <v>286</v>
      </c>
      <c r="I50" s="169">
        <v>20907911232</v>
      </c>
      <c r="J50" s="38" t="s">
        <v>370</v>
      </c>
      <c r="K50" s="28"/>
      <c r="L50" s="28"/>
    </row>
    <row r="51" spans="1:12" ht="60" x14ac:dyDescent="0.25">
      <c r="A51" s="35" t="s">
        <v>406</v>
      </c>
      <c r="B51" s="59">
        <v>440205</v>
      </c>
      <c r="C51" s="33" t="s">
        <v>847</v>
      </c>
      <c r="D51" s="36" t="s">
        <v>407</v>
      </c>
      <c r="E51" s="36"/>
      <c r="F51" s="37"/>
      <c r="G51" s="36" t="s">
        <v>408</v>
      </c>
      <c r="H51" s="33" t="s">
        <v>286</v>
      </c>
      <c r="I51" s="169">
        <v>35899521373</v>
      </c>
      <c r="J51" s="38" t="s">
        <v>365</v>
      </c>
      <c r="K51" s="28"/>
      <c r="L51" s="28"/>
    </row>
    <row r="52" spans="1:12" ht="60" x14ac:dyDescent="0.25">
      <c r="A52" s="35" t="s">
        <v>406</v>
      </c>
      <c r="B52" s="59">
        <v>440205</v>
      </c>
      <c r="C52" s="33" t="s">
        <v>874</v>
      </c>
      <c r="D52" s="36" t="s">
        <v>407</v>
      </c>
      <c r="E52" s="36"/>
      <c r="F52" s="37"/>
      <c r="G52" s="36" t="s">
        <v>409</v>
      </c>
      <c r="H52" s="33" t="s">
        <v>410</v>
      </c>
      <c r="I52" s="168">
        <v>706677000</v>
      </c>
      <c r="J52" s="38" t="s">
        <v>369</v>
      </c>
      <c r="K52" s="28"/>
      <c r="L52" s="28"/>
    </row>
    <row r="53" spans="1:12" ht="60" x14ac:dyDescent="0.25">
      <c r="A53" s="35" t="s">
        <v>406</v>
      </c>
      <c r="B53" s="59">
        <v>440205</v>
      </c>
      <c r="C53" s="33" t="s">
        <v>847</v>
      </c>
      <c r="D53" s="36" t="s">
        <v>407</v>
      </c>
      <c r="E53" s="36"/>
      <c r="F53" s="37"/>
      <c r="G53" s="36" t="s">
        <v>411</v>
      </c>
      <c r="H53" s="33" t="s">
        <v>412</v>
      </c>
      <c r="I53" s="169">
        <v>6545790000</v>
      </c>
      <c r="J53" s="38" t="s">
        <v>369</v>
      </c>
      <c r="K53" s="28"/>
      <c r="L53" s="28"/>
    </row>
    <row r="54" spans="1:12" ht="60" x14ac:dyDescent="0.25">
      <c r="A54" s="35" t="s">
        <v>406</v>
      </c>
      <c r="B54" s="59">
        <v>440204</v>
      </c>
      <c r="C54" s="33" t="s">
        <v>848</v>
      </c>
      <c r="D54" s="36" t="s">
        <v>407</v>
      </c>
      <c r="E54" s="36"/>
      <c r="F54" s="37"/>
      <c r="G54" s="36" t="s">
        <v>171</v>
      </c>
      <c r="H54" s="33" t="s">
        <v>413</v>
      </c>
      <c r="I54" s="168">
        <v>30000000</v>
      </c>
      <c r="J54" s="38" t="s">
        <v>369</v>
      </c>
      <c r="K54" s="491"/>
      <c r="L54" s="28"/>
    </row>
    <row r="55" spans="1:12" ht="60" x14ac:dyDescent="0.25">
      <c r="A55" s="42" t="s">
        <v>406</v>
      </c>
      <c r="B55" s="59">
        <v>440202</v>
      </c>
      <c r="C55" s="33" t="s">
        <v>846</v>
      </c>
      <c r="D55" s="39" t="s">
        <v>407</v>
      </c>
      <c r="E55" s="36"/>
      <c r="F55" s="37"/>
      <c r="G55" s="36" t="s">
        <v>414</v>
      </c>
      <c r="H55" s="33" t="s">
        <v>415</v>
      </c>
      <c r="I55" s="169">
        <v>4164677000</v>
      </c>
      <c r="J55" s="38" t="s">
        <v>369</v>
      </c>
      <c r="K55" s="491"/>
      <c r="L55" s="28"/>
    </row>
    <row r="56" spans="1:12" ht="60" x14ac:dyDescent="0.25">
      <c r="A56" s="35" t="s">
        <v>406</v>
      </c>
      <c r="B56" s="59">
        <v>440204</v>
      </c>
      <c r="C56" s="33" t="s">
        <v>848</v>
      </c>
      <c r="D56" s="36" t="s">
        <v>407</v>
      </c>
      <c r="E56" s="36"/>
      <c r="F56" s="37"/>
      <c r="G56" s="36" t="s">
        <v>341</v>
      </c>
      <c r="H56" s="33" t="s">
        <v>416</v>
      </c>
      <c r="I56" s="168">
        <v>5067853873</v>
      </c>
      <c r="J56" s="38" t="s">
        <v>369</v>
      </c>
      <c r="K56" s="491"/>
      <c r="L56" s="28"/>
    </row>
    <row r="57" spans="1:12" ht="60" x14ac:dyDescent="0.25">
      <c r="A57" s="35" t="s">
        <v>406</v>
      </c>
      <c r="B57" s="59">
        <v>440204</v>
      </c>
      <c r="C57" s="33" t="s">
        <v>848</v>
      </c>
      <c r="D57" s="36" t="s">
        <v>407</v>
      </c>
      <c r="E57" s="36"/>
      <c r="F57" s="37"/>
      <c r="G57" s="36" t="s">
        <v>341</v>
      </c>
      <c r="H57" s="33" t="s">
        <v>416</v>
      </c>
      <c r="I57" s="168">
        <v>325161210</v>
      </c>
      <c r="J57" s="38" t="s">
        <v>365</v>
      </c>
      <c r="K57" s="491"/>
      <c r="L57" s="28"/>
    </row>
    <row r="58" spans="1:12" ht="60" x14ac:dyDescent="0.25">
      <c r="A58" s="35" t="s">
        <v>406</v>
      </c>
      <c r="B58" s="59">
        <v>440204</v>
      </c>
      <c r="C58" s="33" t="s">
        <v>848</v>
      </c>
      <c r="D58" s="36" t="s">
        <v>407</v>
      </c>
      <c r="E58" s="36"/>
      <c r="F58" s="37"/>
      <c r="G58" s="36" t="s">
        <v>341</v>
      </c>
      <c r="H58" s="33" t="s">
        <v>416</v>
      </c>
      <c r="I58" s="168">
        <v>850228000</v>
      </c>
      <c r="J58" s="38" t="s">
        <v>362</v>
      </c>
      <c r="K58" s="491"/>
      <c r="L58" s="28"/>
    </row>
    <row r="59" spans="1:12" ht="60" x14ac:dyDescent="0.25">
      <c r="A59" s="42" t="s">
        <v>406</v>
      </c>
      <c r="B59" s="59">
        <v>440204</v>
      </c>
      <c r="C59" s="33" t="s">
        <v>848</v>
      </c>
      <c r="D59" s="36" t="s">
        <v>407</v>
      </c>
      <c r="E59" s="36"/>
      <c r="F59" s="37"/>
      <c r="G59" s="36" t="s">
        <v>417</v>
      </c>
      <c r="H59" s="33" t="s">
        <v>418</v>
      </c>
      <c r="I59" s="169">
        <v>1331677000</v>
      </c>
      <c r="J59" s="38" t="s">
        <v>362</v>
      </c>
      <c r="K59" s="491"/>
      <c r="L59" s="28"/>
    </row>
    <row r="60" spans="1:12" ht="60" x14ac:dyDescent="0.25">
      <c r="A60" s="42" t="s">
        <v>406</v>
      </c>
      <c r="B60" s="59">
        <v>440204</v>
      </c>
      <c r="C60" s="33" t="s">
        <v>848</v>
      </c>
      <c r="D60" s="36" t="s">
        <v>407</v>
      </c>
      <c r="E60" s="36"/>
      <c r="F60" s="37"/>
      <c r="G60" s="36" t="s">
        <v>417</v>
      </c>
      <c r="H60" s="33" t="s">
        <v>418</v>
      </c>
      <c r="I60" s="169">
        <v>570000000</v>
      </c>
      <c r="J60" s="38" t="s">
        <v>369</v>
      </c>
      <c r="K60" s="491"/>
      <c r="L60" s="28"/>
    </row>
    <row r="61" spans="1:12" ht="60" x14ac:dyDescent="0.25">
      <c r="A61" s="35" t="s">
        <v>406</v>
      </c>
      <c r="B61" s="59">
        <v>440202</v>
      </c>
      <c r="C61" s="33" t="s">
        <v>846</v>
      </c>
      <c r="D61" s="36" t="s">
        <v>407</v>
      </c>
      <c r="E61" s="36"/>
      <c r="F61" s="37"/>
      <c r="G61" s="36" t="s">
        <v>419</v>
      </c>
      <c r="H61" s="33" t="s">
        <v>420</v>
      </c>
      <c r="I61" s="168">
        <v>6921512459</v>
      </c>
      <c r="J61" s="38" t="s">
        <v>362</v>
      </c>
      <c r="K61" s="491"/>
      <c r="L61" s="28"/>
    </row>
    <row r="62" spans="1:12" ht="60" x14ac:dyDescent="0.25">
      <c r="A62" s="35" t="s">
        <v>406</v>
      </c>
      <c r="B62" s="59">
        <v>440202</v>
      </c>
      <c r="C62" s="33" t="s">
        <v>846</v>
      </c>
      <c r="D62" s="36" t="s">
        <v>407</v>
      </c>
      <c r="E62" s="36"/>
      <c r="F62" s="37"/>
      <c r="G62" s="36" t="s">
        <v>419</v>
      </c>
      <c r="H62" s="33" t="s">
        <v>420</v>
      </c>
      <c r="I62" s="168">
        <v>2240880243</v>
      </c>
      <c r="J62" s="38" t="s">
        <v>370</v>
      </c>
      <c r="K62" s="491"/>
      <c r="L62" s="28"/>
    </row>
    <row r="63" spans="1:12" ht="60" x14ac:dyDescent="0.25">
      <c r="A63" s="35" t="s">
        <v>406</v>
      </c>
      <c r="B63" s="59">
        <v>440202</v>
      </c>
      <c r="C63" s="33" t="s">
        <v>846</v>
      </c>
      <c r="D63" s="36" t="s">
        <v>407</v>
      </c>
      <c r="E63" s="36"/>
      <c r="F63" s="37"/>
      <c r="G63" s="36" t="s">
        <v>419</v>
      </c>
      <c r="H63" s="33" t="s">
        <v>420</v>
      </c>
      <c r="I63" s="168">
        <v>3187500000</v>
      </c>
      <c r="J63" s="38" t="s">
        <v>365</v>
      </c>
      <c r="K63" s="491"/>
      <c r="L63" s="28"/>
    </row>
    <row r="64" spans="1:12" ht="60" x14ac:dyDescent="0.25">
      <c r="A64" s="35" t="s">
        <v>406</v>
      </c>
      <c r="B64" s="59">
        <v>440202</v>
      </c>
      <c r="C64" s="33" t="s">
        <v>846</v>
      </c>
      <c r="D64" s="36" t="s">
        <v>407</v>
      </c>
      <c r="E64" s="36"/>
      <c r="F64" s="37"/>
      <c r="G64" s="36" t="s">
        <v>419</v>
      </c>
      <c r="H64" s="33" t="s">
        <v>420</v>
      </c>
      <c r="I64" s="168">
        <v>2261677000</v>
      </c>
      <c r="J64" s="38" t="s">
        <v>369</v>
      </c>
      <c r="K64" s="491"/>
      <c r="L64" s="28"/>
    </row>
    <row r="65" spans="1:12" ht="60" x14ac:dyDescent="0.25">
      <c r="A65" s="42" t="s">
        <v>406</v>
      </c>
      <c r="B65" s="59">
        <v>440201</v>
      </c>
      <c r="C65" s="33" t="s">
        <v>849</v>
      </c>
      <c r="D65" s="36" t="s">
        <v>407</v>
      </c>
      <c r="E65" s="36"/>
      <c r="F65" s="37"/>
      <c r="G65" s="36" t="s">
        <v>421</v>
      </c>
      <c r="H65" s="33" t="s">
        <v>422</v>
      </c>
      <c r="I65" s="169">
        <v>408000000</v>
      </c>
      <c r="J65" s="38" t="s">
        <v>369</v>
      </c>
      <c r="K65" s="491"/>
      <c r="L65" s="28"/>
    </row>
    <row r="66" spans="1:12" ht="60" x14ac:dyDescent="0.25">
      <c r="A66" s="42" t="s">
        <v>406</v>
      </c>
      <c r="B66" s="59">
        <v>440201</v>
      </c>
      <c r="C66" s="33" t="s">
        <v>849</v>
      </c>
      <c r="D66" s="36" t="s">
        <v>407</v>
      </c>
      <c r="E66" s="36"/>
      <c r="F66" s="37"/>
      <c r="G66" s="36" t="s">
        <v>421</v>
      </c>
      <c r="H66" s="33" t="s">
        <v>422</v>
      </c>
      <c r="I66" s="169">
        <v>2505000000</v>
      </c>
      <c r="J66" s="38" t="s">
        <v>365</v>
      </c>
      <c r="K66" s="491"/>
      <c r="L66" s="28"/>
    </row>
    <row r="67" spans="1:12" ht="60" x14ac:dyDescent="0.25">
      <c r="A67" s="42" t="s">
        <v>406</v>
      </c>
      <c r="B67" s="59">
        <v>440201</v>
      </c>
      <c r="C67" s="33" t="s">
        <v>849</v>
      </c>
      <c r="D67" s="36" t="s">
        <v>407</v>
      </c>
      <c r="E67" s="36"/>
      <c r="F67" s="37"/>
      <c r="G67" s="36" t="s">
        <v>421</v>
      </c>
      <c r="H67" s="33" t="s">
        <v>422</v>
      </c>
      <c r="I67" s="169">
        <v>4742034332</v>
      </c>
      <c r="J67" s="38" t="s">
        <v>362</v>
      </c>
      <c r="K67" s="491"/>
      <c r="L67" s="28"/>
    </row>
    <row r="68" spans="1:12" ht="60" x14ac:dyDescent="0.25">
      <c r="A68" s="42" t="s">
        <v>406</v>
      </c>
      <c r="B68" s="59">
        <v>440202</v>
      </c>
      <c r="C68" s="33" t="s">
        <v>846</v>
      </c>
      <c r="D68" s="36" t="s">
        <v>407</v>
      </c>
      <c r="E68" s="36"/>
      <c r="F68" s="37"/>
      <c r="G68" s="36" t="s">
        <v>259</v>
      </c>
      <c r="H68" s="33" t="s">
        <v>423</v>
      </c>
      <c r="I68" s="168">
        <v>6000000</v>
      </c>
      <c r="J68" s="38" t="s">
        <v>369</v>
      </c>
      <c r="K68" s="491"/>
      <c r="L68" s="28"/>
    </row>
    <row r="69" spans="1:12" ht="60" x14ac:dyDescent="0.25">
      <c r="A69" s="42" t="s">
        <v>406</v>
      </c>
      <c r="B69" s="59">
        <v>440202</v>
      </c>
      <c r="C69" s="33" t="s">
        <v>846</v>
      </c>
      <c r="D69" s="36" t="s">
        <v>407</v>
      </c>
      <c r="E69" s="36"/>
      <c r="F69" s="37"/>
      <c r="G69" s="36" t="s">
        <v>259</v>
      </c>
      <c r="H69" s="33" t="s">
        <v>423</v>
      </c>
      <c r="I69" s="168">
        <v>2540000000</v>
      </c>
      <c r="J69" s="38" t="s">
        <v>365</v>
      </c>
      <c r="K69" s="491"/>
      <c r="L69" s="28"/>
    </row>
    <row r="70" spans="1:12" ht="60" x14ac:dyDescent="0.25">
      <c r="A70" s="42" t="s">
        <v>406</v>
      </c>
      <c r="B70" s="59">
        <v>440202</v>
      </c>
      <c r="C70" s="33" t="s">
        <v>846</v>
      </c>
      <c r="D70" s="36" t="s">
        <v>407</v>
      </c>
      <c r="E70" s="36"/>
      <c r="F70" s="37"/>
      <c r="G70" s="36" t="s">
        <v>259</v>
      </c>
      <c r="H70" s="33" t="s">
        <v>423</v>
      </c>
      <c r="I70" s="168">
        <v>9434970038</v>
      </c>
      <c r="J70" s="38" t="s">
        <v>362</v>
      </c>
      <c r="K70" s="491"/>
      <c r="L70" s="28"/>
    </row>
    <row r="71" spans="1:12" ht="60" x14ac:dyDescent="0.25">
      <c r="A71" s="42" t="s">
        <v>406</v>
      </c>
      <c r="B71" s="59">
        <v>440203</v>
      </c>
      <c r="C71" s="33" t="s">
        <v>850</v>
      </c>
      <c r="D71" s="36" t="s">
        <v>407</v>
      </c>
      <c r="E71" s="36"/>
      <c r="F71" s="37"/>
      <c r="G71" s="36" t="s">
        <v>259</v>
      </c>
      <c r="H71" s="33" t="s">
        <v>424</v>
      </c>
      <c r="I71" s="169">
        <v>186010671740</v>
      </c>
      <c r="J71" s="782" t="s">
        <v>370</v>
      </c>
      <c r="K71" s="73"/>
      <c r="L71" s="784"/>
    </row>
    <row r="72" spans="1:12" ht="60" x14ac:dyDescent="0.25">
      <c r="A72" s="42" t="s">
        <v>406</v>
      </c>
      <c r="B72" s="59">
        <v>440203</v>
      </c>
      <c r="C72" s="33" t="s">
        <v>850</v>
      </c>
      <c r="D72" s="36" t="s">
        <v>407</v>
      </c>
      <c r="E72" s="36"/>
      <c r="F72" s="37"/>
      <c r="G72" s="36" t="s">
        <v>259</v>
      </c>
      <c r="H72" s="33" t="s">
        <v>424</v>
      </c>
      <c r="I72" s="169">
        <v>120600106928</v>
      </c>
      <c r="J72" s="782" t="s">
        <v>369</v>
      </c>
      <c r="K72" s="574"/>
      <c r="L72" s="784"/>
    </row>
    <row r="73" spans="1:12" ht="60" x14ac:dyDescent="0.25">
      <c r="A73" s="42" t="s">
        <v>406</v>
      </c>
      <c r="B73" s="59">
        <v>440203</v>
      </c>
      <c r="C73" s="33" t="s">
        <v>850</v>
      </c>
      <c r="D73" s="36" t="s">
        <v>407</v>
      </c>
      <c r="E73" s="36"/>
      <c r="F73" s="37"/>
      <c r="G73" s="36" t="s">
        <v>259</v>
      </c>
      <c r="H73" s="33" t="s">
        <v>424</v>
      </c>
      <c r="I73" s="169">
        <v>19035395896</v>
      </c>
      <c r="J73" s="38" t="s">
        <v>362</v>
      </c>
      <c r="K73" s="73"/>
      <c r="L73" s="357"/>
    </row>
    <row r="74" spans="1:12" ht="60" x14ac:dyDescent="0.25">
      <c r="A74" s="42" t="s">
        <v>406</v>
      </c>
      <c r="B74" s="59">
        <v>440203</v>
      </c>
      <c r="C74" s="33" t="s">
        <v>850</v>
      </c>
      <c r="D74" s="36" t="s">
        <v>407</v>
      </c>
      <c r="E74" s="36"/>
      <c r="F74" s="37"/>
      <c r="G74" s="36" t="s">
        <v>425</v>
      </c>
      <c r="H74" s="33" t="s">
        <v>269</v>
      </c>
      <c r="I74" s="168">
        <v>361059737632</v>
      </c>
      <c r="J74" s="38" t="s">
        <v>369</v>
      </c>
      <c r="K74" s="491"/>
      <c r="L74" s="28"/>
    </row>
    <row r="75" spans="1:12" ht="60" x14ac:dyDescent="0.25">
      <c r="A75" s="42" t="s">
        <v>406</v>
      </c>
      <c r="B75" s="59">
        <v>440204</v>
      </c>
      <c r="C75" s="33" t="s">
        <v>848</v>
      </c>
      <c r="D75" s="40" t="s">
        <v>407</v>
      </c>
      <c r="E75" s="36"/>
      <c r="F75" s="37"/>
      <c r="G75" s="36" t="s">
        <v>317</v>
      </c>
      <c r="H75" s="33" t="s">
        <v>314</v>
      </c>
      <c r="I75" s="169">
        <v>14186500963</v>
      </c>
      <c r="J75" s="38" t="s">
        <v>369</v>
      </c>
      <c r="K75" s="491"/>
      <c r="L75" s="28"/>
    </row>
    <row r="76" spans="1:12" ht="60" x14ac:dyDescent="0.25">
      <c r="A76" s="42" t="s">
        <v>406</v>
      </c>
      <c r="B76" s="59">
        <v>440204</v>
      </c>
      <c r="C76" s="33" t="s">
        <v>848</v>
      </c>
      <c r="D76" s="40" t="s">
        <v>407</v>
      </c>
      <c r="E76" s="36"/>
      <c r="F76" s="37"/>
      <c r="G76" s="36" t="s">
        <v>317</v>
      </c>
      <c r="H76" s="33" t="s">
        <v>314</v>
      </c>
      <c r="I76" s="169">
        <v>18169268291</v>
      </c>
      <c r="J76" s="38" t="s">
        <v>365</v>
      </c>
      <c r="K76" s="491"/>
      <c r="L76" s="28"/>
    </row>
    <row r="77" spans="1:12" ht="60" x14ac:dyDescent="0.25">
      <c r="A77" s="35" t="s">
        <v>406</v>
      </c>
      <c r="B77" s="59">
        <v>440204</v>
      </c>
      <c r="C77" s="33" t="s">
        <v>848</v>
      </c>
      <c r="D77" s="36" t="s">
        <v>407</v>
      </c>
      <c r="E77" s="36"/>
      <c r="F77" s="37"/>
      <c r="G77" s="36" t="s">
        <v>316</v>
      </c>
      <c r="H77" s="33" t="s">
        <v>311</v>
      </c>
      <c r="I77" s="168">
        <v>2516149000</v>
      </c>
      <c r="J77" s="38" t="s">
        <v>369</v>
      </c>
      <c r="K77" s="491"/>
      <c r="L77" s="28"/>
    </row>
    <row r="78" spans="1:12" ht="60" x14ac:dyDescent="0.25">
      <c r="A78" s="35" t="s">
        <v>406</v>
      </c>
      <c r="B78" s="59">
        <v>440204</v>
      </c>
      <c r="C78" s="33" t="s">
        <v>848</v>
      </c>
      <c r="D78" s="36" t="s">
        <v>407</v>
      </c>
      <c r="E78" s="36"/>
      <c r="F78" s="37"/>
      <c r="G78" s="36" t="s">
        <v>316</v>
      </c>
      <c r="H78" s="33" t="s">
        <v>311</v>
      </c>
      <c r="I78" s="168">
        <v>1251234352</v>
      </c>
      <c r="J78" s="38" t="s">
        <v>365</v>
      </c>
      <c r="K78" s="491"/>
      <c r="L78" s="28"/>
    </row>
    <row r="79" spans="1:12" ht="75.75" customHeight="1" x14ac:dyDescent="0.25">
      <c r="A79" s="35" t="s">
        <v>400</v>
      </c>
      <c r="B79" s="59">
        <v>410505</v>
      </c>
      <c r="C79" s="33" t="s">
        <v>851</v>
      </c>
      <c r="D79" s="40" t="s">
        <v>426</v>
      </c>
      <c r="E79" s="36"/>
      <c r="F79" s="37"/>
      <c r="G79" s="36" t="s">
        <v>427</v>
      </c>
      <c r="H79" s="33" t="s">
        <v>428</v>
      </c>
      <c r="I79" s="169">
        <v>22824206330</v>
      </c>
      <c r="J79" s="38" t="s">
        <v>365</v>
      </c>
      <c r="K79" s="491"/>
      <c r="L79" s="28"/>
    </row>
    <row r="80" spans="1:12" ht="75" customHeight="1" x14ac:dyDescent="0.25">
      <c r="A80" s="35" t="s">
        <v>400</v>
      </c>
      <c r="B80" s="59">
        <v>410505</v>
      </c>
      <c r="C80" s="33" t="s">
        <v>851</v>
      </c>
      <c r="D80" s="40" t="s">
        <v>426</v>
      </c>
      <c r="E80" s="36"/>
      <c r="F80" s="37"/>
      <c r="G80" s="36" t="s">
        <v>427</v>
      </c>
      <c r="H80" s="33" t="s">
        <v>428</v>
      </c>
      <c r="I80" s="169">
        <v>1075093000</v>
      </c>
      <c r="J80" s="38" t="s">
        <v>369</v>
      </c>
      <c r="K80" s="491"/>
      <c r="L80" s="28"/>
    </row>
    <row r="81" spans="1:12" ht="73.5" customHeight="1" x14ac:dyDescent="0.25">
      <c r="A81" s="35" t="s">
        <v>400</v>
      </c>
      <c r="B81" s="59">
        <v>410607</v>
      </c>
      <c r="C81" s="33" t="s">
        <v>852</v>
      </c>
      <c r="D81" s="36" t="s">
        <v>429</v>
      </c>
      <c r="E81" s="36"/>
      <c r="F81" s="37"/>
      <c r="G81" s="36" t="s">
        <v>430</v>
      </c>
      <c r="H81" s="33" t="s">
        <v>431</v>
      </c>
      <c r="I81" s="168">
        <v>208000000</v>
      </c>
      <c r="J81" s="38" t="s">
        <v>369</v>
      </c>
      <c r="K81" s="491"/>
      <c r="L81" s="28"/>
    </row>
    <row r="82" spans="1:12" ht="60" x14ac:dyDescent="0.25">
      <c r="A82" s="35" t="s">
        <v>400</v>
      </c>
      <c r="B82" s="59">
        <v>410607</v>
      </c>
      <c r="C82" s="33" t="s">
        <v>852</v>
      </c>
      <c r="D82" s="36" t="s">
        <v>429</v>
      </c>
      <c r="E82" s="36"/>
      <c r="F82" s="37"/>
      <c r="G82" s="36" t="s">
        <v>430</v>
      </c>
      <c r="H82" s="33" t="s">
        <v>431</v>
      </c>
      <c r="I82" s="168">
        <v>389015727</v>
      </c>
      <c r="J82" s="38" t="s">
        <v>365</v>
      </c>
      <c r="K82" s="491"/>
      <c r="L82" s="28"/>
    </row>
    <row r="83" spans="1:12" ht="60" x14ac:dyDescent="0.25">
      <c r="A83" s="35" t="s">
        <v>400</v>
      </c>
      <c r="B83" s="59">
        <v>410607</v>
      </c>
      <c r="C83" s="33" t="s">
        <v>852</v>
      </c>
      <c r="D83" s="36" t="s">
        <v>429</v>
      </c>
      <c r="E83" s="36"/>
      <c r="F83" s="37"/>
      <c r="G83" s="36" t="s">
        <v>430</v>
      </c>
      <c r="H83" s="33" t="s">
        <v>431</v>
      </c>
      <c r="I83" s="168">
        <v>693312000</v>
      </c>
      <c r="J83" s="38" t="s">
        <v>370</v>
      </c>
      <c r="K83" s="491"/>
      <c r="L83" s="28"/>
    </row>
    <row r="84" spans="1:12" ht="60" x14ac:dyDescent="0.25">
      <c r="A84" s="35" t="s">
        <v>400</v>
      </c>
      <c r="B84" s="59">
        <v>410607</v>
      </c>
      <c r="C84" s="33" t="s">
        <v>852</v>
      </c>
      <c r="D84" s="36" t="s">
        <v>429</v>
      </c>
      <c r="E84" s="36"/>
      <c r="F84" s="37"/>
      <c r="G84" s="36" t="s">
        <v>430</v>
      </c>
      <c r="H84" s="33" t="s">
        <v>431</v>
      </c>
      <c r="I84" s="168">
        <v>629268000</v>
      </c>
      <c r="J84" s="38" t="s">
        <v>362</v>
      </c>
      <c r="K84" s="491"/>
      <c r="L84" s="28"/>
    </row>
    <row r="85" spans="1:12" ht="60" x14ac:dyDescent="0.25">
      <c r="A85" s="35" t="s">
        <v>406</v>
      </c>
      <c r="B85" s="59">
        <v>440204</v>
      </c>
      <c r="C85" s="33" t="s">
        <v>848</v>
      </c>
      <c r="D85" s="39" t="s">
        <v>407</v>
      </c>
      <c r="E85" s="36"/>
      <c r="F85" s="37"/>
      <c r="G85" s="36" t="s">
        <v>315</v>
      </c>
      <c r="H85" s="43" t="s">
        <v>304</v>
      </c>
      <c r="I85" s="169">
        <v>909963000</v>
      </c>
      <c r="J85" s="38" t="s">
        <v>369</v>
      </c>
      <c r="K85" s="491"/>
      <c r="L85" s="28"/>
    </row>
    <row r="86" spans="1:12" ht="60" x14ac:dyDescent="0.25">
      <c r="A86" s="35" t="s">
        <v>406</v>
      </c>
      <c r="B86" s="59">
        <v>440204</v>
      </c>
      <c r="C86" s="33" t="s">
        <v>848</v>
      </c>
      <c r="D86" s="39" t="s">
        <v>407</v>
      </c>
      <c r="E86" s="39"/>
      <c r="F86" s="40"/>
      <c r="G86" s="36" t="s">
        <v>315</v>
      </c>
      <c r="H86" s="43" t="s">
        <v>304</v>
      </c>
      <c r="I86" s="169">
        <v>600000000</v>
      </c>
      <c r="J86" s="38" t="s">
        <v>362</v>
      </c>
      <c r="K86" s="491"/>
      <c r="L86" s="28"/>
    </row>
    <row r="87" spans="1:12" ht="45" x14ac:dyDescent="0.25">
      <c r="A87" s="35" t="s">
        <v>384</v>
      </c>
      <c r="B87" s="176">
        <v>440207</v>
      </c>
      <c r="C87" s="177" t="s">
        <v>845</v>
      </c>
      <c r="D87" s="36" t="s">
        <v>385</v>
      </c>
      <c r="E87" s="36"/>
      <c r="F87" s="40"/>
      <c r="G87" s="32" t="s">
        <v>843</v>
      </c>
      <c r="H87" s="43" t="s">
        <v>438</v>
      </c>
      <c r="I87" s="168">
        <v>2400000000</v>
      </c>
      <c r="J87" s="38" t="s">
        <v>369</v>
      </c>
      <c r="K87" s="491"/>
      <c r="L87" s="28"/>
    </row>
    <row r="88" spans="1:12" x14ac:dyDescent="0.25">
      <c r="A88" s="35"/>
      <c r="B88" s="59"/>
      <c r="C88" s="43"/>
      <c r="G88" s="32"/>
      <c r="H88" s="43"/>
      <c r="J88" s="515"/>
      <c r="K88" s="175"/>
      <c r="L88" s="515"/>
    </row>
    <row r="89" spans="1:12" x14ac:dyDescent="0.25">
      <c r="A89" s="35"/>
      <c r="B89" s="36"/>
      <c r="C89" s="37"/>
      <c r="D89" s="36"/>
      <c r="E89" s="36"/>
      <c r="F89" s="37"/>
      <c r="G89" s="36"/>
      <c r="H89" s="44" t="s">
        <v>432</v>
      </c>
      <c r="I89" s="170">
        <f>SUM(I5:I87)</f>
        <v>978388352690</v>
      </c>
      <c r="J89" s="739"/>
      <c r="K89" s="535"/>
      <c r="L89" s="357"/>
    </row>
    <row r="90" spans="1:12" x14ac:dyDescent="0.25">
      <c r="A90" s="35"/>
      <c r="B90" s="36"/>
      <c r="C90" s="37"/>
      <c r="D90" s="36"/>
      <c r="E90" s="36"/>
      <c r="F90" s="37"/>
      <c r="G90" s="36"/>
      <c r="H90" s="44" t="s">
        <v>433</v>
      </c>
      <c r="I90" s="170">
        <v>55079777503</v>
      </c>
      <c r="J90" s="38"/>
      <c r="K90" s="357"/>
      <c r="L90" s="28"/>
    </row>
    <row r="91" spans="1:12" x14ac:dyDescent="0.25">
      <c r="A91" s="35"/>
      <c r="B91" s="36"/>
      <c r="C91" s="37"/>
      <c r="D91" s="36"/>
      <c r="E91" s="36"/>
      <c r="F91" s="37"/>
      <c r="G91" s="36"/>
      <c r="H91" s="44" t="s">
        <v>437</v>
      </c>
      <c r="I91" s="170">
        <f>I89+I90</f>
        <v>1033468130193</v>
      </c>
      <c r="J91" s="38"/>
      <c r="K91" s="28"/>
      <c r="L91" s="56"/>
    </row>
    <row r="92" spans="1:12" ht="16.5" x14ac:dyDescent="0.3">
      <c r="A92" s="35"/>
      <c r="B92" s="36"/>
      <c r="C92" s="37"/>
      <c r="D92" s="36"/>
      <c r="E92" s="36"/>
      <c r="F92" s="37"/>
      <c r="G92" s="36"/>
      <c r="H92" s="36"/>
      <c r="I92" s="171"/>
      <c r="J92" s="38"/>
      <c r="K92" s="358"/>
      <c r="L92" s="28"/>
    </row>
    <row r="93" spans="1:12" ht="16.5" x14ac:dyDescent="0.3">
      <c r="A93" s="35"/>
      <c r="B93" s="36"/>
      <c r="C93" s="37"/>
      <c r="D93" s="36"/>
      <c r="E93" s="36"/>
      <c r="F93" s="37"/>
      <c r="G93" s="36"/>
      <c r="H93" s="36"/>
      <c r="I93" s="171"/>
      <c r="J93" s="38"/>
      <c r="K93" s="358"/>
      <c r="L93" s="28"/>
    </row>
    <row r="94" spans="1:12" x14ac:dyDescent="0.25">
      <c r="A94" s="35"/>
      <c r="B94" s="36"/>
      <c r="C94" s="37"/>
      <c r="D94" s="36"/>
      <c r="E94" s="36"/>
      <c r="F94" s="37"/>
      <c r="G94" s="36"/>
      <c r="H94" s="36"/>
      <c r="I94" s="171"/>
      <c r="J94" s="38"/>
      <c r="K94" s="28"/>
      <c r="L94" s="28"/>
    </row>
    <row r="95" spans="1:12" x14ac:dyDescent="0.25">
      <c r="A95" s="35"/>
      <c r="B95" s="36"/>
      <c r="C95" s="37"/>
      <c r="D95" s="36"/>
      <c r="E95" s="36"/>
      <c r="F95" s="37"/>
      <c r="G95" s="36"/>
      <c r="H95" s="36"/>
      <c r="I95" s="171"/>
      <c r="J95" s="38"/>
      <c r="K95" s="28"/>
      <c r="L95" s="28"/>
    </row>
    <row r="96" spans="1:12" x14ac:dyDescent="0.25">
      <c r="A96" s="35"/>
      <c r="B96" s="36"/>
      <c r="C96" s="37"/>
      <c r="D96" s="36"/>
      <c r="E96" s="36"/>
      <c r="F96" s="37"/>
      <c r="G96" s="36"/>
      <c r="H96" s="36"/>
      <c r="I96" s="171"/>
      <c r="J96" s="38"/>
      <c r="K96" s="28"/>
      <c r="L96" s="28"/>
    </row>
    <row r="97" spans="1:12" x14ac:dyDescent="0.25">
      <c r="A97" s="35"/>
      <c r="B97" s="36"/>
      <c r="C97" s="37"/>
      <c r="D97" s="36"/>
      <c r="E97" s="36"/>
      <c r="F97" s="37"/>
      <c r="G97" s="36"/>
      <c r="H97" s="52"/>
      <c r="I97" s="172"/>
      <c r="J97" s="38"/>
      <c r="K97" s="28"/>
      <c r="L97" s="28"/>
    </row>
    <row r="98" spans="1:12" x14ac:dyDescent="0.25">
      <c r="A98" s="35"/>
      <c r="B98" s="36"/>
      <c r="C98" s="37"/>
      <c r="D98" s="36"/>
      <c r="E98" s="36"/>
      <c r="F98" s="37"/>
      <c r="G98" s="36"/>
      <c r="H98" s="36"/>
      <c r="I98" s="172"/>
      <c r="J98" s="38"/>
      <c r="K98" s="28"/>
      <c r="L98" s="28"/>
    </row>
    <row r="99" spans="1:12" x14ac:dyDescent="0.25">
      <c r="A99" s="35"/>
      <c r="B99" s="36"/>
      <c r="C99" s="37"/>
      <c r="D99" s="36"/>
      <c r="E99" s="36"/>
      <c r="F99" s="37"/>
      <c r="G99" s="36"/>
      <c r="H99" s="36"/>
      <c r="I99" s="171"/>
      <c r="J99" s="38"/>
      <c r="K99" s="28"/>
      <c r="L99" s="28"/>
    </row>
    <row r="100" spans="1:12" x14ac:dyDescent="0.25">
      <c r="A100" s="35"/>
      <c r="B100" s="36"/>
      <c r="C100" s="37"/>
      <c r="D100" s="36"/>
      <c r="E100" s="36"/>
      <c r="F100" s="37"/>
      <c r="G100" s="36"/>
      <c r="H100" s="36"/>
      <c r="I100" s="171"/>
      <c r="J100" s="38"/>
      <c r="K100" s="28"/>
      <c r="L100" s="28"/>
    </row>
    <row r="101" spans="1:12" x14ac:dyDescent="0.25">
      <c r="A101" s="35"/>
      <c r="B101" s="36"/>
      <c r="C101" s="37"/>
      <c r="D101" s="36"/>
      <c r="E101" s="36"/>
      <c r="F101" s="37"/>
      <c r="G101" s="36"/>
      <c r="H101" s="36"/>
      <c r="I101" s="171"/>
      <c r="J101" s="38"/>
      <c r="K101" s="28"/>
      <c r="L101" s="28"/>
    </row>
    <row r="102" spans="1:12" x14ac:dyDescent="0.25">
      <c r="A102" s="35"/>
      <c r="B102" s="36"/>
      <c r="C102" s="37"/>
      <c r="D102" s="36"/>
      <c r="E102" s="36"/>
      <c r="F102" s="37"/>
      <c r="G102" s="36"/>
      <c r="H102" s="36"/>
      <c r="I102" s="171"/>
      <c r="J102" s="38"/>
      <c r="K102" s="28"/>
      <c r="L102" s="28"/>
    </row>
    <row r="103" spans="1:12" x14ac:dyDescent="0.25">
      <c r="A103" s="35"/>
      <c r="B103" s="36"/>
      <c r="C103" s="37"/>
      <c r="D103" s="36"/>
      <c r="E103" s="36"/>
      <c r="F103" s="37"/>
      <c r="G103" s="36"/>
      <c r="H103" s="36"/>
      <c r="I103" s="171"/>
      <c r="J103" s="38"/>
      <c r="K103" s="28"/>
      <c r="L103" s="28"/>
    </row>
    <row r="104" spans="1:12" x14ac:dyDescent="0.25">
      <c r="A104" s="35"/>
      <c r="B104" s="36"/>
      <c r="C104" s="37"/>
      <c r="D104" s="36"/>
      <c r="E104" s="36"/>
      <c r="F104" s="37"/>
      <c r="G104" s="36"/>
      <c r="H104" s="36"/>
      <c r="I104" s="171"/>
      <c r="J104" s="38"/>
      <c r="K104" s="28"/>
      <c r="L104" s="28"/>
    </row>
    <row r="105" spans="1:12" x14ac:dyDescent="0.25">
      <c r="A105" s="35"/>
      <c r="B105" s="36"/>
      <c r="C105" s="37"/>
      <c r="D105" s="36"/>
      <c r="E105" s="36"/>
      <c r="F105" s="37"/>
      <c r="G105" s="36"/>
      <c r="H105" s="36"/>
      <c r="I105" s="171"/>
      <c r="J105" s="38"/>
      <c r="K105" s="28"/>
      <c r="L105" s="28"/>
    </row>
    <row r="106" spans="1:12" x14ac:dyDescent="0.25">
      <c r="A106" s="35"/>
      <c r="B106" s="36"/>
      <c r="C106" s="37"/>
      <c r="D106" s="36"/>
      <c r="E106" s="36"/>
      <c r="F106" s="37"/>
      <c r="G106" s="36"/>
      <c r="H106" s="36"/>
      <c r="I106" s="171"/>
      <c r="J106" s="38"/>
      <c r="K106" s="28"/>
      <c r="L106" s="28"/>
    </row>
    <row r="107" spans="1:12" x14ac:dyDescent="0.25">
      <c r="A107" s="35"/>
      <c r="B107" s="36"/>
      <c r="C107" s="37"/>
      <c r="D107" s="36"/>
      <c r="E107" s="36"/>
      <c r="F107" s="37"/>
      <c r="G107" s="36"/>
      <c r="H107" s="36"/>
      <c r="I107" s="171"/>
      <c r="J107" s="38"/>
      <c r="K107" s="28"/>
      <c r="L107" s="28"/>
    </row>
    <row r="108" spans="1:12" x14ac:dyDescent="0.25">
      <c r="A108" s="35"/>
      <c r="B108" s="36"/>
      <c r="C108" s="37"/>
      <c r="D108" s="36"/>
      <c r="E108" s="36"/>
      <c r="F108" s="37"/>
      <c r="G108" s="36"/>
      <c r="H108" s="36"/>
      <c r="I108" s="171"/>
      <c r="J108" s="38"/>
      <c r="K108" s="28"/>
      <c r="L108" s="28"/>
    </row>
    <row r="109" spans="1:12" x14ac:dyDescent="0.25">
      <c r="A109" s="35"/>
      <c r="B109" s="36"/>
      <c r="C109" s="37"/>
      <c r="D109" s="36"/>
      <c r="E109" s="36"/>
      <c r="F109" s="37"/>
      <c r="G109" s="36"/>
      <c r="H109" s="36"/>
      <c r="I109" s="171"/>
      <c r="J109" s="38"/>
      <c r="K109" s="28"/>
      <c r="L109" s="28"/>
    </row>
    <row r="110" spans="1:12" x14ac:dyDescent="0.25">
      <c r="A110" s="35"/>
      <c r="B110" s="36"/>
      <c r="C110" s="37"/>
      <c r="D110" s="36"/>
      <c r="E110" s="36"/>
      <c r="F110" s="37"/>
      <c r="G110" s="36"/>
      <c r="H110" s="36"/>
      <c r="I110" s="171"/>
      <c r="J110" s="38"/>
      <c r="K110" s="28"/>
      <c r="L110" s="28"/>
    </row>
    <row r="111" spans="1:12" x14ac:dyDescent="0.25">
      <c r="A111" s="35"/>
      <c r="B111" s="36"/>
      <c r="C111" s="37"/>
      <c r="D111" s="36"/>
      <c r="E111" s="36"/>
      <c r="F111" s="37"/>
      <c r="G111" s="36"/>
      <c r="H111" s="36"/>
      <c r="I111" s="171"/>
      <c r="J111" s="38"/>
      <c r="K111" s="28"/>
      <c r="L111" s="28"/>
    </row>
    <row r="112" spans="1:12" x14ac:dyDescent="0.25">
      <c r="A112" s="35"/>
      <c r="B112" s="36"/>
      <c r="C112" s="37"/>
      <c r="D112" s="36"/>
      <c r="E112" s="36"/>
      <c r="F112" s="37"/>
      <c r="G112" s="36"/>
      <c r="H112" s="36"/>
      <c r="I112" s="171"/>
      <c r="J112" s="38"/>
      <c r="K112" s="28"/>
      <c r="L112" s="28"/>
    </row>
    <row r="113" spans="1:12" x14ac:dyDescent="0.25">
      <c r="A113" s="35"/>
      <c r="B113" s="36"/>
      <c r="C113" s="37"/>
      <c r="D113" s="36"/>
      <c r="E113" s="36"/>
      <c r="F113" s="37"/>
      <c r="G113" s="36"/>
      <c r="H113" s="36"/>
      <c r="I113" s="171"/>
      <c r="J113" s="38"/>
      <c r="K113" s="28"/>
      <c r="L113" s="28"/>
    </row>
    <row r="114" spans="1:12" x14ac:dyDescent="0.25">
      <c r="A114" s="35"/>
      <c r="B114" s="36"/>
      <c r="C114" s="37"/>
      <c r="D114" s="36"/>
      <c r="E114" s="36"/>
      <c r="F114" s="37"/>
      <c r="G114" s="36"/>
      <c r="H114" s="36"/>
      <c r="I114" s="171"/>
      <c r="J114" s="38"/>
      <c r="K114" s="28"/>
      <c r="L114" s="28"/>
    </row>
    <row r="115" spans="1:12" x14ac:dyDescent="0.25">
      <c r="A115" s="35"/>
      <c r="B115" s="36"/>
      <c r="C115" s="37"/>
      <c r="D115" s="36"/>
      <c r="E115" s="36"/>
      <c r="F115" s="37"/>
      <c r="G115" s="36"/>
      <c r="H115" s="36"/>
      <c r="I115" s="171"/>
      <c r="J115" s="38"/>
      <c r="K115" s="28"/>
      <c r="L115" s="28"/>
    </row>
    <row r="116" spans="1:12" x14ac:dyDescent="0.25">
      <c r="A116" s="35"/>
      <c r="B116" s="36"/>
      <c r="C116" s="37"/>
      <c r="D116" s="36"/>
      <c r="E116" s="36"/>
      <c r="F116" s="37"/>
      <c r="G116" s="36"/>
      <c r="H116" s="36"/>
      <c r="I116" s="171"/>
      <c r="J116" s="38"/>
      <c r="K116" s="28"/>
      <c r="L116" s="28"/>
    </row>
    <row r="117" spans="1:12" x14ac:dyDescent="0.25">
      <c r="A117" s="35"/>
      <c r="B117" s="36"/>
      <c r="C117" s="37"/>
      <c r="D117" s="36"/>
      <c r="E117" s="36"/>
      <c r="F117" s="37"/>
      <c r="G117" s="36"/>
      <c r="H117" s="36"/>
      <c r="I117" s="171"/>
      <c r="J117" s="38"/>
      <c r="K117" s="28"/>
      <c r="L117" s="28"/>
    </row>
    <row r="118" spans="1:12" x14ac:dyDescent="0.25">
      <c r="A118" s="35"/>
      <c r="B118" s="36"/>
      <c r="C118" s="37"/>
      <c r="D118" s="36"/>
      <c r="E118" s="36"/>
      <c r="F118" s="37"/>
      <c r="G118" s="36"/>
      <c r="H118" s="36"/>
      <c r="I118" s="171"/>
      <c r="J118" s="38"/>
      <c r="K118" s="28"/>
      <c r="L118" s="28"/>
    </row>
    <row r="119" spans="1:12" x14ac:dyDescent="0.25">
      <c r="A119" s="35"/>
      <c r="B119" s="36"/>
      <c r="C119" s="37"/>
      <c r="D119" s="36"/>
      <c r="E119" s="36"/>
      <c r="F119" s="37"/>
      <c r="G119" s="36"/>
      <c r="H119" s="36"/>
      <c r="I119" s="171"/>
      <c r="J119" s="38"/>
      <c r="K119" s="28"/>
      <c r="L119" s="28"/>
    </row>
    <row r="120" spans="1:12" x14ac:dyDescent="0.25">
      <c r="A120" s="35"/>
      <c r="B120" s="36"/>
      <c r="C120" s="37"/>
      <c r="D120" s="36"/>
      <c r="E120" s="36"/>
      <c r="F120" s="37"/>
      <c r="G120" s="36"/>
      <c r="H120" s="36"/>
      <c r="I120" s="171"/>
      <c r="J120" s="38"/>
      <c r="K120" s="28"/>
      <c r="L120" s="28"/>
    </row>
    <row r="121" spans="1:12" x14ac:dyDescent="0.25">
      <c r="A121" s="35"/>
      <c r="B121" s="36"/>
      <c r="C121" s="37"/>
      <c r="D121" s="36"/>
      <c r="E121" s="36"/>
      <c r="F121" s="37"/>
      <c r="G121" s="36"/>
      <c r="H121" s="36"/>
      <c r="I121" s="171"/>
      <c r="J121" s="38"/>
      <c r="K121" s="28"/>
      <c r="L121" s="28"/>
    </row>
    <row r="122" spans="1:12" x14ac:dyDescent="0.25">
      <c r="A122" s="35"/>
      <c r="B122" s="36"/>
      <c r="C122" s="37"/>
      <c r="D122" s="36"/>
      <c r="E122" s="36"/>
      <c r="F122" s="37"/>
      <c r="G122" s="36"/>
      <c r="H122" s="36"/>
      <c r="I122" s="171"/>
      <c r="J122" s="38"/>
      <c r="K122" s="28"/>
      <c r="L122" s="28"/>
    </row>
    <row r="123" spans="1:12" x14ac:dyDescent="0.25">
      <c r="A123" s="35"/>
      <c r="B123" s="36"/>
      <c r="C123" s="37"/>
      <c r="D123" s="36"/>
      <c r="E123" s="36"/>
      <c r="F123" s="37"/>
      <c r="G123" s="36"/>
      <c r="H123" s="36"/>
      <c r="I123" s="171"/>
      <c r="J123" s="38"/>
      <c r="K123" s="28"/>
      <c r="L123" s="28"/>
    </row>
    <row r="124" spans="1:12" x14ac:dyDescent="0.25">
      <c r="A124" s="35"/>
      <c r="B124" s="36"/>
      <c r="C124" s="37"/>
      <c r="D124" s="36"/>
      <c r="E124" s="36"/>
      <c r="F124" s="37"/>
      <c r="G124" s="36"/>
      <c r="H124" s="36"/>
      <c r="I124" s="171"/>
      <c r="J124" s="38"/>
      <c r="K124" s="28"/>
      <c r="L124" s="28"/>
    </row>
    <row r="125" spans="1:12" x14ac:dyDescent="0.25">
      <c r="A125" s="35"/>
      <c r="B125" s="36"/>
      <c r="C125" s="37"/>
      <c r="D125" s="36"/>
      <c r="E125" s="36"/>
      <c r="F125" s="37"/>
      <c r="G125" s="36"/>
      <c r="H125" s="36"/>
      <c r="I125" s="171"/>
      <c r="J125" s="38"/>
      <c r="K125" s="28"/>
      <c r="L125" s="28"/>
    </row>
    <row r="126" spans="1:12" x14ac:dyDescent="0.25">
      <c r="A126" s="35"/>
      <c r="B126" s="36"/>
      <c r="C126" s="37"/>
      <c r="D126" s="36"/>
      <c r="E126" s="36"/>
      <c r="F126" s="37"/>
      <c r="G126" s="36"/>
      <c r="H126" s="36"/>
      <c r="I126" s="171"/>
      <c r="J126" s="38"/>
      <c r="K126" s="28"/>
      <c r="L126" s="28"/>
    </row>
    <row r="127" spans="1:12" x14ac:dyDescent="0.25">
      <c r="A127" s="35"/>
      <c r="B127" s="36"/>
      <c r="C127" s="37"/>
      <c r="D127" s="36"/>
      <c r="E127" s="36"/>
      <c r="F127" s="37"/>
      <c r="G127" s="36"/>
      <c r="H127" s="36"/>
      <c r="I127" s="171"/>
      <c r="J127" s="38"/>
      <c r="K127" s="28"/>
      <c r="L127" s="28"/>
    </row>
    <row r="128" spans="1:12" x14ac:dyDescent="0.25">
      <c r="A128" s="35"/>
      <c r="B128" s="36"/>
      <c r="C128" s="37"/>
      <c r="D128" s="36"/>
      <c r="E128" s="36"/>
      <c r="F128" s="37"/>
      <c r="G128" s="36"/>
      <c r="H128" s="36"/>
      <c r="I128" s="171"/>
      <c r="J128" s="38"/>
      <c r="K128" s="28"/>
      <c r="L128" s="28"/>
    </row>
    <row r="129" spans="1:12" x14ac:dyDescent="0.25">
      <c r="A129" s="35"/>
      <c r="B129" s="36"/>
      <c r="C129" s="37"/>
      <c r="D129" s="36"/>
      <c r="E129" s="36"/>
      <c r="F129" s="37"/>
      <c r="G129" s="36"/>
      <c r="H129" s="36"/>
      <c r="I129" s="171"/>
      <c r="J129" s="38"/>
      <c r="K129" s="28"/>
      <c r="L129" s="28"/>
    </row>
    <row r="130" spans="1:12" x14ac:dyDescent="0.25">
      <c r="A130" s="35"/>
      <c r="B130" s="36"/>
      <c r="C130" s="37"/>
      <c r="D130" s="36"/>
      <c r="E130" s="36"/>
      <c r="F130" s="37"/>
      <c r="G130" s="36"/>
      <c r="H130" s="36"/>
      <c r="I130" s="171"/>
      <c r="J130" s="38"/>
      <c r="K130" s="28"/>
      <c r="L130" s="28"/>
    </row>
    <row r="131" spans="1:12" x14ac:dyDescent="0.25">
      <c r="A131" s="35"/>
      <c r="B131" s="36"/>
      <c r="C131" s="37"/>
      <c r="D131" s="36"/>
      <c r="E131" s="36"/>
      <c r="F131" s="37"/>
      <c r="G131" s="36"/>
      <c r="H131" s="36"/>
      <c r="I131" s="171"/>
      <c r="J131" s="38"/>
      <c r="K131" s="28"/>
      <c r="L131" s="28"/>
    </row>
    <row r="132" spans="1:12" x14ac:dyDescent="0.25">
      <c r="A132" s="35"/>
      <c r="B132" s="36"/>
      <c r="C132" s="37"/>
      <c r="D132" s="36"/>
      <c r="E132" s="36"/>
      <c r="F132" s="37"/>
      <c r="G132" s="36"/>
      <c r="H132" s="36"/>
      <c r="I132" s="171"/>
      <c r="J132" s="38"/>
      <c r="K132" s="28"/>
      <c r="L132" s="28"/>
    </row>
    <row r="133" spans="1:12" x14ac:dyDescent="0.25">
      <c r="A133" s="35"/>
      <c r="B133" s="36"/>
      <c r="C133" s="37"/>
      <c r="D133" s="36"/>
      <c r="E133" s="36"/>
      <c r="F133" s="37"/>
      <c r="G133" s="36"/>
      <c r="H133" s="36"/>
      <c r="I133" s="171"/>
      <c r="J133" s="38"/>
      <c r="K133" s="28"/>
      <c r="L133" s="28"/>
    </row>
    <row r="134" spans="1:12" x14ac:dyDescent="0.25">
      <c r="A134" s="35"/>
      <c r="B134" s="36"/>
      <c r="C134" s="37"/>
      <c r="D134" s="36"/>
      <c r="E134" s="36"/>
      <c r="F134" s="37"/>
      <c r="G134" s="36"/>
      <c r="H134" s="36"/>
      <c r="I134" s="171"/>
      <c r="J134" s="38"/>
      <c r="K134" s="28"/>
      <c r="L134" s="28"/>
    </row>
    <row r="135" spans="1:12" x14ac:dyDescent="0.25">
      <c r="A135" s="35"/>
      <c r="B135" s="36"/>
      <c r="C135" s="37"/>
      <c r="D135" s="36"/>
      <c r="E135" s="36"/>
      <c r="F135" s="37"/>
      <c r="G135" s="36"/>
      <c r="H135" s="36"/>
      <c r="I135" s="171"/>
      <c r="J135" s="38"/>
      <c r="K135" s="28"/>
      <c r="L135" s="28"/>
    </row>
    <row r="136" spans="1:12" x14ac:dyDescent="0.25">
      <c r="A136" s="35"/>
      <c r="B136" s="36"/>
      <c r="C136" s="37"/>
      <c r="D136" s="36"/>
      <c r="E136" s="36"/>
      <c r="F136" s="37"/>
      <c r="G136" s="36"/>
      <c r="H136" s="36"/>
      <c r="I136" s="171"/>
      <c r="J136" s="38"/>
      <c r="K136" s="28"/>
      <c r="L136" s="28"/>
    </row>
    <row r="137" spans="1:12" x14ac:dyDescent="0.25">
      <c r="A137" s="35"/>
      <c r="B137" s="36"/>
      <c r="C137" s="37"/>
      <c r="D137" s="36"/>
      <c r="E137" s="36"/>
      <c r="F137" s="37"/>
      <c r="G137" s="36"/>
      <c r="H137" s="36"/>
      <c r="I137" s="171"/>
      <c r="J137" s="38"/>
      <c r="K137" s="28"/>
      <c r="L137" s="28"/>
    </row>
    <row r="138" spans="1:12" x14ac:dyDescent="0.25">
      <c r="A138" s="35"/>
      <c r="B138" s="36"/>
      <c r="C138" s="37"/>
      <c r="D138" s="36"/>
      <c r="E138" s="36"/>
      <c r="F138" s="37"/>
      <c r="G138" s="36"/>
      <c r="H138" s="36"/>
      <c r="I138" s="171"/>
      <c r="J138" s="38"/>
      <c r="K138" s="28"/>
      <c r="L138" s="28"/>
    </row>
    <row r="139" spans="1:12" x14ac:dyDescent="0.25">
      <c r="A139" s="35"/>
      <c r="B139" s="36"/>
      <c r="C139" s="37"/>
      <c r="D139" s="36"/>
      <c r="E139" s="36"/>
      <c r="F139" s="37"/>
      <c r="G139" s="36"/>
      <c r="H139" s="36"/>
      <c r="I139" s="171"/>
      <c r="J139" s="38"/>
      <c r="K139" s="28"/>
      <c r="L139" s="28"/>
    </row>
    <row r="140" spans="1:12" x14ac:dyDescent="0.25">
      <c r="A140" s="35"/>
      <c r="B140" s="36"/>
      <c r="C140" s="37"/>
      <c r="D140" s="36"/>
      <c r="E140" s="36"/>
      <c r="F140" s="37"/>
      <c r="G140" s="36"/>
      <c r="H140" s="36"/>
      <c r="I140" s="171"/>
      <c r="J140" s="38"/>
      <c r="K140" s="28"/>
      <c r="L140" s="28"/>
    </row>
    <row r="141" spans="1:12" x14ac:dyDescent="0.25">
      <c r="A141" s="35"/>
      <c r="B141" s="36"/>
      <c r="C141" s="37"/>
      <c r="D141" s="36"/>
      <c r="E141" s="36"/>
      <c r="F141" s="37"/>
      <c r="G141" s="36"/>
      <c r="H141" s="36"/>
      <c r="I141" s="171"/>
      <c r="J141" s="38"/>
      <c r="K141" s="28"/>
      <c r="L141" s="28"/>
    </row>
    <row r="142" spans="1:12" x14ac:dyDescent="0.25">
      <c r="A142" s="35"/>
      <c r="B142" s="36"/>
      <c r="C142" s="37"/>
      <c r="D142" s="36"/>
      <c r="E142" s="36"/>
      <c r="F142" s="37"/>
      <c r="G142" s="36"/>
      <c r="H142" s="36"/>
      <c r="I142" s="171"/>
      <c r="J142" s="38"/>
      <c r="K142" s="28"/>
      <c r="L142" s="28"/>
    </row>
    <row r="143" spans="1:12" x14ac:dyDescent="0.25">
      <c r="A143" s="35"/>
      <c r="B143" s="36"/>
      <c r="C143" s="37"/>
      <c r="D143" s="36"/>
      <c r="E143" s="36"/>
      <c r="F143" s="37"/>
      <c r="G143" s="36"/>
      <c r="H143" s="36"/>
      <c r="I143" s="171"/>
      <c r="J143" s="38"/>
      <c r="K143" s="28"/>
      <c r="L143" s="28"/>
    </row>
    <row r="144" spans="1:12" x14ac:dyDescent="0.25">
      <c r="A144" s="35"/>
      <c r="B144" s="36"/>
      <c r="C144" s="37"/>
      <c r="D144" s="36"/>
      <c r="E144" s="36"/>
      <c r="F144" s="37"/>
      <c r="G144" s="36"/>
      <c r="H144" s="36"/>
      <c r="I144" s="171"/>
      <c r="J144" s="38"/>
      <c r="K144" s="28"/>
      <c r="L144" s="28"/>
    </row>
    <row r="145" spans="1:12" x14ac:dyDescent="0.25">
      <c r="A145" s="35"/>
      <c r="B145" s="36"/>
      <c r="C145" s="37"/>
      <c r="D145" s="36"/>
      <c r="E145" s="36"/>
      <c r="F145" s="37"/>
      <c r="G145" s="36"/>
      <c r="H145" s="36"/>
      <c r="I145" s="171"/>
      <c r="J145" s="38"/>
      <c r="K145" s="28"/>
      <c r="L145" s="28"/>
    </row>
    <row r="146" spans="1:12" x14ac:dyDescent="0.25">
      <c r="A146" s="35"/>
      <c r="B146" s="36"/>
      <c r="C146" s="37"/>
      <c r="D146" s="36"/>
      <c r="E146" s="36"/>
      <c r="F146" s="37"/>
      <c r="G146" s="36"/>
      <c r="H146" s="36"/>
      <c r="I146" s="171"/>
      <c r="J146" s="38"/>
      <c r="K146" s="28"/>
      <c r="L146" s="28"/>
    </row>
    <row r="147" spans="1:12" x14ac:dyDescent="0.25">
      <c r="A147" s="35"/>
      <c r="B147" s="36"/>
      <c r="C147" s="37"/>
      <c r="D147" s="36"/>
      <c r="E147" s="36"/>
      <c r="F147" s="37"/>
      <c r="G147" s="36"/>
      <c r="H147" s="36"/>
      <c r="I147" s="171"/>
      <c r="J147" s="38"/>
      <c r="K147" s="28"/>
      <c r="L147" s="28"/>
    </row>
    <row r="148" spans="1:12" x14ac:dyDescent="0.25">
      <c r="A148" s="35"/>
      <c r="B148" s="36"/>
      <c r="C148" s="37"/>
      <c r="D148" s="36"/>
      <c r="E148" s="36"/>
      <c r="F148" s="37"/>
      <c r="G148" s="36"/>
      <c r="H148" s="36"/>
      <c r="I148" s="171"/>
      <c r="J148" s="38"/>
      <c r="K148" s="28"/>
      <c r="L148" s="28"/>
    </row>
    <row r="149" spans="1:12" x14ac:dyDescent="0.25">
      <c r="A149" s="35"/>
      <c r="B149" s="36"/>
      <c r="C149" s="37"/>
      <c r="D149" s="36"/>
      <c r="E149" s="36"/>
      <c r="F149" s="37"/>
      <c r="G149" s="36"/>
      <c r="H149" s="36"/>
      <c r="I149" s="171"/>
      <c r="J149" s="38"/>
      <c r="K149" s="28"/>
      <c r="L149" s="28"/>
    </row>
    <row r="150" spans="1:12" x14ac:dyDescent="0.25">
      <c r="A150" s="35"/>
      <c r="B150" s="36"/>
      <c r="C150" s="37"/>
      <c r="D150" s="36"/>
      <c r="E150" s="36"/>
      <c r="F150" s="37"/>
      <c r="G150" s="36"/>
      <c r="H150" s="36"/>
      <c r="I150" s="171"/>
      <c r="J150" s="38"/>
      <c r="K150" s="28"/>
      <c r="L150" s="28"/>
    </row>
    <row r="151" spans="1:12" x14ac:dyDescent="0.25">
      <c r="A151" s="35"/>
      <c r="B151" s="36"/>
      <c r="C151" s="37"/>
      <c r="D151" s="36"/>
      <c r="E151" s="36"/>
      <c r="F151" s="37"/>
      <c r="G151" s="36"/>
      <c r="H151" s="36"/>
      <c r="I151" s="171"/>
      <c r="J151" s="38"/>
      <c r="K151" s="28"/>
      <c r="L151" s="28"/>
    </row>
    <row r="152" spans="1:12" x14ac:dyDescent="0.25">
      <c r="A152" s="35"/>
      <c r="B152" s="36"/>
      <c r="C152" s="37"/>
      <c r="D152" s="36"/>
      <c r="E152" s="36"/>
      <c r="F152" s="37"/>
      <c r="G152" s="36"/>
      <c r="H152" s="36"/>
      <c r="I152" s="171"/>
      <c r="J152" s="38"/>
      <c r="K152" s="28"/>
      <c r="L152" s="28"/>
    </row>
    <row r="153" spans="1:12" x14ac:dyDescent="0.25">
      <c r="A153" s="35"/>
      <c r="B153" s="36"/>
      <c r="C153" s="37"/>
      <c r="D153" s="36"/>
      <c r="E153" s="36"/>
      <c r="F153" s="37"/>
      <c r="G153" s="36"/>
      <c r="H153" s="36"/>
      <c r="I153" s="171"/>
      <c r="J153" s="38"/>
      <c r="K153" s="28"/>
      <c r="L153" s="28"/>
    </row>
    <row r="154" spans="1:12" x14ac:dyDescent="0.25">
      <c r="A154" s="35"/>
      <c r="B154" s="36"/>
      <c r="C154" s="37"/>
      <c r="D154" s="36"/>
      <c r="E154" s="36"/>
      <c r="F154" s="37"/>
      <c r="G154" s="36"/>
      <c r="H154" s="36"/>
      <c r="I154" s="171"/>
      <c r="J154" s="38"/>
      <c r="K154" s="28"/>
      <c r="L154" s="28"/>
    </row>
    <row r="155" spans="1:12" x14ac:dyDescent="0.25">
      <c r="A155" s="35"/>
      <c r="B155" s="36"/>
      <c r="C155" s="37"/>
      <c r="D155" s="36"/>
      <c r="E155" s="36"/>
      <c r="F155" s="37"/>
      <c r="G155" s="36"/>
      <c r="H155" s="36"/>
      <c r="I155" s="171"/>
      <c r="J155" s="38"/>
      <c r="K155" s="28"/>
      <c r="L155" s="28"/>
    </row>
    <row r="156" spans="1:12" x14ac:dyDescent="0.25">
      <c r="A156" s="35"/>
      <c r="B156" s="36"/>
      <c r="C156" s="37"/>
      <c r="D156" s="36"/>
      <c r="E156" s="36"/>
      <c r="F156" s="37"/>
      <c r="G156" s="36"/>
      <c r="H156" s="36"/>
      <c r="I156" s="171"/>
      <c r="J156" s="38"/>
      <c r="K156" s="28"/>
      <c r="L156" s="28"/>
    </row>
    <row r="157" spans="1:12" x14ac:dyDescent="0.25">
      <c r="A157" s="35"/>
      <c r="B157" s="36"/>
      <c r="C157" s="37"/>
      <c r="D157" s="36"/>
      <c r="E157" s="36"/>
      <c r="F157" s="37"/>
      <c r="G157" s="36"/>
      <c r="H157" s="36"/>
      <c r="I157" s="171"/>
      <c r="J157" s="38"/>
      <c r="K157" s="28"/>
      <c r="L157" s="28"/>
    </row>
    <row r="158" spans="1:12" x14ac:dyDescent="0.25">
      <c r="A158" s="35"/>
      <c r="B158" s="36"/>
      <c r="C158" s="37"/>
      <c r="D158" s="36"/>
      <c r="E158" s="36"/>
      <c r="F158" s="37"/>
      <c r="G158" s="36"/>
      <c r="H158" s="36"/>
      <c r="I158" s="171"/>
      <c r="J158" s="38"/>
      <c r="K158" s="28"/>
      <c r="L158" s="28"/>
    </row>
    <row r="159" spans="1:12" x14ac:dyDescent="0.25">
      <c r="A159" s="35"/>
      <c r="B159" s="36"/>
      <c r="C159" s="37"/>
      <c r="D159" s="36"/>
      <c r="E159" s="36"/>
      <c r="F159" s="37"/>
      <c r="G159" s="36"/>
      <c r="H159" s="36"/>
      <c r="I159" s="171"/>
      <c r="J159" s="38"/>
      <c r="K159" s="28"/>
      <c r="L159" s="28"/>
    </row>
    <row r="160" spans="1:12" x14ac:dyDescent="0.25">
      <c r="A160" s="35"/>
      <c r="B160" s="36"/>
      <c r="C160" s="37"/>
      <c r="D160" s="36"/>
      <c r="E160" s="36"/>
      <c r="F160" s="37"/>
      <c r="G160" s="36"/>
      <c r="H160" s="36"/>
      <c r="I160" s="171"/>
      <c r="J160" s="38"/>
      <c r="K160" s="28"/>
      <c r="L160" s="28"/>
    </row>
    <row r="161" spans="1:12" x14ac:dyDescent="0.25">
      <c r="A161" s="35"/>
      <c r="B161" s="36"/>
      <c r="C161" s="37"/>
      <c r="D161" s="36"/>
      <c r="E161" s="36"/>
      <c r="F161" s="37"/>
      <c r="G161" s="36"/>
      <c r="H161" s="36"/>
      <c r="I161" s="171"/>
      <c r="J161" s="38"/>
      <c r="K161" s="28"/>
      <c r="L161" s="28"/>
    </row>
    <row r="162" spans="1:12" x14ac:dyDescent="0.25">
      <c r="A162" s="35"/>
      <c r="B162" s="36"/>
      <c r="C162" s="37"/>
      <c r="D162" s="36"/>
      <c r="E162" s="36"/>
      <c r="F162" s="37"/>
      <c r="G162" s="36"/>
      <c r="H162" s="36"/>
      <c r="I162" s="171"/>
      <c r="J162" s="38"/>
      <c r="K162" s="28"/>
      <c r="L162" s="28"/>
    </row>
    <row r="163" spans="1:12" x14ac:dyDescent="0.25">
      <c r="A163" s="35"/>
      <c r="B163" s="36"/>
      <c r="C163" s="37"/>
      <c r="D163" s="36"/>
      <c r="E163" s="36"/>
      <c r="F163" s="37"/>
      <c r="G163" s="36"/>
      <c r="H163" s="36"/>
      <c r="I163" s="171"/>
      <c r="J163" s="38"/>
      <c r="K163" s="28"/>
      <c r="L163" s="28"/>
    </row>
    <row r="164" spans="1:12" x14ac:dyDescent="0.25">
      <c r="A164" s="35"/>
      <c r="B164" s="36"/>
      <c r="C164" s="37"/>
      <c r="D164" s="36"/>
      <c r="E164" s="36"/>
      <c r="F164" s="37"/>
      <c r="G164" s="36"/>
      <c r="H164" s="36"/>
      <c r="I164" s="171"/>
      <c r="J164" s="38"/>
      <c r="K164" s="28"/>
      <c r="L164" s="28"/>
    </row>
    <row r="165" spans="1:12" x14ac:dyDescent="0.25">
      <c r="A165" s="35"/>
      <c r="B165" s="36"/>
      <c r="C165" s="37"/>
      <c r="D165" s="36"/>
      <c r="E165" s="36"/>
      <c r="F165" s="37"/>
      <c r="G165" s="36"/>
      <c r="H165" s="36"/>
      <c r="I165" s="171"/>
      <c r="J165" s="38"/>
      <c r="K165" s="28"/>
      <c r="L165" s="28"/>
    </row>
    <row r="166" spans="1:12" x14ac:dyDescent="0.25">
      <c r="A166" s="35"/>
      <c r="B166" s="36"/>
      <c r="C166" s="37"/>
      <c r="D166" s="36"/>
      <c r="E166" s="36"/>
      <c r="F166" s="37"/>
      <c r="G166" s="36"/>
      <c r="H166" s="36"/>
      <c r="I166" s="171"/>
      <c r="J166" s="38"/>
      <c r="K166" s="28"/>
      <c r="L166" s="28"/>
    </row>
    <row r="167" spans="1:12" x14ac:dyDescent="0.25">
      <c r="A167" s="35"/>
      <c r="B167" s="36"/>
      <c r="C167" s="37"/>
      <c r="D167" s="36"/>
      <c r="E167" s="36"/>
      <c r="F167" s="37"/>
      <c r="G167" s="36"/>
      <c r="H167" s="36"/>
      <c r="I167" s="171"/>
      <c r="J167" s="38"/>
      <c r="K167" s="28"/>
      <c r="L167" s="28"/>
    </row>
    <row r="168" spans="1:12" x14ac:dyDescent="0.25">
      <c r="A168" s="35"/>
      <c r="B168" s="36"/>
      <c r="C168" s="37"/>
      <c r="D168" s="36"/>
      <c r="E168" s="36"/>
      <c r="F168" s="37"/>
      <c r="G168" s="36"/>
      <c r="H168" s="36"/>
      <c r="I168" s="171"/>
      <c r="J168" s="38"/>
      <c r="K168" s="28"/>
      <c r="L168" s="28"/>
    </row>
    <row r="169" spans="1:12" x14ac:dyDescent="0.25">
      <c r="A169" s="35"/>
      <c r="B169" s="36"/>
      <c r="C169" s="37"/>
      <c r="D169" s="36"/>
      <c r="E169" s="36"/>
      <c r="F169" s="37"/>
      <c r="G169" s="36"/>
      <c r="H169" s="36"/>
      <c r="I169" s="171"/>
      <c r="J169" s="38"/>
      <c r="K169" s="28"/>
      <c r="L169" s="28"/>
    </row>
    <row r="170" spans="1:12" x14ac:dyDescent="0.25">
      <c r="A170" s="35"/>
      <c r="B170" s="36"/>
      <c r="C170" s="37"/>
      <c r="D170" s="36"/>
      <c r="E170" s="36"/>
      <c r="F170" s="37"/>
      <c r="G170" s="36"/>
      <c r="H170" s="36"/>
      <c r="I170" s="171"/>
      <c r="J170" s="38"/>
      <c r="K170" s="28"/>
      <c r="L170" s="28"/>
    </row>
    <row r="171" spans="1:12" x14ac:dyDescent="0.25">
      <c r="A171" s="35"/>
      <c r="B171" s="36"/>
      <c r="C171" s="37"/>
      <c r="D171" s="36"/>
      <c r="E171" s="36"/>
      <c r="F171" s="37"/>
      <c r="G171" s="36"/>
      <c r="H171" s="36"/>
      <c r="I171" s="171"/>
      <c r="J171" s="38"/>
      <c r="K171" s="28"/>
      <c r="L171" s="28"/>
    </row>
    <row r="172" spans="1:12" x14ac:dyDescent="0.25">
      <c r="A172" s="35"/>
      <c r="B172" s="36"/>
      <c r="C172" s="37"/>
      <c r="D172" s="36"/>
      <c r="E172" s="36"/>
      <c r="F172" s="37"/>
      <c r="G172" s="36"/>
      <c r="H172" s="36"/>
      <c r="I172" s="171"/>
      <c r="J172" s="38"/>
      <c r="K172" s="28"/>
      <c r="L172" s="28"/>
    </row>
    <row r="173" spans="1:12" x14ac:dyDescent="0.25">
      <c r="A173" s="35"/>
      <c r="B173" s="36"/>
      <c r="C173" s="37"/>
      <c r="D173" s="36"/>
      <c r="E173" s="36"/>
      <c r="F173" s="37"/>
      <c r="G173" s="36"/>
      <c r="H173" s="36"/>
      <c r="I173" s="171"/>
      <c r="J173" s="38"/>
      <c r="K173" s="28"/>
      <c r="L173" s="28"/>
    </row>
    <row r="174" spans="1:12" x14ac:dyDescent="0.25">
      <c r="A174" s="35"/>
      <c r="B174" s="36"/>
      <c r="C174" s="37"/>
      <c r="D174" s="36"/>
      <c r="E174" s="36"/>
      <c r="F174" s="37"/>
      <c r="G174" s="36"/>
      <c r="H174" s="36"/>
      <c r="I174" s="171"/>
      <c r="J174" s="38"/>
      <c r="K174" s="28"/>
      <c r="L174" s="28"/>
    </row>
    <row r="175" spans="1:12" x14ac:dyDescent="0.25">
      <c r="A175" s="35"/>
      <c r="B175" s="36"/>
      <c r="C175" s="37"/>
      <c r="D175" s="36"/>
      <c r="E175" s="36"/>
      <c r="F175" s="37"/>
      <c r="G175" s="36"/>
      <c r="H175" s="36"/>
      <c r="I175" s="171"/>
      <c r="J175" s="38"/>
      <c r="K175" s="28"/>
      <c r="L175" s="28"/>
    </row>
    <row r="176" spans="1:12" x14ac:dyDescent="0.25">
      <c r="A176" s="35"/>
      <c r="B176" s="36"/>
      <c r="C176" s="37"/>
      <c r="D176" s="36"/>
      <c r="E176" s="36"/>
      <c r="F176" s="37"/>
      <c r="G176" s="36"/>
      <c r="H176" s="36"/>
      <c r="I176" s="171"/>
      <c r="J176" s="38"/>
      <c r="K176" s="28"/>
      <c r="L176" s="28"/>
    </row>
    <row r="177" spans="1:12" x14ac:dyDescent="0.25">
      <c r="A177" s="35"/>
      <c r="B177" s="36"/>
      <c r="C177" s="37"/>
      <c r="D177" s="36"/>
      <c r="E177" s="36"/>
      <c r="F177" s="37"/>
      <c r="G177" s="36"/>
      <c r="H177" s="36"/>
      <c r="I177" s="171"/>
      <c r="J177" s="38"/>
      <c r="K177" s="28"/>
      <c r="L177" s="28"/>
    </row>
    <row r="178" spans="1:12" x14ac:dyDescent="0.25">
      <c r="A178" s="35"/>
      <c r="B178" s="36"/>
      <c r="C178" s="37"/>
      <c r="D178" s="36"/>
      <c r="E178" s="36"/>
      <c r="F178" s="37"/>
      <c r="G178" s="36"/>
      <c r="H178" s="36"/>
      <c r="I178" s="171"/>
      <c r="J178" s="38"/>
      <c r="K178" s="28"/>
      <c r="L178" s="28"/>
    </row>
    <row r="179" spans="1:12" x14ac:dyDescent="0.25">
      <c r="A179" s="35"/>
      <c r="B179" s="36"/>
      <c r="C179" s="37"/>
      <c r="D179" s="36"/>
      <c r="E179" s="36"/>
      <c r="F179" s="37"/>
      <c r="G179" s="36"/>
      <c r="H179" s="36"/>
      <c r="I179" s="171"/>
      <c r="J179" s="38"/>
      <c r="K179" s="28"/>
      <c r="L179" s="28"/>
    </row>
    <row r="180" spans="1:12" x14ac:dyDescent="0.25">
      <c r="A180" s="35"/>
      <c r="B180" s="36"/>
      <c r="C180" s="37"/>
      <c r="D180" s="36"/>
      <c r="E180" s="36"/>
      <c r="F180" s="37"/>
      <c r="G180" s="36"/>
      <c r="H180" s="36"/>
      <c r="I180" s="171"/>
      <c r="J180" s="38"/>
      <c r="K180" s="28"/>
      <c r="L180" s="28"/>
    </row>
    <row r="181" spans="1:12" x14ac:dyDescent="0.25">
      <c r="A181" s="35"/>
      <c r="B181" s="36"/>
      <c r="C181" s="37"/>
      <c r="D181" s="36"/>
      <c r="E181" s="36"/>
      <c r="F181" s="37"/>
      <c r="G181" s="36"/>
      <c r="H181" s="36"/>
      <c r="I181" s="171"/>
      <c r="J181" s="38"/>
      <c r="K181" s="28"/>
      <c r="L181" s="28"/>
    </row>
    <row r="182" spans="1:12" x14ac:dyDescent="0.25">
      <c r="A182" s="35"/>
      <c r="B182" s="36"/>
      <c r="C182" s="37"/>
      <c r="D182" s="36"/>
      <c r="E182" s="36"/>
      <c r="F182" s="37"/>
      <c r="G182" s="36"/>
      <c r="H182" s="36"/>
      <c r="I182" s="171"/>
      <c r="J182" s="38"/>
      <c r="K182" s="28"/>
      <c r="L182" s="28"/>
    </row>
    <row r="183" spans="1:12" x14ac:dyDescent="0.25">
      <c r="A183" s="35"/>
      <c r="B183" s="36"/>
      <c r="C183" s="37"/>
      <c r="D183" s="36"/>
      <c r="E183" s="36"/>
      <c r="F183" s="37"/>
      <c r="G183" s="36"/>
      <c r="H183" s="36"/>
      <c r="I183" s="171"/>
      <c r="J183" s="38"/>
      <c r="K183" s="28"/>
      <c r="L183" s="28"/>
    </row>
    <row r="184" spans="1:12" x14ac:dyDescent="0.25">
      <c r="A184" s="35"/>
      <c r="B184" s="36"/>
      <c r="C184" s="37"/>
      <c r="D184" s="36"/>
      <c r="E184" s="36"/>
      <c r="F184" s="37"/>
      <c r="G184" s="36"/>
      <c r="H184" s="36"/>
      <c r="I184" s="171"/>
      <c r="J184" s="38"/>
      <c r="K184" s="28"/>
      <c r="L184" s="28"/>
    </row>
    <row r="185" spans="1:12" x14ac:dyDescent="0.25">
      <c r="A185" s="35"/>
      <c r="B185" s="36"/>
      <c r="C185" s="37"/>
      <c r="D185" s="36"/>
      <c r="E185" s="36"/>
      <c r="F185" s="37"/>
      <c r="G185" s="36"/>
      <c r="H185" s="36"/>
      <c r="I185" s="171"/>
      <c r="J185" s="38"/>
      <c r="K185" s="28"/>
      <c r="L185" s="28"/>
    </row>
    <row r="186" spans="1:12" x14ac:dyDescent="0.25">
      <c r="A186" s="35"/>
      <c r="B186" s="36"/>
      <c r="C186" s="37"/>
      <c r="D186" s="36"/>
      <c r="E186" s="36"/>
      <c r="F186" s="37"/>
      <c r="G186" s="36"/>
      <c r="H186" s="36"/>
      <c r="I186" s="171"/>
      <c r="J186" s="38"/>
      <c r="K186" s="28"/>
      <c r="L186" s="28"/>
    </row>
    <row r="187" spans="1:12" x14ac:dyDescent="0.25">
      <c r="A187" s="35"/>
      <c r="B187" s="36"/>
      <c r="C187" s="37"/>
      <c r="D187" s="36"/>
      <c r="E187" s="36"/>
      <c r="F187" s="37"/>
      <c r="G187" s="36"/>
      <c r="H187" s="36"/>
      <c r="I187" s="171"/>
      <c r="J187" s="38"/>
      <c r="K187" s="28"/>
      <c r="L187" s="28"/>
    </row>
    <row r="188" spans="1:12" x14ac:dyDescent="0.25">
      <c r="A188" s="35"/>
      <c r="B188" s="36"/>
      <c r="C188" s="37"/>
      <c r="D188" s="36"/>
      <c r="E188" s="36"/>
      <c r="F188" s="37"/>
      <c r="G188" s="36"/>
      <c r="H188" s="36"/>
      <c r="I188" s="171"/>
      <c r="J188" s="38"/>
      <c r="K188" s="28"/>
      <c r="L188" s="28"/>
    </row>
    <row r="189" spans="1:12" x14ac:dyDescent="0.25">
      <c r="A189" s="35"/>
      <c r="B189" s="36"/>
      <c r="C189" s="37"/>
      <c r="D189" s="36"/>
      <c r="E189" s="36"/>
      <c r="F189" s="37"/>
      <c r="G189" s="36"/>
      <c r="H189" s="36"/>
      <c r="I189" s="171"/>
      <c r="J189" s="38"/>
      <c r="K189" s="28"/>
      <c r="L189" s="28"/>
    </row>
    <row r="190" spans="1:12" x14ac:dyDescent="0.25">
      <c r="A190" s="35"/>
      <c r="B190" s="36"/>
      <c r="C190" s="37"/>
      <c r="D190" s="36"/>
      <c r="E190" s="36"/>
      <c r="F190" s="37"/>
      <c r="G190" s="36"/>
      <c r="H190" s="36"/>
      <c r="I190" s="171"/>
      <c r="J190" s="38"/>
      <c r="K190" s="28"/>
      <c r="L190" s="28"/>
    </row>
    <row r="191" spans="1:12" x14ac:dyDescent="0.25">
      <c r="A191" s="35"/>
      <c r="B191" s="36"/>
      <c r="C191" s="37"/>
      <c r="D191" s="36"/>
      <c r="E191" s="36"/>
      <c r="F191" s="37"/>
      <c r="G191" s="36"/>
      <c r="H191" s="36"/>
      <c r="I191" s="171"/>
      <c r="J191" s="38"/>
      <c r="K191" s="28"/>
      <c r="L191" s="28"/>
    </row>
    <row r="192" spans="1:12" x14ac:dyDescent="0.25">
      <c r="A192" s="35"/>
      <c r="B192" s="36"/>
      <c r="C192" s="37"/>
      <c r="D192" s="36"/>
      <c r="E192" s="36"/>
      <c r="F192" s="37"/>
      <c r="G192" s="36"/>
      <c r="H192" s="36"/>
      <c r="I192" s="171"/>
      <c r="J192" s="38"/>
      <c r="K192" s="28"/>
      <c r="L192" s="28"/>
    </row>
    <row r="193" spans="1:12" x14ac:dyDescent="0.25">
      <c r="A193" s="35"/>
      <c r="B193" s="36"/>
      <c r="C193" s="37"/>
      <c r="D193" s="36"/>
      <c r="E193" s="36"/>
      <c r="F193" s="37"/>
      <c r="G193" s="36"/>
      <c r="H193" s="36"/>
      <c r="I193" s="171"/>
      <c r="J193" s="38"/>
      <c r="K193" s="28"/>
      <c r="L193" s="28"/>
    </row>
    <row r="194" spans="1:12" x14ac:dyDescent="0.25">
      <c r="A194" s="35"/>
      <c r="B194" s="36"/>
      <c r="C194" s="37"/>
      <c r="D194" s="36"/>
      <c r="E194" s="36"/>
      <c r="F194" s="37"/>
      <c r="G194" s="36"/>
      <c r="H194" s="36"/>
      <c r="I194" s="171"/>
      <c r="J194" s="38"/>
      <c r="K194" s="28"/>
      <c r="L194" s="28"/>
    </row>
    <row r="195" spans="1:12" x14ac:dyDescent="0.25">
      <c r="A195" s="35"/>
      <c r="B195" s="36"/>
      <c r="C195" s="37"/>
      <c r="D195" s="36"/>
      <c r="E195" s="36"/>
      <c r="F195" s="37"/>
      <c r="G195" s="36"/>
      <c r="H195" s="36"/>
      <c r="I195" s="171"/>
      <c r="J195" s="38"/>
      <c r="K195" s="28"/>
      <c r="L195" s="28"/>
    </row>
    <row r="196" spans="1:12" x14ac:dyDescent="0.25">
      <c r="A196" s="35"/>
      <c r="B196" s="36"/>
      <c r="C196" s="37"/>
      <c r="D196" s="36"/>
      <c r="E196" s="36"/>
      <c r="F196" s="37"/>
      <c r="G196" s="36"/>
      <c r="H196" s="36"/>
      <c r="I196" s="171"/>
      <c r="J196" s="38"/>
      <c r="K196" s="28"/>
      <c r="L196" s="28"/>
    </row>
    <row r="197" spans="1:12" x14ac:dyDescent="0.25">
      <c r="A197" s="35"/>
      <c r="B197" s="36"/>
      <c r="C197" s="37"/>
      <c r="D197" s="36"/>
      <c r="E197" s="36"/>
      <c r="F197" s="37"/>
      <c r="G197" s="36"/>
      <c r="H197" s="36"/>
      <c r="I197" s="171"/>
      <c r="J197" s="38"/>
      <c r="K197" s="28"/>
      <c r="L197" s="28"/>
    </row>
    <row r="198" spans="1:12" x14ac:dyDescent="0.25">
      <c r="A198" s="35"/>
      <c r="B198" s="36"/>
      <c r="C198" s="37"/>
      <c r="D198" s="36"/>
      <c r="E198" s="36"/>
      <c r="F198" s="37"/>
      <c r="G198" s="36"/>
      <c r="H198" s="36"/>
      <c r="I198" s="171"/>
      <c r="J198" s="38"/>
      <c r="K198" s="28"/>
      <c r="L198" s="28"/>
    </row>
    <row r="199" spans="1:12" x14ac:dyDescent="0.25">
      <c r="A199" s="35"/>
      <c r="B199" s="36"/>
      <c r="C199" s="37"/>
      <c r="D199" s="36"/>
      <c r="E199" s="36"/>
      <c r="F199" s="37"/>
      <c r="G199" s="36"/>
      <c r="H199" s="36"/>
      <c r="I199" s="171"/>
      <c r="J199" s="38"/>
      <c r="K199" s="28"/>
      <c r="L199" s="28"/>
    </row>
    <row r="200" spans="1:12" x14ac:dyDescent="0.25">
      <c r="A200" s="35"/>
      <c r="B200" s="36"/>
      <c r="C200" s="37"/>
      <c r="D200" s="36"/>
      <c r="E200" s="36"/>
      <c r="F200" s="37"/>
      <c r="G200" s="36"/>
      <c r="H200" s="36"/>
      <c r="I200" s="171"/>
      <c r="J200" s="38"/>
      <c r="K200" s="28"/>
      <c r="L200" s="28"/>
    </row>
    <row r="201" spans="1:12" x14ac:dyDescent="0.25">
      <c r="A201" s="35"/>
      <c r="B201" s="36"/>
      <c r="C201" s="37"/>
      <c r="D201" s="36"/>
      <c r="E201" s="36"/>
      <c r="F201" s="37"/>
      <c r="G201" s="36"/>
      <c r="H201" s="36"/>
      <c r="I201" s="171"/>
      <c r="J201" s="38"/>
      <c r="K201" s="28"/>
      <c r="L201" s="28"/>
    </row>
    <row r="202" spans="1:12" x14ac:dyDescent="0.25">
      <c r="A202" s="35"/>
      <c r="B202" s="36"/>
      <c r="C202" s="37"/>
      <c r="D202" s="36"/>
      <c r="E202" s="36"/>
      <c r="F202" s="37"/>
      <c r="G202" s="36"/>
      <c r="H202" s="36"/>
      <c r="I202" s="171"/>
      <c r="J202" s="38"/>
      <c r="K202" s="28"/>
      <c r="L202" s="28"/>
    </row>
    <row r="203" spans="1:12" x14ac:dyDescent="0.25">
      <c r="A203" s="35"/>
      <c r="B203" s="36"/>
      <c r="C203" s="37"/>
      <c r="D203" s="36"/>
      <c r="E203" s="36"/>
      <c r="F203" s="37"/>
      <c r="G203" s="36"/>
      <c r="H203" s="36"/>
      <c r="I203" s="171"/>
      <c r="J203" s="38"/>
      <c r="K203" s="28"/>
      <c r="L203" s="28"/>
    </row>
    <row r="204" spans="1:12" x14ac:dyDescent="0.25">
      <c r="A204" s="35"/>
      <c r="B204" s="36"/>
      <c r="C204" s="37"/>
      <c r="D204" s="36"/>
      <c r="E204" s="36"/>
      <c r="F204" s="37"/>
      <c r="G204" s="36"/>
      <c r="H204" s="36"/>
      <c r="I204" s="171"/>
      <c r="J204" s="38"/>
      <c r="K204" s="28"/>
      <c r="L204" s="28"/>
    </row>
    <row r="205" spans="1:12" x14ac:dyDescent="0.25">
      <c r="A205" s="35"/>
      <c r="B205" s="36"/>
      <c r="C205" s="37"/>
      <c r="D205" s="36"/>
      <c r="E205" s="36"/>
      <c r="F205" s="37"/>
      <c r="G205" s="36"/>
      <c r="H205" s="36"/>
      <c r="I205" s="171"/>
      <c r="J205" s="38"/>
      <c r="K205" s="28"/>
      <c r="L205" s="28"/>
    </row>
    <row r="206" spans="1:12" x14ac:dyDescent="0.25">
      <c r="A206" s="35"/>
      <c r="B206" s="36"/>
      <c r="C206" s="37"/>
      <c r="D206" s="36"/>
      <c r="E206" s="36"/>
      <c r="F206" s="37"/>
      <c r="G206" s="36"/>
      <c r="H206" s="36"/>
      <c r="I206" s="171"/>
      <c r="J206" s="38"/>
      <c r="K206" s="28"/>
      <c r="L206" s="28"/>
    </row>
    <row r="207" spans="1:12" x14ac:dyDescent="0.25">
      <c r="A207" s="35"/>
      <c r="B207" s="36"/>
      <c r="C207" s="37"/>
      <c r="D207" s="36"/>
      <c r="E207" s="36"/>
      <c r="F207" s="37"/>
      <c r="G207" s="36"/>
      <c r="H207" s="36"/>
      <c r="I207" s="171"/>
      <c r="J207" s="38"/>
      <c r="K207" s="28"/>
      <c r="L207" s="28"/>
    </row>
    <row r="208" spans="1:12" x14ac:dyDescent="0.25">
      <c r="A208" s="35"/>
      <c r="B208" s="36"/>
      <c r="C208" s="37"/>
      <c r="D208" s="36"/>
      <c r="E208" s="36"/>
      <c r="F208" s="37"/>
      <c r="G208" s="36"/>
      <c r="H208" s="36"/>
      <c r="I208" s="171"/>
      <c r="J208" s="38"/>
      <c r="K208" s="28"/>
      <c r="L208" s="28"/>
    </row>
    <row r="209" spans="1:12" x14ac:dyDescent="0.25">
      <c r="A209" s="35"/>
      <c r="B209" s="36"/>
      <c r="C209" s="37"/>
      <c r="D209" s="36"/>
      <c r="E209" s="36"/>
      <c r="F209" s="37"/>
      <c r="G209" s="36"/>
      <c r="H209" s="36"/>
      <c r="I209" s="171"/>
      <c r="J209" s="38"/>
      <c r="K209" s="28"/>
      <c r="L209" s="28"/>
    </row>
    <row r="210" spans="1:12" x14ac:dyDescent="0.25">
      <c r="A210" s="35"/>
      <c r="B210" s="36"/>
      <c r="C210" s="37"/>
      <c r="D210" s="36"/>
      <c r="E210" s="36"/>
      <c r="F210" s="37"/>
      <c r="G210" s="36"/>
      <c r="H210" s="36"/>
      <c r="I210" s="171"/>
      <c r="J210" s="38"/>
      <c r="K210" s="28"/>
      <c r="L210" s="28"/>
    </row>
    <row r="211" spans="1:12" x14ac:dyDescent="0.25">
      <c r="A211" s="35"/>
      <c r="B211" s="36"/>
      <c r="C211" s="37"/>
      <c r="D211" s="36"/>
      <c r="E211" s="36"/>
      <c r="F211" s="37"/>
      <c r="G211" s="36"/>
      <c r="H211" s="36"/>
      <c r="I211" s="171"/>
      <c r="J211" s="38"/>
      <c r="K211" s="28"/>
      <c r="L211" s="28"/>
    </row>
    <row r="212" spans="1:12" x14ac:dyDescent="0.25">
      <c r="A212" s="35"/>
      <c r="B212" s="36"/>
      <c r="C212" s="37"/>
      <c r="D212" s="36"/>
      <c r="E212" s="36"/>
      <c r="F212" s="37"/>
      <c r="G212" s="36"/>
      <c r="H212" s="36"/>
      <c r="I212" s="171"/>
      <c r="J212" s="38"/>
      <c r="K212" s="28"/>
      <c r="L212" s="28"/>
    </row>
    <row r="213" spans="1:12" x14ac:dyDescent="0.25">
      <c r="A213" s="35"/>
      <c r="B213" s="36"/>
      <c r="C213" s="37"/>
      <c r="D213" s="36"/>
      <c r="E213" s="36"/>
      <c r="F213" s="37"/>
      <c r="G213" s="36"/>
      <c r="H213" s="36"/>
      <c r="I213" s="171"/>
      <c r="J213" s="38"/>
      <c r="K213" s="28"/>
      <c r="L213" s="28"/>
    </row>
    <row r="214" spans="1:12" x14ac:dyDescent="0.25">
      <c r="A214" s="35"/>
      <c r="B214" s="36"/>
      <c r="C214" s="37"/>
      <c r="D214" s="36"/>
      <c r="E214" s="36"/>
      <c r="F214" s="37"/>
      <c r="G214" s="36"/>
      <c r="H214" s="36"/>
      <c r="I214" s="171"/>
      <c r="J214" s="38"/>
      <c r="K214" s="28"/>
      <c r="L214" s="28"/>
    </row>
    <row r="215" spans="1:12" x14ac:dyDescent="0.25">
      <c r="A215" s="35"/>
      <c r="B215" s="36"/>
      <c r="C215" s="37"/>
      <c r="D215" s="36"/>
      <c r="E215" s="36"/>
      <c r="F215" s="37"/>
      <c r="G215" s="36"/>
      <c r="H215" s="36"/>
      <c r="I215" s="171"/>
      <c r="J215" s="38"/>
      <c r="K215" s="28"/>
      <c r="L215" s="28"/>
    </row>
    <row r="216" spans="1:12" x14ac:dyDescent="0.25">
      <c r="A216" s="35"/>
      <c r="B216" s="36"/>
      <c r="C216" s="37"/>
      <c r="D216" s="36"/>
      <c r="E216" s="36"/>
      <c r="F216" s="37"/>
      <c r="G216" s="36"/>
      <c r="H216" s="36"/>
      <c r="I216" s="171"/>
      <c r="J216" s="38"/>
      <c r="K216" s="28"/>
      <c r="L216" s="28"/>
    </row>
    <row r="217" spans="1:12" x14ac:dyDescent="0.25">
      <c r="A217" s="35"/>
      <c r="B217" s="36"/>
      <c r="C217" s="37"/>
      <c r="D217" s="36"/>
      <c r="E217" s="36"/>
      <c r="F217" s="37"/>
      <c r="G217" s="36"/>
      <c r="H217" s="36"/>
      <c r="I217" s="171"/>
      <c r="J217" s="38"/>
      <c r="K217" s="28"/>
      <c r="L217" s="28"/>
    </row>
    <row r="218" spans="1:12" x14ac:dyDescent="0.25">
      <c r="A218" s="35"/>
      <c r="B218" s="36"/>
      <c r="C218" s="37"/>
      <c r="D218" s="36"/>
      <c r="E218" s="36"/>
      <c r="F218" s="37"/>
      <c r="G218" s="36"/>
      <c r="H218" s="36"/>
      <c r="I218" s="171"/>
      <c r="J218" s="38"/>
      <c r="K218" s="28"/>
      <c r="L218" s="28"/>
    </row>
    <row r="219" spans="1:12" x14ac:dyDescent="0.25">
      <c r="A219" s="35"/>
      <c r="B219" s="36"/>
      <c r="C219" s="37"/>
      <c r="D219" s="36"/>
      <c r="E219" s="36"/>
      <c r="F219" s="37"/>
      <c r="G219" s="36"/>
      <c r="H219" s="36"/>
      <c r="I219" s="171"/>
      <c r="J219" s="38"/>
      <c r="K219" s="28"/>
      <c r="L219" s="28"/>
    </row>
    <row r="220" spans="1:12" x14ac:dyDescent="0.25">
      <c r="A220" s="35"/>
      <c r="B220" s="36"/>
      <c r="C220" s="37"/>
      <c r="D220" s="36"/>
      <c r="E220" s="36"/>
      <c r="F220" s="37"/>
      <c r="G220" s="36"/>
      <c r="H220" s="36"/>
      <c r="I220" s="171"/>
      <c r="J220" s="38"/>
      <c r="K220" s="28"/>
      <c r="L220" s="28"/>
    </row>
    <row r="221" spans="1:12" x14ac:dyDescent="0.25">
      <c r="A221" s="35"/>
      <c r="B221" s="36"/>
      <c r="C221" s="37"/>
      <c r="D221" s="36"/>
      <c r="E221" s="36"/>
      <c r="F221" s="37"/>
      <c r="G221" s="36"/>
      <c r="H221" s="36"/>
      <c r="I221" s="171"/>
      <c r="J221" s="38"/>
      <c r="K221" s="28"/>
      <c r="L221" s="28"/>
    </row>
    <row r="222" spans="1:12" x14ac:dyDescent="0.25">
      <c r="A222" s="35"/>
      <c r="B222" s="36"/>
      <c r="C222" s="37"/>
      <c r="D222" s="36"/>
      <c r="E222" s="36"/>
      <c r="F222" s="37"/>
      <c r="G222" s="36"/>
      <c r="H222" s="36"/>
      <c r="I222" s="171"/>
      <c r="J222" s="38"/>
      <c r="K222" s="28"/>
      <c r="L222" s="28"/>
    </row>
    <row r="223" spans="1:12" x14ac:dyDescent="0.25">
      <c r="A223" s="35"/>
      <c r="B223" s="36"/>
      <c r="C223" s="37"/>
      <c r="D223" s="36"/>
      <c r="E223" s="36"/>
      <c r="F223" s="37"/>
      <c r="G223" s="36"/>
      <c r="H223" s="36"/>
      <c r="I223" s="171"/>
      <c r="J223" s="38"/>
      <c r="K223" s="28"/>
      <c r="L223" s="28"/>
    </row>
    <row r="224" spans="1:12" x14ac:dyDescent="0.25">
      <c r="A224" s="35"/>
      <c r="B224" s="36"/>
      <c r="C224" s="37"/>
      <c r="D224" s="36"/>
      <c r="E224" s="36"/>
      <c r="F224" s="37"/>
      <c r="G224" s="36"/>
      <c r="H224" s="36"/>
      <c r="I224" s="171"/>
      <c r="J224" s="38"/>
      <c r="K224" s="28"/>
      <c r="L224" s="28"/>
    </row>
    <row r="225" spans="1:12" x14ac:dyDescent="0.25">
      <c r="A225" s="35"/>
      <c r="B225" s="36"/>
      <c r="C225" s="37"/>
      <c r="D225" s="36"/>
      <c r="E225" s="36"/>
      <c r="F225" s="37"/>
      <c r="G225" s="36"/>
      <c r="H225" s="36"/>
      <c r="I225" s="171"/>
      <c r="J225" s="38"/>
      <c r="K225" s="28"/>
      <c r="L225" s="28"/>
    </row>
    <row r="226" spans="1:12" x14ac:dyDescent="0.25">
      <c r="A226" s="35"/>
      <c r="B226" s="36"/>
      <c r="C226" s="37"/>
      <c r="D226" s="36"/>
      <c r="E226" s="36"/>
      <c r="F226" s="37"/>
      <c r="G226" s="36"/>
      <c r="H226" s="36"/>
      <c r="I226" s="171"/>
      <c r="J226" s="38"/>
      <c r="K226" s="28"/>
      <c r="L226" s="28"/>
    </row>
    <row r="227" spans="1:12" x14ac:dyDescent="0.25">
      <c r="A227" s="35"/>
      <c r="B227" s="36"/>
      <c r="C227" s="37"/>
      <c r="D227" s="36"/>
      <c r="E227" s="36"/>
      <c r="F227" s="37"/>
      <c r="G227" s="36"/>
      <c r="H227" s="36"/>
      <c r="I227" s="171"/>
      <c r="J227" s="38"/>
      <c r="K227" s="28"/>
      <c r="L227" s="28"/>
    </row>
    <row r="228" spans="1:12" x14ac:dyDescent="0.25">
      <c r="A228" s="35"/>
      <c r="B228" s="36"/>
      <c r="C228" s="37"/>
      <c r="D228" s="36"/>
      <c r="E228" s="36"/>
      <c r="F228" s="37"/>
      <c r="G228" s="36"/>
      <c r="H228" s="36"/>
      <c r="I228" s="171"/>
      <c r="J228" s="38"/>
      <c r="K228" s="28"/>
      <c r="L228" s="28"/>
    </row>
    <row r="229" spans="1:12" x14ac:dyDescent="0.25">
      <c r="A229" s="35"/>
      <c r="B229" s="36"/>
      <c r="C229" s="37"/>
      <c r="D229" s="36"/>
      <c r="E229" s="36"/>
      <c r="F229" s="37"/>
      <c r="G229" s="36"/>
      <c r="H229" s="36"/>
      <c r="I229" s="171"/>
      <c r="J229" s="38"/>
      <c r="K229" s="28"/>
      <c r="L229" s="28"/>
    </row>
    <row r="230" spans="1:12" x14ac:dyDescent="0.25">
      <c r="A230" s="35"/>
      <c r="B230" s="36"/>
      <c r="C230" s="37"/>
      <c r="D230" s="36"/>
      <c r="E230" s="36"/>
      <c r="F230" s="37"/>
      <c r="G230" s="36"/>
      <c r="H230" s="36"/>
      <c r="I230" s="171"/>
      <c r="J230" s="38"/>
      <c r="K230" s="28"/>
      <c r="L230" s="28"/>
    </row>
    <row r="231" spans="1:12" x14ac:dyDescent="0.25">
      <c r="A231" s="35"/>
      <c r="B231" s="36"/>
      <c r="C231" s="37"/>
      <c r="D231" s="36"/>
      <c r="E231" s="36"/>
      <c r="F231" s="37"/>
      <c r="G231" s="36"/>
      <c r="H231" s="36"/>
      <c r="I231" s="171"/>
      <c r="J231" s="38"/>
      <c r="K231" s="28"/>
      <c r="L231" s="28"/>
    </row>
    <row r="232" spans="1:12" x14ac:dyDescent="0.25">
      <c r="A232" s="35"/>
      <c r="B232" s="36"/>
      <c r="C232" s="37"/>
      <c r="D232" s="36"/>
      <c r="E232" s="36"/>
      <c r="F232" s="37"/>
      <c r="G232" s="36"/>
      <c r="H232" s="36"/>
      <c r="I232" s="171"/>
      <c r="J232" s="38"/>
      <c r="K232" s="28"/>
      <c r="L232" s="28"/>
    </row>
    <row r="233" spans="1:12" x14ac:dyDescent="0.25">
      <c r="A233" s="35"/>
      <c r="B233" s="36"/>
      <c r="C233" s="37"/>
      <c r="D233" s="36"/>
      <c r="E233" s="36"/>
      <c r="F233" s="37"/>
      <c r="G233" s="36"/>
      <c r="H233" s="36"/>
      <c r="I233" s="171"/>
      <c r="J233" s="38"/>
      <c r="K233" s="28"/>
      <c r="L233" s="28"/>
    </row>
    <row r="234" spans="1:12" x14ac:dyDescent="0.25">
      <c r="A234" s="35"/>
      <c r="B234" s="36"/>
      <c r="C234" s="37"/>
      <c r="D234" s="36"/>
      <c r="E234" s="36"/>
      <c r="F234" s="37"/>
      <c r="G234" s="36"/>
      <c r="H234" s="36"/>
      <c r="I234" s="171"/>
      <c r="J234" s="38"/>
      <c r="K234" s="28"/>
      <c r="L234" s="28"/>
    </row>
    <row r="235" spans="1:12" x14ac:dyDescent="0.25">
      <c r="A235" s="35"/>
      <c r="B235" s="36"/>
      <c r="C235" s="37"/>
      <c r="D235" s="36"/>
      <c r="E235" s="36"/>
      <c r="F235" s="37"/>
      <c r="G235" s="36"/>
      <c r="H235" s="36"/>
      <c r="I235" s="171"/>
      <c r="J235" s="38"/>
      <c r="K235" s="28"/>
      <c r="L235" s="28"/>
    </row>
    <row r="236" spans="1:12" x14ac:dyDescent="0.25">
      <c r="A236" s="35"/>
      <c r="B236" s="36"/>
      <c r="C236" s="37"/>
      <c r="D236" s="36"/>
      <c r="E236" s="36"/>
      <c r="F236" s="37"/>
      <c r="G236" s="36"/>
      <c r="H236" s="36"/>
      <c r="I236" s="171"/>
      <c r="J236" s="38"/>
      <c r="K236" s="28"/>
      <c r="L236" s="28"/>
    </row>
    <row r="237" spans="1:12" x14ac:dyDescent="0.25">
      <c r="A237" s="35"/>
      <c r="B237" s="36"/>
      <c r="C237" s="37"/>
      <c r="D237" s="36"/>
      <c r="E237" s="36"/>
      <c r="F237" s="37"/>
      <c r="G237" s="36"/>
      <c r="H237" s="36"/>
      <c r="I237" s="171"/>
      <c r="J237" s="38"/>
      <c r="K237" s="28"/>
      <c r="L237" s="28"/>
    </row>
    <row r="238" spans="1:12" x14ac:dyDescent="0.25">
      <c r="A238" s="35"/>
      <c r="B238" s="36"/>
      <c r="C238" s="37"/>
      <c r="D238" s="36"/>
      <c r="E238" s="36"/>
      <c r="F238" s="37"/>
      <c r="G238" s="36"/>
      <c r="H238" s="36"/>
      <c r="I238" s="171"/>
      <c r="J238" s="38"/>
      <c r="K238" s="28"/>
      <c r="L238" s="28"/>
    </row>
    <row r="239" spans="1:12" x14ac:dyDescent="0.25">
      <c r="A239" s="35"/>
      <c r="B239" s="36"/>
      <c r="C239" s="37"/>
      <c r="D239" s="36"/>
      <c r="E239" s="36"/>
      <c r="F239" s="37"/>
      <c r="G239" s="36"/>
      <c r="H239" s="36"/>
      <c r="I239" s="171"/>
      <c r="J239" s="38"/>
      <c r="K239" s="28"/>
      <c r="L239" s="28"/>
    </row>
    <row r="240" spans="1:12" x14ac:dyDescent="0.25">
      <c r="A240" s="35"/>
      <c r="B240" s="36"/>
      <c r="C240" s="37"/>
      <c r="D240" s="36"/>
      <c r="E240" s="36"/>
      <c r="F240" s="37"/>
      <c r="G240" s="36"/>
      <c r="H240" s="36"/>
      <c r="I240" s="171"/>
      <c r="J240" s="38"/>
      <c r="K240" s="28"/>
      <c r="L240" s="28"/>
    </row>
    <row r="241" spans="1:12" x14ac:dyDescent="0.25">
      <c r="A241" s="35"/>
      <c r="B241" s="36"/>
      <c r="C241" s="37"/>
      <c r="D241" s="36"/>
      <c r="E241" s="36"/>
      <c r="F241" s="37"/>
      <c r="G241" s="36"/>
      <c r="H241" s="36"/>
      <c r="I241" s="171"/>
      <c r="J241" s="38"/>
      <c r="K241" s="28"/>
      <c r="L241" s="28"/>
    </row>
    <row r="242" spans="1:12" x14ac:dyDescent="0.25">
      <c r="A242" s="35"/>
      <c r="B242" s="36"/>
      <c r="C242" s="37"/>
      <c r="D242" s="36"/>
      <c r="E242" s="36"/>
      <c r="F242" s="37"/>
      <c r="G242" s="36"/>
      <c r="H242" s="36"/>
      <c r="I242" s="171"/>
      <c r="J242" s="38"/>
      <c r="K242" s="28"/>
      <c r="L242" s="28"/>
    </row>
    <row r="243" spans="1:12" x14ac:dyDescent="0.25">
      <c r="A243" s="35"/>
      <c r="B243" s="36"/>
      <c r="C243" s="37"/>
      <c r="D243" s="36"/>
      <c r="E243" s="36"/>
      <c r="F243" s="37"/>
      <c r="G243" s="36"/>
      <c r="H243" s="36"/>
      <c r="I243" s="171"/>
      <c r="J243" s="38"/>
      <c r="K243" s="28"/>
      <c r="L243" s="28"/>
    </row>
    <row r="244" spans="1:12" x14ac:dyDescent="0.25">
      <c r="A244" s="35"/>
      <c r="B244" s="36"/>
      <c r="C244" s="37"/>
      <c r="D244" s="36"/>
      <c r="E244" s="36"/>
      <c r="F244" s="37"/>
      <c r="G244" s="36"/>
      <c r="H244" s="36"/>
      <c r="I244" s="171"/>
      <c r="J244" s="38"/>
      <c r="K244" s="28"/>
      <c r="L244" s="28"/>
    </row>
    <row r="245" spans="1:12" x14ac:dyDescent="0.25">
      <c r="A245" s="35"/>
      <c r="B245" s="36"/>
      <c r="C245" s="37"/>
      <c r="D245" s="36"/>
      <c r="E245" s="36"/>
      <c r="F245" s="37"/>
      <c r="G245" s="36"/>
      <c r="H245" s="36"/>
      <c r="I245" s="171"/>
      <c r="J245" s="38"/>
      <c r="K245" s="28"/>
      <c r="L245" s="28"/>
    </row>
    <row r="246" spans="1:12" x14ac:dyDescent="0.25">
      <c r="A246" s="35"/>
      <c r="B246" s="36"/>
      <c r="C246" s="37"/>
      <c r="D246" s="36"/>
      <c r="E246" s="36"/>
      <c r="F246" s="37"/>
      <c r="G246" s="36"/>
      <c r="H246" s="36"/>
      <c r="I246" s="171"/>
      <c r="J246" s="38"/>
      <c r="K246" s="28"/>
      <c r="L246" s="28"/>
    </row>
    <row r="247" spans="1:12" x14ac:dyDescent="0.25">
      <c r="A247" s="35"/>
      <c r="B247" s="36"/>
      <c r="C247" s="37"/>
      <c r="D247" s="36"/>
      <c r="E247" s="36"/>
      <c r="F247" s="37"/>
      <c r="G247" s="36"/>
      <c r="H247" s="36"/>
      <c r="I247" s="171"/>
      <c r="J247" s="38"/>
      <c r="K247" s="28"/>
      <c r="L247" s="28"/>
    </row>
    <row r="248" spans="1:12" x14ac:dyDescent="0.25">
      <c r="A248" s="35"/>
      <c r="B248" s="36"/>
      <c r="C248" s="37"/>
      <c r="D248" s="36"/>
      <c r="E248" s="36"/>
      <c r="F248" s="37"/>
      <c r="G248" s="36"/>
      <c r="H248" s="36"/>
      <c r="I248" s="171"/>
      <c r="J248" s="38"/>
      <c r="K248" s="28"/>
      <c r="L248" s="28"/>
    </row>
    <row r="249" spans="1:12" x14ac:dyDescent="0.25">
      <c r="A249" s="35"/>
      <c r="B249" s="36"/>
      <c r="C249" s="37"/>
      <c r="D249" s="36"/>
      <c r="E249" s="36"/>
      <c r="F249" s="37"/>
      <c r="G249" s="36"/>
      <c r="H249" s="36"/>
      <c r="I249" s="171"/>
      <c r="J249" s="38"/>
      <c r="K249" s="28"/>
      <c r="L249" s="28"/>
    </row>
    <row r="250" spans="1:12" x14ac:dyDescent="0.25">
      <c r="A250" s="35"/>
      <c r="B250" s="36"/>
      <c r="C250" s="37"/>
      <c r="D250" s="36"/>
      <c r="E250" s="36"/>
      <c r="F250" s="37"/>
      <c r="G250" s="36"/>
      <c r="H250" s="36"/>
      <c r="I250" s="171"/>
      <c r="J250" s="38"/>
      <c r="K250" s="28"/>
      <c r="L250" s="28"/>
    </row>
    <row r="251" spans="1:12" x14ac:dyDescent="0.25">
      <c r="A251" s="35"/>
      <c r="B251" s="36"/>
      <c r="C251" s="37"/>
      <c r="D251" s="36"/>
      <c r="E251" s="36"/>
      <c r="F251" s="37"/>
      <c r="G251" s="36"/>
      <c r="H251" s="36"/>
      <c r="I251" s="171"/>
      <c r="J251" s="38"/>
      <c r="K251" s="28"/>
      <c r="L251" s="28"/>
    </row>
    <row r="252" spans="1:12" x14ac:dyDescent="0.25">
      <c r="A252" s="35"/>
      <c r="B252" s="36"/>
      <c r="C252" s="37"/>
      <c r="D252" s="36"/>
      <c r="E252" s="36"/>
      <c r="F252" s="37"/>
      <c r="G252" s="36"/>
      <c r="H252" s="36"/>
      <c r="I252" s="171"/>
      <c r="J252" s="38"/>
      <c r="K252" s="28"/>
      <c r="L252" s="28"/>
    </row>
    <row r="253" spans="1:12" x14ac:dyDescent="0.25">
      <c r="A253" s="35"/>
      <c r="B253" s="36"/>
      <c r="C253" s="37"/>
      <c r="D253" s="36"/>
      <c r="E253" s="36"/>
      <c r="F253" s="37"/>
      <c r="G253" s="36"/>
      <c r="H253" s="36"/>
      <c r="I253" s="171"/>
      <c r="J253" s="38"/>
      <c r="K253" s="28"/>
      <c r="L253" s="28"/>
    </row>
    <row r="254" spans="1:12" x14ac:dyDescent="0.25">
      <c r="A254" s="35"/>
      <c r="B254" s="36"/>
      <c r="C254" s="37"/>
      <c r="D254" s="36"/>
      <c r="E254" s="36"/>
      <c r="F254" s="37"/>
      <c r="G254" s="36"/>
      <c r="H254" s="36"/>
      <c r="I254" s="171"/>
      <c r="J254" s="38"/>
      <c r="K254" s="28"/>
      <c r="L254" s="28"/>
    </row>
    <row r="255" spans="1:12" x14ac:dyDescent="0.25">
      <c r="A255" s="35"/>
      <c r="B255" s="36"/>
      <c r="C255" s="37"/>
      <c r="D255" s="36"/>
      <c r="E255" s="36"/>
      <c r="F255" s="37"/>
      <c r="G255" s="36"/>
      <c r="H255" s="36"/>
      <c r="I255" s="171"/>
      <c r="J255" s="38"/>
      <c r="K255" s="28"/>
      <c r="L255" s="28"/>
    </row>
    <row r="256" spans="1:12" x14ac:dyDescent="0.25">
      <c r="A256" s="35"/>
      <c r="B256" s="36"/>
      <c r="C256" s="37"/>
      <c r="D256" s="36"/>
      <c r="E256" s="36"/>
      <c r="F256" s="37"/>
      <c r="G256" s="36"/>
      <c r="H256" s="36"/>
      <c r="I256" s="171"/>
      <c r="J256" s="38"/>
      <c r="K256" s="28"/>
      <c r="L256" s="28"/>
    </row>
    <row r="257" spans="1:12" x14ac:dyDescent="0.25">
      <c r="A257" s="35"/>
      <c r="B257" s="36"/>
      <c r="C257" s="37"/>
      <c r="D257" s="36"/>
      <c r="E257" s="36"/>
      <c r="F257" s="37"/>
      <c r="G257" s="36"/>
      <c r="H257" s="36"/>
      <c r="I257" s="171"/>
      <c r="J257" s="38"/>
      <c r="K257" s="28"/>
      <c r="L257" s="28"/>
    </row>
    <row r="258" spans="1:12" x14ac:dyDescent="0.25">
      <c r="A258" s="35"/>
      <c r="B258" s="36"/>
      <c r="C258" s="37"/>
      <c r="D258" s="36"/>
      <c r="E258" s="36"/>
      <c r="F258" s="37"/>
      <c r="G258" s="36"/>
      <c r="H258" s="36"/>
      <c r="I258" s="171"/>
      <c r="J258" s="38"/>
      <c r="K258" s="28"/>
      <c r="L258" s="28"/>
    </row>
    <row r="259" spans="1:12" x14ac:dyDescent="0.25">
      <c r="A259" s="35"/>
      <c r="B259" s="36"/>
      <c r="C259" s="37"/>
      <c r="D259" s="36"/>
      <c r="E259" s="36"/>
      <c r="F259" s="37"/>
      <c r="G259" s="36"/>
      <c r="H259" s="36"/>
      <c r="I259" s="171"/>
      <c r="J259" s="38"/>
      <c r="K259" s="28"/>
      <c r="L259" s="28"/>
    </row>
    <row r="260" spans="1:12" x14ac:dyDescent="0.25">
      <c r="A260" s="35"/>
      <c r="B260" s="36"/>
      <c r="C260" s="37"/>
      <c r="D260" s="36"/>
      <c r="E260" s="36"/>
      <c r="F260" s="37"/>
      <c r="G260" s="36"/>
      <c r="H260" s="36"/>
      <c r="I260" s="171"/>
      <c r="J260" s="38"/>
      <c r="K260" s="28"/>
      <c r="L260" s="28"/>
    </row>
    <row r="261" spans="1:12" x14ac:dyDescent="0.25">
      <c r="A261" s="35"/>
      <c r="B261" s="36"/>
      <c r="C261" s="37"/>
      <c r="D261" s="36"/>
      <c r="E261" s="36"/>
      <c r="F261" s="37"/>
      <c r="G261" s="36"/>
      <c r="H261" s="36"/>
      <c r="I261" s="171"/>
      <c r="J261" s="38"/>
      <c r="K261" s="28"/>
      <c r="L261" s="28"/>
    </row>
    <row r="262" spans="1:12" x14ac:dyDescent="0.25">
      <c r="A262" s="35"/>
      <c r="B262" s="36"/>
      <c r="C262" s="37"/>
      <c r="D262" s="36"/>
      <c r="E262" s="36"/>
      <c r="F262" s="37"/>
      <c r="G262" s="36"/>
      <c r="H262" s="36"/>
      <c r="I262" s="171"/>
      <c r="J262" s="38"/>
      <c r="K262" s="28"/>
      <c r="L262" s="28"/>
    </row>
    <row r="263" spans="1:12" x14ac:dyDescent="0.25">
      <c r="A263" s="35"/>
      <c r="B263" s="36"/>
      <c r="C263" s="37"/>
      <c r="D263" s="36"/>
      <c r="E263" s="36"/>
      <c r="F263" s="37"/>
      <c r="G263" s="36"/>
      <c r="H263" s="36"/>
      <c r="I263" s="171"/>
      <c r="J263" s="38"/>
      <c r="K263" s="28"/>
      <c r="L263" s="28"/>
    </row>
    <row r="264" spans="1:12" x14ac:dyDescent="0.25">
      <c r="A264" s="35"/>
      <c r="B264" s="36"/>
      <c r="C264" s="37"/>
      <c r="D264" s="36"/>
      <c r="E264" s="36"/>
      <c r="F264" s="37"/>
      <c r="G264" s="36"/>
      <c r="H264" s="36"/>
      <c r="I264" s="171"/>
      <c r="J264" s="38"/>
      <c r="K264" s="28"/>
      <c r="L264" s="28"/>
    </row>
    <row r="265" spans="1:12" x14ac:dyDescent="0.25">
      <c r="A265" s="35"/>
      <c r="B265" s="36"/>
      <c r="C265" s="37"/>
      <c r="D265" s="36"/>
      <c r="E265" s="36"/>
      <c r="F265" s="37"/>
      <c r="G265" s="36"/>
      <c r="H265" s="36"/>
      <c r="I265" s="171"/>
      <c r="J265" s="38"/>
      <c r="K265" s="28"/>
      <c r="L265" s="28"/>
    </row>
    <row r="266" spans="1:12" x14ac:dyDescent="0.25">
      <c r="A266" s="35"/>
      <c r="B266" s="36"/>
      <c r="C266" s="37"/>
      <c r="D266" s="36"/>
      <c r="E266" s="36"/>
      <c r="F266" s="37"/>
      <c r="G266" s="36"/>
      <c r="H266" s="36"/>
      <c r="I266" s="171"/>
      <c r="J266" s="38"/>
      <c r="K266" s="28"/>
      <c r="L266" s="28"/>
    </row>
    <row r="267" spans="1:12" x14ac:dyDescent="0.25">
      <c r="A267" s="35"/>
      <c r="B267" s="36"/>
      <c r="C267" s="37"/>
      <c r="D267" s="36"/>
      <c r="E267" s="36"/>
      <c r="F267" s="37"/>
      <c r="G267" s="36"/>
      <c r="H267" s="36"/>
      <c r="I267" s="171"/>
      <c r="J267" s="38"/>
      <c r="K267" s="28"/>
      <c r="L267" s="28"/>
    </row>
    <row r="268" spans="1:12" x14ac:dyDescent="0.25">
      <c r="A268" s="35"/>
      <c r="B268" s="36"/>
      <c r="C268" s="37"/>
      <c r="D268" s="36"/>
      <c r="E268" s="36"/>
      <c r="F268" s="37"/>
      <c r="G268" s="36"/>
      <c r="H268" s="36"/>
      <c r="I268" s="171"/>
      <c r="J268" s="38"/>
      <c r="K268" s="28"/>
      <c r="L268" s="28"/>
    </row>
    <row r="269" spans="1:12" x14ac:dyDescent="0.25">
      <c r="A269" s="35"/>
      <c r="B269" s="36"/>
      <c r="C269" s="37"/>
      <c r="D269" s="36"/>
      <c r="E269" s="36"/>
      <c r="F269" s="37"/>
      <c r="G269" s="36"/>
      <c r="H269" s="36"/>
      <c r="I269" s="171"/>
      <c r="J269" s="38"/>
      <c r="K269" s="28"/>
      <c r="L269" s="28"/>
    </row>
    <row r="270" spans="1:12" x14ac:dyDescent="0.25">
      <c r="A270" s="35"/>
      <c r="B270" s="36"/>
      <c r="C270" s="37"/>
      <c r="D270" s="36"/>
      <c r="E270" s="36"/>
      <c r="F270" s="37"/>
      <c r="G270" s="36"/>
      <c r="H270" s="36"/>
      <c r="I270" s="171"/>
      <c r="J270" s="38"/>
      <c r="K270" s="28"/>
      <c r="L270" s="28"/>
    </row>
    <row r="271" spans="1:12" x14ac:dyDescent="0.25">
      <c r="A271" s="35"/>
      <c r="B271" s="36"/>
      <c r="C271" s="37"/>
      <c r="D271" s="36"/>
      <c r="E271" s="36"/>
      <c r="F271" s="37"/>
      <c r="G271" s="36"/>
      <c r="H271" s="36"/>
      <c r="I271" s="171"/>
      <c r="J271" s="38"/>
      <c r="K271" s="28"/>
      <c r="L271" s="28"/>
    </row>
    <row r="272" spans="1:12" x14ac:dyDescent="0.25">
      <c r="A272" s="35"/>
      <c r="B272" s="36"/>
      <c r="C272" s="37"/>
      <c r="D272" s="36"/>
      <c r="E272" s="36"/>
      <c r="F272" s="37"/>
      <c r="G272" s="36"/>
      <c r="H272" s="36"/>
      <c r="I272" s="171"/>
      <c r="J272" s="38"/>
      <c r="K272" s="28"/>
      <c r="L272" s="28"/>
    </row>
    <row r="273" spans="1:12" x14ac:dyDescent="0.25">
      <c r="A273" s="35"/>
      <c r="B273" s="36"/>
      <c r="C273" s="37"/>
      <c r="D273" s="36"/>
      <c r="E273" s="36"/>
      <c r="F273" s="37"/>
      <c r="G273" s="36"/>
      <c r="H273" s="36"/>
      <c r="I273" s="171"/>
      <c r="J273" s="38"/>
      <c r="K273" s="28"/>
      <c r="L273" s="28"/>
    </row>
    <row r="274" spans="1:12" x14ac:dyDescent="0.25">
      <c r="A274" s="35"/>
      <c r="B274" s="36"/>
      <c r="C274" s="37"/>
      <c r="D274" s="36"/>
      <c r="E274" s="36"/>
      <c r="F274" s="37"/>
      <c r="G274" s="36"/>
      <c r="H274" s="36"/>
      <c r="I274" s="171"/>
      <c r="J274" s="38"/>
      <c r="K274" s="28"/>
      <c r="L274" s="28"/>
    </row>
    <row r="275" spans="1:12" x14ac:dyDescent="0.25">
      <c r="A275" s="35"/>
      <c r="B275" s="36"/>
      <c r="C275" s="37"/>
      <c r="D275" s="36"/>
      <c r="E275" s="36"/>
      <c r="F275" s="37"/>
      <c r="G275" s="36"/>
      <c r="H275" s="36"/>
      <c r="I275" s="171"/>
      <c r="J275" s="38"/>
      <c r="K275" s="28"/>
      <c r="L275" s="28"/>
    </row>
    <row r="276" spans="1:12" x14ac:dyDescent="0.25">
      <c r="A276" s="35"/>
      <c r="B276" s="36"/>
      <c r="C276" s="37"/>
      <c r="D276" s="36"/>
      <c r="E276" s="36"/>
      <c r="F276" s="37"/>
      <c r="G276" s="36"/>
      <c r="H276" s="36"/>
      <c r="I276" s="171"/>
      <c r="J276" s="38"/>
      <c r="K276" s="28"/>
      <c r="L276" s="28"/>
    </row>
    <row r="277" spans="1:12" x14ac:dyDescent="0.25">
      <c r="A277" s="35"/>
      <c r="B277" s="36"/>
      <c r="C277" s="37"/>
      <c r="D277" s="36"/>
      <c r="E277" s="36"/>
      <c r="F277" s="37"/>
      <c r="G277" s="36"/>
      <c r="H277" s="36"/>
      <c r="I277" s="171"/>
      <c r="J277" s="38"/>
      <c r="K277" s="28"/>
      <c r="L277" s="28"/>
    </row>
    <row r="278" spans="1:12" x14ac:dyDescent="0.25">
      <c r="A278" s="35"/>
      <c r="B278" s="36"/>
      <c r="C278" s="37"/>
      <c r="D278" s="36"/>
      <c r="E278" s="36"/>
      <c r="F278" s="37"/>
      <c r="G278" s="36"/>
      <c r="H278" s="36"/>
      <c r="I278" s="171"/>
      <c r="J278" s="38"/>
      <c r="K278" s="28"/>
      <c r="L278" s="28"/>
    </row>
    <row r="279" spans="1:12" x14ac:dyDescent="0.25">
      <c r="A279" s="35"/>
      <c r="B279" s="36"/>
      <c r="C279" s="37"/>
      <c r="D279" s="36"/>
      <c r="E279" s="36"/>
      <c r="F279" s="37"/>
      <c r="G279" s="36"/>
      <c r="H279" s="36"/>
      <c r="I279" s="171"/>
      <c r="J279" s="38"/>
      <c r="K279" s="28"/>
      <c r="L279" s="28"/>
    </row>
    <row r="280" spans="1:12" x14ac:dyDescent="0.25">
      <c r="A280" s="35"/>
      <c r="B280" s="36"/>
      <c r="C280" s="37"/>
      <c r="D280" s="36"/>
      <c r="E280" s="36"/>
      <c r="F280" s="37"/>
      <c r="G280" s="36"/>
      <c r="H280" s="36"/>
      <c r="I280" s="171"/>
      <c r="J280" s="38"/>
      <c r="K280" s="28"/>
      <c r="L280" s="28"/>
    </row>
    <row r="281" spans="1:12" x14ac:dyDescent="0.25">
      <c r="A281" s="35"/>
      <c r="B281" s="36"/>
      <c r="C281" s="37"/>
      <c r="D281" s="36"/>
      <c r="E281" s="36"/>
      <c r="F281" s="37"/>
      <c r="G281" s="36"/>
      <c r="H281" s="36"/>
      <c r="I281" s="171"/>
      <c r="J281" s="38"/>
      <c r="K281" s="28"/>
      <c r="L281" s="28"/>
    </row>
    <row r="282" spans="1:12" x14ac:dyDescent="0.25">
      <c r="A282" s="35"/>
      <c r="B282" s="36"/>
      <c r="C282" s="37"/>
      <c r="D282" s="36"/>
      <c r="E282" s="36"/>
      <c r="F282" s="37"/>
      <c r="G282" s="36"/>
      <c r="H282" s="36"/>
      <c r="I282" s="171"/>
      <c r="J282" s="38"/>
      <c r="K282" s="28"/>
      <c r="L282" s="28"/>
    </row>
    <row r="283" spans="1:12" x14ac:dyDescent="0.25">
      <c r="A283" s="35"/>
      <c r="B283" s="36"/>
      <c r="C283" s="37"/>
      <c r="D283" s="36"/>
      <c r="E283" s="36"/>
      <c r="F283" s="37"/>
      <c r="G283" s="36"/>
      <c r="H283" s="36"/>
      <c r="I283" s="171"/>
      <c r="J283" s="38"/>
      <c r="K283" s="28"/>
      <c r="L283" s="28"/>
    </row>
    <row r="284" spans="1:12" x14ac:dyDescent="0.25">
      <c r="A284" s="35"/>
      <c r="B284" s="36"/>
      <c r="C284" s="37"/>
      <c r="D284" s="36"/>
      <c r="E284" s="36"/>
      <c r="F284" s="37"/>
      <c r="G284" s="36"/>
      <c r="H284" s="36"/>
      <c r="I284" s="171"/>
      <c r="J284" s="38"/>
      <c r="K284" s="28"/>
      <c r="L284" s="28"/>
    </row>
    <row r="285" spans="1:12" x14ac:dyDescent="0.25">
      <c r="A285" s="35"/>
      <c r="B285" s="36"/>
      <c r="C285" s="37"/>
      <c r="D285" s="36"/>
      <c r="E285" s="36"/>
      <c r="F285" s="37"/>
      <c r="G285" s="36"/>
      <c r="H285" s="36"/>
      <c r="I285" s="171"/>
      <c r="J285" s="38"/>
      <c r="K285" s="28"/>
      <c r="L285" s="28"/>
    </row>
    <row r="286" spans="1:12" x14ac:dyDescent="0.25">
      <c r="A286" s="35"/>
      <c r="B286" s="36"/>
      <c r="C286" s="37"/>
      <c r="D286" s="36"/>
      <c r="E286" s="36"/>
      <c r="F286" s="37"/>
      <c r="G286" s="36"/>
      <c r="H286" s="36"/>
      <c r="I286" s="171"/>
      <c r="J286" s="38"/>
      <c r="K286" s="28"/>
      <c r="L286" s="28"/>
    </row>
    <row r="287" spans="1:12" x14ac:dyDescent="0.25">
      <c r="A287" s="35"/>
      <c r="B287" s="36"/>
      <c r="C287" s="37"/>
      <c r="D287" s="36"/>
      <c r="E287" s="36"/>
      <c r="F287" s="37"/>
      <c r="G287" s="36"/>
      <c r="H287" s="36"/>
      <c r="I287" s="171"/>
      <c r="J287" s="38"/>
      <c r="K287" s="28"/>
      <c r="L287" s="28"/>
    </row>
    <row r="288" spans="1:12" x14ac:dyDescent="0.25">
      <c r="A288" s="35"/>
      <c r="B288" s="36"/>
      <c r="C288" s="37"/>
      <c r="D288" s="36"/>
      <c r="E288" s="36"/>
      <c r="F288" s="37"/>
      <c r="G288" s="36"/>
      <c r="H288" s="36"/>
      <c r="I288" s="171"/>
      <c r="J288" s="38"/>
      <c r="K288" s="28"/>
      <c r="L288" s="28"/>
    </row>
    <row r="289" spans="1:12" x14ac:dyDescent="0.25">
      <c r="A289" s="35"/>
      <c r="B289" s="36"/>
      <c r="C289" s="37"/>
      <c r="D289" s="36"/>
      <c r="E289" s="36"/>
      <c r="F289" s="37"/>
      <c r="G289" s="36"/>
      <c r="H289" s="36"/>
      <c r="I289" s="171"/>
      <c r="J289" s="38"/>
      <c r="K289" s="28"/>
      <c r="L289" s="28"/>
    </row>
    <row r="290" spans="1:12" x14ac:dyDescent="0.25">
      <c r="A290" s="35"/>
      <c r="B290" s="36"/>
      <c r="C290" s="37"/>
      <c r="D290" s="36"/>
      <c r="E290" s="36"/>
      <c r="F290" s="37"/>
      <c r="G290" s="36"/>
      <c r="H290" s="36"/>
      <c r="I290" s="171"/>
      <c r="J290" s="38"/>
      <c r="K290" s="28"/>
      <c r="L290" s="28"/>
    </row>
    <row r="291" spans="1:12" x14ac:dyDescent="0.25">
      <c r="A291" s="35"/>
      <c r="B291" s="36"/>
      <c r="C291" s="37"/>
      <c r="D291" s="36"/>
      <c r="E291" s="36"/>
      <c r="F291" s="37"/>
      <c r="G291" s="36"/>
      <c r="H291" s="36"/>
      <c r="I291" s="171"/>
      <c r="J291" s="38"/>
      <c r="K291" s="28"/>
      <c r="L291" s="28"/>
    </row>
    <row r="292" spans="1:12" x14ac:dyDescent="0.25">
      <c r="A292" s="35"/>
      <c r="B292" s="36"/>
      <c r="C292" s="37"/>
      <c r="D292" s="36"/>
      <c r="E292" s="36"/>
      <c r="F292" s="37"/>
      <c r="G292" s="36"/>
      <c r="H292" s="36"/>
      <c r="I292" s="171"/>
      <c r="J292" s="38"/>
      <c r="K292" s="28"/>
      <c r="L292" s="28"/>
    </row>
    <row r="293" spans="1:12" x14ac:dyDescent="0.25">
      <c r="A293" s="35"/>
      <c r="B293" s="36"/>
      <c r="C293" s="37"/>
      <c r="D293" s="36"/>
      <c r="E293" s="36"/>
      <c r="F293" s="37"/>
      <c r="G293" s="36"/>
      <c r="H293" s="36"/>
      <c r="I293" s="171"/>
      <c r="J293" s="38"/>
      <c r="K293" s="28"/>
      <c r="L293" s="28"/>
    </row>
    <row r="294" spans="1:12" x14ac:dyDescent="0.25">
      <c r="A294" s="35"/>
      <c r="B294" s="36"/>
      <c r="C294" s="37"/>
      <c r="D294" s="36"/>
      <c r="E294" s="36"/>
      <c r="F294" s="37"/>
      <c r="G294" s="36"/>
      <c r="H294" s="36"/>
      <c r="I294" s="171"/>
      <c r="J294" s="38"/>
      <c r="K294" s="28"/>
      <c r="L294" s="28"/>
    </row>
    <row r="295" spans="1:12" x14ac:dyDescent="0.25">
      <c r="A295" s="35"/>
      <c r="B295" s="36"/>
      <c r="C295" s="37"/>
      <c r="D295" s="36"/>
      <c r="E295" s="36"/>
      <c r="F295" s="37"/>
      <c r="G295" s="36"/>
      <c r="H295" s="36"/>
      <c r="I295" s="171"/>
      <c r="J295" s="38"/>
      <c r="K295" s="28"/>
      <c r="L295" s="28"/>
    </row>
    <row r="296" spans="1:12" x14ac:dyDescent="0.25">
      <c r="A296" s="35"/>
      <c r="B296" s="36"/>
      <c r="C296" s="37"/>
      <c r="D296" s="36"/>
      <c r="E296" s="36"/>
      <c r="F296" s="37"/>
      <c r="G296" s="36"/>
      <c r="H296" s="36"/>
      <c r="I296" s="171"/>
      <c r="J296" s="38"/>
      <c r="K296" s="28"/>
      <c r="L296" s="28"/>
    </row>
    <row r="297" spans="1:12" x14ac:dyDescent="0.25">
      <c r="A297" s="35"/>
      <c r="B297" s="36"/>
      <c r="C297" s="37"/>
      <c r="D297" s="36"/>
      <c r="E297" s="36"/>
      <c r="F297" s="37"/>
      <c r="G297" s="36"/>
      <c r="H297" s="36"/>
      <c r="I297" s="171"/>
      <c r="J297" s="38"/>
      <c r="K297" s="28"/>
      <c r="L297" s="28"/>
    </row>
    <row r="298" spans="1:12" x14ac:dyDescent="0.25">
      <c r="A298" s="35"/>
      <c r="B298" s="36"/>
      <c r="C298" s="37"/>
      <c r="D298" s="36"/>
      <c r="E298" s="36"/>
      <c r="F298" s="37"/>
      <c r="G298" s="36"/>
      <c r="H298" s="36"/>
      <c r="I298" s="171"/>
      <c r="J298" s="38"/>
      <c r="K298" s="28"/>
      <c r="L298" s="28"/>
    </row>
    <row r="299" spans="1:12" x14ac:dyDescent="0.25">
      <c r="A299" s="35"/>
      <c r="B299" s="36"/>
      <c r="C299" s="37"/>
      <c r="D299" s="36"/>
      <c r="E299" s="36"/>
      <c r="F299" s="37"/>
      <c r="G299" s="36"/>
      <c r="H299" s="36"/>
      <c r="I299" s="171"/>
      <c r="J299" s="38"/>
      <c r="K299" s="28"/>
      <c r="L299" s="28"/>
    </row>
    <row r="300" spans="1:12" x14ac:dyDescent="0.25">
      <c r="A300" s="35"/>
      <c r="B300" s="36"/>
      <c r="C300" s="37"/>
      <c r="D300" s="36"/>
      <c r="E300" s="36"/>
      <c r="F300" s="37"/>
      <c r="G300" s="36"/>
      <c r="H300" s="36"/>
      <c r="I300" s="171"/>
      <c r="J300" s="38"/>
      <c r="K300" s="28"/>
      <c r="L300" s="28"/>
    </row>
    <row r="301" spans="1:12" x14ac:dyDescent="0.25">
      <c r="A301" s="35"/>
      <c r="B301" s="36"/>
      <c r="C301" s="37"/>
      <c r="D301" s="36"/>
      <c r="E301" s="36"/>
      <c r="F301" s="37"/>
      <c r="G301" s="36"/>
      <c r="H301" s="36"/>
      <c r="I301" s="171"/>
      <c r="J301" s="38"/>
      <c r="K301" s="28"/>
      <c r="L301" s="28"/>
    </row>
    <row r="302" spans="1:12" x14ac:dyDescent="0.25">
      <c r="A302" s="35"/>
      <c r="B302" s="36"/>
      <c r="C302" s="37"/>
      <c r="D302" s="36"/>
      <c r="E302" s="36"/>
      <c r="F302" s="37"/>
      <c r="G302" s="36"/>
      <c r="H302" s="36"/>
      <c r="I302" s="171"/>
      <c r="J302" s="38"/>
      <c r="K302" s="28"/>
      <c r="L302" s="28"/>
    </row>
    <row r="303" spans="1:12" x14ac:dyDescent="0.25">
      <c r="A303" s="35"/>
      <c r="B303" s="36"/>
      <c r="C303" s="37"/>
      <c r="D303" s="36"/>
      <c r="E303" s="36"/>
      <c r="F303" s="37"/>
      <c r="G303" s="36"/>
      <c r="H303" s="36"/>
      <c r="I303" s="171"/>
      <c r="J303" s="38"/>
      <c r="K303" s="28"/>
      <c r="L303" s="28"/>
    </row>
    <row r="304" spans="1:12" x14ac:dyDescent="0.25">
      <c r="A304" s="35"/>
      <c r="B304" s="36"/>
      <c r="C304" s="37"/>
      <c r="D304" s="36"/>
      <c r="E304" s="36"/>
      <c r="F304" s="37"/>
      <c r="G304" s="36"/>
      <c r="H304" s="36"/>
      <c r="I304" s="171"/>
      <c r="J304" s="38"/>
      <c r="K304" s="28"/>
      <c r="L304" s="28"/>
    </row>
    <row r="305" spans="1:12" x14ac:dyDescent="0.25">
      <c r="A305" s="35"/>
      <c r="B305" s="36"/>
      <c r="C305" s="37"/>
      <c r="D305" s="36"/>
      <c r="E305" s="36"/>
      <c r="F305" s="37"/>
      <c r="G305" s="36"/>
      <c r="H305" s="36"/>
      <c r="I305" s="171"/>
      <c r="J305" s="38"/>
      <c r="K305" s="28"/>
      <c r="L305" s="28"/>
    </row>
    <row r="306" spans="1:12" x14ac:dyDescent="0.25">
      <c r="A306" s="35"/>
      <c r="B306" s="36"/>
      <c r="C306" s="37"/>
      <c r="D306" s="36"/>
      <c r="E306" s="36"/>
      <c r="F306" s="37"/>
      <c r="G306" s="36"/>
      <c r="H306" s="36"/>
      <c r="I306" s="171"/>
      <c r="J306" s="38"/>
      <c r="K306" s="28"/>
      <c r="L306" s="28"/>
    </row>
    <row r="307" spans="1:12" x14ac:dyDescent="0.25">
      <c r="A307" s="35"/>
      <c r="B307" s="36"/>
      <c r="C307" s="37"/>
      <c r="D307" s="36"/>
      <c r="E307" s="36"/>
      <c r="F307" s="37"/>
      <c r="G307" s="36"/>
      <c r="H307" s="36"/>
      <c r="I307" s="171"/>
      <c r="J307" s="38"/>
      <c r="K307" s="28"/>
      <c r="L307" s="28"/>
    </row>
    <row r="308" spans="1:12" x14ac:dyDescent="0.25">
      <c r="A308" s="35"/>
      <c r="B308" s="36"/>
      <c r="C308" s="37"/>
      <c r="D308" s="36"/>
      <c r="E308" s="36"/>
      <c r="F308" s="37"/>
      <c r="G308" s="36"/>
      <c r="H308" s="36"/>
      <c r="I308" s="171"/>
      <c r="J308" s="38"/>
      <c r="K308" s="28"/>
      <c r="L308" s="28"/>
    </row>
    <row r="309" spans="1:12" x14ac:dyDescent="0.25">
      <c r="A309" s="35"/>
      <c r="B309" s="36"/>
      <c r="C309" s="37"/>
      <c r="D309" s="36"/>
      <c r="E309" s="36"/>
      <c r="F309" s="37"/>
      <c r="G309" s="36"/>
      <c r="H309" s="36"/>
      <c r="I309" s="171"/>
      <c r="J309" s="38"/>
      <c r="K309" s="28"/>
      <c r="L309" s="28"/>
    </row>
    <row r="310" spans="1:12" x14ac:dyDescent="0.25">
      <c r="A310" s="35"/>
      <c r="B310" s="36"/>
      <c r="C310" s="37"/>
      <c r="D310" s="36"/>
      <c r="E310" s="36"/>
      <c r="F310" s="37"/>
      <c r="G310" s="36"/>
      <c r="H310" s="36"/>
      <c r="I310" s="171"/>
      <c r="J310" s="38"/>
      <c r="K310" s="28"/>
      <c r="L310" s="28"/>
    </row>
    <row r="311" spans="1:12" x14ac:dyDescent="0.25">
      <c r="A311" s="35"/>
      <c r="B311" s="36"/>
      <c r="C311" s="37"/>
      <c r="D311" s="36"/>
      <c r="E311" s="36"/>
      <c r="F311" s="37"/>
      <c r="G311" s="36"/>
      <c r="H311" s="36"/>
      <c r="I311" s="171"/>
      <c r="J311" s="38"/>
      <c r="K311" s="28"/>
      <c r="L311" s="28"/>
    </row>
    <row r="312" spans="1:12" x14ac:dyDescent="0.25">
      <c r="A312" s="35"/>
      <c r="B312" s="36"/>
      <c r="C312" s="37"/>
      <c r="D312" s="36"/>
      <c r="E312" s="36"/>
      <c r="F312" s="37"/>
      <c r="G312" s="36"/>
      <c r="H312" s="36"/>
      <c r="I312" s="171"/>
      <c r="J312" s="38"/>
      <c r="K312" s="28"/>
      <c r="L312" s="28"/>
    </row>
    <row r="313" spans="1:12" x14ac:dyDescent="0.25">
      <c r="A313" s="35"/>
      <c r="B313" s="36"/>
      <c r="C313" s="37"/>
      <c r="D313" s="36"/>
      <c r="E313" s="36"/>
      <c r="F313" s="37"/>
      <c r="G313" s="36"/>
      <c r="H313" s="36"/>
      <c r="I313" s="171"/>
      <c r="J313" s="38"/>
      <c r="K313" s="28"/>
      <c r="L313" s="28"/>
    </row>
    <row r="314" spans="1:12" x14ac:dyDescent="0.25">
      <c r="A314" s="35"/>
      <c r="B314" s="36"/>
      <c r="C314" s="37"/>
      <c r="D314" s="36"/>
      <c r="E314" s="36"/>
      <c r="F314" s="37"/>
      <c r="G314" s="36"/>
      <c r="H314" s="36"/>
      <c r="I314" s="171"/>
      <c r="J314" s="38"/>
      <c r="K314" s="28"/>
      <c r="L314" s="28"/>
    </row>
    <row r="315" spans="1:12" x14ac:dyDescent="0.25">
      <c r="A315" s="35"/>
      <c r="B315" s="36"/>
      <c r="C315" s="37"/>
      <c r="D315" s="36"/>
      <c r="E315" s="36"/>
      <c r="F315" s="37"/>
      <c r="G315" s="36"/>
      <c r="H315" s="36"/>
      <c r="I315" s="171"/>
      <c r="J315" s="38"/>
      <c r="K315" s="28"/>
      <c r="L315" s="28"/>
    </row>
    <row r="316" spans="1:12" x14ac:dyDescent="0.25">
      <c r="A316" s="35"/>
      <c r="B316" s="36"/>
      <c r="C316" s="37"/>
      <c r="D316" s="36"/>
      <c r="E316" s="36"/>
      <c r="F316" s="37"/>
      <c r="G316" s="36"/>
      <c r="H316" s="36"/>
      <c r="I316" s="171"/>
      <c r="J316" s="38"/>
      <c r="K316" s="28"/>
      <c r="L316" s="28"/>
    </row>
    <row r="317" spans="1:12" x14ac:dyDescent="0.25">
      <c r="A317" s="35"/>
      <c r="B317" s="36"/>
      <c r="C317" s="37"/>
      <c r="D317" s="36"/>
      <c r="E317" s="36"/>
      <c r="F317" s="37"/>
      <c r="G317" s="36"/>
      <c r="H317" s="36"/>
      <c r="I317" s="171"/>
      <c r="J317" s="38"/>
      <c r="K317" s="28"/>
      <c r="L317" s="28"/>
    </row>
    <row r="318" spans="1:12" x14ac:dyDescent="0.25">
      <c r="A318" s="35"/>
      <c r="B318" s="36"/>
      <c r="C318" s="37"/>
      <c r="D318" s="36"/>
      <c r="E318" s="36"/>
      <c r="F318" s="37"/>
      <c r="G318" s="36"/>
      <c r="H318" s="36"/>
      <c r="I318" s="171"/>
      <c r="J318" s="38"/>
      <c r="K318" s="28"/>
      <c r="L318" s="28"/>
    </row>
    <row r="319" spans="1:12" x14ac:dyDescent="0.25">
      <c r="A319" s="35"/>
      <c r="B319" s="36"/>
      <c r="C319" s="37"/>
      <c r="D319" s="36"/>
      <c r="E319" s="36"/>
      <c r="F319" s="37"/>
      <c r="G319" s="36"/>
      <c r="H319" s="36"/>
      <c r="I319" s="171"/>
      <c r="J319" s="38"/>
      <c r="K319" s="28"/>
      <c r="L319" s="28"/>
    </row>
    <row r="320" spans="1:12" x14ac:dyDescent="0.25">
      <c r="A320" s="35"/>
      <c r="B320" s="36"/>
      <c r="C320" s="37"/>
      <c r="D320" s="36"/>
      <c r="E320" s="36"/>
      <c r="F320" s="37"/>
      <c r="G320" s="36"/>
      <c r="H320" s="36"/>
      <c r="I320" s="171"/>
      <c r="J320" s="38"/>
      <c r="K320" s="28"/>
      <c r="L320" s="28"/>
    </row>
    <row r="321" spans="1:12" x14ac:dyDescent="0.25">
      <c r="A321" s="35"/>
      <c r="B321" s="36"/>
      <c r="C321" s="37"/>
      <c r="D321" s="36"/>
      <c r="E321" s="36"/>
      <c r="F321" s="37"/>
      <c r="G321" s="36"/>
      <c r="H321" s="36"/>
      <c r="I321" s="171"/>
      <c r="J321" s="38"/>
      <c r="K321" s="28"/>
      <c r="L321" s="28"/>
    </row>
    <row r="322" spans="1:12" x14ac:dyDescent="0.25">
      <c r="A322" s="35"/>
      <c r="B322" s="36"/>
      <c r="C322" s="37"/>
      <c r="D322" s="36"/>
      <c r="E322" s="36"/>
      <c r="F322" s="37"/>
      <c r="G322" s="36"/>
      <c r="H322" s="36"/>
      <c r="I322" s="171"/>
      <c r="J322" s="38"/>
      <c r="K322" s="28"/>
      <c r="L322" s="28"/>
    </row>
    <row r="323" spans="1:12" x14ac:dyDescent="0.25">
      <c r="A323" s="35"/>
      <c r="B323" s="36"/>
      <c r="C323" s="37"/>
      <c r="D323" s="36"/>
      <c r="E323" s="36"/>
      <c r="F323" s="37"/>
      <c r="G323" s="36"/>
      <c r="H323" s="36"/>
      <c r="I323" s="171"/>
      <c r="J323" s="38"/>
      <c r="K323" s="28"/>
      <c r="L323" s="28"/>
    </row>
    <row r="324" spans="1:12" x14ac:dyDescent="0.25">
      <c r="A324" s="35"/>
      <c r="B324" s="36"/>
      <c r="C324" s="37"/>
      <c r="D324" s="36"/>
      <c r="E324" s="36"/>
      <c r="F324" s="37"/>
      <c r="G324" s="36"/>
      <c r="H324" s="36"/>
      <c r="I324" s="171"/>
      <c r="J324" s="38"/>
      <c r="K324" s="28"/>
      <c r="L324" s="28"/>
    </row>
    <row r="325" spans="1:12" x14ac:dyDescent="0.25">
      <c r="A325" s="35"/>
      <c r="B325" s="36"/>
      <c r="C325" s="37"/>
      <c r="D325" s="36"/>
      <c r="E325" s="36"/>
      <c r="F325" s="37"/>
      <c r="G325" s="36"/>
      <c r="H325" s="36"/>
      <c r="I325" s="171"/>
      <c r="J325" s="38"/>
      <c r="K325" s="28"/>
      <c r="L325" s="28"/>
    </row>
    <row r="326" spans="1:12" x14ac:dyDescent="0.25">
      <c r="A326" s="35"/>
      <c r="B326" s="36"/>
      <c r="C326" s="37"/>
      <c r="D326" s="36"/>
      <c r="E326" s="36"/>
      <c r="F326" s="37"/>
      <c r="G326" s="36"/>
      <c r="H326" s="36"/>
      <c r="I326" s="171"/>
      <c r="J326" s="38"/>
      <c r="K326" s="28"/>
      <c r="L326" s="28"/>
    </row>
    <row r="327" spans="1:12" x14ac:dyDescent="0.25">
      <c r="A327" s="35"/>
      <c r="B327" s="36"/>
      <c r="C327" s="37"/>
      <c r="D327" s="36"/>
      <c r="E327" s="36"/>
      <c r="F327" s="37"/>
      <c r="G327" s="36"/>
      <c r="H327" s="36"/>
      <c r="I327" s="171"/>
      <c r="J327" s="38"/>
      <c r="K327" s="28"/>
      <c r="L327" s="28"/>
    </row>
    <row r="328" spans="1:12" x14ac:dyDescent="0.25">
      <c r="A328" s="35"/>
      <c r="B328" s="36"/>
      <c r="C328" s="37"/>
      <c r="D328" s="36"/>
      <c r="E328" s="36"/>
      <c r="F328" s="37"/>
      <c r="G328" s="36"/>
      <c r="H328" s="36"/>
      <c r="I328" s="171"/>
      <c r="J328" s="38"/>
      <c r="K328" s="28"/>
      <c r="L328" s="28"/>
    </row>
    <row r="329" spans="1:12" x14ac:dyDescent="0.25">
      <c r="A329" s="35"/>
      <c r="B329" s="36"/>
      <c r="C329" s="37"/>
      <c r="D329" s="36"/>
      <c r="E329" s="36"/>
      <c r="F329" s="37"/>
      <c r="G329" s="36"/>
      <c r="H329" s="36"/>
      <c r="I329" s="171"/>
      <c r="J329" s="38"/>
      <c r="K329" s="28"/>
      <c r="L329" s="28"/>
    </row>
    <row r="330" spans="1:12" x14ac:dyDescent="0.25">
      <c r="A330" s="35"/>
      <c r="B330" s="36"/>
      <c r="C330" s="37"/>
      <c r="D330" s="36"/>
      <c r="E330" s="36"/>
      <c r="F330" s="37"/>
      <c r="G330" s="36"/>
      <c r="H330" s="36"/>
      <c r="I330" s="171"/>
      <c r="J330" s="38"/>
      <c r="K330" s="28"/>
      <c r="L330" s="28"/>
    </row>
    <row r="331" spans="1:12" x14ac:dyDescent="0.25">
      <c r="A331" s="35"/>
      <c r="B331" s="36"/>
      <c r="C331" s="37"/>
      <c r="D331" s="36"/>
      <c r="E331" s="36"/>
      <c r="F331" s="37"/>
      <c r="G331" s="36"/>
      <c r="H331" s="36"/>
      <c r="I331" s="171"/>
      <c r="J331" s="38"/>
      <c r="K331" s="28"/>
      <c r="L331" s="28"/>
    </row>
    <row r="332" spans="1:12" x14ac:dyDescent="0.25">
      <c r="A332" s="35"/>
      <c r="B332" s="36"/>
      <c r="C332" s="37"/>
      <c r="D332" s="36"/>
      <c r="E332" s="36"/>
      <c r="F332" s="37"/>
      <c r="G332" s="36"/>
      <c r="H332" s="36"/>
      <c r="I332" s="171"/>
      <c r="J332" s="38"/>
      <c r="K332" s="28"/>
      <c r="L332" s="28"/>
    </row>
    <row r="333" spans="1:12" x14ac:dyDescent="0.25">
      <c r="A333" s="35"/>
      <c r="B333" s="36"/>
      <c r="C333" s="37"/>
      <c r="D333" s="36"/>
      <c r="E333" s="36"/>
      <c r="F333" s="37"/>
      <c r="G333" s="36"/>
      <c r="H333" s="36"/>
      <c r="I333" s="171"/>
      <c r="J333" s="38"/>
      <c r="K333" s="28"/>
      <c r="L333" s="28"/>
    </row>
    <row r="334" spans="1:12" x14ac:dyDescent="0.25">
      <c r="A334" s="35"/>
      <c r="B334" s="36"/>
      <c r="C334" s="37"/>
      <c r="D334" s="36"/>
      <c r="E334" s="36"/>
      <c r="F334" s="37"/>
      <c r="G334" s="36"/>
      <c r="H334" s="36"/>
      <c r="I334" s="171"/>
      <c r="J334" s="38"/>
      <c r="K334" s="28"/>
      <c r="L334" s="28"/>
    </row>
    <row r="335" spans="1:12" x14ac:dyDescent="0.25">
      <c r="A335" s="35"/>
      <c r="B335" s="36"/>
      <c r="C335" s="37"/>
      <c r="D335" s="36"/>
      <c r="E335" s="36"/>
      <c r="F335" s="37"/>
      <c r="G335" s="36"/>
      <c r="H335" s="36"/>
      <c r="I335" s="171"/>
      <c r="J335" s="38"/>
      <c r="K335" s="28"/>
      <c r="L335" s="28"/>
    </row>
    <row r="336" spans="1:12" x14ac:dyDescent="0.25">
      <c r="A336" s="35"/>
      <c r="B336" s="36"/>
      <c r="C336" s="37"/>
      <c r="D336" s="36"/>
      <c r="E336" s="36"/>
      <c r="F336" s="37"/>
      <c r="G336" s="36"/>
      <c r="H336" s="36"/>
      <c r="I336" s="171"/>
      <c r="J336" s="38"/>
      <c r="K336" s="28"/>
      <c r="L336" s="28"/>
    </row>
    <row r="337" spans="1:12" x14ac:dyDescent="0.25">
      <c r="A337" s="35"/>
      <c r="B337" s="36"/>
      <c r="C337" s="37"/>
      <c r="D337" s="36"/>
      <c r="E337" s="36"/>
      <c r="F337" s="37"/>
      <c r="G337" s="36"/>
      <c r="H337" s="36"/>
      <c r="I337" s="171"/>
      <c r="J337" s="38"/>
      <c r="K337" s="28"/>
      <c r="L337" s="28"/>
    </row>
    <row r="338" spans="1:12" x14ac:dyDescent="0.25">
      <c r="A338" s="35"/>
      <c r="B338" s="36"/>
      <c r="C338" s="37"/>
      <c r="D338" s="36"/>
      <c r="E338" s="36"/>
      <c r="F338" s="37"/>
      <c r="G338" s="36"/>
      <c r="H338" s="36"/>
      <c r="I338" s="171"/>
      <c r="J338" s="38"/>
      <c r="K338" s="28"/>
      <c r="L338" s="28"/>
    </row>
    <row r="339" spans="1:12" x14ac:dyDescent="0.25">
      <c r="A339" s="35"/>
      <c r="B339" s="36"/>
      <c r="C339" s="37"/>
      <c r="D339" s="36"/>
      <c r="E339" s="36"/>
      <c r="F339" s="37"/>
      <c r="G339" s="36"/>
      <c r="H339" s="36"/>
      <c r="I339" s="171"/>
      <c r="J339" s="38"/>
      <c r="K339" s="28"/>
      <c r="L339" s="28"/>
    </row>
    <row r="340" spans="1:12" x14ac:dyDescent="0.25">
      <c r="A340" s="35"/>
      <c r="B340" s="36"/>
      <c r="C340" s="37"/>
      <c r="D340" s="36"/>
      <c r="E340" s="36"/>
      <c r="F340" s="37"/>
      <c r="G340" s="36"/>
      <c r="H340" s="36"/>
      <c r="I340" s="171"/>
      <c r="J340" s="38"/>
      <c r="K340" s="28"/>
      <c r="L340" s="28"/>
    </row>
    <row r="341" spans="1:12" x14ac:dyDescent="0.25">
      <c r="A341" s="35"/>
      <c r="B341" s="36"/>
      <c r="C341" s="37"/>
      <c r="D341" s="36"/>
      <c r="E341" s="36"/>
      <c r="F341" s="37"/>
      <c r="G341" s="36"/>
      <c r="H341" s="36"/>
      <c r="I341" s="171"/>
      <c r="J341" s="38"/>
      <c r="K341" s="28"/>
      <c r="L341" s="28"/>
    </row>
    <row r="342" spans="1:12" x14ac:dyDescent="0.25">
      <c r="A342" s="35"/>
      <c r="B342" s="36"/>
      <c r="C342" s="37"/>
      <c r="D342" s="36"/>
      <c r="E342" s="36"/>
      <c r="F342" s="37"/>
      <c r="G342" s="36"/>
      <c r="H342" s="36"/>
      <c r="I342" s="171"/>
      <c r="J342" s="38"/>
      <c r="K342" s="28"/>
      <c r="L342" s="28"/>
    </row>
    <row r="343" spans="1:12" x14ac:dyDescent="0.25">
      <c r="A343" s="35"/>
      <c r="B343" s="36"/>
      <c r="C343" s="37"/>
      <c r="D343" s="36"/>
      <c r="E343" s="36"/>
      <c r="F343" s="37"/>
      <c r="G343" s="36"/>
      <c r="H343" s="36"/>
      <c r="I343" s="171"/>
      <c r="J343" s="38"/>
      <c r="K343" s="28"/>
      <c r="L343" s="28"/>
    </row>
    <row r="344" spans="1:12" x14ac:dyDescent="0.25">
      <c r="A344" s="35"/>
      <c r="B344" s="36"/>
      <c r="C344" s="37"/>
      <c r="D344" s="36"/>
      <c r="E344" s="36"/>
      <c r="F344" s="37"/>
      <c r="G344" s="36"/>
      <c r="H344" s="36"/>
      <c r="I344" s="171"/>
      <c r="J344" s="38"/>
      <c r="K344" s="28"/>
      <c r="L344" s="28"/>
    </row>
    <row r="345" spans="1:12" x14ac:dyDescent="0.25">
      <c r="A345" s="35"/>
      <c r="B345" s="36"/>
      <c r="C345" s="37"/>
      <c r="D345" s="36"/>
      <c r="E345" s="36"/>
      <c r="F345" s="37"/>
      <c r="G345" s="36"/>
      <c r="H345" s="36"/>
      <c r="I345" s="171"/>
      <c r="J345" s="38"/>
      <c r="K345" s="28"/>
      <c r="L345" s="28"/>
    </row>
    <row r="346" spans="1:12" x14ac:dyDescent="0.25">
      <c r="A346" s="35"/>
      <c r="B346" s="36"/>
      <c r="C346" s="37"/>
      <c r="D346" s="36"/>
      <c r="E346" s="36"/>
      <c r="F346" s="37"/>
      <c r="G346" s="36"/>
      <c r="H346" s="36"/>
      <c r="I346" s="171"/>
      <c r="J346" s="38"/>
      <c r="K346" s="28"/>
      <c r="L346" s="28"/>
    </row>
    <row r="347" spans="1:12" x14ac:dyDescent="0.25">
      <c r="A347" s="35"/>
      <c r="B347" s="36"/>
      <c r="C347" s="37"/>
      <c r="D347" s="36"/>
      <c r="E347" s="36"/>
      <c r="F347" s="37"/>
      <c r="G347" s="36"/>
      <c r="H347" s="36"/>
      <c r="I347" s="171"/>
      <c r="J347" s="38"/>
      <c r="K347" s="28"/>
      <c r="L347" s="28"/>
    </row>
    <row r="348" spans="1:12" x14ac:dyDescent="0.25">
      <c r="A348" s="35"/>
      <c r="B348" s="36"/>
      <c r="C348" s="37"/>
      <c r="D348" s="36"/>
      <c r="E348" s="36"/>
      <c r="F348" s="37"/>
      <c r="G348" s="36"/>
      <c r="H348" s="36"/>
      <c r="I348" s="171"/>
      <c r="J348" s="38"/>
      <c r="K348" s="28"/>
      <c r="L348" s="28"/>
    </row>
    <row r="349" spans="1:12" x14ac:dyDescent="0.25">
      <c r="A349" s="35"/>
      <c r="B349" s="36"/>
      <c r="C349" s="37"/>
      <c r="D349" s="36"/>
      <c r="E349" s="36"/>
      <c r="F349" s="37"/>
      <c r="G349" s="36"/>
      <c r="H349" s="36"/>
      <c r="I349" s="171"/>
      <c r="J349" s="38"/>
      <c r="K349" s="28"/>
      <c r="L349" s="28"/>
    </row>
    <row r="350" spans="1:12" x14ac:dyDescent="0.25">
      <c r="A350" s="35"/>
      <c r="B350" s="36"/>
      <c r="C350" s="37"/>
      <c r="D350" s="36"/>
      <c r="E350" s="36"/>
      <c r="F350" s="37"/>
      <c r="G350" s="36"/>
      <c r="H350" s="36"/>
      <c r="I350" s="171"/>
      <c r="J350" s="38"/>
      <c r="K350" s="28"/>
      <c r="L350" s="28"/>
    </row>
    <row r="351" spans="1:12" x14ac:dyDescent="0.25">
      <c r="A351" s="35"/>
      <c r="B351" s="36"/>
      <c r="C351" s="37"/>
      <c r="D351" s="36"/>
      <c r="E351" s="36"/>
      <c r="F351" s="37"/>
      <c r="G351" s="36"/>
      <c r="H351" s="36"/>
      <c r="I351" s="171"/>
      <c r="J351" s="38"/>
      <c r="K351" s="28"/>
      <c r="L351" s="28"/>
    </row>
    <row r="352" spans="1:12" x14ac:dyDescent="0.25">
      <c r="A352" s="35"/>
      <c r="B352" s="36"/>
      <c r="C352" s="37"/>
      <c r="D352" s="36"/>
      <c r="E352" s="36"/>
      <c r="F352" s="37"/>
      <c r="G352" s="36"/>
      <c r="H352" s="36"/>
      <c r="I352" s="171"/>
      <c r="J352" s="38"/>
      <c r="K352" s="28"/>
      <c r="L352" s="28"/>
    </row>
    <row r="353" spans="1:12" x14ac:dyDescent="0.25">
      <c r="A353" s="35"/>
      <c r="B353" s="36"/>
      <c r="C353" s="37"/>
      <c r="D353" s="36"/>
      <c r="E353" s="36"/>
      <c r="F353" s="37"/>
      <c r="G353" s="36"/>
      <c r="H353" s="36"/>
      <c r="I353" s="171"/>
      <c r="J353" s="38"/>
      <c r="K353" s="28"/>
      <c r="L353" s="28"/>
    </row>
    <row r="354" spans="1:12" x14ac:dyDescent="0.25">
      <c r="A354" s="35"/>
      <c r="B354" s="36"/>
      <c r="C354" s="37"/>
      <c r="D354" s="36"/>
      <c r="E354" s="36"/>
      <c r="F354" s="37"/>
      <c r="G354" s="36"/>
      <c r="H354" s="36"/>
      <c r="I354" s="171"/>
      <c r="J354" s="38"/>
      <c r="K354" s="28"/>
      <c r="L354" s="28"/>
    </row>
    <row r="355" spans="1:12" x14ac:dyDescent="0.25">
      <c r="A355" s="35"/>
      <c r="B355" s="36"/>
      <c r="C355" s="37"/>
      <c r="D355" s="36"/>
      <c r="E355" s="36"/>
      <c r="F355" s="37"/>
      <c r="G355" s="36"/>
      <c r="H355" s="36"/>
      <c r="I355" s="171"/>
      <c r="J355" s="38"/>
      <c r="K355" s="28"/>
      <c r="L355" s="28"/>
    </row>
    <row r="356" spans="1:12" x14ac:dyDescent="0.25">
      <c r="A356" s="35"/>
      <c r="B356" s="36"/>
      <c r="C356" s="37"/>
      <c r="D356" s="36"/>
      <c r="E356" s="36"/>
      <c r="F356" s="37"/>
      <c r="G356" s="36"/>
      <c r="H356" s="36"/>
      <c r="I356" s="171"/>
      <c r="J356" s="38"/>
      <c r="K356" s="28"/>
      <c r="L356" s="28"/>
    </row>
    <row r="357" spans="1:12" x14ac:dyDescent="0.25">
      <c r="A357" s="35"/>
      <c r="B357" s="36"/>
      <c r="C357" s="37"/>
      <c r="D357" s="36"/>
      <c r="E357" s="36"/>
      <c r="F357" s="37"/>
      <c r="G357" s="36"/>
      <c r="H357" s="36"/>
      <c r="I357" s="171"/>
      <c r="J357" s="38"/>
      <c r="K357" s="28"/>
      <c r="L357" s="28"/>
    </row>
    <row r="358" spans="1:12" x14ac:dyDescent="0.25">
      <c r="A358" s="35"/>
      <c r="B358" s="36"/>
      <c r="C358" s="37"/>
      <c r="D358" s="36"/>
      <c r="E358" s="36"/>
      <c r="F358" s="37"/>
      <c r="G358" s="36"/>
      <c r="H358" s="36"/>
      <c r="I358" s="171"/>
      <c r="J358" s="38"/>
      <c r="K358" s="28"/>
      <c r="L358" s="28"/>
    </row>
    <row r="359" spans="1:12" x14ac:dyDescent="0.25">
      <c r="A359" s="35"/>
      <c r="B359" s="36"/>
      <c r="C359" s="37"/>
      <c r="D359" s="36"/>
      <c r="E359" s="36"/>
      <c r="F359" s="37"/>
      <c r="G359" s="36"/>
      <c r="H359" s="36"/>
      <c r="I359" s="171"/>
      <c r="J359" s="38"/>
      <c r="K359" s="28"/>
      <c r="L359" s="28"/>
    </row>
    <row r="360" spans="1:12" x14ac:dyDescent="0.25">
      <c r="A360" s="35"/>
      <c r="B360" s="36"/>
      <c r="C360" s="37"/>
      <c r="D360" s="36"/>
      <c r="E360" s="36"/>
      <c r="F360" s="37"/>
      <c r="G360" s="36"/>
      <c r="H360" s="36"/>
      <c r="I360" s="171"/>
      <c r="J360" s="38"/>
      <c r="K360" s="28"/>
      <c r="L360" s="28"/>
    </row>
    <row r="361" spans="1:12" x14ac:dyDescent="0.25">
      <c r="A361" s="35"/>
      <c r="B361" s="36"/>
      <c r="C361" s="37"/>
      <c r="D361" s="36"/>
      <c r="E361" s="36"/>
      <c r="F361" s="37"/>
      <c r="G361" s="36"/>
      <c r="H361" s="36"/>
      <c r="I361" s="171"/>
      <c r="J361" s="38"/>
      <c r="K361" s="28"/>
      <c r="L361" s="28"/>
    </row>
    <row r="362" spans="1:12" x14ac:dyDescent="0.25">
      <c r="A362" s="35"/>
      <c r="B362" s="36"/>
      <c r="C362" s="37"/>
      <c r="D362" s="36"/>
      <c r="E362" s="36"/>
      <c r="F362" s="37"/>
      <c r="G362" s="36"/>
      <c r="H362" s="36"/>
      <c r="I362" s="171"/>
      <c r="J362" s="38"/>
      <c r="K362" s="28"/>
      <c r="L362" s="28"/>
    </row>
    <row r="363" spans="1:12" x14ac:dyDescent="0.25">
      <c r="A363" s="35"/>
      <c r="B363" s="36"/>
      <c r="C363" s="37"/>
      <c r="D363" s="36"/>
      <c r="E363" s="36"/>
      <c r="F363" s="37"/>
      <c r="G363" s="36"/>
      <c r="H363" s="36"/>
      <c r="I363" s="171"/>
      <c r="J363" s="38"/>
      <c r="K363" s="28"/>
      <c r="L363" s="28"/>
    </row>
    <row r="364" spans="1:12" x14ac:dyDescent="0.25">
      <c r="A364" s="35"/>
      <c r="B364" s="36"/>
      <c r="C364" s="37"/>
      <c r="D364" s="36"/>
      <c r="E364" s="36"/>
      <c r="F364" s="37"/>
      <c r="G364" s="36"/>
      <c r="H364" s="36"/>
      <c r="I364" s="171"/>
      <c r="J364" s="38"/>
      <c r="K364" s="28"/>
      <c r="L364" s="28"/>
    </row>
    <row r="365" spans="1:12" x14ac:dyDescent="0.25">
      <c r="A365" s="35"/>
      <c r="B365" s="36"/>
      <c r="C365" s="37"/>
      <c r="D365" s="36"/>
      <c r="E365" s="36"/>
      <c r="F365" s="37"/>
      <c r="G365" s="36"/>
      <c r="H365" s="36"/>
      <c r="I365" s="171"/>
      <c r="J365" s="38"/>
      <c r="K365" s="28"/>
      <c r="L365" s="28"/>
    </row>
    <row r="366" spans="1:12" x14ac:dyDescent="0.25">
      <c r="A366" s="35"/>
      <c r="B366" s="36"/>
      <c r="C366" s="37"/>
      <c r="D366" s="36"/>
      <c r="E366" s="36"/>
      <c r="F366" s="37"/>
      <c r="G366" s="36"/>
      <c r="H366" s="36"/>
      <c r="I366" s="171"/>
      <c r="J366" s="38"/>
      <c r="K366" s="28"/>
      <c r="L366" s="28"/>
    </row>
    <row r="367" spans="1:12" x14ac:dyDescent="0.25">
      <c r="A367" s="35"/>
      <c r="B367" s="36"/>
      <c r="C367" s="37"/>
      <c r="D367" s="36"/>
      <c r="E367" s="36"/>
      <c r="F367" s="37"/>
      <c r="G367" s="36"/>
      <c r="H367" s="36"/>
      <c r="I367" s="171"/>
      <c r="J367" s="38"/>
      <c r="K367" s="28"/>
      <c r="L367" s="28"/>
    </row>
    <row r="368" spans="1:12" x14ac:dyDescent="0.25">
      <c r="A368" s="35"/>
      <c r="B368" s="36"/>
      <c r="C368" s="37"/>
      <c r="D368" s="36"/>
      <c r="E368" s="36"/>
      <c r="F368" s="37"/>
      <c r="G368" s="36"/>
      <c r="H368" s="36"/>
      <c r="I368" s="171"/>
      <c r="J368" s="38"/>
      <c r="K368" s="28"/>
      <c r="L368" s="28"/>
    </row>
    <row r="369" spans="1:12" x14ac:dyDescent="0.25">
      <c r="A369" s="35"/>
      <c r="B369" s="36"/>
      <c r="C369" s="37"/>
      <c r="D369" s="36"/>
      <c r="E369" s="36"/>
      <c r="F369" s="37"/>
      <c r="G369" s="36"/>
      <c r="H369" s="36"/>
      <c r="I369" s="171"/>
      <c r="J369" s="38"/>
      <c r="K369" s="28"/>
      <c r="L369" s="28"/>
    </row>
    <row r="370" spans="1:12" x14ac:dyDescent="0.25">
      <c r="A370" s="35"/>
      <c r="B370" s="36"/>
      <c r="C370" s="37"/>
      <c r="D370" s="36"/>
      <c r="E370" s="36"/>
      <c r="F370" s="37"/>
      <c r="G370" s="36"/>
      <c r="H370" s="36"/>
      <c r="I370" s="171"/>
      <c r="J370" s="38"/>
      <c r="K370" s="28"/>
      <c r="L370" s="28"/>
    </row>
    <row r="371" spans="1:12" x14ac:dyDescent="0.25">
      <c r="A371" s="35"/>
      <c r="B371" s="36"/>
      <c r="C371" s="37"/>
      <c r="D371" s="36"/>
      <c r="E371" s="36"/>
      <c r="F371" s="37"/>
      <c r="G371" s="36"/>
      <c r="H371" s="36"/>
      <c r="I371" s="171"/>
      <c r="J371" s="38"/>
      <c r="K371" s="28"/>
      <c r="L371" s="28"/>
    </row>
    <row r="372" spans="1:12" x14ac:dyDescent="0.25">
      <c r="A372" s="35"/>
      <c r="B372" s="36"/>
      <c r="C372" s="37"/>
      <c r="D372" s="36"/>
      <c r="E372" s="36"/>
      <c r="F372" s="37"/>
      <c r="G372" s="36"/>
      <c r="H372" s="36"/>
      <c r="I372" s="171"/>
      <c r="J372" s="38"/>
      <c r="K372" s="28"/>
      <c r="L372" s="28"/>
    </row>
    <row r="373" spans="1:12" x14ac:dyDescent="0.25">
      <c r="A373" s="35"/>
      <c r="B373" s="36"/>
      <c r="C373" s="37"/>
      <c r="D373" s="36"/>
      <c r="E373" s="36"/>
      <c r="F373" s="37"/>
      <c r="G373" s="36"/>
      <c r="H373" s="36"/>
      <c r="I373" s="171"/>
      <c r="J373" s="38"/>
      <c r="K373" s="28"/>
      <c r="L373" s="28"/>
    </row>
    <row r="374" spans="1:12" x14ac:dyDescent="0.25">
      <c r="A374" s="35"/>
      <c r="B374" s="36"/>
      <c r="C374" s="37"/>
      <c r="D374" s="36"/>
      <c r="E374" s="36"/>
      <c r="F374" s="37"/>
      <c r="G374" s="36"/>
      <c r="H374" s="36"/>
      <c r="I374" s="171"/>
      <c r="J374" s="38"/>
      <c r="K374" s="28"/>
      <c r="L374" s="28"/>
    </row>
    <row r="375" spans="1:12" x14ac:dyDescent="0.25">
      <c r="A375" s="35"/>
      <c r="B375" s="36"/>
      <c r="C375" s="37"/>
      <c r="D375" s="36"/>
      <c r="E375" s="36"/>
      <c r="F375" s="37"/>
      <c r="G375" s="36"/>
      <c r="H375" s="36"/>
      <c r="I375" s="171"/>
      <c r="J375" s="38"/>
      <c r="K375" s="28"/>
      <c r="L375" s="28"/>
    </row>
    <row r="376" spans="1:12" x14ac:dyDescent="0.25">
      <c r="A376" s="35"/>
      <c r="B376" s="36"/>
      <c r="C376" s="37"/>
      <c r="D376" s="36"/>
      <c r="E376" s="36"/>
      <c r="F376" s="37"/>
      <c r="G376" s="36"/>
      <c r="H376" s="36"/>
      <c r="I376" s="171"/>
      <c r="J376" s="38"/>
      <c r="K376" s="28"/>
      <c r="L376" s="28"/>
    </row>
    <row r="377" spans="1:12" x14ac:dyDescent="0.25">
      <c r="A377" s="35"/>
      <c r="B377" s="36"/>
      <c r="C377" s="37"/>
      <c r="D377" s="36"/>
      <c r="E377" s="36"/>
      <c r="F377" s="37"/>
      <c r="G377" s="36"/>
      <c r="H377" s="36"/>
      <c r="I377" s="171"/>
      <c r="J377" s="38"/>
      <c r="K377" s="28"/>
      <c r="L377" s="28"/>
    </row>
    <row r="378" spans="1:12" x14ac:dyDescent="0.25">
      <c r="A378" s="35"/>
      <c r="B378" s="36"/>
      <c r="C378" s="37"/>
      <c r="D378" s="36"/>
      <c r="E378" s="36"/>
      <c r="F378" s="37"/>
      <c r="G378" s="36"/>
      <c r="H378" s="36"/>
      <c r="I378" s="171"/>
      <c r="J378" s="38"/>
      <c r="K378" s="28"/>
      <c r="L378" s="28"/>
    </row>
    <row r="379" spans="1:12" x14ac:dyDescent="0.25">
      <c r="A379" s="35"/>
      <c r="B379" s="36"/>
      <c r="C379" s="37"/>
      <c r="D379" s="36"/>
      <c r="E379" s="36"/>
      <c r="F379" s="37"/>
      <c r="G379" s="36"/>
      <c r="H379" s="36"/>
      <c r="I379" s="171"/>
      <c r="J379" s="38"/>
      <c r="K379" s="28"/>
      <c r="L379" s="28"/>
    </row>
    <row r="380" spans="1:12" x14ac:dyDescent="0.25">
      <c r="A380" s="35"/>
      <c r="B380" s="36"/>
      <c r="C380" s="37"/>
      <c r="D380" s="36"/>
      <c r="E380" s="36"/>
      <c r="F380" s="37"/>
      <c r="G380" s="36"/>
      <c r="H380" s="36"/>
      <c r="I380" s="171"/>
      <c r="J380" s="38"/>
      <c r="K380" s="28"/>
      <c r="L380" s="28"/>
    </row>
    <row r="381" spans="1:12" x14ac:dyDescent="0.25">
      <c r="A381" s="35"/>
      <c r="B381" s="36"/>
      <c r="C381" s="37"/>
      <c r="D381" s="36"/>
      <c r="E381" s="36"/>
      <c r="F381" s="37"/>
      <c r="G381" s="36"/>
      <c r="H381" s="36"/>
      <c r="I381" s="171"/>
      <c r="J381" s="38"/>
      <c r="K381" s="28"/>
      <c r="L381" s="28"/>
    </row>
    <row r="382" spans="1:12" x14ac:dyDescent="0.25">
      <c r="A382" s="35"/>
      <c r="B382" s="36"/>
      <c r="C382" s="37"/>
      <c r="D382" s="36"/>
      <c r="E382" s="36"/>
      <c r="F382" s="37"/>
      <c r="G382" s="36"/>
      <c r="H382" s="36"/>
      <c r="I382" s="171"/>
      <c r="J382" s="38"/>
      <c r="K382" s="28"/>
      <c r="L382" s="28"/>
    </row>
    <row r="383" spans="1:12" x14ac:dyDescent="0.25">
      <c r="A383" s="35"/>
      <c r="B383" s="36"/>
      <c r="C383" s="37"/>
      <c r="D383" s="36"/>
      <c r="E383" s="36"/>
      <c r="F383" s="37"/>
      <c r="G383" s="36"/>
      <c r="H383" s="36"/>
      <c r="I383" s="171"/>
      <c r="J383" s="38"/>
      <c r="K383" s="28"/>
      <c r="L383" s="28"/>
    </row>
    <row r="384" spans="1:12" x14ac:dyDescent="0.25">
      <c r="A384" s="35"/>
      <c r="B384" s="36"/>
      <c r="C384" s="37"/>
      <c r="D384" s="36"/>
      <c r="E384" s="36"/>
      <c r="F384" s="37"/>
      <c r="G384" s="36"/>
      <c r="H384" s="36"/>
      <c r="I384" s="171"/>
      <c r="J384" s="38"/>
      <c r="K384" s="28"/>
      <c r="L384" s="28"/>
    </row>
    <row r="385" spans="1:12" x14ac:dyDescent="0.25">
      <c r="A385" s="35"/>
      <c r="B385" s="36"/>
      <c r="C385" s="37"/>
      <c r="D385" s="36"/>
      <c r="E385" s="36"/>
      <c r="F385" s="37"/>
      <c r="G385" s="36"/>
      <c r="H385" s="36"/>
      <c r="I385" s="171"/>
      <c r="J385" s="38"/>
      <c r="K385" s="28"/>
      <c r="L385" s="28"/>
    </row>
    <row r="386" spans="1:12" x14ac:dyDescent="0.25">
      <c r="A386" s="35"/>
      <c r="B386" s="36"/>
      <c r="C386" s="37"/>
      <c r="D386" s="36"/>
      <c r="E386" s="36"/>
      <c r="F386" s="37"/>
      <c r="G386" s="36"/>
      <c r="H386" s="36"/>
      <c r="I386" s="171"/>
      <c r="J386" s="38"/>
      <c r="K386" s="28"/>
      <c r="L386" s="28"/>
    </row>
    <row r="387" spans="1:12" x14ac:dyDescent="0.25">
      <c r="A387" s="35"/>
      <c r="B387" s="36"/>
      <c r="C387" s="37"/>
      <c r="D387" s="36"/>
      <c r="E387" s="36"/>
      <c r="F387" s="37"/>
      <c r="G387" s="36"/>
      <c r="H387" s="36"/>
      <c r="I387" s="171"/>
      <c r="J387" s="38"/>
      <c r="K387" s="28"/>
      <c r="L387" s="28"/>
    </row>
    <row r="388" spans="1:12" x14ac:dyDescent="0.25">
      <c r="A388" s="35"/>
      <c r="B388" s="36"/>
      <c r="C388" s="37"/>
      <c r="D388" s="36"/>
      <c r="E388" s="36"/>
      <c r="F388" s="37"/>
      <c r="G388" s="36"/>
      <c r="H388" s="36"/>
      <c r="I388" s="171"/>
      <c r="J388" s="38"/>
      <c r="K388" s="28"/>
      <c r="L388" s="28"/>
    </row>
    <row r="389" spans="1:12" x14ac:dyDescent="0.25">
      <c r="A389" s="35"/>
      <c r="B389" s="36"/>
      <c r="C389" s="37"/>
      <c r="D389" s="36"/>
      <c r="E389" s="36"/>
      <c r="F389" s="37"/>
      <c r="G389" s="36"/>
      <c r="H389" s="36"/>
      <c r="I389" s="171"/>
      <c r="J389" s="38"/>
      <c r="K389" s="28"/>
      <c r="L389" s="28"/>
    </row>
    <row r="390" spans="1:12" x14ac:dyDescent="0.25">
      <c r="A390" s="35"/>
      <c r="B390" s="36"/>
      <c r="C390" s="37"/>
      <c r="D390" s="36"/>
      <c r="E390" s="36"/>
      <c r="F390" s="37"/>
      <c r="G390" s="36"/>
      <c r="H390" s="36"/>
      <c r="I390" s="171"/>
      <c r="J390" s="38"/>
      <c r="K390" s="28"/>
      <c r="L390" s="28"/>
    </row>
    <row r="391" spans="1:12" x14ac:dyDescent="0.25">
      <c r="A391" s="35"/>
      <c r="B391" s="36"/>
      <c r="C391" s="37"/>
      <c r="D391" s="36"/>
      <c r="E391" s="36"/>
      <c r="F391" s="37"/>
      <c r="G391" s="36"/>
      <c r="H391" s="36"/>
      <c r="I391" s="171"/>
      <c r="J391" s="38"/>
      <c r="K391" s="28"/>
      <c r="L391" s="28"/>
    </row>
    <row r="392" spans="1:12" x14ac:dyDescent="0.25">
      <c r="A392" s="35"/>
      <c r="B392" s="36"/>
      <c r="C392" s="37"/>
      <c r="D392" s="36"/>
      <c r="E392" s="36"/>
      <c r="F392" s="37"/>
      <c r="G392" s="36"/>
      <c r="H392" s="36"/>
      <c r="I392" s="171"/>
      <c r="J392" s="38"/>
      <c r="K392" s="28"/>
      <c r="L392" s="28"/>
    </row>
    <row r="393" spans="1:12" x14ac:dyDescent="0.25">
      <c r="A393" s="35"/>
      <c r="B393" s="36"/>
      <c r="C393" s="37"/>
      <c r="D393" s="36"/>
      <c r="E393" s="36"/>
      <c r="F393" s="37"/>
      <c r="G393" s="36"/>
      <c r="H393" s="36"/>
      <c r="I393" s="171"/>
      <c r="J393" s="38"/>
      <c r="K393" s="28"/>
      <c r="L393" s="28"/>
    </row>
    <row r="394" spans="1:12" x14ac:dyDescent="0.25">
      <c r="A394" s="35"/>
      <c r="B394" s="36"/>
      <c r="C394" s="37"/>
      <c r="D394" s="36"/>
      <c r="E394" s="36"/>
      <c r="F394" s="37"/>
      <c r="G394" s="36"/>
      <c r="H394" s="36"/>
      <c r="I394" s="171"/>
      <c r="J394" s="38"/>
      <c r="K394" s="28"/>
      <c r="L394" s="28"/>
    </row>
    <row r="395" spans="1:12" x14ac:dyDescent="0.25">
      <c r="A395" s="35"/>
      <c r="B395" s="36"/>
      <c r="C395" s="37"/>
      <c r="D395" s="36"/>
      <c r="E395" s="36"/>
      <c r="F395" s="37"/>
      <c r="G395" s="36"/>
      <c r="H395" s="36"/>
      <c r="I395" s="171"/>
      <c r="J395" s="38"/>
      <c r="K395" s="28"/>
      <c r="L395" s="28"/>
    </row>
    <row r="396" spans="1:12" x14ac:dyDescent="0.25">
      <c r="A396" s="35"/>
      <c r="B396" s="36"/>
      <c r="C396" s="37"/>
      <c r="D396" s="36"/>
      <c r="E396" s="36"/>
      <c r="F396" s="37"/>
      <c r="G396" s="36"/>
      <c r="H396" s="36"/>
      <c r="I396" s="171"/>
      <c r="J396" s="38"/>
      <c r="K396" s="28"/>
      <c r="L396" s="28"/>
    </row>
    <row r="397" spans="1:12" x14ac:dyDescent="0.25">
      <c r="A397" s="35"/>
      <c r="B397" s="36"/>
      <c r="C397" s="37"/>
      <c r="D397" s="36"/>
      <c r="E397" s="36"/>
      <c r="F397" s="37"/>
      <c r="G397" s="36"/>
      <c r="H397" s="36"/>
      <c r="I397" s="171"/>
      <c r="J397" s="38"/>
      <c r="K397" s="28"/>
      <c r="L397" s="28"/>
    </row>
    <row r="398" spans="1:12" x14ac:dyDescent="0.25">
      <c r="A398" s="35"/>
      <c r="B398" s="36"/>
      <c r="C398" s="37"/>
      <c r="D398" s="36"/>
      <c r="E398" s="36"/>
      <c r="F398" s="37"/>
      <c r="G398" s="36"/>
      <c r="H398" s="36"/>
      <c r="I398" s="171"/>
      <c r="J398" s="38"/>
      <c r="K398" s="28"/>
      <c r="L398" s="28"/>
    </row>
    <row r="399" spans="1:12" x14ac:dyDescent="0.25">
      <c r="A399" s="35"/>
      <c r="B399" s="36"/>
      <c r="C399" s="37"/>
      <c r="D399" s="36"/>
      <c r="E399" s="36"/>
      <c r="F399" s="37"/>
      <c r="G399" s="36"/>
      <c r="H399" s="36"/>
      <c r="I399" s="171"/>
      <c r="J399" s="38"/>
      <c r="K399" s="28"/>
      <c r="L399" s="28"/>
    </row>
    <row r="400" spans="1:12" x14ac:dyDescent="0.25">
      <c r="A400" s="35"/>
      <c r="B400" s="36"/>
      <c r="C400" s="37"/>
      <c r="D400" s="36"/>
      <c r="E400" s="36"/>
      <c r="F400" s="37"/>
      <c r="G400" s="36"/>
      <c r="H400" s="36"/>
      <c r="I400" s="171"/>
      <c r="J400" s="38"/>
      <c r="K400" s="28"/>
      <c r="L400" s="28"/>
    </row>
    <row r="401" spans="1:12" x14ac:dyDescent="0.25">
      <c r="A401" s="35"/>
      <c r="B401" s="36"/>
      <c r="C401" s="37"/>
      <c r="D401" s="36"/>
      <c r="E401" s="36"/>
      <c r="F401" s="37"/>
      <c r="G401" s="36"/>
      <c r="H401" s="36"/>
      <c r="I401" s="171"/>
      <c r="J401" s="38"/>
      <c r="K401" s="28"/>
      <c r="L401" s="28"/>
    </row>
    <row r="402" spans="1:12" x14ac:dyDescent="0.25">
      <c r="A402" s="35"/>
      <c r="B402" s="36"/>
      <c r="C402" s="37"/>
      <c r="D402" s="36"/>
      <c r="E402" s="36"/>
      <c r="F402" s="37"/>
      <c r="G402" s="36"/>
      <c r="H402" s="36"/>
      <c r="I402" s="171"/>
      <c r="J402" s="38"/>
      <c r="K402" s="28"/>
      <c r="L402" s="28"/>
    </row>
    <row r="403" spans="1:12" x14ac:dyDescent="0.25">
      <c r="A403" s="35"/>
      <c r="B403" s="36"/>
      <c r="C403" s="37"/>
      <c r="D403" s="36"/>
      <c r="E403" s="36"/>
      <c r="F403" s="37"/>
      <c r="G403" s="36"/>
      <c r="H403" s="36"/>
      <c r="I403" s="171"/>
      <c r="J403" s="38"/>
      <c r="K403" s="28"/>
      <c r="L403" s="28"/>
    </row>
    <row r="404" spans="1:12" x14ac:dyDescent="0.25">
      <c r="A404" s="35"/>
      <c r="B404" s="36"/>
      <c r="C404" s="37"/>
      <c r="D404" s="36"/>
      <c r="E404" s="36"/>
      <c r="F404" s="37"/>
      <c r="G404" s="36"/>
      <c r="H404" s="36"/>
      <c r="I404" s="171"/>
      <c r="J404" s="38"/>
      <c r="K404" s="28"/>
      <c r="L404" s="28"/>
    </row>
    <row r="405" spans="1:12" x14ac:dyDescent="0.25">
      <c r="A405" s="35"/>
      <c r="B405" s="36"/>
      <c r="C405" s="37"/>
      <c r="D405" s="36"/>
      <c r="E405" s="36"/>
      <c r="F405" s="37"/>
      <c r="G405" s="36"/>
      <c r="H405" s="36"/>
      <c r="I405" s="171"/>
      <c r="J405" s="38"/>
      <c r="K405" s="28"/>
      <c r="L405" s="28"/>
    </row>
    <row r="406" spans="1:12" x14ac:dyDescent="0.25">
      <c r="A406" s="35"/>
      <c r="B406" s="36"/>
      <c r="C406" s="37"/>
      <c r="D406" s="36"/>
      <c r="E406" s="36"/>
      <c r="F406" s="37"/>
      <c r="G406" s="36"/>
      <c r="H406" s="36"/>
      <c r="I406" s="171"/>
      <c r="J406" s="38"/>
      <c r="K406" s="28"/>
      <c r="L406" s="28"/>
    </row>
    <row r="407" spans="1:12" x14ac:dyDescent="0.25">
      <c r="A407" s="35"/>
      <c r="B407" s="36"/>
      <c r="C407" s="37"/>
      <c r="D407" s="36"/>
      <c r="E407" s="36"/>
      <c r="F407" s="37"/>
      <c r="G407" s="36"/>
      <c r="H407" s="36"/>
      <c r="I407" s="171"/>
      <c r="J407" s="38"/>
      <c r="K407" s="28"/>
      <c r="L407" s="28"/>
    </row>
    <row r="408" spans="1:12" x14ac:dyDescent="0.25">
      <c r="A408" s="35"/>
      <c r="B408" s="36"/>
      <c r="C408" s="37"/>
      <c r="D408" s="36"/>
      <c r="E408" s="36"/>
      <c r="F408" s="37"/>
      <c r="G408" s="36"/>
      <c r="H408" s="36"/>
      <c r="I408" s="171"/>
      <c r="J408" s="38"/>
      <c r="K408" s="28"/>
      <c r="L408" s="28"/>
    </row>
    <row r="409" spans="1:12" x14ac:dyDescent="0.25">
      <c r="A409" s="35"/>
      <c r="B409" s="36"/>
      <c r="C409" s="37"/>
      <c r="D409" s="36"/>
      <c r="E409" s="36"/>
      <c r="F409" s="37"/>
      <c r="G409" s="36"/>
      <c r="H409" s="36"/>
      <c r="I409" s="171"/>
      <c r="J409" s="38"/>
      <c r="K409" s="28"/>
      <c r="L409" s="28"/>
    </row>
    <row r="410" spans="1:12" x14ac:dyDescent="0.25">
      <c r="A410" s="35"/>
      <c r="B410" s="36"/>
      <c r="C410" s="37"/>
      <c r="D410" s="36"/>
      <c r="E410" s="36"/>
      <c r="F410" s="37"/>
      <c r="G410" s="36"/>
      <c r="H410" s="36"/>
      <c r="I410" s="171"/>
      <c r="J410" s="38"/>
      <c r="K410" s="28"/>
      <c r="L410" s="28"/>
    </row>
    <row r="411" spans="1:12" x14ac:dyDescent="0.25">
      <c r="A411" s="35"/>
      <c r="B411" s="36"/>
      <c r="C411" s="37"/>
      <c r="D411" s="36"/>
      <c r="E411" s="36"/>
      <c r="F411" s="37"/>
      <c r="G411" s="36"/>
      <c r="H411" s="36"/>
      <c r="I411" s="171"/>
      <c r="J411" s="38"/>
      <c r="K411" s="28"/>
      <c r="L411" s="28"/>
    </row>
    <row r="412" spans="1:12" x14ac:dyDescent="0.25">
      <c r="A412" s="35"/>
      <c r="B412" s="36"/>
      <c r="C412" s="37"/>
      <c r="D412" s="36"/>
      <c r="E412" s="36"/>
      <c r="F412" s="37"/>
      <c r="G412" s="36"/>
      <c r="H412" s="36"/>
      <c r="I412" s="171"/>
      <c r="J412" s="38"/>
      <c r="K412" s="28"/>
      <c r="L412" s="28"/>
    </row>
    <row r="413" spans="1:12" x14ac:dyDescent="0.25">
      <c r="A413" s="35"/>
      <c r="B413" s="36"/>
      <c r="C413" s="37"/>
      <c r="D413" s="36"/>
      <c r="E413" s="36"/>
      <c r="F413" s="37"/>
      <c r="G413" s="36"/>
      <c r="H413" s="36"/>
      <c r="I413" s="171"/>
      <c r="J413" s="38"/>
      <c r="K413" s="28"/>
      <c r="L413" s="28"/>
    </row>
    <row r="414" spans="1:12" x14ac:dyDescent="0.25">
      <c r="A414" s="35"/>
      <c r="B414" s="36"/>
      <c r="C414" s="37"/>
      <c r="D414" s="36"/>
      <c r="E414" s="36"/>
      <c r="F414" s="37"/>
      <c r="G414" s="36"/>
      <c r="H414" s="36"/>
      <c r="I414" s="171"/>
      <c r="J414" s="38"/>
      <c r="K414" s="28"/>
      <c r="L414" s="28"/>
    </row>
    <row r="415" spans="1:12" x14ac:dyDescent="0.25">
      <c r="A415" s="35"/>
      <c r="B415" s="36"/>
      <c r="C415" s="37"/>
      <c r="D415" s="36"/>
      <c r="E415" s="36"/>
      <c r="F415" s="37"/>
      <c r="G415" s="36"/>
      <c r="H415" s="36"/>
      <c r="I415" s="171"/>
      <c r="J415" s="38"/>
      <c r="K415" s="28"/>
      <c r="L415" s="28"/>
    </row>
    <row r="416" spans="1:12" x14ac:dyDescent="0.25">
      <c r="A416" s="35"/>
      <c r="B416" s="36"/>
      <c r="C416" s="37"/>
      <c r="D416" s="36"/>
      <c r="E416" s="36"/>
      <c r="F416" s="37"/>
      <c r="G416" s="36"/>
      <c r="H416" s="36"/>
      <c r="I416" s="171"/>
      <c r="J416" s="38"/>
      <c r="K416" s="28"/>
      <c r="L416" s="28"/>
    </row>
    <row r="417" spans="1:12" x14ac:dyDescent="0.25">
      <c r="A417" s="35"/>
      <c r="B417" s="36"/>
      <c r="C417" s="37"/>
      <c r="D417" s="36"/>
      <c r="E417" s="36"/>
      <c r="F417" s="37"/>
      <c r="G417" s="36"/>
      <c r="H417" s="36"/>
      <c r="I417" s="171"/>
      <c r="J417" s="38"/>
      <c r="K417" s="28"/>
      <c r="L417" s="28"/>
    </row>
    <row r="418" spans="1:12" x14ac:dyDescent="0.25">
      <c r="A418" s="35"/>
      <c r="B418" s="36"/>
      <c r="C418" s="37"/>
      <c r="D418" s="36"/>
      <c r="E418" s="36"/>
      <c r="F418" s="37"/>
      <c r="G418" s="36"/>
      <c r="H418" s="36"/>
      <c r="I418" s="171"/>
      <c r="J418" s="38"/>
      <c r="K418" s="28"/>
      <c r="L418" s="28"/>
    </row>
    <row r="419" spans="1:12" x14ac:dyDescent="0.25">
      <c r="A419" s="35"/>
      <c r="B419" s="36"/>
      <c r="C419" s="37"/>
      <c r="D419" s="36"/>
      <c r="E419" s="36"/>
      <c r="F419" s="37"/>
      <c r="G419" s="36"/>
      <c r="H419" s="36"/>
      <c r="I419" s="171"/>
      <c r="J419" s="38"/>
      <c r="K419" s="28"/>
      <c r="L419" s="28"/>
    </row>
    <row r="420" spans="1:12" x14ac:dyDescent="0.25">
      <c r="A420" s="35"/>
      <c r="B420" s="36"/>
      <c r="C420" s="37"/>
      <c r="D420" s="36"/>
      <c r="E420" s="36"/>
      <c r="F420" s="37"/>
      <c r="G420" s="36"/>
      <c r="H420" s="36"/>
      <c r="I420" s="171"/>
      <c r="J420" s="38"/>
      <c r="K420" s="28"/>
      <c r="L420" s="28"/>
    </row>
    <row r="421" spans="1:12" x14ac:dyDescent="0.25">
      <c r="A421" s="35"/>
      <c r="B421" s="36"/>
      <c r="C421" s="37"/>
      <c r="D421" s="36"/>
      <c r="E421" s="36"/>
      <c r="F421" s="37"/>
      <c r="G421" s="36"/>
      <c r="H421" s="36"/>
      <c r="I421" s="171"/>
      <c r="J421" s="38"/>
      <c r="K421" s="28"/>
      <c r="L421" s="28"/>
    </row>
    <row r="422" spans="1:12" x14ac:dyDescent="0.25">
      <c r="A422" s="35"/>
      <c r="B422" s="36"/>
      <c r="C422" s="37"/>
      <c r="D422" s="36"/>
      <c r="E422" s="36"/>
      <c r="F422" s="37"/>
      <c r="G422" s="36"/>
      <c r="H422" s="36"/>
      <c r="I422" s="171"/>
      <c r="J422" s="38"/>
      <c r="K422" s="28"/>
      <c r="L422" s="28"/>
    </row>
    <row r="423" spans="1:12" x14ac:dyDescent="0.25">
      <c r="A423" s="35"/>
      <c r="B423" s="36"/>
      <c r="C423" s="37"/>
      <c r="D423" s="36"/>
      <c r="E423" s="36"/>
      <c r="F423" s="37"/>
      <c r="G423" s="36"/>
      <c r="H423" s="36"/>
      <c r="I423" s="171"/>
      <c r="J423" s="38"/>
      <c r="K423" s="28"/>
      <c r="L423" s="28"/>
    </row>
    <row r="424" spans="1:12" x14ac:dyDescent="0.25">
      <c r="A424" s="35"/>
      <c r="B424" s="36"/>
      <c r="C424" s="37"/>
      <c r="D424" s="36"/>
      <c r="E424" s="36"/>
      <c r="F424" s="37"/>
      <c r="G424" s="36"/>
      <c r="H424" s="36"/>
      <c r="I424" s="171"/>
      <c r="J424" s="38"/>
      <c r="K424" s="28"/>
      <c r="L424" s="28"/>
    </row>
    <row r="425" spans="1:12" x14ac:dyDescent="0.25">
      <c r="A425" s="35"/>
      <c r="B425" s="36"/>
      <c r="C425" s="37"/>
      <c r="D425" s="36"/>
      <c r="E425" s="36"/>
      <c r="F425" s="37"/>
      <c r="G425" s="36"/>
      <c r="H425" s="36"/>
      <c r="I425" s="171"/>
      <c r="J425" s="38"/>
      <c r="K425" s="28"/>
      <c r="L425" s="28"/>
    </row>
    <row r="426" spans="1:12" x14ac:dyDescent="0.25">
      <c r="A426" s="35"/>
      <c r="B426" s="36"/>
      <c r="C426" s="37"/>
      <c r="D426" s="36"/>
      <c r="E426" s="36"/>
      <c r="F426" s="37"/>
      <c r="G426" s="36"/>
      <c r="H426" s="36"/>
      <c r="I426" s="171"/>
      <c r="J426" s="38"/>
      <c r="K426" s="28"/>
      <c r="L426" s="28"/>
    </row>
    <row r="427" spans="1:12" x14ac:dyDescent="0.25">
      <c r="A427" s="35"/>
      <c r="B427" s="36"/>
      <c r="C427" s="37"/>
      <c r="D427" s="36"/>
      <c r="E427" s="36"/>
      <c r="F427" s="37"/>
      <c r="G427" s="36"/>
      <c r="H427" s="36"/>
      <c r="I427" s="171"/>
      <c r="J427" s="38"/>
      <c r="K427" s="28"/>
      <c r="L427" s="28"/>
    </row>
    <row r="428" spans="1:12" x14ac:dyDescent="0.25">
      <c r="A428" s="35"/>
      <c r="B428" s="36"/>
      <c r="C428" s="37"/>
      <c r="D428" s="36"/>
      <c r="E428" s="36"/>
      <c r="F428" s="37"/>
      <c r="G428" s="36"/>
      <c r="H428" s="36"/>
      <c r="I428" s="171"/>
      <c r="J428" s="38"/>
      <c r="K428" s="28"/>
      <c r="L428" s="28"/>
    </row>
    <row r="429" spans="1:12" x14ac:dyDescent="0.25">
      <c r="A429" s="35"/>
      <c r="B429" s="36"/>
      <c r="C429" s="37"/>
      <c r="D429" s="36"/>
      <c r="E429" s="36"/>
      <c r="F429" s="37"/>
      <c r="G429" s="36"/>
      <c r="H429" s="36"/>
      <c r="I429" s="171"/>
      <c r="J429" s="38"/>
      <c r="K429" s="28"/>
      <c r="L429" s="28"/>
    </row>
    <row r="430" spans="1:12" x14ac:dyDescent="0.25">
      <c r="A430" s="35"/>
      <c r="B430" s="36"/>
      <c r="C430" s="37"/>
      <c r="D430" s="36"/>
      <c r="E430" s="36"/>
      <c r="F430" s="37"/>
      <c r="G430" s="36"/>
      <c r="H430" s="36"/>
      <c r="I430" s="171"/>
      <c r="J430" s="38"/>
      <c r="K430" s="28"/>
      <c r="L430" s="28"/>
    </row>
    <row r="431" spans="1:12" x14ac:dyDescent="0.25">
      <c r="A431" s="35"/>
      <c r="B431" s="36"/>
      <c r="C431" s="37"/>
      <c r="D431" s="36"/>
      <c r="E431" s="36"/>
      <c r="F431" s="37"/>
      <c r="G431" s="36"/>
      <c r="H431" s="36"/>
      <c r="I431" s="171"/>
      <c r="J431" s="38"/>
      <c r="K431" s="28"/>
      <c r="L431" s="28"/>
    </row>
    <row r="432" spans="1:12" x14ac:dyDescent="0.25">
      <c r="A432" s="35"/>
      <c r="B432" s="36"/>
      <c r="C432" s="37"/>
      <c r="D432" s="36"/>
      <c r="E432" s="36"/>
      <c r="F432" s="37"/>
      <c r="G432" s="36"/>
      <c r="H432" s="36"/>
      <c r="I432" s="171"/>
      <c r="J432" s="38"/>
      <c r="K432" s="28"/>
      <c r="L432" s="28"/>
    </row>
    <row r="433" spans="1:12" x14ac:dyDescent="0.25">
      <c r="A433" s="35"/>
      <c r="B433" s="36"/>
      <c r="C433" s="37"/>
      <c r="D433" s="36"/>
      <c r="E433" s="36"/>
      <c r="F433" s="37"/>
      <c r="G433" s="36"/>
      <c r="H433" s="36"/>
      <c r="I433" s="171"/>
      <c r="J433" s="38"/>
      <c r="K433" s="28"/>
      <c r="L433" s="28"/>
    </row>
    <row r="434" spans="1:12" x14ac:dyDescent="0.25">
      <c r="A434" s="35"/>
      <c r="B434" s="36"/>
      <c r="C434" s="37"/>
      <c r="D434" s="36"/>
      <c r="E434" s="36"/>
      <c r="F434" s="37"/>
      <c r="G434" s="36"/>
      <c r="H434" s="36"/>
      <c r="I434" s="171"/>
      <c r="J434" s="38"/>
      <c r="K434" s="28"/>
      <c r="L434" s="28"/>
    </row>
    <row r="435" spans="1:12" x14ac:dyDescent="0.25">
      <c r="A435" s="35"/>
      <c r="B435" s="36"/>
      <c r="C435" s="37"/>
      <c r="D435" s="36"/>
      <c r="E435" s="36"/>
      <c r="F435" s="37"/>
      <c r="G435" s="36"/>
      <c r="H435" s="36"/>
      <c r="I435" s="171"/>
      <c r="J435" s="38"/>
      <c r="K435" s="28"/>
      <c r="L435" s="28"/>
    </row>
    <row r="436" spans="1:12" x14ac:dyDescent="0.25">
      <c r="A436" s="35"/>
      <c r="B436" s="36"/>
      <c r="C436" s="37"/>
      <c r="D436" s="36"/>
      <c r="E436" s="36"/>
      <c r="F436" s="37"/>
      <c r="G436" s="36"/>
      <c r="H436" s="36"/>
      <c r="I436" s="171"/>
      <c r="J436" s="38"/>
      <c r="K436" s="28"/>
      <c r="L436" s="28"/>
    </row>
    <row r="437" spans="1:12" x14ac:dyDescent="0.25">
      <c r="A437" s="35"/>
      <c r="B437" s="36"/>
      <c r="C437" s="37"/>
      <c r="D437" s="36"/>
      <c r="E437" s="36"/>
      <c r="F437" s="37"/>
      <c r="G437" s="36"/>
      <c r="H437" s="36"/>
      <c r="I437" s="171"/>
      <c r="J437" s="38"/>
      <c r="K437" s="28"/>
      <c r="L437" s="28"/>
    </row>
    <row r="438" spans="1:12" x14ac:dyDescent="0.25">
      <c r="A438" s="35"/>
      <c r="B438" s="36"/>
      <c r="C438" s="37"/>
      <c r="D438" s="36"/>
      <c r="E438" s="36"/>
      <c r="F438" s="37"/>
      <c r="G438" s="36"/>
      <c r="H438" s="36"/>
      <c r="I438" s="171"/>
      <c r="J438" s="38"/>
      <c r="K438" s="28"/>
      <c r="L438" s="28"/>
    </row>
    <row r="439" spans="1:12" x14ac:dyDescent="0.25">
      <c r="A439" s="35"/>
      <c r="B439" s="36"/>
      <c r="C439" s="37"/>
      <c r="D439" s="36"/>
      <c r="E439" s="36"/>
      <c r="F439" s="37"/>
      <c r="G439" s="36"/>
      <c r="H439" s="36"/>
      <c r="I439" s="171"/>
      <c r="J439" s="38"/>
      <c r="K439" s="28"/>
      <c r="L439" s="28"/>
    </row>
    <row r="440" spans="1:12" x14ac:dyDescent="0.25">
      <c r="A440" s="35"/>
      <c r="B440" s="36"/>
      <c r="C440" s="37"/>
      <c r="D440" s="36"/>
      <c r="E440" s="36"/>
      <c r="F440" s="37"/>
      <c r="G440" s="36"/>
      <c r="H440" s="36"/>
      <c r="I440" s="171"/>
      <c r="J440" s="38"/>
      <c r="K440" s="28"/>
      <c r="L440" s="28"/>
    </row>
    <row r="441" spans="1:12" x14ac:dyDescent="0.25">
      <c r="A441" s="35"/>
      <c r="B441" s="36"/>
      <c r="C441" s="37"/>
      <c r="D441" s="36"/>
      <c r="E441" s="36"/>
      <c r="F441" s="37"/>
      <c r="G441" s="36"/>
      <c r="H441" s="36"/>
      <c r="I441" s="171"/>
      <c r="J441" s="38"/>
      <c r="K441" s="28"/>
      <c r="L441" s="28"/>
    </row>
    <row r="442" spans="1:12" x14ac:dyDescent="0.25">
      <c r="A442" s="35"/>
      <c r="B442" s="36"/>
      <c r="C442" s="37"/>
      <c r="D442" s="36"/>
      <c r="E442" s="36"/>
      <c r="F442" s="37"/>
      <c r="G442" s="36"/>
      <c r="H442" s="36"/>
      <c r="I442" s="171"/>
      <c r="J442" s="38"/>
      <c r="K442" s="28"/>
      <c r="L442" s="28"/>
    </row>
    <row r="443" spans="1:12" x14ac:dyDescent="0.25">
      <c r="A443" s="35"/>
      <c r="B443" s="36"/>
      <c r="C443" s="37"/>
      <c r="D443" s="36"/>
      <c r="E443" s="36"/>
      <c r="F443" s="37"/>
      <c r="G443" s="36"/>
      <c r="H443" s="36"/>
      <c r="I443" s="171"/>
      <c r="J443" s="38"/>
      <c r="K443" s="28"/>
      <c r="L443" s="28"/>
    </row>
    <row r="444" spans="1:12" x14ac:dyDescent="0.25">
      <c r="A444" s="35"/>
      <c r="B444" s="36"/>
      <c r="C444" s="37"/>
      <c r="D444" s="36"/>
      <c r="E444" s="36"/>
      <c r="F444" s="37"/>
      <c r="G444" s="36"/>
      <c r="H444" s="36"/>
      <c r="I444" s="171"/>
      <c r="J444" s="38"/>
      <c r="K444" s="28"/>
      <c r="L444" s="28"/>
    </row>
    <row r="445" spans="1:12" x14ac:dyDescent="0.25">
      <c r="A445" s="35"/>
      <c r="B445" s="36"/>
      <c r="C445" s="37"/>
      <c r="D445" s="36"/>
      <c r="E445" s="36"/>
      <c r="F445" s="37"/>
      <c r="G445" s="36"/>
      <c r="H445" s="36"/>
      <c r="I445" s="171"/>
      <c r="J445" s="38"/>
      <c r="K445" s="28"/>
      <c r="L445" s="28"/>
    </row>
    <row r="446" spans="1:12" x14ac:dyDescent="0.25">
      <c r="A446" s="35"/>
      <c r="B446" s="36"/>
      <c r="C446" s="37"/>
      <c r="D446" s="36"/>
      <c r="E446" s="36"/>
      <c r="F446" s="37"/>
      <c r="G446" s="36"/>
      <c r="H446" s="36"/>
      <c r="I446" s="171"/>
      <c r="J446" s="38"/>
      <c r="K446" s="28"/>
      <c r="L446" s="28"/>
    </row>
    <row r="447" spans="1:12" x14ac:dyDescent="0.25">
      <c r="A447" s="35"/>
      <c r="B447" s="36"/>
      <c r="C447" s="37"/>
      <c r="D447" s="36"/>
      <c r="E447" s="36"/>
      <c r="F447" s="37"/>
      <c r="G447" s="36"/>
      <c r="H447" s="36"/>
      <c r="I447" s="171"/>
      <c r="J447" s="38"/>
      <c r="K447" s="28"/>
      <c r="L447" s="28"/>
    </row>
    <row r="448" spans="1:12" x14ac:dyDescent="0.25">
      <c r="A448" s="35"/>
      <c r="B448" s="36"/>
      <c r="C448" s="37"/>
      <c r="D448" s="36"/>
      <c r="E448" s="36"/>
      <c r="F448" s="37"/>
      <c r="G448" s="36"/>
      <c r="H448" s="36"/>
      <c r="I448" s="171"/>
      <c r="J448" s="38"/>
      <c r="K448" s="28"/>
      <c r="L448" s="28"/>
    </row>
    <row r="449" spans="1:12" x14ac:dyDescent="0.25">
      <c r="A449" s="35"/>
      <c r="B449" s="36"/>
      <c r="C449" s="37"/>
      <c r="D449" s="36"/>
      <c r="E449" s="36"/>
      <c r="F449" s="37"/>
      <c r="G449" s="36"/>
      <c r="H449" s="36"/>
      <c r="I449" s="171"/>
      <c r="J449" s="38"/>
      <c r="K449" s="28"/>
      <c r="L449" s="28"/>
    </row>
    <row r="450" spans="1:12" x14ac:dyDescent="0.25">
      <c r="A450" s="35"/>
      <c r="B450" s="36"/>
      <c r="C450" s="37"/>
      <c r="D450" s="36"/>
      <c r="E450" s="36"/>
      <c r="F450" s="37"/>
      <c r="G450" s="36"/>
      <c r="H450" s="36"/>
      <c r="I450" s="171"/>
      <c r="J450" s="38"/>
      <c r="K450" s="28"/>
      <c r="L450" s="28"/>
    </row>
    <row r="451" spans="1:12" x14ac:dyDescent="0.25">
      <c r="A451" s="35"/>
      <c r="B451" s="36"/>
      <c r="C451" s="37"/>
      <c r="D451" s="36"/>
      <c r="E451" s="36"/>
      <c r="F451" s="37"/>
      <c r="G451" s="36"/>
      <c r="H451" s="36"/>
      <c r="I451" s="171"/>
      <c r="J451" s="38"/>
      <c r="K451" s="28"/>
      <c r="L451" s="28"/>
    </row>
    <row r="452" spans="1:12" x14ac:dyDescent="0.25">
      <c r="A452" s="35"/>
      <c r="B452" s="36"/>
      <c r="C452" s="37"/>
      <c r="D452" s="36"/>
      <c r="E452" s="36"/>
      <c r="F452" s="37"/>
      <c r="G452" s="36"/>
      <c r="H452" s="36"/>
      <c r="I452" s="171"/>
      <c r="J452" s="38"/>
      <c r="K452" s="28"/>
      <c r="L452" s="28"/>
    </row>
    <row r="453" spans="1:12" x14ac:dyDescent="0.25">
      <c r="A453" s="35"/>
      <c r="B453" s="36"/>
      <c r="C453" s="37"/>
      <c r="D453" s="36"/>
      <c r="E453" s="36"/>
      <c r="F453" s="37"/>
      <c r="G453" s="36"/>
      <c r="H453" s="36"/>
      <c r="I453" s="171"/>
      <c r="J453" s="38"/>
      <c r="K453" s="28"/>
      <c r="L453" s="28"/>
    </row>
    <row r="454" spans="1:12" x14ac:dyDescent="0.25">
      <c r="A454" s="35"/>
      <c r="B454" s="36"/>
      <c r="C454" s="37"/>
      <c r="D454" s="36"/>
      <c r="E454" s="36"/>
      <c r="F454" s="37"/>
      <c r="G454" s="36"/>
      <c r="H454" s="36"/>
      <c r="I454" s="171"/>
      <c r="J454" s="38"/>
      <c r="K454" s="28"/>
      <c r="L454" s="28"/>
    </row>
    <row r="455" spans="1:12" x14ac:dyDescent="0.25">
      <c r="A455" s="35"/>
      <c r="B455" s="36"/>
      <c r="C455" s="37"/>
      <c r="D455" s="36"/>
      <c r="E455" s="36"/>
      <c r="F455" s="37"/>
      <c r="G455" s="36"/>
      <c r="H455" s="36"/>
      <c r="I455" s="171"/>
      <c r="J455" s="38"/>
      <c r="K455" s="28"/>
      <c r="L455" s="28"/>
    </row>
    <row r="456" spans="1:12" x14ac:dyDescent="0.25">
      <c r="A456" s="35"/>
      <c r="B456" s="36"/>
      <c r="C456" s="37"/>
      <c r="D456" s="36"/>
      <c r="E456" s="36"/>
      <c r="F456" s="37"/>
      <c r="G456" s="36"/>
      <c r="H456" s="36"/>
      <c r="I456" s="171"/>
      <c r="J456" s="38"/>
      <c r="K456" s="28"/>
      <c r="L456" s="28"/>
    </row>
    <row r="457" spans="1:12" x14ac:dyDescent="0.25">
      <c r="A457" s="35"/>
      <c r="B457" s="36"/>
      <c r="C457" s="37"/>
      <c r="D457" s="36"/>
      <c r="E457" s="36"/>
      <c r="F457" s="37"/>
      <c r="G457" s="36"/>
      <c r="H457" s="36"/>
      <c r="I457" s="171"/>
      <c r="J457" s="38"/>
      <c r="K457" s="28"/>
      <c r="L457" s="28"/>
    </row>
    <row r="458" spans="1:12" x14ac:dyDescent="0.25">
      <c r="A458" s="35"/>
      <c r="B458" s="36"/>
      <c r="C458" s="37"/>
      <c r="D458" s="36"/>
      <c r="E458" s="36"/>
      <c r="F458" s="37"/>
      <c r="G458" s="36"/>
      <c r="H458" s="36"/>
      <c r="I458" s="171"/>
      <c r="J458" s="38"/>
      <c r="K458" s="28"/>
      <c r="L458" s="28"/>
    </row>
    <row r="459" spans="1:12" x14ac:dyDescent="0.25">
      <c r="A459" s="35"/>
      <c r="B459" s="36"/>
      <c r="C459" s="37"/>
      <c r="D459" s="36"/>
      <c r="E459" s="36"/>
      <c r="F459" s="37"/>
      <c r="G459" s="36"/>
      <c r="H459" s="36"/>
      <c r="I459" s="171"/>
      <c r="J459" s="38"/>
      <c r="K459" s="28"/>
      <c r="L459" s="28"/>
    </row>
    <row r="460" spans="1:12" x14ac:dyDescent="0.25">
      <c r="A460" s="35"/>
      <c r="B460" s="36"/>
      <c r="C460" s="37"/>
      <c r="D460" s="36"/>
      <c r="E460" s="36"/>
      <c r="F460" s="37"/>
      <c r="G460" s="36"/>
      <c r="H460" s="36"/>
      <c r="I460" s="171"/>
      <c r="J460" s="38"/>
      <c r="K460" s="28"/>
      <c r="L460" s="28"/>
    </row>
    <row r="461" spans="1:12" x14ac:dyDescent="0.25">
      <c r="A461" s="35"/>
      <c r="B461" s="36"/>
      <c r="C461" s="37"/>
      <c r="D461" s="36"/>
      <c r="E461" s="36"/>
      <c r="F461" s="37"/>
      <c r="G461" s="36"/>
      <c r="H461" s="36"/>
      <c r="I461" s="171"/>
      <c r="J461" s="38"/>
      <c r="K461" s="28"/>
      <c r="L461" s="28"/>
    </row>
    <row r="462" spans="1:12" x14ac:dyDescent="0.25">
      <c r="A462" s="35"/>
      <c r="B462" s="36"/>
      <c r="C462" s="37"/>
      <c r="D462" s="36"/>
      <c r="E462" s="36"/>
      <c r="F462" s="37"/>
      <c r="G462" s="36"/>
      <c r="H462" s="36"/>
      <c r="I462" s="171"/>
      <c r="J462" s="38"/>
      <c r="K462" s="28"/>
      <c r="L462" s="28"/>
    </row>
    <row r="463" spans="1:12" x14ac:dyDescent="0.25">
      <c r="A463" s="35"/>
      <c r="B463" s="36"/>
      <c r="C463" s="37"/>
      <c r="D463" s="36"/>
      <c r="E463" s="36"/>
      <c r="F463" s="37"/>
      <c r="G463" s="36"/>
      <c r="H463" s="36"/>
      <c r="I463" s="171"/>
      <c r="J463" s="38"/>
      <c r="K463" s="28"/>
      <c r="L463" s="28"/>
    </row>
    <row r="464" spans="1:12" x14ac:dyDescent="0.25">
      <c r="A464" s="35"/>
      <c r="B464" s="36"/>
      <c r="C464" s="37"/>
      <c r="D464" s="36"/>
      <c r="E464" s="36"/>
      <c r="F464" s="37"/>
      <c r="G464" s="36"/>
      <c r="H464" s="36"/>
      <c r="I464" s="171"/>
      <c r="J464" s="38"/>
      <c r="K464" s="28"/>
      <c r="L464" s="28"/>
    </row>
    <row r="465" spans="1:12" x14ac:dyDescent="0.25">
      <c r="A465" s="35"/>
      <c r="B465" s="36"/>
      <c r="C465" s="37"/>
      <c r="D465" s="36"/>
      <c r="E465" s="36"/>
      <c r="F465" s="37"/>
      <c r="G465" s="36"/>
      <c r="H465" s="36"/>
      <c r="I465" s="171"/>
      <c r="J465" s="38"/>
      <c r="K465" s="28"/>
      <c r="L465" s="28"/>
    </row>
    <row r="466" spans="1:12" x14ac:dyDescent="0.25">
      <c r="A466" s="35"/>
      <c r="B466" s="36"/>
      <c r="C466" s="37"/>
      <c r="D466" s="36"/>
      <c r="E466" s="36"/>
      <c r="F466" s="37"/>
      <c r="G466" s="36"/>
      <c r="H466" s="36"/>
      <c r="I466" s="171"/>
      <c r="J466" s="38"/>
      <c r="K466" s="28"/>
      <c r="L466" s="28"/>
    </row>
    <row r="467" spans="1:12" x14ac:dyDescent="0.25">
      <c r="A467" s="35"/>
      <c r="B467" s="36"/>
      <c r="C467" s="37"/>
      <c r="D467" s="36"/>
      <c r="E467" s="36"/>
      <c r="F467" s="37"/>
      <c r="G467" s="36"/>
      <c r="H467" s="36"/>
      <c r="I467" s="171"/>
      <c r="J467" s="38"/>
      <c r="K467" s="28"/>
      <c r="L467" s="28"/>
    </row>
    <row r="468" spans="1:12" x14ac:dyDescent="0.25">
      <c r="A468" s="35"/>
      <c r="B468" s="36"/>
      <c r="C468" s="37"/>
      <c r="D468" s="36"/>
      <c r="E468" s="36"/>
      <c r="F468" s="37"/>
      <c r="G468" s="36"/>
      <c r="H468" s="36"/>
      <c r="I468" s="171"/>
      <c r="J468" s="38"/>
      <c r="K468" s="28"/>
      <c r="L468" s="28"/>
    </row>
    <row r="469" spans="1:12" x14ac:dyDescent="0.25">
      <c r="A469" s="35"/>
      <c r="B469" s="36"/>
      <c r="C469" s="37"/>
      <c r="D469" s="36"/>
      <c r="E469" s="36"/>
      <c r="F469" s="37"/>
      <c r="G469" s="36"/>
      <c r="H469" s="36"/>
      <c r="I469" s="171"/>
      <c r="J469" s="38"/>
      <c r="K469" s="28"/>
      <c r="L469" s="28"/>
    </row>
    <row r="470" spans="1:12" x14ac:dyDescent="0.25">
      <c r="A470" s="35"/>
      <c r="B470" s="36"/>
      <c r="C470" s="37"/>
      <c r="D470" s="36"/>
      <c r="E470" s="36"/>
      <c r="F470" s="37"/>
      <c r="G470" s="36"/>
      <c r="H470" s="36"/>
      <c r="I470" s="171"/>
      <c r="J470" s="38"/>
      <c r="K470" s="28"/>
      <c r="L470" s="28"/>
    </row>
    <row r="471" spans="1:12" x14ac:dyDescent="0.25">
      <c r="A471" s="35"/>
      <c r="B471" s="36"/>
      <c r="C471" s="37"/>
      <c r="D471" s="36"/>
      <c r="E471" s="36"/>
      <c r="F471" s="37"/>
      <c r="G471" s="36"/>
      <c r="H471" s="36"/>
      <c r="I471" s="171"/>
      <c r="J471" s="38"/>
      <c r="K471" s="28"/>
      <c r="L471" s="28"/>
    </row>
    <row r="472" spans="1:12" x14ac:dyDescent="0.25">
      <c r="A472" s="35"/>
      <c r="B472" s="36"/>
      <c r="C472" s="37"/>
      <c r="D472" s="36"/>
      <c r="E472" s="36"/>
      <c r="F472" s="37"/>
      <c r="G472" s="36"/>
      <c r="H472" s="36"/>
      <c r="I472" s="171"/>
      <c r="J472" s="38"/>
      <c r="K472" s="28"/>
      <c r="L472" s="28"/>
    </row>
    <row r="473" spans="1:12" x14ac:dyDescent="0.25">
      <c r="A473" s="35"/>
      <c r="B473" s="36"/>
      <c r="C473" s="37"/>
      <c r="D473" s="36"/>
      <c r="E473" s="36"/>
      <c r="F473" s="37"/>
      <c r="G473" s="36"/>
      <c r="H473" s="36"/>
      <c r="I473" s="171"/>
      <c r="J473" s="38"/>
      <c r="K473" s="28"/>
      <c r="L473" s="28"/>
    </row>
    <row r="474" spans="1:12" x14ac:dyDescent="0.25">
      <c r="A474" s="35"/>
      <c r="B474" s="36"/>
      <c r="C474" s="37"/>
      <c r="D474" s="36"/>
      <c r="E474" s="36"/>
      <c r="F474" s="37"/>
      <c r="G474" s="36"/>
      <c r="H474" s="36"/>
      <c r="I474" s="171"/>
      <c r="J474" s="38"/>
      <c r="K474" s="28"/>
      <c r="L474" s="28"/>
    </row>
    <row r="475" spans="1:12" x14ac:dyDescent="0.25">
      <c r="A475" s="35"/>
      <c r="B475" s="36"/>
      <c r="C475" s="37"/>
      <c r="D475" s="36"/>
      <c r="E475" s="36"/>
      <c r="F475" s="37"/>
      <c r="G475" s="36"/>
      <c r="H475" s="36"/>
      <c r="I475" s="171"/>
      <c r="J475" s="38"/>
      <c r="K475" s="28"/>
      <c r="L475" s="28"/>
    </row>
    <row r="476" spans="1:12" x14ac:dyDescent="0.25">
      <c r="A476" s="35"/>
      <c r="B476" s="36"/>
      <c r="C476" s="37"/>
      <c r="D476" s="36"/>
      <c r="E476" s="36"/>
      <c r="F476" s="37"/>
      <c r="G476" s="36"/>
      <c r="H476" s="36"/>
      <c r="I476" s="171"/>
      <c r="J476" s="38"/>
      <c r="K476" s="28"/>
      <c r="L476" s="28"/>
    </row>
    <row r="477" spans="1:12" x14ac:dyDescent="0.25">
      <c r="A477" s="35"/>
      <c r="B477" s="36"/>
      <c r="C477" s="37"/>
      <c r="D477" s="36"/>
      <c r="E477" s="36"/>
      <c r="F477" s="37"/>
      <c r="G477" s="36"/>
      <c r="H477" s="36"/>
      <c r="I477" s="171"/>
      <c r="J477" s="38"/>
      <c r="K477" s="28"/>
      <c r="L477" s="28"/>
    </row>
    <row r="478" spans="1:12" x14ac:dyDescent="0.25">
      <c r="A478" s="35"/>
      <c r="B478" s="36"/>
      <c r="C478" s="37"/>
      <c r="D478" s="36"/>
      <c r="E478" s="36"/>
      <c r="F478" s="37"/>
      <c r="G478" s="36"/>
      <c r="H478" s="36"/>
      <c r="I478" s="171"/>
      <c r="J478" s="38"/>
      <c r="K478" s="28"/>
      <c r="L478" s="28"/>
    </row>
    <row r="479" spans="1:12" x14ac:dyDescent="0.25">
      <c r="A479" s="35"/>
      <c r="B479" s="36"/>
      <c r="C479" s="37"/>
      <c r="D479" s="36"/>
      <c r="E479" s="36"/>
      <c r="F479" s="37"/>
      <c r="G479" s="36"/>
      <c r="H479" s="36"/>
      <c r="I479" s="171"/>
      <c r="J479" s="38"/>
      <c r="K479" s="28"/>
      <c r="L479" s="28"/>
    </row>
    <row r="480" spans="1:12" x14ac:dyDescent="0.25">
      <c r="A480" s="35"/>
      <c r="B480" s="36"/>
      <c r="C480" s="37"/>
      <c r="D480" s="36"/>
      <c r="E480" s="36"/>
      <c r="F480" s="37"/>
      <c r="G480" s="36"/>
      <c r="H480" s="36"/>
      <c r="I480" s="171"/>
      <c r="J480" s="38"/>
      <c r="K480" s="28"/>
      <c r="L480" s="28"/>
    </row>
    <row r="481" spans="1:12" x14ac:dyDescent="0.25">
      <c r="A481" s="35"/>
      <c r="B481" s="36"/>
      <c r="C481" s="37"/>
      <c r="D481" s="36"/>
      <c r="E481" s="36"/>
      <c r="F481" s="37"/>
      <c r="G481" s="36"/>
      <c r="H481" s="36"/>
      <c r="I481" s="171"/>
      <c r="J481" s="38"/>
      <c r="K481" s="28"/>
      <c r="L481" s="28"/>
    </row>
    <row r="482" spans="1:12" x14ac:dyDescent="0.25">
      <c r="A482" s="35"/>
      <c r="B482" s="36"/>
      <c r="C482" s="37"/>
      <c r="D482" s="36"/>
      <c r="E482" s="36"/>
      <c r="F482" s="37"/>
      <c r="G482" s="36"/>
      <c r="H482" s="36"/>
      <c r="I482" s="171"/>
      <c r="J482" s="38"/>
      <c r="K482" s="28"/>
      <c r="L482" s="28"/>
    </row>
    <row r="483" spans="1:12" x14ac:dyDescent="0.25">
      <c r="A483" s="35"/>
      <c r="B483" s="36"/>
      <c r="C483" s="37"/>
      <c r="D483" s="36"/>
      <c r="E483" s="36"/>
      <c r="F483" s="37"/>
      <c r="G483" s="36"/>
      <c r="H483" s="36"/>
      <c r="I483" s="171"/>
      <c r="J483" s="38"/>
      <c r="K483" s="28"/>
      <c r="L483" s="28"/>
    </row>
    <row r="484" spans="1:12" x14ac:dyDescent="0.25">
      <c r="A484" s="35"/>
      <c r="B484" s="36"/>
      <c r="C484" s="37"/>
      <c r="D484" s="36"/>
      <c r="E484" s="36"/>
      <c r="F484" s="37"/>
      <c r="G484" s="36"/>
      <c r="H484" s="36"/>
      <c r="I484" s="171"/>
      <c r="J484" s="38"/>
      <c r="K484" s="28"/>
      <c r="L484" s="28"/>
    </row>
    <row r="485" spans="1:12" x14ac:dyDescent="0.25">
      <c r="A485" s="35"/>
      <c r="B485" s="36"/>
      <c r="C485" s="37"/>
      <c r="D485" s="36"/>
      <c r="E485" s="36"/>
      <c r="F485" s="37"/>
      <c r="G485" s="36"/>
      <c r="H485" s="36"/>
      <c r="I485" s="171"/>
      <c r="J485" s="38"/>
      <c r="K485" s="28"/>
      <c r="L485" s="28"/>
    </row>
    <row r="486" spans="1:12" x14ac:dyDescent="0.25">
      <c r="A486" s="35"/>
      <c r="B486" s="36"/>
      <c r="C486" s="37"/>
      <c r="D486" s="36"/>
      <c r="E486" s="36"/>
      <c r="F486" s="37"/>
      <c r="G486" s="36"/>
      <c r="H486" s="36"/>
      <c r="I486" s="171"/>
      <c r="J486" s="38"/>
      <c r="K486" s="28"/>
      <c r="L486" s="28"/>
    </row>
    <row r="487" spans="1:12" x14ac:dyDescent="0.25">
      <c r="A487" s="35"/>
      <c r="B487" s="36"/>
      <c r="C487" s="37"/>
      <c r="D487" s="36"/>
      <c r="E487" s="36"/>
      <c r="F487" s="37"/>
      <c r="G487" s="36"/>
      <c r="H487" s="36"/>
      <c r="I487" s="171"/>
      <c r="J487" s="38"/>
      <c r="K487" s="28"/>
      <c r="L487" s="28"/>
    </row>
    <row r="488" spans="1:12" x14ac:dyDescent="0.25">
      <c r="A488" s="35"/>
      <c r="B488" s="36"/>
      <c r="C488" s="37"/>
      <c r="D488" s="36"/>
      <c r="E488" s="36"/>
      <c r="F488" s="37"/>
      <c r="G488" s="36"/>
      <c r="H488" s="36"/>
      <c r="I488" s="171"/>
      <c r="J488" s="38"/>
      <c r="K488" s="28"/>
      <c r="L488" s="28"/>
    </row>
    <row r="489" spans="1:12" x14ac:dyDescent="0.25">
      <c r="A489" s="35"/>
      <c r="B489" s="36"/>
      <c r="C489" s="37"/>
      <c r="D489" s="36"/>
      <c r="E489" s="36"/>
      <c r="F489" s="37"/>
      <c r="G489" s="36"/>
      <c r="H489" s="36"/>
      <c r="I489" s="171"/>
      <c r="J489" s="38"/>
      <c r="K489" s="28"/>
      <c r="L489" s="28"/>
    </row>
    <row r="490" spans="1:12" x14ac:dyDescent="0.25">
      <c r="A490" s="35"/>
      <c r="B490" s="36"/>
      <c r="C490" s="37"/>
      <c r="D490" s="36"/>
      <c r="E490" s="36"/>
      <c r="F490" s="37"/>
      <c r="G490" s="36"/>
      <c r="H490" s="36"/>
      <c r="I490" s="171"/>
      <c r="J490" s="38"/>
      <c r="K490" s="28"/>
      <c r="L490" s="28"/>
    </row>
    <row r="491" spans="1:12" x14ac:dyDescent="0.25">
      <c r="A491" s="35"/>
      <c r="B491" s="36"/>
      <c r="C491" s="37"/>
      <c r="D491" s="36"/>
      <c r="E491" s="36"/>
      <c r="F491" s="37"/>
      <c r="G491" s="36"/>
      <c r="H491" s="36"/>
      <c r="I491" s="171"/>
      <c r="J491" s="38"/>
      <c r="K491" s="28"/>
      <c r="L491" s="28"/>
    </row>
    <row r="492" spans="1:12" x14ac:dyDescent="0.25">
      <c r="A492" s="35"/>
      <c r="B492" s="36"/>
      <c r="C492" s="37"/>
      <c r="D492" s="36"/>
      <c r="E492" s="36"/>
      <c r="F492" s="37"/>
      <c r="G492" s="36"/>
      <c r="H492" s="36"/>
      <c r="I492" s="171"/>
      <c r="J492" s="38"/>
      <c r="K492" s="28"/>
      <c r="L492" s="28"/>
    </row>
    <row r="493" spans="1:12" x14ac:dyDescent="0.25">
      <c r="A493" s="35"/>
      <c r="B493" s="36"/>
      <c r="C493" s="37"/>
      <c r="D493" s="36"/>
      <c r="E493" s="36"/>
      <c r="F493" s="37"/>
      <c r="G493" s="36"/>
      <c r="H493" s="36"/>
      <c r="I493" s="171"/>
      <c r="J493" s="38"/>
      <c r="K493" s="28"/>
      <c r="L493" s="28"/>
    </row>
    <row r="494" spans="1:12" x14ac:dyDescent="0.25">
      <c r="A494" s="35"/>
      <c r="B494" s="36"/>
      <c r="C494" s="37"/>
      <c r="D494" s="36"/>
      <c r="E494" s="36"/>
      <c r="F494" s="37"/>
      <c r="G494" s="36"/>
      <c r="H494" s="36"/>
      <c r="I494" s="171"/>
      <c r="J494" s="38"/>
      <c r="K494" s="28"/>
      <c r="L494" s="28"/>
    </row>
    <row r="495" spans="1:12" x14ac:dyDescent="0.25">
      <c r="A495" s="35"/>
      <c r="B495" s="36"/>
      <c r="C495" s="37"/>
      <c r="D495" s="36"/>
      <c r="E495" s="36"/>
      <c r="F495" s="37"/>
      <c r="G495" s="36"/>
      <c r="H495" s="36"/>
      <c r="I495" s="171"/>
      <c r="J495" s="38"/>
      <c r="K495" s="28"/>
      <c r="L495" s="28"/>
    </row>
    <row r="496" spans="1:12" x14ac:dyDescent="0.25">
      <c r="A496" s="35"/>
      <c r="B496" s="36"/>
      <c r="C496" s="37"/>
      <c r="D496" s="36"/>
      <c r="E496" s="36"/>
      <c r="F496" s="37"/>
      <c r="G496" s="36"/>
      <c r="H496" s="36"/>
      <c r="I496" s="171"/>
      <c r="J496" s="38"/>
      <c r="K496" s="28"/>
      <c r="L496" s="28"/>
    </row>
    <row r="497" spans="1:12" x14ac:dyDescent="0.25">
      <c r="A497" s="35"/>
      <c r="B497" s="36"/>
      <c r="C497" s="37"/>
      <c r="D497" s="36"/>
      <c r="E497" s="36"/>
      <c r="F497" s="37"/>
      <c r="G497" s="36"/>
      <c r="H497" s="36"/>
      <c r="I497" s="171"/>
      <c r="J497" s="38"/>
      <c r="K497" s="28"/>
      <c r="L497" s="28"/>
    </row>
    <row r="498" spans="1:12" x14ac:dyDescent="0.25">
      <c r="A498" s="35"/>
      <c r="B498" s="36"/>
      <c r="C498" s="37"/>
      <c r="D498" s="36"/>
      <c r="E498" s="36"/>
      <c r="F498" s="37"/>
      <c r="G498" s="36"/>
      <c r="H498" s="36"/>
      <c r="I498" s="171"/>
      <c r="J498" s="38"/>
      <c r="K498" s="28"/>
      <c r="L498" s="28"/>
    </row>
    <row r="499" spans="1:12" x14ac:dyDescent="0.25">
      <c r="A499" s="35"/>
      <c r="B499" s="36"/>
      <c r="C499" s="37"/>
      <c r="D499" s="36"/>
      <c r="E499" s="36"/>
      <c r="F499" s="37"/>
      <c r="G499" s="36"/>
      <c r="H499" s="36"/>
      <c r="I499" s="171"/>
      <c r="J499" s="38"/>
      <c r="K499" s="28"/>
      <c r="L499" s="28"/>
    </row>
    <row r="500" spans="1:12" x14ac:dyDescent="0.25">
      <c r="A500" s="35"/>
      <c r="B500" s="36"/>
      <c r="C500" s="37"/>
      <c r="D500" s="36"/>
      <c r="E500" s="36"/>
      <c r="F500" s="37"/>
      <c r="G500" s="36"/>
      <c r="H500" s="36"/>
      <c r="I500" s="171"/>
      <c r="J500" s="38"/>
      <c r="K500" s="28"/>
      <c r="L500" s="28"/>
    </row>
    <row r="501" spans="1:12" x14ac:dyDescent="0.25">
      <c r="A501" s="35"/>
      <c r="B501" s="36"/>
      <c r="C501" s="37"/>
      <c r="D501" s="36"/>
      <c r="E501" s="36"/>
      <c r="F501" s="37"/>
      <c r="G501" s="36"/>
      <c r="H501" s="36"/>
      <c r="I501" s="171"/>
      <c r="J501" s="38"/>
      <c r="K501" s="28"/>
      <c r="L501" s="28"/>
    </row>
    <row r="502" spans="1:12" x14ac:dyDescent="0.25">
      <c r="A502" s="35"/>
      <c r="B502" s="36"/>
      <c r="C502" s="37"/>
      <c r="D502" s="36"/>
      <c r="E502" s="36"/>
      <c r="F502" s="37"/>
      <c r="G502" s="36"/>
      <c r="H502" s="36"/>
      <c r="I502" s="171"/>
      <c r="J502" s="38"/>
      <c r="K502" s="28"/>
      <c r="L502" s="28"/>
    </row>
    <row r="503" spans="1:12" x14ac:dyDescent="0.25">
      <c r="A503" s="35"/>
      <c r="B503" s="36"/>
      <c r="C503" s="37"/>
      <c r="D503" s="36"/>
      <c r="E503" s="36"/>
      <c r="F503" s="37"/>
      <c r="G503" s="36"/>
      <c r="H503" s="36"/>
      <c r="I503" s="171"/>
      <c r="J503" s="38"/>
      <c r="K503" s="28"/>
      <c r="L503" s="28"/>
    </row>
    <row r="504" spans="1:12" x14ac:dyDescent="0.25">
      <c r="A504" s="35"/>
      <c r="B504" s="36"/>
      <c r="C504" s="37"/>
      <c r="D504" s="36"/>
      <c r="E504" s="36"/>
      <c r="F504" s="37"/>
      <c r="G504" s="36"/>
      <c r="H504" s="36"/>
      <c r="I504" s="171"/>
      <c r="J504" s="38"/>
      <c r="K504" s="28"/>
      <c r="L504" s="28"/>
    </row>
    <row r="505" spans="1:12" x14ac:dyDescent="0.25">
      <c r="A505" s="35"/>
      <c r="B505" s="36"/>
      <c r="C505" s="37"/>
      <c r="D505" s="36"/>
      <c r="E505" s="36"/>
      <c r="F505" s="37"/>
      <c r="G505" s="36"/>
      <c r="H505" s="36"/>
      <c r="I505" s="171"/>
      <c r="J505" s="38"/>
      <c r="K505" s="28"/>
      <c r="L505" s="28"/>
    </row>
    <row r="506" spans="1:12" x14ac:dyDescent="0.25">
      <c r="A506" s="35"/>
      <c r="B506" s="36"/>
      <c r="C506" s="37"/>
      <c r="D506" s="36"/>
      <c r="E506" s="36"/>
      <c r="F506" s="37"/>
      <c r="G506" s="36"/>
      <c r="H506" s="36"/>
      <c r="I506" s="171"/>
      <c r="J506" s="38"/>
      <c r="K506" s="28"/>
      <c r="L506" s="28"/>
    </row>
    <row r="507" spans="1:12" x14ac:dyDescent="0.25">
      <c r="A507" s="35"/>
      <c r="B507" s="36"/>
      <c r="C507" s="37"/>
      <c r="D507" s="36"/>
      <c r="E507" s="36"/>
      <c r="F507" s="37"/>
      <c r="G507" s="36"/>
      <c r="H507" s="36"/>
      <c r="I507" s="171"/>
      <c r="J507" s="38"/>
      <c r="K507" s="28"/>
      <c r="L507" s="28"/>
    </row>
    <row r="508" spans="1:12" x14ac:dyDescent="0.25">
      <c r="A508" s="35"/>
      <c r="B508" s="36"/>
      <c r="C508" s="37"/>
      <c r="D508" s="36"/>
      <c r="E508" s="36"/>
      <c r="F508" s="37"/>
      <c r="G508" s="36"/>
      <c r="H508" s="36"/>
      <c r="I508" s="171"/>
      <c r="J508" s="38"/>
      <c r="K508" s="28"/>
      <c r="L508" s="28"/>
    </row>
    <row r="509" spans="1:12" x14ac:dyDescent="0.25">
      <c r="A509" s="35"/>
      <c r="B509" s="36"/>
      <c r="C509" s="37"/>
      <c r="D509" s="36"/>
      <c r="E509" s="36"/>
      <c r="F509" s="37"/>
      <c r="G509" s="36"/>
      <c r="H509" s="36"/>
      <c r="I509" s="171"/>
      <c r="J509" s="38"/>
      <c r="K509" s="28"/>
      <c r="L509" s="28"/>
    </row>
    <row r="510" spans="1:12" x14ac:dyDescent="0.25">
      <c r="A510" s="35"/>
      <c r="B510" s="36"/>
      <c r="C510" s="37"/>
      <c r="D510" s="36"/>
      <c r="E510" s="36"/>
      <c r="F510" s="37"/>
      <c r="G510" s="36"/>
      <c r="H510" s="36"/>
      <c r="I510" s="171"/>
      <c r="J510" s="38"/>
      <c r="K510" s="28"/>
      <c r="L510" s="28"/>
    </row>
    <row r="511" spans="1:12" x14ac:dyDescent="0.25">
      <c r="A511" s="35"/>
      <c r="B511" s="36"/>
      <c r="C511" s="37"/>
      <c r="D511" s="36"/>
      <c r="E511" s="36"/>
      <c r="F511" s="37"/>
      <c r="G511" s="36"/>
      <c r="H511" s="36"/>
      <c r="I511" s="171"/>
      <c r="J511" s="38"/>
      <c r="K511" s="28"/>
      <c r="L511" s="28"/>
    </row>
    <row r="512" spans="1:12" x14ac:dyDescent="0.25">
      <c r="A512" s="35"/>
      <c r="B512" s="36"/>
      <c r="C512" s="37"/>
      <c r="D512" s="36"/>
      <c r="E512" s="36"/>
      <c r="F512" s="37"/>
      <c r="G512" s="36"/>
      <c r="H512" s="36"/>
      <c r="I512" s="171"/>
      <c r="J512" s="38"/>
      <c r="K512" s="28"/>
      <c r="L512" s="28"/>
    </row>
    <row r="513" spans="1:12" x14ac:dyDescent="0.25">
      <c r="A513" s="35"/>
      <c r="B513" s="36"/>
      <c r="C513" s="37"/>
      <c r="D513" s="36"/>
      <c r="E513" s="36"/>
      <c r="F513" s="37"/>
      <c r="G513" s="36"/>
      <c r="H513" s="36"/>
      <c r="I513" s="171"/>
      <c r="J513" s="38"/>
      <c r="K513" s="28"/>
      <c r="L513" s="28"/>
    </row>
    <row r="514" spans="1:12" x14ac:dyDescent="0.25">
      <c r="A514" s="35"/>
      <c r="B514" s="36"/>
      <c r="C514" s="37"/>
      <c r="D514" s="36"/>
      <c r="E514" s="36"/>
      <c r="F514" s="37"/>
      <c r="G514" s="36"/>
      <c r="H514" s="36"/>
      <c r="I514" s="171"/>
      <c r="J514" s="38"/>
      <c r="K514" s="28"/>
      <c r="L514" s="28"/>
    </row>
    <row r="515" spans="1:12" x14ac:dyDescent="0.25">
      <c r="A515" s="35"/>
      <c r="B515" s="36"/>
      <c r="C515" s="37"/>
      <c r="D515" s="36"/>
      <c r="E515" s="36"/>
      <c r="F515" s="37"/>
      <c r="G515" s="36"/>
      <c r="H515" s="36"/>
      <c r="I515" s="171"/>
      <c r="J515" s="38"/>
      <c r="K515" s="28"/>
      <c r="L515" s="28"/>
    </row>
    <row r="516" spans="1:12" x14ac:dyDescent="0.25">
      <c r="A516" s="35"/>
      <c r="B516" s="36"/>
      <c r="C516" s="37"/>
      <c r="D516" s="36"/>
      <c r="E516" s="36"/>
      <c r="F516" s="37"/>
      <c r="G516" s="36"/>
      <c r="H516" s="36"/>
      <c r="I516" s="171"/>
      <c r="J516" s="38"/>
      <c r="K516" s="28"/>
      <c r="L516" s="28"/>
    </row>
    <row r="517" spans="1:12" x14ac:dyDescent="0.25">
      <c r="A517" s="35"/>
      <c r="B517" s="36"/>
      <c r="C517" s="37"/>
      <c r="D517" s="36"/>
      <c r="E517" s="36"/>
      <c r="F517" s="37"/>
      <c r="G517" s="36"/>
      <c r="H517" s="36"/>
      <c r="I517" s="171"/>
      <c r="J517" s="38"/>
      <c r="K517" s="28"/>
      <c r="L517" s="28"/>
    </row>
    <row r="518" spans="1:12" x14ac:dyDescent="0.25">
      <c r="A518" s="35"/>
      <c r="B518" s="36"/>
      <c r="C518" s="37"/>
      <c r="D518" s="36"/>
      <c r="E518" s="36"/>
      <c r="F518" s="37"/>
      <c r="G518" s="36"/>
      <c r="H518" s="36"/>
      <c r="I518" s="171"/>
      <c r="J518" s="38"/>
      <c r="K518" s="28"/>
      <c r="L518" s="28"/>
    </row>
    <row r="519" spans="1:12" x14ac:dyDescent="0.25">
      <c r="A519" s="35"/>
      <c r="B519" s="36"/>
      <c r="C519" s="37"/>
      <c r="D519" s="36"/>
      <c r="E519" s="36"/>
      <c r="F519" s="37"/>
      <c r="G519" s="36"/>
      <c r="H519" s="36"/>
      <c r="I519" s="171"/>
      <c r="J519" s="38"/>
      <c r="K519" s="28"/>
      <c r="L519" s="28"/>
    </row>
    <row r="520" spans="1:12" x14ac:dyDescent="0.25">
      <c r="A520" s="35"/>
      <c r="B520" s="36"/>
      <c r="C520" s="37"/>
      <c r="D520" s="36"/>
      <c r="E520" s="36"/>
      <c r="F520" s="37"/>
      <c r="G520" s="36"/>
      <c r="H520" s="36"/>
      <c r="I520" s="171"/>
      <c r="J520" s="38"/>
      <c r="K520" s="28"/>
      <c r="L520" s="28"/>
    </row>
    <row r="521" spans="1:12" x14ac:dyDescent="0.25">
      <c r="A521" s="35"/>
      <c r="B521" s="36"/>
      <c r="C521" s="37"/>
      <c r="D521" s="36"/>
      <c r="E521" s="36"/>
      <c r="F521" s="37"/>
      <c r="G521" s="36"/>
      <c r="H521" s="36"/>
      <c r="I521" s="171"/>
      <c r="J521" s="38"/>
      <c r="K521" s="28"/>
      <c r="L521" s="28"/>
    </row>
    <row r="522" spans="1:12" x14ac:dyDescent="0.25">
      <c r="A522" s="35"/>
      <c r="B522" s="36"/>
      <c r="C522" s="37"/>
      <c r="D522" s="36"/>
      <c r="E522" s="36"/>
      <c r="F522" s="37"/>
      <c r="G522" s="36"/>
      <c r="H522" s="36"/>
      <c r="I522" s="171"/>
      <c r="J522" s="38"/>
      <c r="K522" s="28"/>
      <c r="L522" s="28"/>
    </row>
    <row r="523" spans="1:12" x14ac:dyDescent="0.25">
      <c r="A523" s="35"/>
      <c r="B523" s="36"/>
      <c r="C523" s="37"/>
      <c r="D523" s="36"/>
      <c r="E523" s="36"/>
      <c r="F523" s="37"/>
      <c r="G523" s="36"/>
      <c r="H523" s="36"/>
      <c r="I523" s="171"/>
      <c r="J523" s="38"/>
      <c r="K523" s="28"/>
      <c r="L523" s="28"/>
    </row>
    <row r="524" spans="1:12" x14ac:dyDescent="0.25">
      <c r="A524" s="35"/>
      <c r="B524" s="36"/>
      <c r="C524" s="37"/>
      <c r="D524" s="36"/>
      <c r="E524" s="36"/>
      <c r="F524" s="37"/>
      <c r="G524" s="36"/>
      <c r="H524" s="36"/>
      <c r="I524" s="171"/>
      <c r="J524" s="38"/>
      <c r="K524" s="28"/>
      <c r="L524" s="28"/>
    </row>
    <row r="525" spans="1:12" x14ac:dyDescent="0.25">
      <c r="A525" s="35"/>
      <c r="B525" s="36"/>
      <c r="C525" s="37"/>
      <c r="D525" s="36"/>
      <c r="E525" s="36"/>
      <c r="F525" s="37"/>
      <c r="G525" s="36"/>
      <c r="H525" s="36"/>
      <c r="I525" s="171"/>
      <c r="J525" s="38"/>
      <c r="K525" s="28"/>
      <c r="L525" s="28"/>
    </row>
    <row r="526" spans="1:12" x14ac:dyDescent="0.25">
      <c r="A526" s="35"/>
      <c r="B526" s="36"/>
      <c r="C526" s="37"/>
      <c r="D526" s="36"/>
      <c r="E526" s="36"/>
      <c r="F526" s="37"/>
      <c r="G526" s="36"/>
      <c r="H526" s="36"/>
      <c r="I526" s="171"/>
      <c r="J526" s="38"/>
      <c r="K526" s="28"/>
      <c r="L526" s="28"/>
    </row>
    <row r="527" spans="1:12" x14ac:dyDescent="0.25">
      <c r="A527" s="35"/>
      <c r="B527" s="36"/>
      <c r="C527" s="37"/>
      <c r="D527" s="36"/>
      <c r="E527" s="36"/>
      <c r="F527" s="37"/>
      <c r="G527" s="36"/>
      <c r="H527" s="36"/>
      <c r="I527" s="171"/>
      <c r="J527" s="38"/>
      <c r="K527" s="28"/>
      <c r="L527" s="28"/>
    </row>
    <row r="528" spans="1:12" x14ac:dyDescent="0.25">
      <c r="A528" s="35"/>
      <c r="B528" s="36"/>
      <c r="C528" s="37"/>
      <c r="D528" s="36"/>
      <c r="E528" s="36"/>
      <c r="F528" s="37"/>
      <c r="G528" s="36"/>
      <c r="H528" s="36"/>
      <c r="I528" s="171"/>
      <c r="J528" s="38"/>
      <c r="K528" s="28"/>
      <c r="L528" s="28"/>
    </row>
    <row r="529" spans="1:12" x14ac:dyDescent="0.25">
      <c r="A529" s="35"/>
      <c r="B529" s="36"/>
      <c r="C529" s="37"/>
      <c r="D529" s="36"/>
      <c r="E529" s="36"/>
      <c r="F529" s="37"/>
      <c r="G529" s="36"/>
      <c r="H529" s="36"/>
      <c r="I529" s="171"/>
      <c r="J529" s="38"/>
      <c r="K529" s="28"/>
      <c r="L529" s="28"/>
    </row>
    <row r="530" spans="1:12" x14ac:dyDescent="0.25">
      <c r="A530" s="35"/>
      <c r="B530" s="36"/>
      <c r="C530" s="37"/>
      <c r="D530" s="36"/>
      <c r="E530" s="36"/>
      <c r="F530" s="37"/>
      <c r="G530" s="36"/>
      <c r="H530" s="36"/>
      <c r="I530" s="171"/>
      <c r="J530" s="38"/>
      <c r="K530" s="28"/>
      <c r="L530" s="28"/>
    </row>
    <row r="531" spans="1:12" x14ac:dyDescent="0.25">
      <c r="A531" s="35"/>
      <c r="B531" s="36"/>
      <c r="C531" s="37"/>
      <c r="D531" s="36"/>
      <c r="E531" s="36"/>
      <c r="F531" s="37"/>
      <c r="G531" s="36"/>
      <c r="H531" s="36"/>
      <c r="I531" s="171"/>
      <c r="J531" s="38"/>
      <c r="K531" s="28"/>
      <c r="L531" s="28"/>
    </row>
    <row r="532" spans="1:12" x14ac:dyDescent="0.25">
      <c r="A532" s="35"/>
      <c r="B532" s="36"/>
      <c r="C532" s="37"/>
      <c r="D532" s="36"/>
      <c r="E532" s="36"/>
      <c r="F532" s="37"/>
      <c r="G532" s="36"/>
      <c r="H532" s="36"/>
      <c r="I532" s="171"/>
      <c r="J532" s="38"/>
      <c r="K532" s="28"/>
      <c r="L532" s="28"/>
    </row>
    <row r="533" spans="1:12" x14ac:dyDescent="0.25">
      <c r="A533" s="35"/>
      <c r="B533" s="36"/>
      <c r="C533" s="37"/>
      <c r="D533" s="36"/>
      <c r="E533" s="36"/>
      <c r="F533" s="37"/>
      <c r="G533" s="36"/>
      <c r="H533" s="36"/>
      <c r="I533" s="171"/>
      <c r="J533" s="38"/>
      <c r="K533" s="28"/>
      <c r="L533" s="28"/>
    </row>
    <row r="534" spans="1:12" x14ac:dyDescent="0.25">
      <c r="A534" s="35"/>
      <c r="B534" s="36"/>
      <c r="C534" s="37"/>
      <c r="D534" s="36"/>
      <c r="E534" s="36"/>
      <c r="F534" s="37"/>
      <c r="G534" s="36"/>
      <c r="H534" s="36"/>
      <c r="I534" s="171"/>
      <c r="J534" s="38"/>
      <c r="K534" s="28"/>
      <c r="L534" s="28"/>
    </row>
    <row r="535" spans="1:12" x14ac:dyDescent="0.25">
      <c r="A535" s="35"/>
      <c r="B535" s="36"/>
      <c r="C535" s="37"/>
      <c r="D535" s="36"/>
      <c r="E535" s="36"/>
      <c r="F535" s="37"/>
      <c r="G535" s="36"/>
      <c r="H535" s="36"/>
      <c r="I535" s="171"/>
      <c r="J535" s="38"/>
      <c r="K535" s="28"/>
      <c r="L535" s="28"/>
    </row>
    <row r="536" spans="1:12" x14ac:dyDescent="0.25">
      <c r="A536" s="35"/>
      <c r="B536" s="36"/>
      <c r="C536" s="37"/>
      <c r="D536" s="36"/>
      <c r="E536" s="36"/>
      <c r="F536" s="37"/>
      <c r="G536" s="36"/>
      <c r="H536" s="36"/>
      <c r="I536" s="171"/>
      <c r="J536" s="38"/>
      <c r="K536" s="28"/>
      <c r="L536" s="28"/>
    </row>
    <row r="537" spans="1:12" x14ac:dyDescent="0.25">
      <c r="A537" s="35"/>
      <c r="B537" s="36"/>
      <c r="C537" s="37"/>
      <c r="D537" s="36"/>
      <c r="E537" s="36"/>
      <c r="F537" s="37"/>
      <c r="G537" s="36"/>
      <c r="H537" s="36"/>
      <c r="I537" s="171"/>
      <c r="J537" s="38"/>
      <c r="K537" s="28"/>
      <c r="L537" s="28"/>
    </row>
    <row r="538" spans="1:12" x14ac:dyDescent="0.25">
      <c r="A538" s="35"/>
      <c r="B538" s="36"/>
      <c r="C538" s="37"/>
      <c r="D538" s="36"/>
      <c r="E538" s="36"/>
      <c r="F538" s="37"/>
      <c r="G538" s="36"/>
      <c r="H538" s="36"/>
      <c r="I538" s="171"/>
      <c r="J538" s="38"/>
      <c r="K538" s="28"/>
      <c r="L538" s="28"/>
    </row>
    <row r="539" spans="1:12" x14ac:dyDescent="0.25">
      <c r="A539" s="35"/>
      <c r="B539" s="36"/>
      <c r="C539" s="37"/>
      <c r="D539" s="36"/>
      <c r="E539" s="36"/>
      <c r="F539" s="37"/>
      <c r="G539" s="36"/>
      <c r="H539" s="36"/>
      <c r="I539" s="171"/>
      <c r="J539" s="38"/>
      <c r="K539" s="28"/>
      <c r="L539" s="28"/>
    </row>
    <row r="540" spans="1:12" x14ac:dyDescent="0.25">
      <c r="A540" s="35"/>
      <c r="B540" s="36"/>
      <c r="C540" s="37"/>
      <c r="D540" s="36"/>
      <c r="E540" s="36"/>
      <c r="F540" s="37"/>
      <c r="G540" s="36"/>
      <c r="H540" s="36"/>
      <c r="I540" s="171"/>
      <c r="J540" s="38"/>
      <c r="K540" s="28"/>
      <c r="L540" s="28"/>
    </row>
    <row r="541" spans="1:12" x14ac:dyDescent="0.25">
      <c r="A541" s="35"/>
      <c r="B541" s="36"/>
      <c r="C541" s="37"/>
      <c r="D541" s="36"/>
      <c r="E541" s="36"/>
      <c r="F541" s="37"/>
      <c r="G541" s="36"/>
      <c r="H541" s="36"/>
      <c r="I541" s="171"/>
      <c r="J541" s="38"/>
      <c r="K541" s="28"/>
      <c r="L541" s="28"/>
    </row>
    <row r="542" spans="1:12" x14ac:dyDescent="0.25">
      <c r="A542" s="35"/>
      <c r="B542" s="36"/>
      <c r="C542" s="37"/>
      <c r="D542" s="36"/>
      <c r="E542" s="36"/>
      <c r="F542" s="37"/>
      <c r="G542" s="36"/>
      <c r="H542" s="36"/>
      <c r="I542" s="171"/>
      <c r="J542" s="38"/>
      <c r="K542" s="28"/>
      <c r="L542" s="28"/>
    </row>
    <row r="543" spans="1:12" x14ac:dyDescent="0.25">
      <c r="A543" s="35"/>
      <c r="B543" s="36"/>
      <c r="C543" s="37"/>
      <c r="D543" s="36"/>
      <c r="E543" s="36"/>
      <c r="F543" s="37"/>
      <c r="G543" s="36"/>
      <c r="H543" s="36"/>
      <c r="I543" s="171"/>
      <c r="J543" s="38"/>
      <c r="K543" s="28"/>
      <c r="L543" s="28"/>
    </row>
    <row r="544" spans="1:12" x14ac:dyDescent="0.25">
      <c r="A544" s="35"/>
      <c r="B544" s="36"/>
      <c r="C544" s="37"/>
      <c r="D544" s="36"/>
      <c r="E544" s="36"/>
      <c r="F544" s="37"/>
      <c r="G544" s="36"/>
      <c r="H544" s="36"/>
      <c r="I544" s="171"/>
      <c r="J544" s="38"/>
      <c r="K544" s="28"/>
      <c r="L544" s="28"/>
    </row>
    <row r="545" spans="1:12" x14ac:dyDescent="0.25">
      <c r="A545" s="35"/>
      <c r="B545" s="36"/>
      <c r="C545" s="37"/>
      <c r="D545" s="36"/>
      <c r="E545" s="36"/>
      <c r="F545" s="37"/>
      <c r="G545" s="36"/>
      <c r="H545" s="36"/>
      <c r="I545" s="171"/>
      <c r="J545" s="38"/>
      <c r="K545" s="28"/>
      <c r="L545" s="28"/>
    </row>
    <row r="546" spans="1:12" x14ac:dyDescent="0.25">
      <c r="A546" s="35"/>
      <c r="B546" s="36"/>
      <c r="C546" s="37"/>
      <c r="D546" s="36"/>
      <c r="E546" s="36"/>
      <c r="F546" s="37"/>
      <c r="G546" s="36"/>
      <c r="H546" s="36"/>
      <c r="I546" s="171"/>
      <c r="J546" s="38"/>
      <c r="K546" s="28"/>
      <c r="L546" s="28"/>
    </row>
    <row r="547" spans="1:12" x14ac:dyDescent="0.25">
      <c r="A547" s="35"/>
      <c r="B547" s="36"/>
      <c r="C547" s="37"/>
      <c r="D547" s="36"/>
      <c r="E547" s="36"/>
      <c r="F547" s="37"/>
      <c r="G547" s="36"/>
      <c r="H547" s="36"/>
      <c r="I547" s="171"/>
      <c r="J547" s="38"/>
      <c r="K547" s="28"/>
      <c r="L547" s="28"/>
    </row>
    <row r="548" spans="1:12" x14ac:dyDescent="0.25">
      <c r="A548" s="35"/>
      <c r="B548" s="36"/>
      <c r="C548" s="37"/>
      <c r="D548" s="36"/>
      <c r="E548" s="36"/>
      <c r="F548" s="37"/>
      <c r="G548" s="36"/>
      <c r="H548" s="36"/>
      <c r="I548" s="171"/>
      <c r="J548" s="38"/>
      <c r="K548" s="28"/>
      <c r="L548" s="28"/>
    </row>
    <row r="549" spans="1:12" x14ac:dyDescent="0.25">
      <c r="A549" s="35"/>
      <c r="B549" s="36"/>
      <c r="C549" s="37"/>
      <c r="D549" s="36"/>
      <c r="E549" s="36"/>
      <c r="F549" s="37"/>
      <c r="G549" s="36"/>
      <c r="H549" s="36"/>
      <c r="I549" s="171"/>
      <c r="J549" s="38"/>
      <c r="K549" s="28"/>
      <c r="L549" s="28"/>
    </row>
    <row r="550" spans="1:12" x14ac:dyDescent="0.25">
      <c r="A550" s="35"/>
      <c r="B550" s="36"/>
      <c r="C550" s="37"/>
      <c r="D550" s="36"/>
      <c r="E550" s="36"/>
      <c r="F550" s="37"/>
      <c r="G550" s="36"/>
      <c r="H550" s="36"/>
      <c r="I550" s="171"/>
      <c r="J550" s="38"/>
      <c r="K550" s="28"/>
      <c r="L550" s="28"/>
    </row>
    <row r="551" spans="1:12" x14ac:dyDescent="0.25">
      <c r="A551" s="35"/>
      <c r="B551" s="36"/>
      <c r="C551" s="37"/>
      <c r="D551" s="36"/>
      <c r="E551" s="36"/>
      <c r="F551" s="37"/>
      <c r="G551" s="36"/>
      <c r="H551" s="36"/>
      <c r="I551" s="171"/>
      <c r="J551" s="38"/>
      <c r="K551" s="28"/>
      <c r="L551" s="28"/>
    </row>
    <row r="552" spans="1:12" x14ac:dyDescent="0.25">
      <c r="A552" s="35"/>
      <c r="B552" s="36"/>
      <c r="C552" s="37"/>
      <c r="D552" s="36"/>
      <c r="E552" s="36"/>
      <c r="F552" s="37"/>
      <c r="G552" s="36"/>
      <c r="H552" s="36"/>
      <c r="I552" s="171"/>
      <c r="J552" s="38"/>
      <c r="K552" s="28"/>
      <c r="L552" s="28"/>
    </row>
    <row r="553" spans="1:12" x14ac:dyDescent="0.25">
      <c r="A553" s="35"/>
      <c r="B553" s="36"/>
      <c r="C553" s="37"/>
      <c r="D553" s="36"/>
      <c r="E553" s="36"/>
      <c r="F553" s="37"/>
      <c r="G553" s="36"/>
      <c r="H553" s="36"/>
      <c r="I553" s="171"/>
      <c r="J553" s="38"/>
      <c r="K553" s="28"/>
      <c r="L553" s="28"/>
    </row>
    <row r="554" spans="1:12" x14ac:dyDescent="0.25">
      <c r="A554" s="35"/>
      <c r="B554" s="36"/>
      <c r="C554" s="37"/>
      <c r="D554" s="36"/>
      <c r="E554" s="36"/>
      <c r="F554" s="37"/>
      <c r="G554" s="36"/>
      <c r="H554" s="36"/>
      <c r="I554" s="171"/>
      <c r="J554" s="38"/>
      <c r="K554" s="28"/>
      <c r="L554" s="28"/>
    </row>
    <row r="555" spans="1:12" x14ac:dyDescent="0.25">
      <c r="A555" s="35"/>
      <c r="B555" s="36"/>
      <c r="C555" s="37"/>
      <c r="D555" s="36"/>
      <c r="E555" s="36"/>
      <c r="F555" s="37"/>
      <c r="G555" s="36"/>
      <c r="H555" s="36"/>
      <c r="I555" s="171"/>
      <c r="J555" s="38"/>
      <c r="K555" s="28"/>
      <c r="L555" s="28"/>
    </row>
    <row r="556" spans="1:12" x14ac:dyDescent="0.25">
      <c r="A556" s="35"/>
      <c r="B556" s="36"/>
      <c r="C556" s="37"/>
      <c r="D556" s="36"/>
      <c r="E556" s="36"/>
      <c r="F556" s="37"/>
      <c r="G556" s="36"/>
      <c r="H556" s="36"/>
      <c r="I556" s="171"/>
      <c r="J556" s="38"/>
      <c r="K556" s="28"/>
      <c r="L556" s="28"/>
    </row>
    <row r="557" spans="1:12" x14ac:dyDescent="0.25">
      <c r="A557" s="35"/>
      <c r="B557" s="36"/>
      <c r="C557" s="37"/>
      <c r="D557" s="36"/>
      <c r="E557" s="36"/>
      <c r="F557" s="37"/>
      <c r="G557" s="36"/>
      <c r="H557" s="36"/>
      <c r="I557" s="171"/>
      <c r="J557" s="38"/>
      <c r="K557" s="28"/>
      <c r="L557" s="28"/>
    </row>
    <row r="558" spans="1:12" x14ac:dyDescent="0.25">
      <c r="A558" s="35"/>
      <c r="B558" s="36"/>
      <c r="C558" s="37"/>
      <c r="D558" s="36"/>
      <c r="E558" s="36"/>
      <c r="F558" s="37"/>
      <c r="G558" s="36"/>
      <c r="H558" s="36"/>
      <c r="I558" s="171"/>
      <c r="J558" s="38"/>
      <c r="K558" s="28"/>
      <c r="L558" s="28"/>
    </row>
    <row r="559" spans="1:12" x14ac:dyDescent="0.25">
      <c r="A559" s="35"/>
      <c r="B559" s="36"/>
      <c r="C559" s="37"/>
      <c r="D559" s="36"/>
      <c r="E559" s="36"/>
      <c r="F559" s="37"/>
      <c r="G559" s="36"/>
      <c r="H559" s="36"/>
      <c r="I559" s="171"/>
      <c r="J559" s="38"/>
      <c r="K559" s="28"/>
      <c r="L559" s="28"/>
    </row>
    <row r="560" spans="1:12" x14ac:dyDescent="0.25">
      <c r="A560" s="35"/>
      <c r="B560" s="36"/>
      <c r="C560" s="37"/>
      <c r="D560" s="36"/>
      <c r="E560" s="36"/>
      <c r="F560" s="37"/>
      <c r="G560" s="36"/>
      <c r="H560" s="36"/>
      <c r="I560" s="171"/>
      <c r="J560" s="38"/>
      <c r="K560" s="28"/>
      <c r="L560" s="28"/>
    </row>
    <row r="561" spans="1:12" x14ac:dyDescent="0.25">
      <c r="A561" s="35"/>
      <c r="B561" s="36"/>
      <c r="C561" s="37"/>
      <c r="D561" s="36"/>
      <c r="E561" s="36"/>
      <c r="F561" s="37"/>
      <c r="G561" s="36"/>
      <c r="H561" s="36"/>
      <c r="I561" s="171"/>
      <c r="J561" s="38"/>
      <c r="K561" s="28"/>
      <c r="L561" s="28"/>
    </row>
    <row r="562" spans="1:12" x14ac:dyDescent="0.25">
      <c r="A562" s="35"/>
      <c r="B562" s="36"/>
      <c r="C562" s="37"/>
      <c r="D562" s="36"/>
      <c r="E562" s="36"/>
      <c r="F562" s="37"/>
      <c r="G562" s="36"/>
      <c r="H562" s="36"/>
      <c r="I562" s="171"/>
      <c r="J562" s="38"/>
      <c r="K562" s="28"/>
      <c r="L562" s="28"/>
    </row>
    <row r="563" spans="1:12" x14ac:dyDescent="0.25">
      <c r="A563" s="35"/>
      <c r="B563" s="36"/>
      <c r="C563" s="37"/>
      <c r="D563" s="36"/>
      <c r="E563" s="36"/>
      <c r="F563" s="37"/>
      <c r="G563" s="36"/>
      <c r="H563" s="36"/>
      <c r="I563" s="171"/>
      <c r="J563" s="38"/>
      <c r="K563" s="28"/>
      <c r="L563" s="28"/>
    </row>
    <row r="564" spans="1:12" x14ac:dyDescent="0.25">
      <c r="A564" s="35"/>
      <c r="B564" s="36"/>
      <c r="C564" s="37"/>
      <c r="D564" s="36"/>
      <c r="E564" s="36"/>
      <c r="F564" s="37"/>
      <c r="G564" s="36"/>
      <c r="H564" s="36"/>
      <c r="I564" s="171"/>
      <c r="J564" s="38"/>
      <c r="K564" s="28"/>
      <c r="L564" s="28"/>
    </row>
    <row r="565" spans="1:12" x14ac:dyDescent="0.25">
      <c r="A565" s="35"/>
      <c r="B565" s="36"/>
      <c r="C565" s="37"/>
      <c r="D565" s="36"/>
      <c r="E565" s="36"/>
      <c r="F565" s="37"/>
      <c r="G565" s="36"/>
      <c r="H565" s="36"/>
      <c r="I565" s="171"/>
      <c r="J565" s="38"/>
      <c r="K565" s="28"/>
      <c r="L565" s="28"/>
    </row>
    <row r="566" spans="1:12" x14ac:dyDescent="0.25">
      <c r="A566" s="35"/>
      <c r="B566" s="36"/>
      <c r="C566" s="37"/>
      <c r="D566" s="36"/>
      <c r="E566" s="36"/>
      <c r="F566" s="37"/>
      <c r="G566" s="36"/>
      <c r="H566" s="36"/>
      <c r="I566" s="171"/>
      <c r="J566" s="38"/>
      <c r="K566" s="28"/>
      <c r="L566" s="28"/>
    </row>
    <row r="567" spans="1:12" x14ac:dyDescent="0.25">
      <c r="A567" s="35"/>
      <c r="B567" s="36"/>
      <c r="C567" s="37"/>
      <c r="D567" s="36"/>
      <c r="E567" s="36"/>
      <c r="F567" s="37"/>
      <c r="G567" s="36"/>
      <c r="H567" s="36"/>
      <c r="I567" s="171"/>
      <c r="J567" s="38"/>
      <c r="K567" s="28"/>
      <c r="L567" s="28"/>
    </row>
    <row r="568" spans="1:12" x14ac:dyDescent="0.25">
      <c r="A568" s="35"/>
      <c r="B568" s="36"/>
      <c r="C568" s="37"/>
      <c r="D568" s="36"/>
      <c r="E568" s="36"/>
      <c r="F568" s="37"/>
      <c r="G568" s="36"/>
      <c r="H568" s="36"/>
      <c r="I568" s="171"/>
      <c r="J568" s="38"/>
      <c r="K568" s="28"/>
      <c r="L568" s="28"/>
    </row>
    <row r="569" spans="1:12" x14ac:dyDescent="0.25">
      <c r="A569" s="35"/>
      <c r="B569" s="36"/>
      <c r="C569" s="37"/>
      <c r="D569" s="36"/>
      <c r="E569" s="36"/>
      <c r="F569" s="37"/>
      <c r="G569" s="36"/>
      <c r="H569" s="36"/>
      <c r="I569" s="171"/>
      <c r="J569" s="38"/>
      <c r="K569" s="28"/>
      <c r="L569" s="28"/>
    </row>
    <row r="570" spans="1:12" x14ac:dyDescent="0.25">
      <c r="A570" s="35"/>
      <c r="B570" s="36"/>
      <c r="C570" s="37"/>
      <c r="D570" s="36"/>
      <c r="E570" s="36"/>
      <c r="F570" s="37"/>
      <c r="G570" s="36"/>
      <c r="H570" s="36"/>
      <c r="I570" s="171"/>
      <c r="J570" s="38"/>
      <c r="K570" s="28"/>
      <c r="L570" s="28"/>
    </row>
    <row r="571" spans="1:12" x14ac:dyDescent="0.25">
      <c r="A571" s="35"/>
      <c r="B571" s="36"/>
      <c r="C571" s="37"/>
      <c r="D571" s="36"/>
      <c r="E571" s="36"/>
      <c r="F571" s="37"/>
      <c r="G571" s="36"/>
      <c r="H571" s="36"/>
      <c r="I571" s="171"/>
      <c r="J571" s="38"/>
      <c r="K571" s="28"/>
      <c r="L571" s="28"/>
    </row>
    <row r="572" spans="1:12" x14ac:dyDescent="0.25">
      <c r="A572" s="35"/>
      <c r="B572" s="36"/>
      <c r="C572" s="37"/>
      <c r="D572" s="36"/>
      <c r="E572" s="36"/>
      <c r="F572" s="37"/>
      <c r="G572" s="36"/>
      <c r="H572" s="36"/>
      <c r="I572" s="171"/>
      <c r="J572" s="38"/>
      <c r="K572" s="28"/>
      <c r="L572" s="28"/>
    </row>
    <row r="573" spans="1:12" x14ac:dyDescent="0.25">
      <c r="A573" s="35"/>
      <c r="B573" s="36"/>
      <c r="C573" s="37"/>
      <c r="D573" s="36"/>
      <c r="E573" s="36"/>
      <c r="F573" s="37"/>
      <c r="G573" s="36"/>
      <c r="H573" s="36"/>
      <c r="I573" s="171"/>
      <c r="J573" s="38"/>
      <c r="K573" s="28"/>
      <c r="L573" s="28"/>
    </row>
    <row r="574" spans="1:12" x14ac:dyDescent="0.25">
      <c r="A574" s="35"/>
      <c r="B574" s="36"/>
      <c r="C574" s="37"/>
      <c r="D574" s="36"/>
      <c r="E574" s="36"/>
      <c r="F574" s="37"/>
      <c r="G574" s="36"/>
      <c r="H574" s="36"/>
      <c r="I574" s="171"/>
      <c r="J574" s="38"/>
      <c r="K574" s="28"/>
      <c r="L574" s="28"/>
    </row>
    <row r="575" spans="1:12" x14ac:dyDescent="0.25">
      <c r="A575" s="35"/>
      <c r="B575" s="36"/>
      <c r="C575" s="37"/>
      <c r="D575" s="36"/>
      <c r="E575" s="36"/>
      <c r="F575" s="37"/>
      <c r="G575" s="36"/>
      <c r="H575" s="36"/>
      <c r="I575" s="171"/>
      <c r="J575" s="38"/>
      <c r="K575" s="28"/>
      <c r="L575" s="28"/>
    </row>
    <row r="576" spans="1:12" x14ac:dyDescent="0.25">
      <c r="A576" s="35"/>
      <c r="B576" s="36"/>
      <c r="C576" s="37"/>
      <c r="D576" s="36"/>
      <c r="E576" s="36"/>
      <c r="F576" s="37"/>
      <c r="G576" s="36"/>
      <c r="H576" s="36"/>
      <c r="I576" s="171"/>
      <c r="J576" s="38"/>
      <c r="K576" s="28"/>
      <c r="L576" s="28"/>
    </row>
    <row r="577" spans="1:12" x14ac:dyDescent="0.25">
      <c r="A577" s="35"/>
      <c r="B577" s="36"/>
      <c r="C577" s="37"/>
      <c r="D577" s="36"/>
      <c r="E577" s="36"/>
      <c r="F577" s="37"/>
      <c r="G577" s="36"/>
      <c r="H577" s="36"/>
      <c r="I577" s="171"/>
      <c r="J577" s="38"/>
      <c r="K577" s="28"/>
      <c r="L577" s="28"/>
    </row>
    <row r="578" spans="1:12" x14ac:dyDescent="0.25">
      <c r="A578" s="35"/>
      <c r="B578" s="36"/>
      <c r="C578" s="37"/>
      <c r="D578" s="36"/>
      <c r="E578" s="36"/>
      <c r="F578" s="37"/>
      <c r="G578" s="36"/>
      <c r="H578" s="36"/>
      <c r="I578" s="171"/>
      <c r="J578" s="38"/>
      <c r="K578" s="28"/>
      <c r="L578" s="28"/>
    </row>
    <row r="579" spans="1:12" x14ac:dyDescent="0.25">
      <c r="A579" s="35"/>
      <c r="B579" s="36"/>
      <c r="C579" s="37"/>
      <c r="D579" s="36"/>
      <c r="E579" s="36"/>
      <c r="F579" s="37"/>
      <c r="G579" s="36"/>
      <c r="H579" s="36"/>
      <c r="I579" s="171"/>
      <c r="J579" s="38"/>
      <c r="K579" s="28"/>
      <c r="L579" s="28"/>
    </row>
    <row r="580" spans="1:12" x14ac:dyDescent="0.25">
      <c r="A580" s="35"/>
      <c r="B580" s="36"/>
      <c r="C580" s="37"/>
      <c r="D580" s="36"/>
      <c r="E580" s="36"/>
      <c r="F580" s="37"/>
      <c r="G580" s="36"/>
      <c r="H580" s="36"/>
      <c r="I580" s="171"/>
      <c r="J580" s="38"/>
      <c r="K580" s="28"/>
      <c r="L580" s="28"/>
    </row>
    <row r="581" spans="1:12" x14ac:dyDescent="0.25">
      <c r="A581" s="35"/>
      <c r="B581" s="36"/>
      <c r="C581" s="37"/>
      <c r="D581" s="36"/>
      <c r="E581" s="36"/>
      <c r="F581" s="37"/>
      <c r="G581" s="36"/>
      <c r="H581" s="36"/>
      <c r="I581" s="171"/>
      <c r="J581" s="38"/>
      <c r="K581" s="28"/>
      <c r="L581" s="28"/>
    </row>
    <row r="582" spans="1:12" x14ac:dyDescent="0.25">
      <c r="A582" s="35"/>
      <c r="B582" s="36"/>
      <c r="C582" s="37"/>
      <c r="D582" s="36"/>
      <c r="E582" s="36"/>
      <c r="F582" s="37"/>
      <c r="G582" s="36"/>
      <c r="H582" s="36"/>
      <c r="I582" s="171"/>
      <c r="J582" s="38"/>
      <c r="K582" s="28"/>
      <c r="L582" s="28"/>
    </row>
    <row r="583" spans="1:12" x14ac:dyDescent="0.25">
      <c r="A583" s="35"/>
      <c r="B583" s="36"/>
      <c r="C583" s="37"/>
      <c r="D583" s="36"/>
      <c r="E583" s="36"/>
      <c r="F583" s="37"/>
      <c r="G583" s="36"/>
      <c r="H583" s="36"/>
      <c r="I583" s="171"/>
      <c r="J583" s="38"/>
      <c r="K583" s="28"/>
      <c r="L583" s="28"/>
    </row>
    <row r="584" spans="1:12" x14ac:dyDescent="0.25">
      <c r="A584" s="35"/>
      <c r="B584" s="36"/>
      <c r="C584" s="37"/>
      <c r="D584" s="36"/>
      <c r="E584" s="36"/>
      <c r="F584" s="37"/>
      <c r="G584" s="36"/>
      <c r="H584" s="36"/>
      <c r="I584" s="171"/>
      <c r="J584" s="38"/>
      <c r="K584" s="28"/>
      <c r="L584" s="28"/>
    </row>
    <row r="585" spans="1:12" x14ac:dyDescent="0.25">
      <c r="A585" s="35"/>
      <c r="B585" s="36"/>
      <c r="C585" s="37"/>
      <c r="D585" s="36"/>
      <c r="E585" s="36"/>
      <c r="F585" s="37"/>
      <c r="G585" s="36"/>
      <c r="H585" s="36"/>
      <c r="I585" s="171"/>
      <c r="J585" s="38"/>
      <c r="K585" s="28"/>
      <c r="L585" s="28"/>
    </row>
    <row r="586" spans="1:12" x14ac:dyDescent="0.25">
      <c r="A586" s="35"/>
      <c r="B586" s="36"/>
      <c r="C586" s="37"/>
      <c r="D586" s="36"/>
      <c r="E586" s="36"/>
      <c r="F586" s="37"/>
      <c r="G586" s="36"/>
      <c r="H586" s="36"/>
      <c r="I586" s="171"/>
      <c r="J586" s="38"/>
      <c r="K586" s="28"/>
      <c r="L586" s="28"/>
    </row>
    <row r="587" spans="1:12" x14ac:dyDescent="0.25">
      <c r="A587" s="35"/>
      <c r="B587" s="36"/>
      <c r="C587" s="37"/>
      <c r="D587" s="36"/>
      <c r="E587" s="36"/>
      <c r="F587" s="37"/>
      <c r="G587" s="36"/>
      <c r="H587" s="36"/>
      <c r="I587" s="171"/>
      <c r="J587" s="38"/>
      <c r="K587" s="28"/>
      <c r="L587" s="28"/>
    </row>
    <row r="588" spans="1:12" x14ac:dyDescent="0.25">
      <c r="A588" s="35"/>
      <c r="B588" s="36"/>
      <c r="C588" s="37"/>
      <c r="D588" s="36"/>
      <c r="E588" s="36"/>
      <c r="F588" s="37"/>
      <c r="G588" s="36"/>
      <c r="H588" s="36"/>
      <c r="I588" s="171"/>
      <c r="J588" s="38"/>
      <c r="K588" s="28"/>
      <c r="L588" s="28"/>
    </row>
    <row r="589" spans="1:12" x14ac:dyDescent="0.25">
      <c r="A589" s="35"/>
      <c r="B589" s="36"/>
      <c r="C589" s="37"/>
      <c r="D589" s="36"/>
      <c r="E589" s="36"/>
      <c r="F589" s="37"/>
      <c r="G589" s="36"/>
      <c r="H589" s="36"/>
      <c r="I589" s="171"/>
      <c r="J589" s="38"/>
      <c r="K589" s="28"/>
      <c r="L589" s="28"/>
    </row>
    <row r="590" spans="1:12" x14ac:dyDescent="0.25">
      <c r="A590" s="35"/>
      <c r="B590" s="36"/>
      <c r="C590" s="37"/>
      <c r="D590" s="36"/>
      <c r="E590" s="36"/>
      <c r="F590" s="37"/>
      <c r="G590" s="36"/>
      <c r="H590" s="36"/>
      <c r="I590" s="171"/>
      <c r="J590" s="38"/>
      <c r="K590" s="28"/>
      <c r="L590" s="28"/>
    </row>
    <row r="591" spans="1:12" x14ac:dyDescent="0.25">
      <c r="A591" s="35"/>
      <c r="B591" s="36"/>
      <c r="C591" s="37"/>
      <c r="D591" s="36"/>
      <c r="E591" s="36"/>
      <c r="F591" s="37"/>
      <c r="G591" s="36"/>
      <c r="H591" s="36"/>
      <c r="I591" s="171"/>
      <c r="J591" s="38"/>
      <c r="K591" s="28"/>
      <c r="L591" s="28"/>
    </row>
    <row r="592" spans="1:12" x14ac:dyDescent="0.25">
      <c r="A592" s="35"/>
      <c r="B592" s="36"/>
      <c r="C592" s="37"/>
      <c r="D592" s="36"/>
      <c r="E592" s="36"/>
      <c r="F592" s="37"/>
      <c r="G592" s="36"/>
      <c r="H592" s="36"/>
      <c r="I592" s="171"/>
      <c r="J592" s="38"/>
      <c r="K592" s="28"/>
      <c r="L592" s="28"/>
    </row>
    <row r="593" spans="1:12" x14ac:dyDescent="0.25">
      <c r="A593" s="35"/>
      <c r="B593" s="36"/>
      <c r="C593" s="37"/>
      <c r="D593" s="36"/>
      <c r="E593" s="36"/>
      <c r="F593" s="37"/>
      <c r="G593" s="36"/>
      <c r="H593" s="36"/>
      <c r="I593" s="171"/>
      <c r="J593" s="38"/>
      <c r="K593" s="28"/>
      <c r="L593" s="28"/>
    </row>
    <row r="594" spans="1:12" x14ac:dyDescent="0.25">
      <c r="A594" s="35"/>
      <c r="B594" s="36"/>
      <c r="C594" s="37"/>
      <c r="D594" s="36"/>
      <c r="E594" s="36"/>
      <c r="F594" s="37"/>
      <c r="G594" s="36"/>
      <c r="H594" s="36"/>
      <c r="I594" s="171"/>
      <c r="J594" s="38"/>
      <c r="K594" s="28"/>
      <c r="L594" s="28"/>
    </row>
    <row r="595" spans="1:12" x14ac:dyDescent="0.25">
      <c r="A595" s="35"/>
      <c r="B595" s="36"/>
      <c r="C595" s="37"/>
      <c r="D595" s="36"/>
      <c r="E595" s="36"/>
      <c r="F595" s="37"/>
      <c r="G595" s="36"/>
      <c r="H595" s="36"/>
      <c r="I595" s="171"/>
      <c r="J595" s="38"/>
      <c r="K595" s="28"/>
      <c r="L595" s="28"/>
    </row>
    <row r="596" spans="1:12" x14ac:dyDescent="0.25">
      <c r="A596" s="35"/>
      <c r="B596" s="36"/>
      <c r="C596" s="37"/>
      <c r="D596" s="36"/>
      <c r="E596" s="36"/>
      <c r="F596" s="37"/>
      <c r="G596" s="36"/>
      <c r="H596" s="36"/>
      <c r="I596" s="171"/>
      <c r="J596" s="38"/>
      <c r="K596" s="28"/>
      <c r="L596" s="28"/>
    </row>
    <row r="597" spans="1:12" x14ac:dyDescent="0.25">
      <c r="A597" s="35"/>
      <c r="B597" s="36"/>
      <c r="C597" s="37"/>
      <c r="D597" s="36"/>
      <c r="E597" s="36"/>
      <c r="F597" s="37"/>
      <c r="G597" s="36"/>
      <c r="H597" s="36"/>
      <c r="I597" s="171"/>
      <c r="J597" s="38"/>
      <c r="K597" s="28"/>
      <c r="L597" s="28"/>
    </row>
    <row r="598" spans="1:12" x14ac:dyDescent="0.25">
      <c r="A598" s="35"/>
      <c r="B598" s="36"/>
      <c r="C598" s="37"/>
      <c r="D598" s="36"/>
      <c r="E598" s="36"/>
      <c r="F598" s="37"/>
      <c r="G598" s="36"/>
      <c r="H598" s="36"/>
      <c r="I598" s="171"/>
      <c r="J598" s="38"/>
      <c r="K598" s="28"/>
      <c r="L598" s="28"/>
    </row>
    <row r="599" spans="1:12" x14ac:dyDescent="0.25">
      <c r="A599" s="35"/>
      <c r="B599" s="36"/>
      <c r="C599" s="37"/>
      <c r="D599" s="36"/>
      <c r="E599" s="36"/>
      <c r="F599" s="37"/>
      <c r="G599" s="36"/>
      <c r="H599" s="36"/>
      <c r="I599" s="171"/>
      <c r="J599" s="38"/>
      <c r="K599" s="28"/>
      <c r="L599" s="28"/>
    </row>
    <row r="600" spans="1:12" x14ac:dyDescent="0.25">
      <c r="A600" s="35"/>
      <c r="B600" s="36"/>
      <c r="C600" s="37"/>
      <c r="D600" s="36"/>
      <c r="E600" s="36"/>
      <c r="F600" s="37"/>
      <c r="G600" s="36"/>
      <c r="H600" s="36"/>
      <c r="I600" s="171"/>
      <c r="J600" s="38"/>
      <c r="K600" s="28"/>
      <c r="L600" s="28"/>
    </row>
    <row r="601" spans="1:12" x14ac:dyDescent="0.25">
      <c r="A601" s="35"/>
      <c r="B601" s="36"/>
      <c r="C601" s="37"/>
      <c r="D601" s="36"/>
      <c r="E601" s="36"/>
      <c r="F601" s="37"/>
      <c r="G601" s="36"/>
      <c r="H601" s="36"/>
      <c r="I601" s="171"/>
      <c r="J601" s="38"/>
      <c r="K601" s="28"/>
      <c r="L601" s="28"/>
    </row>
    <row r="602" spans="1:12" x14ac:dyDescent="0.25">
      <c r="A602" s="35"/>
      <c r="B602" s="36"/>
      <c r="C602" s="37"/>
      <c r="D602" s="36"/>
      <c r="E602" s="36"/>
      <c r="F602" s="37"/>
      <c r="G602" s="36"/>
      <c r="H602" s="36"/>
      <c r="I602" s="171"/>
      <c r="J602" s="38"/>
      <c r="K602" s="28"/>
      <c r="L602" s="28"/>
    </row>
    <row r="603" spans="1:12" x14ac:dyDescent="0.25">
      <c r="A603" s="35"/>
      <c r="B603" s="36"/>
      <c r="C603" s="37"/>
      <c r="D603" s="36"/>
      <c r="E603" s="36"/>
      <c r="F603" s="37"/>
      <c r="G603" s="36"/>
      <c r="H603" s="36"/>
      <c r="I603" s="171"/>
      <c r="J603" s="38"/>
      <c r="K603" s="28"/>
      <c r="L603" s="28"/>
    </row>
    <row r="604" spans="1:12" x14ac:dyDescent="0.25">
      <c r="A604" s="35"/>
      <c r="B604" s="36"/>
      <c r="C604" s="37"/>
      <c r="D604" s="36"/>
      <c r="E604" s="36"/>
      <c r="F604" s="37"/>
      <c r="G604" s="36"/>
      <c r="H604" s="36"/>
      <c r="I604" s="171"/>
      <c r="J604" s="38"/>
      <c r="K604" s="28"/>
      <c r="L604" s="28"/>
    </row>
    <row r="605" spans="1:12" x14ac:dyDescent="0.25">
      <c r="A605" s="35"/>
      <c r="B605" s="36"/>
      <c r="C605" s="37"/>
      <c r="D605" s="36"/>
      <c r="E605" s="36"/>
      <c r="F605" s="37"/>
      <c r="G605" s="36"/>
      <c r="H605" s="36"/>
      <c r="I605" s="171"/>
      <c r="J605" s="38"/>
      <c r="K605" s="28"/>
      <c r="L605" s="28"/>
    </row>
    <row r="606" spans="1:12" x14ac:dyDescent="0.25">
      <c r="A606" s="35"/>
      <c r="B606" s="36"/>
      <c r="C606" s="37"/>
      <c r="D606" s="36"/>
      <c r="E606" s="36"/>
      <c r="F606" s="37"/>
      <c r="G606" s="36"/>
      <c r="H606" s="36"/>
      <c r="I606" s="171"/>
      <c r="J606" s="38"/>
      <c r="K606" s="28"/>
      <c r="L606" s="28"/>
    </row>
    <row r="607" spans="1:12" x14ac:dyDescent="0.25">
      <c r="A607" s="35"/>
      <c r="B607" s="36"/>
      <c r="C607" s="37"/>
      <c r="D607" s="36"/>
      <c r="E607" s="36"/>
      <c r="F607" s="37"/>
      <c r="G607" s="36"/>
      <c r="H607" s="36"/>
      <c r="I607" s="171"/>
      <c r="J607" s="38"/>
      <c r="K607" s="28"/>
      <c r="L607" s="28"/>
    </row>
    <row r="608" spans="1:12" x14ac:dyDescent="0.25">
      <c r="A608" s="35"/>
      <c r="B608" s="36"/>
      <c r="C608" s="37"/>
      <c r="D608" s="36"/>
      <c r="E608" s="36"/>
      <c r="F608" s="37"/>
      <c r="G608" s="36"/>
      <c r="H608" s="36"/>
      <c r="I608" s="171"/>
      <c r="J608" s="38"/>
      <c r="K608" s="28"/>
      <c r="L608" s="28"/>
    </row>
    <row r="609" spans="1:12" x14ac:dyDescent="0.25">
      <c r="A609" s="35"/>
      <c r="B609" s="36"/>
      <c r="C609" s="37"/>
      <c r="D609" s="36"/>
      <c r="E609" s="36"/>
      <c r="F609" s="37"/>
      <c r="G609" s="36"/>
      <c r="H609" s="36"/>
      <c r="I609" s="171"/>
      <c r="J609" s="38"/>
      <c r="K609" s="28"/>
      <c r="L609" s="28"/>
    </row>
    <row r="610" spans="1:12" x14ac:dyDescent="0.25">
      <c r="A610" s="35"/>
      <c r="B610" s="36"/>
      <c r="C610" s="37"/>
      <c r="D610" s="36"/>
      <c r="E610" s="36"/>
      <c r="F610" s="37"/>
      <c r="G610" s="36"/>
      <c r="H610" s="36"/>
      <c r="I610" s="171"/>
      <c r="J610" s="38"/>
      <c r="K610" s="28"/>
      <c r="L610" s="28"/>
    </row>
    <row r="611" spans="1:12" x14ac:dyDescent="0.25">
      <c r="A611" s="35"/>
      <c r="B611" s="36"/>
      <c r="C611" s="37"/>
      <c r="D611" s="36"/>
      <c r="E611" s="36"/>
      <c r="F611" s="37"/>
      <c r="G611" s="36"/>
      <c r="H611" s="36"/>
      <c r="I611" s="171"/>
      <c r="J611" s="38"/>
      <c r="K611" s="28"/>
      <c r="L611" s="28"/>
    </row>
    <row r="612" spans="1:12" x14ac:dyDescent="0.25">
      <c r="A612" s="35"/>
      <c r="B612" s="36"/>
      <c r="C612" s="37"/>
      <c r="D612" s="36"/>
      <c r="E612" s="36"/>
      <c r="F612" s="37"/>
      <c r="G612" s="36"/>
      <c r="H612" s="36"/>
      <c r="I612" s="171"/>
      <c r="J612" s="38"/>
      <c r="K612" s="28"/>
      <c r="L612" s="28"/>
    </row>
    <row r="613" spans="1:12" x14ac:dyDescent="0.25">
      <c r="A613" s="35"/>
      <c r="B613" s="36"/>
      <c r="C613" s="37"/>
      <c r="D613" s="36"/>
      <c r="E613" s="36"/>
      <c r="F613" s="37"/>
      <c r="G613" s="36"/>
      <c r="H613" s="36"/>
      <c r="I613" s="171"/>
      <c r="J613" s="38"/>
      <c r="K613" s="28"/>
      <c r="L613" s="28"/>
    </row>
    <row r="614" spans="1:12" x14ac:dyDescent="0.25">
      <c r="A614" s="35"/>
      <c r="B614" s="36"/>
      <c r="C614" s="37"/>
      <c r="D614" s="36"/>
      <c r="E614" s="36"/>
      <c r="F614" s="37"/>
      <c r="G614" s="36"/>
      <c r="H614" s="36"/>
      <c r="I614" s="171"/>
      <c r="J614" s="38"/>
      <c r="K614" s="28"/>
      <c r="L614" s="28"/>
    </row>
    <row r="615" spans="1:12" x14ac:dyDescent="0.25">
      <c r="A615" s="35"/>
      <c r="B615" s="36"/>
      <c r="C615" s="37"/>
      <c r="D615" s="36"/>
      <c r="E615" s="36"/>
      <c r="F615" s="37"/>
      <c r="G615" s="36"/>
      <c r="H615" s="36"/>
      <c r="I615" s="171"/>
      <c r="J615" s="38"/>
      <c r="K615" s="28"/>
      <c r="L615" s="28"/>
    </row>
    <row r="616" spans="1:12" x14ac:dyDescent="0.25">
      <c r="A616" s="35"/>
      <c r="B616" s="36"/>
      <c r="C616" s="37"/>
      <c r="D616" s="36"/>
      <c r="E616" s="36"/>
      <c r="F616" s="37"/>
      <c r="G616" s="36"/>
      <c r="H616" s="36"/>
      <c r="I616" s="171"/>
      <c r="J616" s="38"/>
      <c r="K616" s="28"/>
      <c r="L616" s="28"/>
    </row>
    <row r="617" spans="1:12" x14ac:dyDescent="0.25">
      <c r="A617" s="35"/>
      <c r="B617" s="36"/>
      <c r="C617" s="37"/>
      <c r="D617" s="36"/>
      <c r="E617" s="36"/>
      <c r="F617" s="37"/>
      <c r="G617" s="36"/>
      <c r="H617" s="36"/>
      <c r="I617" s="171"/>
      <c r="J617" s="38"/>
      <c r="K617" s="28"/>
      <c r="L617" s="28"/>
    </row>
    <row r="618" spans="1:12" x14ac:dyDescent="0.25">
      <c r="A618" s="35"/>
      <c r="B618" s="36"/>
      <c r="C618" s="37"/>
      <c r="D618" s="36"/>
      <c r="E618" s="36"/>
      <c r="F618" s="37"/>
      <c r="G618" s="36"/>
      <c r="H618" s="36"/>
      <c r="I618" s="171"/>
      <c r="J618" s="38"/>
      <c r="K618" s="28"/>
      <c r="L618" s="28"/>
    </row>
    <row r="619" spans="1:12" x14ac:dyDescent="0.25">
      <c r="A619" s="35"/>
      <c r="B619" s="36"/>
      <c r="C619" s="37"/>
      <c r="D619" s="36"/>
      <c r="E619" s="36"/>
      <c r="F619" s="37"/>
      <c r="G619" s="36"/>
      <c r="H619" s="36"/>
      <c r="I619" s="171"/>
      <c r="J619" s="38"/>
      <c r="K619" s="28"/>
      <c r="L619" s="28"/>
    </row>
    <row r="620" spans="1:12" x14ac:dyDescent="0.25">
      <c r="A620" s="35"/>
      <c r="B620" s="36"/>
      <c r="C620" s="37"/>
      <c r="D620" s="36"/>
      <c r="E620" s="36"/>
      <c r="F620" s="37"/>
      <c r="G620" s="36"/>
      <c r="H620" s="36"/>
      <c r="I620" s="171"/>
      <c r="J620" s="38"/>
      <c r="K620" s="28"/>
      <c r="L620" s="28"/>
    </row>
    <row r="621" spans="1:12" x14ac:dyDescent="0.25">
      <c r="A621" s="35"/>
      <c r="B621" s="36"/>
      <c r="C621" s="37"/>
      <c r="D621" s="36"/>
      <c r="E621" s="36"/>
      <c r="F621" s="37"/>
      <c r="G621" s="36"/>
      <c r="H621" s="36"/>
      <c r="I621" s="171"/>
      <c r="J621" s="38"/>
      <c r="K621" s="28"/>
      <c r="L621" s="28"/>
    </row>
    <row r="622" spans="1:12" x14ac:dyDescent="0.25">
      <c r="A622" s="35"/>
      <c r="B622" s="36"/>
      <c r="C622" s="37"/>
      <c r="D622" s="36"/>
      <c r="E622" s="36"/>
      <c r="F622" s="37"/>
      <c r="G622" s="36"/>
      <c r="H622" s="36"/>
      <c r="I622" s="171"/>
      <c r="J622" s="38"/>
      <c r="K622" s="28"/>
      <c r="L622" s="28"/>
    </row>
    <row r="623" spans="1:12" x14ac:dyDescent="0.25">
      <c r="A623" s="35"/>
      <c r="B623" s="36"/>
      <c r="C623" s="37"/>
      <c r="D623" s="36"/>
      <c r="E623" s="36"/>
      <c r="F623" s="37"/>
      <c r="G623" s="36"/>
      <c r="H623" s="36"/>
      <c r="I623" s="171"/>
      <c r="J623" s="38"/>
      <c r="K623" s="28"/>
      <c r="L623" s="28"/>
    </row>
    <row r="624" spans="1:12" x14ac:dyDescent="0.25">
      <c r="A624" s="35"/>
      <c r="B624" s="36"/>
      <c r="C624" s="37"/>
      <c r="D624" s="36"/>
      <c r="E624" s="36"/>
      <c r="F624" s="37"/>
      <c r="G624" s="36"/>
      <c r="H624" s="36"/>
      <c r="I624" s="171"/>
      <c r="J624" s="38"/>
      <c r="K624" s="28"/>
      <c r="L624" s="28"/>
    </row>
    <row r="625" spans="1:12" x14ac:dyDescent="0.25">
      <c r="A625" s="35"/>
      <c r="B625" s="36"/>
      <c r="C625" s="37"/>
      <c r="D625" s="36"/>
      <c r="E625" s="36"/>
      <c r="F625" s="37"/>
      <c r="G625" s="36"/>
      <c r="H625" s="36"/>
      <c r="I625" s="171"/>
      <c r="J625" s="38"/>
      <c r="K625" s="28"/>
      <c r="L625" s="28"/>
    </row>
    <row r="626" spans="1:12" x14ac:dyDescent="0.25">
      <c r="A626" s="35"/>
      <c r="B626" s="36"/>
      <c r="C626" s="37"/>
      <c r="D626" s="36"/>
      <c r="E626" s="36"/>
      <c r="F626" s="37"/>
      <c r="G626" s="36"/>
      <c r="H626" s="36"/>
      <c r="I626" s="171"/>
      <c r="J626" s="38"/>
      <c r="K626" s="28"/>
      <c r="L626" s="28"/>
    </row>
    <row r="627" spans="1:12" x14ac:dyDescent="0.25">
      <c r="A627" s="35"/>
      <c r="B627" s="36"/>
      <c r="C627" s="37"/>
      <c r="D627" s="36"/>
      <c r="E627" s="36"/>
      <c r="F627" s="37"/>
      <c r="G627" s="36"/>
      <c r="H627" s="36"/>
      <c r="I627" s="171"/>
      <c r="J627" s="38"/>
      <c r="K627" s="28"/>
      <c r="L627" s="28"/>
    </row>
    <row r="628" spans="1:12" x14ac:dyDescent="0.25">
      <c r="A628" s="35"/>
      <c r="B628" s="36"/>
      <c r="C628" s="37"/>
      <c r="D628" s="36"/>
      <c r="E628" s="36"/>
      <c r="F628" s="37"/>
      <c r="G628" s="36"/>
      <c r="H628" s="36"/>
      <c r="I628" s="171"/>
      <c r="J628" s="38"/>
      <c r="K628" s="28"/>
      <c r="L628" s="28"/>
    </row>
    <row r="629" spans="1:12" x14ac:dyDescent="0.25">
      <c r="A629" s="35"/>
      <c r="B629" s="36"/>
      <c r="C629" s="37"/>
      <c r="D629" s="36"/>
      <c r="E629" s="36"/>
      <c r="F629" s="37"/>
      <c r="G629" s="36"/>
      <c r="H629" s="36"/>
      <c r="I629" s="171"/>
      <c r="J629" s="38"/>
      <c r="K629" s="28"/>
      <c r="L629" s="28"/>
    </row>
    <row r="630" spans="1:12" x14ac:dyDescent="0.25">
      <c r="A630" s="35"/>
      <c r="B630" s="36"/>
      <c r="C630" s="37"/>
      <c r="D630" s="36"/>
      <c r="E630" s="36"/>
      <c r="F630" s="37"/>
      <c r="G630" s="36"/>
      <c r="H630" s="36"/>
      <c r="I630" s="171"/>
      <c r="J630" s="38"/>
      <c r="K630" s="28"/>
      <c r="L630" s="28"/>
    </row>
    <row r="631" spans="1:12" x14ac:dyDescent="0.25">
      <c r="A631" s="35"/>
      <c r="B631" s="36"/>
      <c r="C631" s="37"/>
      <c r="D631" s="36"/>
      <c r="E631" s="36"/>
      <c r="F631" s="37"/>
      <c r="G631" s="36"/>
      <c r="H631" s="36"/>
      <c r="I631" s="171"/>
      <c r="J631" s="38"/>
      <c r="K631" s="28"/>
      <c r="L631" s="28"/>
    </row>
    <row r="632" spans="1:12" x14ac:dyDescent="0.25">
      <c r="A632" s="35"/>
      <c r="B632" s="36"/>
      <c r="C632" s="37"/>
      <c r="D632" s="36"/>
      <c r="E632" s="36"/>
      <c r="F632" s="37"/>
      <c r="G632" s="36"/>
      <c r="H632" s="36"/>
      <c r="I632" s="171"/>
      <c r="J632" s="38"/>
      <c r="K632" s="28"/>
      <c r="L632" s="28"/>
    </row>
    <row r="633" spans="1:12" x14ac:dyDescent="0.25">
      <c r="A633" s="35"/>
      <c r="B633" s="36"/>
      <c r="C633" s="37"/>
      <c r="D633" s="36"/>
      <c r="E633" s="36"/>
      <c r="F633" s="37"/>
      <c r="G633" s="36"/>
      <c r="H633" s="36"/>
      <c r="I633" s="171"/>
      <c r="J633" s="38"/>
      <c r="K633" s="28"/>
      <c r="L633" s="28"/>
    </row>
    <row r="634" spans="1:12" x14ac:dyDescent="0.25">
      <c r="A634" s="35"/>
      <c r="B634" s="36"/>
      <c r="C634" s="37"/>
      <c r="D634" s="36"/>
      <c r="E634" s="36"/>
      <c r="F634" s="37"/>
      <c r="G634" s="36"/>
      <c r="H634" s="36"/>
      <c r="I634" s="171"/>
      <c r="J634" s="38"/>
      <c r="K634" s="28"/>
      <c r="L634" s="28"/>
    </row>
    <row r="635" spans="1:12" x14ac:dyDescent="0.25">
      <c r="A635" s="35"/>
      <c r="B635" s="36"/>
      <c r="C635" s="37"/>
      <c r="D635" s="36"/>
      <c r="E635" s="36"/>
      <c r="F635" s="37"/>
      <c r="G635" s="36"/>
      <c r="H635" s="36"/>
      <c r="I635" s="171"/>
      <c r="J635" s="38"/>
      <c r="K635" s="28"/>
      <c r="L635" s="28"/>
    </row>
    <row r="636" spans="1:12" x14ac:dyDescent="0.25">
      <c r="A636" s="35"/>
      <c r="B636" s="36"/>
      <c r="C636" s="37"/>
      <c r="D636" s="36"/>
      <c r="E636" s="36"/>
      <c r="F636" s="37"/>
      <c r="G636" s="36"/>
      <c r="H636" s="36"/>
      <c r="I636" s="171"/>
      <c r="J636" s="38"/>
      <c r="K636" s="28"/>
      <c r="L636" s="28"/>
    </row>
    <row r="637" spans="1:12" x14ac:dyDescent="0.25">
      <c r="A637" s="35"/>
      <c r="B637" s="36"/>
      <c r="C637" s="37"/>
      <c r="D637" s="36"/>
      <c r="E637" s="36"/>
      <c r="F637" s="37"/>
      <c r="G637" s="36"/>
      <c r="H637" s="36"/>
      <c r="I637" s="171"/>
      <c r="J637" s="38"/>
      <c r="K637" s="28"/>
      <c r="L637" s="28"/>
    </row>
    <row r="638" spans="1:12" x14ac:dyDescent="0.25">
      <c r="A638" s="35"/>
      <c r="B638" s="36"/>
      <c r="C638" s="37"/>
      <c r="D638" s="36"/>
      <c r="E638" s="36"/>
      <c r="F638" s="37"/>
      <c r="G638" s="36"/>
      <c r="H638" s="36"/>
      <c r="I638" s="171"/>
      <c r="J638" s="38"/>
      <c r="K638" s="28"/>
      <c r="L638" s="28"/>
    </row>
    <row r="639" spans="1:12" x14ac:dyDescent="0.25">
      <c r="A639" s="35"/>
      <c r="B639" s="36"/>
      <c r="C639" s="37"/>
      <c r="D639" s="36"/>
      <c r="E639" s="36"/>
      <c r="F639" s="37"/>
      <c r="G639" s="36"/>
      <c r="H639" s="36"/>
      <c r="I639" s="171"/>
      <c r="J639" s="38"/>
      <c r="K639" s="28"/>
      <c r="L639" s="28"/>
    </row>
    <row r="640" spans="1:12" x14ac:dyDescent="0.25">
      <c r="A640" s="35"/>
      <c r="B640" s="36"/>
      <c r="C640" s="37"/>
      <c r="D640" s="36"/>
      <c r="E640" s="36"/>
      <c r="F640" s="37"/>
      <c r="G640" s="36"/>
      <c r="H640" s="36"/>
      <c r="I640" s="171"/>
      <c r="J640" s="38"/>
      <c r="K640" s="28"/>
      <c r="L640" s="28"/>
    </row>
    <row r="641" spans="1:12" x14ac:dyDescent="0.25">
      <c r="A641" s="35"/>
      <c r="B641" s="36"/>
      <c r="C641" s="37"/>
      <c r="D641" s="36"/>
      <c r="E641" s="36"/>
      <c r="F641" s="37"/>
      <c r="G641" s="36"/>
      <c r="H641" s="36"/>
      <c r="I641" s="171"/>
      <c r="J641" s="38"/>
      <c r="K641" s="28"/>
      <c r="L641" s="28"/>
    </row>
    <row r="642" spans="1:12" x14ac:dyDescent="0.25">
      <c r="A642" s="35"/>
      <c r="B642" s="36"/>
      <c r="C642" s="37"/>
      <c r="D642" s="36"/>
      <c r="E642" s="36"/>
      <c r="F642" s="37"/>
      <c r="G642" s="36"/>
      <c r="H642" s="36"/>
      <c r="I642" s="171"/>
      <c r="J642" s="38"/>
      <c r="K642" s="28"/>
      <c r="L642" s="28"/>
    </row>
    <row r="643" spans="1:12" x14ac:dyDescent="0.25">
      <c r="A643" s="35"/>
      <c r="B643" s="36"/>
      <c r="C643" s="37"/>
      <c r="D643" s="36"/>
      <c r="E643" s="36"/>
      <c r="F643" s="37"/>
      <c r="G643" s="36"/>
      <c r="H643" s="36"/>
      <c r="I643" s="171"/>
      <c r="J643" s="38"/>
      <c r="K643" s="28"/>
      <c r="L643" s="28"/>
    </row>
    <row r="644" spans="1:12" x14ac:dyDescent="0.25">
      <c r="A644" s="35"/>
      <c r="B644" s="36"/>
      <c r="C644" s="37"/>
      <c r="D644" s="36"/>
      <c r="E644" s="36"/>
      <c r="F644" s="37"/>
      <c r="G644" s="36"/>
      <c r="H644" s="36"/>
      <c r="I644" s="171"/>
      <c r="J644" s="38"/>
      <c r="K644" s="28"/>
      <c r="L644" s="28"/>
    </row>
    <row r="645" spans="1:12" x14ac:dyDescent="0.25">
      <c r="A645" s="35"/>
      <c r="B645" s="36"/>
      <c r="C645" s="37"/>
      <c r="D645" s="36"/>
      <c r="E645" s="36"/>
      <c r="F645" s="37"/>
      <c r="G645" s="36"/>
      <c r="H645" s="36"/>
      <c r="I645" s="171"/>
      <c r="J645" s="38"/>
      <c r="K645" s="28"/>
      <c r="L645" s="28"/>
    </row>
    <row r="646" spans="1:12" x14ac:dyDescent="0.25">
      <c r="A646" s="35"/>
      <c r="B646" s="36"/>
      <c r="C646" s="37"/>
      <c r="D646" s="36"/>
      <c r="E646" s="36"/>
      <c r="F646" s="37"/>
      <c r="G646" s="36"/>
      <c r="H646" s="36"/>
      <c r="I646" s="171"/>
      <c r="J646" s="38"/>
      <c r="K646" s="28"/>
      <c r="L646" s="28"/>
    </row>
    <row r="647" spans="1:12" x14ac:dyDescent="0.25">
      <c r="A647" s="35"/>
      <c r="B647" s="36"/>
      <c r="C647" s="37"/>
      <c r="D647" s="36"/>
      <c r="E647" s="36"/>
      <c r="F647" s="37"/>
      <c r="G647" s="36"/>
      <c r="H647" s="36"/>
      <c r="I647" s="171"/>
      <c r="J647" s="38"/>
      <c r="K647" s="28"/>
      <c r="L647" s="28"/>
    </row>
    <row r="648" spans="1:12" x14ac:dyDescent="0.25">
      <c r="A648" s="35"/>
      <c r="B648" s="36"/>
      <c r="C648" s="37"/>
      <c r="D648" s="36"/>
      <c r="E648" s="36"/>
      <c r="F648" s="37"/>
      <c r="G648" s="36"/>
      <c r="H648" s="36"/>
      <c r="I648" s="171"/>
      <c r="J648" s="38"/>
      <c r="K648" s="28"/>
      <c r="L648" s="28"/>
    </row>
    <row r="649" spans="1:12" x14ac:dyDescent="0.25">
      <c r="A649" s="35"/>
      <c r="B649" s="36"/>
      <c r="C649" s="37"/>
      <c r="D649" s="36"/>
      <c r="E649" s="36"/>
      <c r="F649" s="37"/>
      <c r="G649" s="36"/>
      <c r="H649" s="36"/>
      <c r="I649" s="171"/>
      <c r="J649" s="38"/>
      <c r="K649" s="28"/>
      <c r="L649" s="28"/>
    </row>
    <row r="650" spans="1:12" x14ac:dyDescent="0.25">
      <c r="A650" s="35"/>
      <c r="B650" s="36"/>
      <c r="C650" s="37"/>
      <c r="D650" s="36"/>
      <c r="E650" s="36"/>
      <c r="F650" s="37"/>
      <c r="G650" s="36"/>
      <c r="H650" s="36"/>
      <c r="I650" s="171"/>
      <c r="J650" s="38"/>
      <c r="K650" s="28"/>
      <c r="L650" s="28"/>
    </row>
    <row r="651" spans="1:12" x14ac:dyDescent="0.25">
      <c r="A651" s="35"/>
      <c r="B651" s="36"/>
      <c r="C651" s="37"/>
      <c r="D651" s="36"/>
      <c r="E651" s="36"/>
      <c r="F651" s="37"/>
      <c r="G651" s="36"/>
      <c r="H651" s="36"/>
      <c r="I651" s="171"/>
      <c r="J651" s="38"/>
      <c r="K651" s="28"/>
      <c r="L651" s="28"/>
    </row>
    <row r="652" spans="1:12" x14ac:dyDescent="0.25">
      <c r="A652" s="35"/>
      <c r="B652" s="36"/>
      <c r="C652" s="37"/>
      <c r="D652" s="36"/>
      <c r="E652" s="36"/>
      <c r="F652" s="37"/>
      <c r="G652" s="36"/>
      <c r="H652" s="36"/>
      <c r="I652" s="171"/>
      <c r="J652" s="38"/>
      <c r="K652" s="28"/>
      <c r="L652" s="28"/>
    </row>
    <row r="653" spans="1:12" x14ac:dyDescent="0.25">
      <c r="A653" s="35"/>
      <c r="B653" s="36"/>
      <c r="C653" s="37"/>
      <c r="D653" s="36"/>
      <c r="E653" s="36"/>
      <c r="F653" s="37"/>
      <c r="G653" s="36"/>
      <c r="H653" s="36"/>
      <c r="I653" s="171"/>
      <c r="J653" s="38"/>
      <c r="K653" s="28"/>
      <c r="L653" s="28"/>
    </row>
    <row r="654" spans="1:12" x14ac:dyDescent="0.25">
      <c r="A654" s="35"/>
      <c r="B654" s="36"/>
      <c r="C654" s="37"/>
      <c r="D654" s="36"/>
      <c r="E654" s="36"/>
      <c r="F654" s="37"/>
      <c r="G654" s="36"/>
      <c r="H654" s="36"/>
      <c r="I654" s="171"/>
      <c r="J654" s="38"/>
      <c r="K654" s="28"/>
      <c r="L654" s="28"/>
    </row>
    <row r="655" spans="1:12" x14ac:dyDescent="0.25">
      <c r="A655" s="35"/>
      <c r="B655" s="36"/>
      <c r="C655" s="37"/>
      <c r="D655" s="36"/>
      <c r="E655" s="36"/>
      <c r="F655" s="37"/>
      <c r="G655" s="36"/>
      <c r="H655" s="36"/>
      <c r="I655" s="171"/>
      <c r="J655" s="38"/>
      <c r="K655" s="28"/>
      <c r="L655" s="28"/>
    </row>
    <row r="656" spans="1:12" x14ac:dyDescent="0.25">
      <c r="A656" s="35"/>
      <c r="B656" s="36"/>
      <c r="C656" s="37"/>
      <c r="D656" s="36"/>
      <c r="E656" s="36"/>
      <c r="F656" s="37"/>
      <c r="G656" s="36"/>
      <c r="H656" s="36"/>
      <c r="I656" s="171"/>
      <c r="J656" s="38"/>
      <c r="K656" s="28"/>
      <c r="L656" s="28"/>
    </row>
    <row r="657" spans="1:12" x14ac:dyDescent="0.25">
      <c r="A657" s="35"/>
      <c r="B657" s="36"/>
      <c r="C657" s="37"/>
      <c r="D657" s="36"/>
      <c r="E657" s="36"/>
      <c r="F657" s="37"/>
      <c r="G657" s="36"/>
      <c r="H657" s="36"/>
      <c r="I657" s="171"/>
      <c r="J657" s="38"/>
      <c r="K657" s="28"/>
      <c r="L657" s="28"/>
    </row>
    <row r="658" spans="1:12" x14ac:dyDescent="0.25">
      <c r="A658" s="35"/>
      <c r="B658" s="36"/>
      <c r="C658" s="37"/>
      <c r="D658" s="36"/>
      <c r="E658" s="36"/>
      <c r="F658" s="37"/>
      <c r="G658" s="36"/>
      <c r="H658" s="36"/>
      <c r="I658" s="171"/>
      <c r="J658" s="38"/>
      <c r="K658" s="28"/>
      <c r="L658" s="28"/>
    </row>
    <row r="659" spans="1:12" x14ac:dyDescent="0.25">
      <c r="A659" s="35"/>
      <c r="B659" s="36"/>
      <c r="C659" s="37"/>
      <c r="D659" s="36"/>
      <c r="E659" s="36"/>
      <c r="F659" s="37"/>
      <c r="G659" s="36"/>
      <c r="H659" s="36"/>
      <c r="I659" s="171"/>
      <c r="J659" s="38"/>
      <c r="K659" s="28"/>
      <c r="L659" s="28"/>
    </row>
    <row r="660" spans="1:12" x14ac:dyDescent="0.25">
      <c r="A660" s="35"/>
      <c r="B660" s="36"/>
      <c r="C660" s="37"/>
      <c r="D660" s="36"/>
      <c r="E660" s="36"/>
      <c r="F660" s="37"/>
      <c r="G660" s="36"/>
      <c r="H660" s="36"/>
      <c r="I660" s="171"/>
      <c r="J660" s="38"/>
      <c r="K660" s="28"/>
      <c r="L660" s="28"/>
    </row>
    <row r="661" spans="1:12" x14ac:dyDescent="0.25">
      <c r="A661" s="35"/>
      <c r="B661" s="36"/>
      <c r="C661" s="37"/>
      <c r="D661" s="36"/>
      <c r="E661" s="36"/>
      <c r="F661" s="37"/>
      <c r="G661" s="36"/>
      <c r="H661" s="36"/>
      <c r="I661" s="171"/>
      <c r="J661" s="38"/>
      <c r="K661" s="28"/>
      <c r="L661" s="28"/>
    </row>
    <row r="662" spans="1:12" x14ac:dyDescent="0.25">
      <c r="A662" s="35"/>
      <c r="B662" s="36"/>
      <c r="C662" s="37"/>
      <c r="D662" s="36"/>
      <c r="E662" s="36"/>
      <c r="F662" s="37"/>
      <c r="G662" s="36"/>
      <c r="H662" s="36"/>
      <c r="I662" s="171"/>
      <c r="J662" s="38"/>
      <c r="K662" s="28"/>
      <c r="L662" s="28"/>
    </row>
    <row r="663" spans="1:12" x14ac:dyDescent="0.25">
      <c r="A663" s="35"/>
      <c r="B663" s="36"/>
      <c r="C663" s="37"/>
      <c r="D663" s="36"/>
      <c r="E663" s="36"/>
      <c r="F663" s="37"/>
      <c r="G663" s="36"/>
      <c r="H663" s="36"/>
      <c r="I663" s="171"/>
      <c r="J663" s="38"/>
      <c r="K663" s="28"/>
      <c r="L663" s="28"/>
    </row>
    <row r="664" spans="1:12" x14ac:dyDescent="0.25">
      <c r="A664" s="35"/>
      <c r="B664" s="36"/>
      <c r="C664" s="37"/>
      <c r="D664" s="36"/>
      <c r="E664" s="36"/>
      <c r="F664" s="37"/>
      <c r="G664" s="36"/>
      <c r="H664" s="36"/>
      <c r="I664" s="171"/>
      <c r="J664" s="38"/>
      <c r="K664" s="28"/>
      <c r="L664" s="28"/>
    </row>
    <row r="665" spans="1:12" x14ac:dyDescent="0.25">
      <c r="A665" s="35"/>
      <c r="B665" s="36"/>
      <c r="C665" s="37"/>
      <c r="D665" s="36"/>
      <c r="E665" s="36"/>
      <c r="F665" s="37"/>
      <c r="G665" s="36"/>
      <c r="H665" s="36"/>
      <c r="I665" s="171"/>
      <c r="J665" s="38"/>
      <c r="K665" s="28"/>
      <c r="L665" s="28"/>
    </row>
    <row r="666" spans="1:12" x14ac:dyDescent="0.25">
      <c r="A666" s="35"/>
      <c r="B666" s="36"/>
      <c r="C666" s="37"/>
      <c r="D666" s="36"/>
      <c r="E666" s="36"/>
      <c r="F666" s="37"/>
      <c r="G666" s="36"/>
      <c r="H666" s="36"/>
      <c r="I666" s="171"/>
      <c r="J666" s="38"/>
      <c r="K666" s="28"/>
      <c r="L666" s="28"/>
    </row>
    <row r="667" spans="1:12" x14ac:dyDescent="0.25">
      <c r="A667" s="35"/>
      <c r="B667" s="36"/>
      <c r="C667" s="37"/>
      <c r="D667" s="36"/>
      <c r="E667" s="36"/>
      <c r="F667" s="37"/>
      <c r="G667" s="36"/>
      <c r="H667" s="36"/>
      <c r="I667" s="171"/>
      <c r="J667" s="38"/>
      <c r="K667" s="28"/>
      <c r="L667" s="28"/>
    </row>
    <row r="668" spans="1:12" x14ac:dyDescent="0.25">
      <c r="A668" s="35"/>
      <c r="B668" s="36"/>
      <c r="C668" s="37"/>
      <c r="D668" s="36"/>
      <c r="E668" s="36"/>
      <c r="F668" s="37"/>
      <c r="G668" s="36"/>
      <c r="H668" s="36"/>
      <c r="I668" s="171"/>
      <c r="J668" s="38"/>
      <c r="K668" s="28"/>
      <c r="L668" s="28"/>
    </row>
    <row r="669" spans="1:12" x14ac:dyDescent="0.25">
      <c r="A669" s="35"/>
      <c r="B669" s="36"/>
      <c r="C669" s="37"/>
      <c r="D669" s="36"/>
      <c r="E669" s="36"/>
      <c r="F669" s="37"/>
      <c r="G669" s="36"/>
      <c r="H669" s="36"/>
      <c r="I669" s="171"/>
      <c r="J669" s="38"/>
      <c r="K669" s="28"/>
      <c r="L669" s="28"/>
    </row>
    <row r="670" spans="1:12" x14ac:dyDescent="0.25">
      <c r="A670" s="35"/>
      <c r="B670" s="36"/>
      <c r="C670" s="37"/>
      <c r="D670" s="36"/>
      <c r="E670" s="36"/>
      <c r="F670" s="37"/>
      <c r="G670" s="36"/>
      <c r="H670" s="36"/>
      <c r="I670" s="171"/>
      <c r="J670" s="38"/>
      <c r="K670" s="28"/>
      <c r="L670" s="28"/>
    </row>
    <row r="671" spans="1:12" x14ac:dyDescent="0.25">
      <c r="A671" s="35"/>
      <c r="B671" s="36"/>
      <c r="C671" s="37"/>
      <c r="D671" s="36"/>
      <c r="E671" s="36"/>
      <c r="F671" s="37"/>
      <c r="G671" s="36"/>
      <c r="H671" s="36"/>
      <c r="I671" s="171"/>
      <c r="J671" s="38"/>
      <c r="K671" s="28"/>
      <c r="L671" s="28"/>
    </row>
    <row r="672" spans="1:12" x14ac:dyDescent="0.25">
      <c r="A672" s="35"/>
      <c r="B672" s="36"/>
      <c r="C672" s="37"/>
      <c r="D672" s="36"/>
      <c r="E672" s="36"/>
      <c r="F672" s="37"/>
      <c r="G672" s="36"/>
      <c r="H672" s="36"/>
      <c r="I672" s="171"/>
      <c r="J672" s="38"/>
      <c r="K672" s="28"/>
      <c r="L672" s="28"/>
    </row>
    <row r="673" spans="1:12" x14ac:dyDescent="0.25">
      <c r="A673" s="35"/>
      <c r="B673" s="36"/>
      <c r="C673" s="37"/>
      <c r="D673" s="36"/>
      <c r="E673" s="36"/>
      <c r="F673" s="37"/>
      <c r="G673" s="36"/>
      <c r="H673" s="36"/>
      <c r="I673" s="171"/>
      <c r="J673" s="38"/>
      <c r="K673" s="28"/>
      <c r="L673" s="28"/>
    </row>
    <row r="674" spans="1:12" x14ac:dyDescent="0.25">
      <c r="A674" s="35"/>
      <c r="B674" s="36"/>
      <c r="C674" s="37"/>
      <c r="D674" s="36"/>
      <c r="E674" s="36"/>
      <c r="F674" s="37"/>
      <c r="G674" s="36"/>
      <c r="H674" s="36"/>
      <c r="I674" s="171"/>
      <c r="J674" s="38"/>
      <c r="K674" s="28"/>
      <c r="L674" s="28"/>
    </row>
    <row r="675" spans="1:12" x14ac:dyDescent="0.25">
      <c r="A675" s="35"/>
      <c r="B675" s="36"/>
      <c r="C675" s="37"/>
      <c r="D675" s="36"/>
      <c r="E675" s="36"/>
      <c r="F675" s="37"/>
      <c r="G675" s="36"/>
      <c r="H675" s="36"/>
      <c r="I675" s="171"/>
      <c r="J675" s="38"/>
      <c r="K675" s="28"/>
      <c r="L675" s="28"/>
    </row>
    <row r="676" spans="1:12" x14ac:dyDescent="0.25">
      <c r="A676" s="35"/>
      <c r="B676" s="36"/>
      <c r="C676" s="37"/>
      <c r="D676" s="36"/>
      <c r="E676" s="36"/>
      <c r="F676" s="37"/>
      <c r="G676" s="36"/>
      <c r="H676" s="36"/>
      <c r="I676" s="171"/>
      <c r="J676" s="38"/>
      <c r="K676" s="28"/>
      <c r="L676" s="28"/>
    </row>
    <row r="677" spans="1:12" x14ac:dyDescent="0.25">
      <c r="A677" s="35"/>
      <c r="B677" s="36"/>
      <c r="C677" s="37"/>
      <c r="D677" s="36"/>
      <c r="E677" s="36"/>
      <c r="F677" s="37"/>
      <c r="G677" s="36"/>
      <c r="H677" s="36"/>
      <c r="I677" s="171"/>
      <c r="J677" s="38"/>
      <c r="K677" s="28"/>
      <c r="L677" s="28"/>
    </row>
    <row r="678" spans="1:12" x14ac:dyDescent="0.25">
      <c r="A678" s="35"/>
      <c r="B678" s="36"/>
      <c r="C678" s="37"/>
      <c r="D678" s="36"/>
      <c r="E678" s="36"/>
      <c r="F678" s="37"/>
      <c r="G678" s="36"/>
      <c r="H678" s="36"/>
      <c r="I678" s="171"/>
      <c r="J678" s="38"/>
      <c r="K678" s="28"/>
      <c r="L678" s="28"/>
    </row>
    <row r="679" spans="1:12" x14ac:dyDescent="0.25">
      <c r="A679" s="35"/>
      <c r="B679" s="36"/>
      <c r="C679" s="37"/>
      <c r="D679" s="36"/>
      <c r="E679" s="36"/>
      <c r="F679" s="37"/>
      <c r="G679" s="36"/>
      <c r="H679" s="36"/>
      <c r="I679" s="171"/>
      <c r="J679" s="38"/>
      <c r="K679" s="28"/>
      <c r="L679" s="28"/>
    </row>
    <row r="680" spans="1:12" x14ac:dyDescent="0.25">
      <c r="A680" s="35"/>
      <c r="B680" s="36"/>
      <c r="C680" s="37"/>
      <c r="D680" s="36"/>
      <c r="E680" s="36"/>
      <c r="F680" s="37"/>
      <c r="G680" s="36"/>
      <c r="H680" s="36"/>
      <c r="I680" s="171"/>
      <c r="J680" s="38"/>
      <c r="K680" s="28"/>
      <c r="L680" s="28"/>
    </row>
    <row r="681" spans="1:12" x14ac:dyDescent="0.25">
      <c r="A681" s="35"/>
      <c r="B681" s="36"/>
      <c r="C681" s="37"/>
      <c r="D681" s="36"/>
      <c r="E681" s="36"/>
      <c r="F681" s="37"/>
      <c r="G681" s="36"/>
      <c r="H681" s="36"/>
      <c r="I681" s="171"/>
      <c r="J681" s="38"/>
      <c r="K681" s="28"/>
      <c r="L681" s="28"/>
    </row>
    <row r="682" spans="1:12" x14ac:dyDescent="0.25">
      <c r="A682" s="35"/>
      <c r="B682" s="36"/>
      <c r="C682" s="37"/>
      <c r="D682" s="36"/>
      <c r="E682" s="36"/>
      <c r="F682" s="37"/>
      <c r="G682" s="36"/>
      <c r="H682" s="36"/>
      <c r="I682" s="171"/>
      <c r="J682" s="38"/>
      <c r="K682" s="28"/>
      <c r="L682" s="28"/>
    </row>
    <row r="683" spans="1:12" x14ac:dyDescent="0.25">
      <c r="A683" s="35"/>
      <c r="B683" s="36"/>
      <c r="C683" s="37"/>
      <c r="D683" s="36"/>
      <c r="E683" s="36"/>
      <c r="F683" s="37"/>
      <c r="G683" s="36"/>
      <c r="H683" s="36"/>
      <c r="I683" s="171"/>
      <c r="J683" s="38"/>
      <c r="K683" s="28"/>
      <c r="L683" s="28"/>
    </row>
    <row r="684" spans="1:12" x14ac:dyDescent="0.25">
      <c r="A684" s="35"/>
      <c r="B684" s="36"/>
      <c r="C684" s="37"/>
      <c r="D684" s="36"/>
      <c r="E684" s="36"/>
      <c r="F684" s="37"/>
      <c r="G684" s="36"/>
      <c r="H684" s="36"/>
      <c r="I684" s="171"/>
      <c r="J684" s="38"/>
      <c r="K684" s="28"/>
      <c r="L684" s="28"/>
    </row>
    <row r="685" spans="1:12" x14ac:dyDescent="0.25">
      <c r="A685" s="35"/>
      <c r="B685" s="36"/>
      <c r="C685" s="37"/>
      <c r="D685" s="36"/>
      <c r="E685" s="36"/>
      <c r="F685" s="37"/>
      <c r="G685" s="36"/>
      <c r="H685" s="36"/>
      <c r="I685" s="171"/>
      <c r="J685" s="38"/>
      <c r="K685" s="28"/>
      <c r="L685" s="28"/>
    </row>
    <row r="686" spans="1:12" x14ac:dyDescent="0.25">
      <c r="A686" s="35"/>
      <c r="B686" s="36"/>
      <c r="C686" s="37"/>
      <c r="D686" s="36"/>
      <c r="E686" s="36"/>
      <c r="F686" s="37"/>
      <c r="G686" s="36"/>
      <c r="H686" s="36"/>
      <c r="I686" s="171"/>
      <c r="J686" s="38"/>
      <c r="K686" s="28"/>
      <c r="L686" s="28"/>
    </row>
    <row r="687" spans="1:12" x14ac:dyDescent="0.25">
      <c r="A687" s="35"/>
      <c r="B687" s="36"/>
      <c r="C687" s="37"/>
      <c r="D687" s="36"/>
      <c r="E687" s="36"/>
      <c r="F687" s="37"/>
      <c r="G687" s="36"/>
      <c r="H687" s="36"/>
      <c r="I687" s="171"/>
      <c r="J687" s="38"/>
      <c r="K687" s="28"/>
      <c r="L687" s="28"/>
    </row>
    <row r="688" spans="1:12" x14ac:dyDescent="0.25">
      <c r="A688" s="35"/>
      <c r="B688" s="36"/>
      <c r="C688" s="37"/>
      <c r="D688" s="36"/>
      <c r="E688" s="36"/>
      <c r="F688" s="37"/>
      <c r="G688" s="36"/>
      <c r="H688" s="36"/>
      <c r="I688" s="171"/>
      <c r="J688" s="38"/>
      <c r="K688" s="28"/>
      <c r="L688" s="28"/>
    </row>
    <row r="689" spans="1:12" x14ac:dyDescent="0.25">
      <c r="A689" s="35"/>
      <c r="B689" s="36"/>
      <c r="C689" s="37"/>
      <c r="D689" s="36"/>
      <c r="E689" s="36"/>
      <c r="F689" s="37"/>
      <c r="G689" s="36"/>
      <c r="H689" s="36"/>
      <c r="I689" s="171"/>
      <c r="J689" s="38"/>
      <c r="K689" s="28"/>
      <c r="L689" s="28"/>
    </row>
    <row r="690" spans="1:12" x14ac:dyDescent="0.25">
      <c r="A690" s="35"/>
      <c r="B690" s="36"/>
      <c r="C690" s="37"/>
      <c r="D690" s="36"/>
      <c r="E690" s="36"/>
      <c r="F690" s="37"/>
      <c r="G690" s="36"/>
      <c r="H690" s="36"/>
      <c r="I690" s="171"/>
      <c r="J690" s="38"/>
      <c r="K690" s="28"/>
      <c r="L690" s="28"/>
    </row>
    <row r="691" spans="1:12" x14ac:dyDescent="0.25">
      <c r="A691" s="35"/>
      <c r="B691" s="36"/>
      <c r="C691" s="37"/>
      <c r="D691" s="36"/>
      <c r="E691" s="36"/>
      <c r="F691" s="37"/>
      <c r="G691" s="36"/>
      <c r="H691" s="36"/>
      <c r="I691" s="171"/>
      <c r="J691" s="38"/>
      <c r="K691" s="28"/>
      <c r="L691" s="28"/>
    </row>
    <row r="692" spans="1:12" x14ac:dyDescent="0.25">
      <c r="A692" s="35"/>
      <c r="B692" s="36"/>
      <c r="C692" s="37"/>
      <c r="D692" s="36"/>
      <c r="E692" s="36"/>
      <c r="F692" s="37"/>
      <c r="G692" s="36"/>
      <c r="H692" s="36"/>
      <c r="I692" s="171"/>
      <c r="J692" s="38"/>
      <c r="K692" s="28"/>
      <c r="L692" s="28"/>
    </row>
    <row r="693" spans="1:12" x14ac:dyDescent="0.25">
      <c r="A693" s="35"/>
      <c r="B693" s="36"/>
      <c r="C693" s="37"/>
      <c r="D693" s="36"/>
      <c r="E693" s="36"/>
      <c r="F693" s="37"/>
      <c r="G693" s="36"/>
      <c r="H693" s="36"/>
      <c r="I693" s="171"/>
      <c r="J693" s="38"/>
      <c r="K693" s="28"/>
      <c r="L693" s="28"/>
    </row>
    <row r="694" spans="1:12" x14ac:dyDescent="0.25">
      <c r="A694" s="35"/>
      <c r="B694" s="36"/>
      <c r="C694" s="37"/>
      <c r="D694" s="36"/>
      <c r="E694" s="36"/>
      <c r="F694" s="37"/>
      <c r="G694" s="36"/>
      <c r="H694" s="36"/>
      <c r="I694" s="171"/>
      <c r="J694" s="38"/>
      <c r="K694" s="28"/>
      <c r="L694" s="28"/>
    </row>
    <row r="695" spans="1:12" x14ac:dyDescent="0.25">
      <c r="A695" s="35"/>
      <c r="B695" s="36"/>
      <c r="C695" s="37"/>
      <c r="D695" s="36"/>
      <c r="E695" s="36"/>
      <c r="F695" s="37"/>
      <c r="G695" s="36"/>
      <c r="H695" s="36"/>
      <c r="I695" s="171"/>
      <c r="J695" s="38"/>
      <c r="K695" s="28"/>
      <c r="L695" s="28"/>
    </row>
    <row r="696" spans="1:12" x14ac:dyDescent="0.25">
      <c r="A696" s="35"/>
      <c r="B696" s="36"/>
      <c r="C696" s="37"/>
      <c r="D696" s="36"/>
      <c r="E696" s="36"/>
      <c r="F696" s="37"/>
      <c r="G696" s="36"/>
      <c r="H696" s="36"/>
      <c r="I696" s="171"/>
      <c r="J696" s="38"/>
      <c r="K696" s="28"/>
      <c r="L696" s="28"/>
    </row>
    <row r="697" spans="1:12" x14ac:dyDescent="0.25">
      <c r="A697" s="35"/>
      <c r="B697" s="36"/>
      <c r="C697" s="37"/>
      <c r="D697" s="36"/>
      <c r="E697" s="36"/>
      <c r="F697" s="37"/>
      <c r="G697" s="36"/>
      <c r="H697" s="36"/>
      <c r="I697" s="171"/>
      <c r="J697" s="38"/>
      <c r="K697" s="28"/>
      <c r="L697" s="28"/>
    </row>
    <row r="698" spans="1:12" x14ac:dyDescent="0.25">
      <c r="A698" s="35"/>
      <c r="B698" s="36"/>
      <c r="C698" s="37"/>
      <c r="D698" s="36"/>
      <c r="E698" s="36"/>
      <c r="F698" s="37"/>
      <c r="G698" s="36"/>
      <c r="H698" s="36"/>
      <c r="I698" s="171"/>
      <c r="J698" s="38"/>
      <c r="K698" s="28"/>
      <c r="L698" s="28"/>
    </row>
    <row r="699" spans="1:12" x14ac:dyDescent="0.25">
      <c r="A699" s="35"/>
      <c r="B699" s="36"/>
      <c r="C699" s="37"/>
      <c r="D699" s="36"/>
      <c r="E699" s="36"/>
      <c r="F699" s="37"/>
      <c r="G699" s="36"/>
      <c r="H699" s="36"/>
      <c r="I699" s="171"/>
      <c r="J699" s="38"/>
      <c r="K699" s="28"/>
      <c r="L699" s="28"/>
    </row>
    <row r="700" spans="1:12" x14ac:dyDescent="0.25">
      <c r="A700" s="35"/>
      <c r="B700" s="36"/>
      <c r="C700" s="37"/>
      <c r="D700" s="36"/>
      <c r="E700" s="36"/>
      <c r="F700" s="37"/>
      <c r="G700" s="36"/>
      <c r="H700" s="36"/>
      <c r="I700" s="171"/>
      <c r="J700" s="38"/>
      <c r="K700" s="28"/>
      <c r="L700" s="28"/>
    </row>
    <row r="701" spans="1:12" x14ac:dyDescent="0.25">
      <c r="A701" s="35"/>
      <c r="B701" s="36"/>
      <c r="C701" s="37"/>
      <c r="D701" s="36"/>
      <c r="E701" s="36"/>
      <c r="F701" s="37"/>
      <c r="G701" s="36"/>
      <c r="H701" s="36"/>
      <c r="I701" s="171"/>
      <c r="J701" s="38"/>
      <c r="K701" s="28"/>
      <c r="L701" s="28"/>
    </row>
    <row r="702" spans="1:12" x14ac:dyDescent="0.25">
      <c r="A702" s="35"/>
      <c r="B702" s="36"/>
      <c r="C702" s="37"/>
      <c r="D702" s="36"/>
      <c r="E702" s="36"/>
      <c r="F702" s="37"/>
      <c r="G702" s="36"/>
      <c r="H702" s="36"/>
      <c r="I702" s="171"/>
      <c r="J702" s="38"/>
      <c r="K702" s="28"/>
      <c r="L702" s="28"/>
    </row>
    <row r="703" spans="1:12" x14ac:dyDescent="0.25">
      <c r="A703" s="35"/>
      <c r="B703" s="36"/>
      <c r="C703" s="37"/>
      <c r="D703" s="36"/>
      <c r="E703" s="36"/>
      <c r="F703" s="37"/>
      <c r="G703" s="36"/>
      <c r="H703" s="36"/>
      <c r="I703" s="171"/>
      <c r="J703" s="38"/>
      <c r="K703" s="28"/>
      <c r="L703" s="28"/>
    </row>
    <row r="704" spans="1:12" x14ac:dyDescent="0.25">
      <c r="A704" s="35"/>
      <c r="B704" s="36"/>
      <c r="C704" s="37"/>
      <c r="D704" s="36"/>
      <c r="E704" s="36"/>
      <c r="F704" s="37"/>
      <c r="G704" s="36"/>
      <c r="H704" s="36"/>
      <c r="I704" s="171"/>
      <c r="J704" s="38"/>
      <c r="K704" s="28"/>
      <c r="L704" s="28"/>
    </row>
    <row r="705" spans="1:12" x14ac:dyDescent="0.25">
      <c r="A705" s="35"/>
      <c r="B705" s="36"/>
      <c r="C705" s="37"/>
      <c r="D705" s="36"/>
      <c r="E705" s="36"/>
      <c r="F705" s="37"/>
      <c r="G705" s="36"/>
      <c r="H705" s="36"/>
      <c r="I705" s="171"/>
      <c r="J705" s="38"/>
      <c r="K705" s="28"/>
      <c r="L705" s="28"/>
    </row>
    <row r="706" spans="1:12" x14ac:dyDescent="0.25">
      <c r="A706" s="35"/>
      <c r="B706" s="36"/>
      <c r="C706" s="37"/>
      <c r="D706" s="36"/>
      <c r="E706" s="36"/>
      <c r="F706" s="37"/>
      <c r="G706" s="36"/>
      <c r="H706" s="36"/>
      <c r="I706" s="171"/>
      <c r="J706" s="38"/>
      <c r="K706" s="28"/>
      <c r="L706" s="28"/>
    </row>
    <row r="707" spans="1:12" x14ac:dyDescent="0.25">
      <c r="A707" s="35"/>
      <c r="B707" s="36"/>
      <c r="C707" s="37"/>
      <c r="D707" s="36"/>
      <c r="E707" s="36"/>
      <c r="F707" s="37"/>
      <c r="G707" s="36"/>
      <c r="H707" s="36"/>
      <c r="I707" s="171"/>
      <c r="J707" s="38"/>
      <c r="K707" s="28"/>
      <c r="L707" s="28"/>
    </row>
    <row r="708" spans="1:12" x14ac:dyDescent="0.25">
      <c r="A708" s="35"/>
      <c r="B708" s="36"/>
      <c r="C708" s="37"/>
      <c r="D708" s="36"/>
      <c r="E708" s="36"/>
      <c r="F708" s="37"/>
      <c r="G708" s="36"/>
      <c r="H708" s="36"/>
      <c r="I708" s="171"/>
      <c r="J708" s="38"/>
      <c r="K708" s="28"/>
      <c r="L708" s="28"/>
    </row>
    <row r="709" spans="1:12" x14ac:dyDescent="0.25">
      <c r="A709" s="35"/>
      <c r="B709" s="36"/>
      <c r="C709" s="37"/>
      <c r="D709" s="36"/>
      <c r="E709" s="36"/>
      <c r="F709" s="37"/>
      <c r="G709" s="36"/>
      <c r="H709" s="36"/>
      <c r="I709" s="171"/>
      <c r="J709" s="38"/>
      <c r="K709" s="28"/>
      <c r="L709" s="28"/>
    </row>
    <row r="710" spans="1:12" x14ac:dyDescent="0.25">
      <c r="A710" s="35"/>
      <c r="B710" s="36"/>
      <c r="C710" s="37"/>
      <c r="D710" s="36"/>
      <c r="E710" s="36"/>
      <c r="F710" s="37"/>
      <c r="G710" s="36"/>
      <c r="H710" s="36"/>
      <c r="I710" s="171"/>
      <c r="J710" s="38"/>
      <c r="K710" s="28"/>
      <c r="L710" s="28"/>
    </row>
    <row r="711" spans="1:12" x14ac:dyDescent="0.25">
      <c r="A711" s="35"/>
      <c r="B711" s="36"/>
      <c r="C711" s="37"/>
      <c r="D711" s="36"/>
      <c r="E711" s="36"/>
      <c r="F711" s="37"/>
      <c r="G711" s="36"/>
      <c r="H711" s="36"/>
      <c r="I711" s="171"/>
      <c r="J711" s="38"/>
      <c r="K711" s="28"/>
      <c r="L711" s="28"/>
    </row>
    <row r="712" spans="1:12" x14ac:dyDescent="0.25">
      <c r="A712" s="35"/>
      <c r="B712" s="36"/>
      <c r="C712" s="37"/>
      <c r="D712" s="36"/>
      <c r="E712" s="36"/>
      <c r="F712" s="37"/>
      <c r="G712" s="36"/>
      <c r="H712" s="36"/>
      <c r="I712" s="171"/>
      <c r="J712" s="38"/>
      <c r="K712" s="28"/>
      <c r="L712" s="28"/>
    </row>
    <row r="713" spans="1:12" x14ac:dyDescent="0.25">
      <c r="A713" s="35"/>
      <c r="B713" s="36"/>
      <c r="C713" s="37"/>
      <c r="D713" s="36"/>
      <c r="E713" s="36"/>
      <c r="F713" s="37"/>
      <c r="G713" s="36"/>
      <c r="H713" s="36"/>
      <c r="I713" s="171"/>
      <c r="J713" s="38"/>
      <c r="K713" s="28"/>
      <c r="L713" s="28"/>
    </row>
    <row r="714" spans="1:12" x14ac:dyDescent="0.25">
      <c r="A714" s="35"/>
      <c r="B714" s="36"/>
      <c r="C714" s="37"/>
      <c r="D714" s="36"/>
      <c r="E714" s="36"/>
      <c r="F714" s="37"/>
      <c r="G714" s="36"/>
      <c r="H714" s="36"/>
      <c r="I714" s="171"/>
      <c r="J714" s="38"/>
      <c r="K714" s="28"/>
      <c r="L714" s="28"/>
    </row>
    <row r="715" spans="1:12" x14ac:dyDescent="0.25">
      <c r="A715" s="35"/>
      <c r="B715" s="36"/>
      <c r="C715" s="37"/>
      <c r="D715" s="36"/>
      <c r="E715" s="36"/>
      <c r="F715" s="37"/>
      <c r="G715" s="36"/>
      <c r="H715" s="36"/>
      <c r="I715" s="171"/>
      <c r="J715" s="38"/>
      <c r="K715" s="28"/>
      <c r="L715" s="28"/>
    </row>
    <row r="716" spans="1:12" x14ac:dyDescent="0.25">
      <c r="A716" s="35"/>
      <c r="B716" s="36"/>
      <c r="C716" s="37"/>
      <c r="D716" s="36"/>
      <c r="E716" s="36"/>
      <c r="F716" s="37"/>
      <c r="G716" s="36"/>
      <c r="H716" s="36"/>
      <c r="I716" s="171"/>
      <c r="J716" s="38"/>
      <c r="K716" s="28"/>
      <c r="L716" s="28"/>
    </row>
    <row r="717" spans="1:12" x14ac:dyDescent="0.25">
      <c r="A717" s="35"/>
      <c r="B717" s="36"/>
      <c r="C717" s="37"/>
      <c r="D717" s="36"/>
      <c r="E717" s="36"/>
      <c r="F717" s="37"/>
      <c r="G717" s="36"/>
      <c r="H717" s="36"/>
      <c r="I717" s="171"/>
      <c r="J717" s="38"/>
      <c r="K717" s="28"/>
      <c r="L717" s="28"/>
    </row>
    <row r="718" spans="1:12" x14ac:dyDescent="0.25">
      <c r="A718" s="35"/>
      <c r="B718" s="36"/>
      <c r="C718" s="37"/>
      <c r="D718" s="36"/>
      <c r="E718" s="36"/>
      <c r="F718" s="37"/>
      <c r="G718" s="36"/>
      <c r="H718" s="36"/>
      <c r="I718" s="171"/>
      <c r="J718" s="38"/>
      <c r="K718" s="28"/>
      <c r="L718" s="28"/>
    </row>
    <row r="719" spans="1:12" x14ac:dyDescent="0.25">
      <c r="A719" s="35"/>
      <c r="B719" s="36"/>
      <c r="C719" s="37"/>
      <c r="D719" s="36"/>
      <c r="E719" s="36"/>
      <c r="F719" s="37"/>
      <c r="G719" s="36"/>
      <c r="H719" s="36"/>
      <c r="I719" s="171"/>
      <c r="J719" s="38"/>
      <c r="K719" s="28"/>
      <c r="L719" s="28"/>
    </row>
    <row r="720" spans="1:12" x14ac:dyDescent="0.25">
      <c r="A720" s="35"/>
      <c r="B720" s="36"/>
      <c r="C720" s="37"/>
      <c r="D720" s="36"/>
      <c r="E720" s="36"/>
      <c r="F720" s="37"/>
      <c r="G720" s="36"/>
      <c r="H720" s="36"/>
      <c r="I720" s="171"/>
      <c r="J720" s="38"/>
      <c r="K720" s="28"/>
      <c r="L720" s="28"/>
    </row>
    <row r="721" spans="1:12" x14ac:dyDescent="0.25">
      <c r="A721" s="35"/>
      <c r="B721" s="36"/>
      <c r="C721" s="37"/>
      <c r="D721" s="36"/>
      <c r="E721" s="36"/>
      <c r="F721" s="37"/>
      <c r="G721" s="36"/>
      <c r="H721" s="36"/>
      <c r="I721" s="171"/>
      <c r="J721" s="38"/>
      <c r="K721" s="28"/>
      <c r="L721" s="28"/>
    </row>
    <row r="722" spans="1:12" x14ac:dyDescent="0.25">
      <c r="A722" s="35"/>
      <c r="B722" s="36"/>
      <c r="C722" s="37"/>
      <c r="D722" s="36"/>
      <c r="E722" s="36"/>
      <c r="F722" s="37"/>
      <c r="G722" s="36"/>
      <c r="H722" s="36"/>
      <c r="I722" s="171"/>
      <c r="J722" s="38"/>
      <c r="K722" s="28"/>
      <c r="L722" s="28"/>
    </row>
    <row r="723" spans="1:12" x14ac:dyDescent="0.25">
      <c r="A723" s="35"/>
      <c r="B723" s="36"/>
      <c r="C723" s="37"/>
      <c r="D723" s="36"/>
      <c r="E723" s="36"/>
      <c r="F723" s="37"/>
      <c r="G723" s="36"/>
      <c r="H723" s="36"/>
      <c r="I723" s="171"/>
      <c r="J723" s="38"/>
      <c r="K723" s="28"/>
      <c r="L723" s="28"/>
    </row>
    <row r="724" spans="1:12" x14ac:dyDescent="0.25">
      <c r="A724" s="35"/>
      <c r="B724" s="36"/>
      <c r="C724" s="37"/>
      <c r="D724" s="36"/>
      <c r="E724" s="36"/>
      <c r="F724" s="37"/>
      <c r="G724" s="36"/>
      <c r="H724" s="36"/>
      <c r="I724" s="171"/>
      <c r="J724" s="38"/>
      <c r="K724" s="28"/>
      <c r="L724" s="28"/>
    </row>
    <row r="725" spans="1:12" x14ac:dyDescent="0.25">
      <c r="A725" s="35"/>
      <c r="B725" s="36"/>
      <c r="C725" s="37"/>
      <c r="D725" s="36"/>
      <c r="E725" s="36"/>
      <c r="F725" s="37"/>
      <c r="G725" s="36"/>
      <c r="H725" s="36"/>
      <c r="I725" s="171"/>
      <c r="J725" s="38"/>
      <c r="K725" s="28"/>
      <c r="L725" s="28"/>
    </row>
    <row r="726" spans="1:12" x14ac:dyDescent="0.25">
      <c r="A726" s="35"/>
      <c r="B726" s="36"/>
      <c r="C726" s="37"/>
      <c r="D726" s="36"/>
      <c r="E726" s="36"/>
      <c r="F726" s="37"/>
      <c r="G726" s="36"/>
      <c r="H726" s="36"/>
      <c r="I726" s="171"/>
      <c r="J726" s="38"/>
      <c r="K726" s="28"/>
      <c r="L726" s="28"/>
    </row>
    <row r="727" spans="1:12" x14ac:dyDescent="0.25">
      <c r="A727" s="35"/>
      <c r="B727" s="36"/>
      <c r="C727" s="37"/>
      <c r="D727" s="36"/>
      <c r="E727" s="36"/>
      <c r="F727" s="37"/>
      <c r="G727" s="36"/>
      <c r="H727" s="36"/>
      <c r="I727" s="171"/>
      <c r="J727" s="38"/>
      <c r="K727" s="28"/>
      <c r="L727" s="28"/>
    </row>
    <row r="728" spans="1:12" x14ac:dyDescent="0.25">
      <c r="A728" s="35"/>
      <c r="B728" s="36"/>
      <c r="C728" s="37"/>
      <c r="D728" s="36"/>
      <c r="E728" s="36"/>
      <c r="F728" s="37"/>
      <c r="G728" s="36"/>
      <c r="H728" s="36"/>
      <c r="I728" s="171"/>
      <c r="J728" s="38"/>
      <c r="K728" s="28"/>
      <c r="L728" s="28"/>
    </row>
    <row r="729" spans="1:12" x14ac:dyDescent="0.25">
      <c r="A729" s="35"/>
      <c r="B729" s="36"/>
      <c r="C729" s="37"/>
      <c r="D729" s="36"/>
      <c r="E729" s="36"/>
      <c r="F729" s="37"/>
      <c r="G729" s="36"/>
      <c r="H729" s="36"/>
      <c r="I729" s="171"/>
      <c r="J729" s="38"/>
      <c r="K729" s="28"/>
      <c r="L729" s="28"/>
    </row>
    <row r="730" spans="1:12" x14ac:dyDescent="0.25">
      <c r="A730" s="35"/>
      <c r="B730" s="36"/>
      <c r="C730" s="37"/>
      <c r="D730" s="36"/>
      <c r="E730" s="36"/>
      <c r="F730" s="37"/>
      <c r="G730" s="36"/>
      <c r="H730" s="36"/>
      <c r="I730" s="171"/>
      <c r="J730" s="38"/>
      <c r="K730" s="28"/>
      <c r="L730" s="28"/>
    </row>
    <row r="731" spans="1:12" x14ac:dyDescent="0.25">
      <c r="A731" s="35"/>
      <c r="B731" s="36"/>
      <c r="C731" s="37"/>
      <c r="D731" s="36"/>
      <c r="E731" s="36"/>
      <c r="F731" s="37"/>
      <c r="G731" s="36"/>
      <c r="H731" s="36"/>
      <c r="I731" s="171"/>
      <c r="J731" s="38"/>
      <c r="K731" s="28"/>
      <c r="L731" s="28"/>
    </row>
    <row r="732" spans="1:12" x14ac:dyDescent="0.25">
      <c r="A732" s="35"/>
      <c r="B732" s="36"/>
      <c r="C732" s="37"/>
      <c r="D732" s="36"/>
      <c r="E732" s="36"/>
      <c r="F732" s="37"/>
      <c r="G732" s="36"/>
      <c r="H732" s="36"/>
      <c r="I732" s="171"/>
      <c r="J732" s="38"/>
      <c r="K732" s="28"/>
      <c r="L732" s="28"/>
    </row>
    <row r="733" spans="1:12" x14ac:dyDescent="0.25">
      <c r="A733" s="35"/>
      <c r="B733" s="36"/>
      <c r="C733" s="37"/>
      <c r="D733" s="36"/>
      <c r="E733" s="36"/>
      <c r="F733" s="37"/>
      <c r="G733" s="36"/>
      <c r="H733" s="36"/>
      <c r="I733" s="171"/>
      <c r="J733" s="38"/>
      <c r="K733" s="28"/>
      <c r="L733" s="28"/>
    </row>
    <row r="734" spans="1:12" x14ac:dyDescent="0.25">
      <c r="A734" s="35"/>
      <c r="B734" s="36"/>
      <c r="C734" s="37"/>
      <c r="D734" s="36"/>
      <c r="E734" s="36"/>
      <c r="F734" s="37"/>
      <c r="G734" s="36"/>
      <c r="H734" s="36"/>
      <c r="I734" s="171"/>
      <c r="J734" s="38"/>
      <c r="K734" s="28"/>
      <c r="L734" s="28"/>
    </row>
    <row r="735" spans="1:12" x14ac:dyDescent="0.25">
      <c r="A735" s="35"/>
      <c r="B735" s="36"/>
      <c r="C735" s="37"/>
      <c r="D735" s="36"/>
      <c r="E735" s="36"/>
      <c r="F735" s="37"/>
      <c r="G735" s="36"/>
      <c r="H735" s="36"/>
      <c r="I735" s="171"/>
      <c r="J735" s="38"/>
      <c r="K735" s="28"/>
      <c r="L735" s="28"/>
    </row>
    <row r="736" spans="1:12" x14ac:dyDescent="0.25">
      <c r="A736" s="35"/>
      <c r="B736" s="36"/>
      <c r="C736" s="37"/>
      <c r="D736" s="36"/>
      <c r="E736" s="36"/>
      <c r="F736" s="37"/>
      <c r="G736" s="36"/>
      <c r="H736" s="36"/>
      <c r="I736" s="171"/>
      <c r="J736" s="38"/>
      <c r="K736" s="28"/>
      <c r="L736" s="28"/>
    </row>
    <row r="737" spans="1:12" x14ac:dyDescent="0.25">
      <c r="A737" s="35"/>
      <c r="B737" s="36"/>
      <c r="C737" s="37"/>
      <c r="D737" s="36"/>
      <c r="E737" s="36"/>
      <c r="F737" s="37"/>
      <c r="G737" s="36"/>
      <c r="H737" s="36"/>
      <c r="I737" s="171"/>
      <c r="J737" s="38"/>
      <c r="K737" s="28"/>
      <c r="L737" s="28"/>
    </row>
    <row r="738" spans="1:12" x14ac:dyDescent="0.25">
      <c r="A738" s="35"/>
      <c r="B738" s="36"/>
      <c r="C738" s="37"/>
      <c r="D738" s="36"/>
      <c r="E738" s="36"/>
      <c r="F738" s="37"/>
      <c r="G738" s="36"/>
      <c r="H738" s="36"/>
      <c r="I738" s="171"/>
      <c r="J738" s="38"/>
      <c r="K738" s="28"/>
      <c r="L738" s="28"/>
    </row>
    <row r="739" spans="1:12" x14ac:dyDescent="0.25">
      <c r="A739" s="35"/>
      <c r="B739" s="36"/>
      <c r="C739" s="37"/>
      <c r="D739" s="36"/>
      <c r="E739" s="36"/>
      <c r="F739" s="37"/>
      <c r="G739" s="36"/>
      <c r="H739" s="36"/>
      <c r="I739" s="171"/>
      <c r="J739" s="38"/>
      <c r="K739" s="28"/>
      <c r="L739" s="28"/>
    </row>
    <row r="740" spans="1:12" x14ac:dyDescent="0.25">
      <c r="A740" s="35"/>
      <c r="B740" s="36"/>
      <c r="C740" s="37"/>
      <c r="D740" s="36"/>
      <c r="E740" s="36"/>
      <c r="F740" s="37"/>
      <c r="G740" s="36"/>
      <c r="H740" s="36"/>
      <c r="I740" s="171"/>
      <c r="J740" s="38"/>
      <c r="K740" s="28"/>
      <c r="L740" s="28"/>
    </row>
    <row r="741" spans="1:12" x14ac:dyDescent="0.25">
      <c r="A741" s="35"/>
      <c r="B741" s="36"/>
      <c r="C741" s="37"/>
      <c r="D741" s="36"/>
      <c r="E741" s="36"/>
      <c r="F741" s="37"/>
      <c r="G741" s="36"/>
      <c r="H741" s="36"/>
      <c r="I741" s="171"/>
      <c r="J741" s="38"/>
      <c r="K741" s="28"/>
      <c r="L741" s="28"/>
    </row>
    <row r="742" spans="1:12" x14ac:dyDescent="0.25">
      <c r="A742" s="35"/>
      <c r="B742" s="36"/>
      <c r="C742" s="37"/>
      <c r="D742" s="36"/>
      <c r="E742" s="36"/>
      <c r="F742" s="37"/>
      <c r="G742" s="36"/>
      <c r="H742" s="36"/>
      <c r="I742" s="171"/>
      <c r="J742" s="38"/>
      <c r="K742" s="28"/>
      <c r="L742" s="28"/>
    </row>
    <row r="743" spans="1:12" x14ac:dyDescent="0.25">
      <c r="A743" s="35"/>
      <c r="B743" s="36"/>
      <c r="C743" s="37"/>
      <c r="D743" s="36"/>
      <c r="E743" s="36"/>
      <c r="F743" s="37"/>
      <c r="G743" s="36"/>
      <c r="H743" s="36"/>
      <c r="I743" s="171"/>
      <c r="J743" s="38"/>
      <c r="K743" s="28"/>
      <c r="L743" s="28"/>
    </row>
    <row r="744" spans="1:12" x14ac:dyDescent="0.25">
      <c r="A744" s="35"/>
      <c r="B744" s="36"/>
      <c r="C744" s="37"/>
      <c r="D744" s="36"/>
      <c r="E744" s="36"/>
      <c r="F744" s="37"/>
      <c r="G744" s="36"/>
      <c r="H744" s="36"/>
      <c r="I744" s="171"/>
      <c r="J744" s="38"/>
      <c r="K744" s="28"/>
      <c r="L744" s="28"/>
    </row>
    <row r="745" spans="1:12" x14ac:dyDescent="0.25">
      <c r="A745" s="35"/>
      <c r="B745" s="36"/>
      <c r="C745" s="37"/>
      <c r="D745" s="36"/>
      <c r="E745" s="36"/>
      <c r="F745" s="37"/>
      <c r="G745" s="36"/>
      <c r="H745" s="36"/>
      <c r="I745" s="171"/>
      <c r="J745" s="38"/>
      <c r="K745" s="28"/>
      <c r="L745" s="28"/>
    </row>
    <row r="746" spans="1:12" x14ac:dyDescent="0.25">
      <c r="A746" s="35"/>
      <c r="B746" s="36"/>
      <c r="C746" s="37"/>
      <c r="D746" s="36"/>
      <c r="E746" s="36"/>
      <c r="F746" s="37"/>
      <c r="G746" s="36"/>
      <c r="H746" s="36"/>
      <c r="I746" s="171"/>
      <c r="J746" s="38"/>
      <c r="K746" s="28"/>
      <c r="L746" s="28"/>
    </row>
    <row r="747" spans="1:12" x14ac:dyDescent="0.25">
      <c r="A747" s="35"/>
      <c r="B747" s="36"/>
      <c r="C747" s="37"/>
      <c r="D747" s="36"/>
      <c r="E747" s="36"/>
      <c r="F747" s="37"/>
      <c r="G747" s="36"/>
      <c r="H747" s="36"/>
      <c r="I747" s="171"/>
      <c r="J747" s="38"/>
      <c r="K747" s="28"/>
      <c r="L747" s="28"/>
    </row>
    <row r="748" spans="1:12" x14ac:dyDescent="0.25">
      <c r="A748" s="35"/>
      <c r="B748" s="36"/>
      <c r="C748" s="37"/>
      <c r="D748" s="36"/>
      <c r="E748" s="36"/>
      <c r="F748" s="37"/>
      <c r="G748" s="36"/>
      <c r="H748" s="36"/>
      <c r="I748" s="171"/>
      <c r="J748" s="38"/>
      <c r="K748" s="28"/>
      <c r="L748" s="28"/>
    </row>
    <row r="749" spans="1:12" x14ac:dyDescent="0.25">
      <c r="A749" s="35"/>
      <c r="B749" s="36"/>
      <c r="C749" s="37"/>
      <c r="D749" s="36"/>
      <c r="E749" s="36"/>
      <c r="F749" s="37"/>
      <c r="G749" s="36"/>
      <c r="H749" s="36"/>
      <c r="I749" s="171"/>
      <c r="J749" s="38"/>
      <c r="K749" s="28"/>
      <c r="L749" s="28"/>
    </row>
    <row r="750" spans="1:12" x14ac:dyDescent="0.25">
      <c r="A750" s="35"/>
      <c r="B750" s="36"/>
      <c r="C750" s="37"/>
      <c r="D750" s="36"/>
      <c r="E750" s="36"/>
      <c r="F750" s="37"/>
      <c r="G750" s="36"/>
      <c r="H750" s="36"/>
      <c r="I750" s="171"/>
      <c r="J750" s="38"/>
      <c r="K750" s="28"/>
      <c r="L750" s="28"/>
    </row>
    <row r="751" spans="1:12" x14ac:dyDescent="0.25">
      <c r="A751" s="35"/>
      <c r="B751" s="36"/>
      <c r="C751" s="37"/>
      <c r="D751" s="36"/>
      <c r="E751" s="36"/>
      <c r="F751" s="37"/>
      <c r="G751" s="36"/>
      <c r="H751" s="36"/>
      <c r="I751" s="171"/>
      <c r="J751" s="38"/>
      <c r="K751" s="28"/>
      <c r="L751" s="28"/>
    </row>
    <row r="752" spans="1:12" x14ac:dyDescent="0.25">
      <c r="A752" s="35"/>
      <c r="B752" s="36"/>
      <c r="C752" s="37"/>
      <c r="D752" s="36"/>
      <c r="E752" s="36"/>
      <c r="F752" s="37"/>
      <c r="G752" s="36"/>
      <c r="H752" s="36"/>
      <c r="I752" s="171"/>
      <c r="J752" s="38"/>
      <c r="K752" s="28"/>
      <c r="L752" s="28"/>
    </row>
    <row r="753" spans="1:12" x14ac:dyDescent="0.25">
      <c r="A753" s="35"/>
      <c r="B753" s="36"/>
      <c r="C753" s="37"/>
      <c r="D753" s="36"/>
      <c r="E753" s="36"/>
      <c r="F753" s="37"/>
      <c r="G753" s="36"/>
      <c r="H753" s="36"/>
      <c r="I753" s="171"/>
      <c r="J753" s="38"/>
      <c r="K753" s="28"/>
      <c r="L753" s="28"/>
    </row>
    <row r="754" spans="1:12" x14ac:dyDescent="0.25">
      <c r="A754" s="35"/>
      <c r="B754" s="36"/>
      <c r="C754" s="37"/>
      <c r="D754" s="36"/>
      <c r="E754" s="36"/>
      <c r="F754" s="37"/>
      <c r="G754" s="36"/>
      <c r="H754" s="36"/>
      <c r="I754" s="171"/>
      <c r="J754" s="38"/>
      <c r="K754" s="28"/>
      <c r="L754" s="28"/>
    </row>
    <row r="755" spans="1:12" x14ac:dyDescent="0.25">
      <c r="A755" s="35"/>
      <c r="B755" s="36"/>
      <c r="C755" s="37"/>
      <c r="D755" s="36"/>
      <c r="E755" s="36"/>
      <c r="F755" s="37"/>
      <c r="G755" s="36"/>
      <c r="H755" s="36"/>
      <c r="I755" s="171"/>
      <c r="J755" s="38"/>
      <c r="K755" s="28"/>
      <c r="L755" s="28"/>
    </row>
    <row r="756" spans="1:12" x14ac:dyDescent="0.25">
      <c r="A756" s="35"/>
      <c r="B756" s="36"/>
      <c r="C756" s="37"/>
      <c r="D756" s="36"/>
      <c r="E756" s="36"/>
      <c r="F756" s="37"/>
      <c r="G756" s="36"/>
      <c r="H756" s="36"/>
      <c r="I756" s="171"/>
      <c r="J756" s="38"/>
      <c r="K756" s="28"/>
      <c r="L756" s="28"/>
    </row>
    <row r="757" spans="1:12" x14ac:dyDescent="0.25">
      <c r="A757" s="35"/>
      <c r="B757" s="36"/>
      <c r="C757" s="37"/>
      <c r="D757" s="36"/>
      <c r="E757" s="36"/>
      <c r="F757" s="37"/>
      <c r="G757" s="36"/>
      <c r="H757" s="36"/>
      <c r="I757" s="171"/>
      <c r="J757" s="38"/>
      <c r="K757" s="28"/>
      <c r="L757" s="28"/>
    </row>
    <row r="758" spans="1:12" x14ac:dyDescent="0.25">
      <c r="A758" s="35"/>
      <c r="B758" s="36"/>
      <c r="C758" s="37"/>
      <c r="D758" s="36"/>
      <c r="E758" s="36"/>
      <c r="F758" s="37"/>
      <c r="G758" s="36"/>
      <c r="H758" s="36"/>
      <c r="I758" s="171"/>
      <c r="J758" s="38"/>
      <c r="K758" s="28"/>
      <c r="L758" s="28"/>
    </row>
    <row r="759" spans="1:12" x14ac:dyDescent="0.25">
      <c r="A759" s="35"/>
      <c r="B759" s="36"/>
      <c r="C759" s="37"/>
      <c r="D759" s="36"/>
      <c r="E759" s="36"/>
      <c r="F759" s="37"/>
      <c r="G759" s="36"/>
      <c r="H759" s="36"/>
      <c r="I759" s="171"/>
      <c r="J759" s="38"/>
      <c r="K759" s="28"/>
      <c r="L759" s="28"/>
    </row>
    <row r="760" spans="1:12" x14ac:dyDescent="0.25">
      <c r="A760" s="35"/>
      <c r="B760" s="36"/>
      <c r="C760" s="37"/>
      <c r="D760" s="36"/>
      <c r="E760" s="36"/>
      <c r="F760" s="37"/>
      <c r="G760" s="36"/>
      <c r="H760" s="36"/>
      <c r="I760" s="171"/>
      <c r="J760" s="38"/>
      <c r="K760" s="28"/>
      <c r="L760" s="28"/>
    </row>
    <row r="761" spans="1:12" x14ac:dyDescent="0.25">
      <c r="A761" s="35"/>
      <c r="B761" s="36"/>
      <c r="C761" s="37"/>
      <c r="D761" s="36"/>
      <c r="E761" s="36"/>
      <c r="F761" s="37"/>
      <c r="G761" s="36"/>
      <c r="H761" s="36"/>
      <c r="I761" s="171"/>
      <c r="J761" s="38"/>
      <c r="K761" s="28"/>
      <c r="L761" s="28"/>
    </row>
    <row r="762" spans="1:12" x14ac:dyDescent="0.25">
      <c r="A762" s="35"/>
      <c r="B762" s="36"/>
      <c r="C762" s="37"/>
      <c r="D762" s="36"/>
      <c r="E762" s="36"/>
      <c r="F762" s="37"/>
      <c r="G762" s="36"/>
      <c r="H762" s="36"/>
      <c r="I762" s="171"/>
      <c r="J762" s="38"/>
      <c r="K762" s="28"/>
      <c r="L762" s="28"/>
    </row>
    <row r="763" spans="1:12" x14ac:dyDescent="0.25">
      <c r="A763" s="35"/>
      <c r="B763" s="36"/>
      <c r="C763" s="37"/>
      <c r="D763" s="36"/>
      <c r="E763" s="36"/>
      <c r="F763" s="37"/>
      <c r="G763" s="36"/>
      <c r="H763" s="36"/>
      <c r="I763" s="171"/>
      <c r="J763" s="38"/>
      <c r="K763" s="28"/>
      <c r="L763" s="28"/>
    </row>
    <row r="764" spans="1:12" x14ac:dyDescent="0.25">
      <c r="A764" s="35"/>
      <c r="B764" s="36"/>
      <c r="C764" s="37"/>
      <c r="D764" s="36"/>
      <c r="E764" s="36"/>
      <c r="F764" s="37"/>
      <c r="G764" s="36"/>
      <c r="H764" s="36"/>
      <c r="I764" s="171"/>
      <c r="J764" s="38"/>
      <c r="K764" s="28"/>
      <c r="L764" s="28"/>
    </row>
    <row r="765" spans="1:12" x14ac:dyDescent="0.25">
      <c r="A765" s="35"/>
      <c r="B765" s="36"/>
      <c r="C765" s="37"/>
      <c r="D765" s="36"/>
      <c r="E765" s="36"/>
      <c r="F765" s="37"/>
      <c r="G765" s="36"/>
      <c r="H765" s="36"/>
      <c r="I765" s="171"/>
      <c r="J765" s="38"/>
      <c r="K765" s="28"/>
      <c r="L765" s="28"/>
    </row>
    <row r="766" spans="1:12" x14ac:dyDescent="0.25">
      <c r="A766" s="35"/>
      <c r="B766" s="36"/>
      <c r="C766" s="37"/>
      <c r="D766" s="36"/>
      <c r="E766" s="36"/>
      <c r="F766" s="37"/>
      <c r="G766" s="36"/>
      <c r="H766" s="36"/>
      <c r="I766" s="171"/>
      <c r="J766" s="38"/>
      <c r="K766" s="28"/>
      <c r="L766" s="28"/>
    </row>
    <row r="767" spans="1:12" x14ac:dyDescent="0.25">
      <c r="A767" s="35"/>
      <c r="B767" s="36"/>
      <c r="C767" s="37"/>
      <c r="D767" s="36"/>
      <c r="E767" s="36"/>
      <c r="F767" s="37"/>
      <c r="G767" s="36"/>
      <c r="H767" s="36"/>
      <c r="I767" s="171"/>
      <c r="J767" s="38"/>
      <c r="K767" s="28"/>
      <c r="L767" s="28"/>
    </row>
    <row r="768" spans="1:12" x14ac:dyDescent="0.25">
      <c r="A768" s="35"/>
      <c r="B768" s="36"/>
      <c r="C768" s="37"/>
      <c r="D768" s="36"/>
      <c r="E768" s="36"/>
      <c r="F768" s="37"/>
      <c r="G768" s="36"/>
      <c r="H768" s="36"/>
      <c r="I768" s="171"/>
      <c r="J768" s="38"/>
      <c r="K768" s="28"/>
      <c r="L768" s="28"/>
    </row>
    <row r="769" spans="1:12" x14ac:dyDescent="0.25">
      <c r="A769" s="35"/>
      <c r="B769" s="36"/>
      <c r="C769" s="37"/>
      <c r="D769" s="36"/>
      <c r="E769" s="36"/>
      <c r="F769" s="37"/>
      <c r="G769" s="36"/>
      <c r="H769" s="36"/>
      <c r="I769" s="171"/>
      <c r="J769" s="38"/>
      <c r="K769" s="28"/>
      <c r="L769" s="28"/>
    </row>
    <row r="770" spans="1:12" x14ac:dyDescent="0.25">
      <c r="A770" s="35"/>
      <c r="B770" s="36"/>
      <c r="C770" s="37"/>
      <c r="D770" s="36"/>
      <c r="E770" s="36"/>
      <c r="F770" s="37"/>
      <c r="G770" s="36"/>
      <c r="H770" s="36"/>
      <c r="I770" s="171"/>
      <c r="J770" s="38"/>
      <c r="K770" s="28"/>
      <c r="L770" s="28"/>
    </row>
    <row r="771" spans="1:12" x14ac:dyDescent="0.25">
      <c r="A771" s="35"/>
      <c r="B771" s="36"/>
      <c r="C771" s="37"/>
      <c r="D771" s="36"/>
      <c r="E771" s="36"/>
      <c r="F771" s="37"/>
      <c r="G771" s="36"/>
      <c r="H771" s="36"/>
      <c r="I771" s="171"/>
      <c r="J771" s="38"/>
      <c r="K771" s="28"/>
      <c r="L771" s="28"/>
    </row>
    <row r="772" spans="1:12" x14ac:dyDescent="0.25">
      <c r="A772" s="35"/>
      <c r="B772" s="36"/>
      <c r="C772" s="37"/>
      <c r="D772" s="36"/>
      <c r="E772" s="36"/>
      <c r="F772" s="37"/>
      <c r="G772" s="36"/>
      <c r="H772" s="36"/>
      <c r="I772" s="171"/>
      <c r="J772" s="38"/>
      <c r="K772" s="28"/>
      <c r="L772" s="28"/>
    </row>
    <row r="773" spans="1:12" x14ac:dyDescent="0.25">
      <c r="A773" s="35"/>
      <c r="B773" s="36"/>
      <c r="C773" s="37"/>
      <c r="D773" s="36"/>
      <c r="E773" s="36"/>
      <c r="F773" s="37"/>
      <c r="G773" s="36"/>
      <c r="H773" s="36"/>
      <c r="I773" s="171"/>
      <c r="J773" s="38"/>
      <c r="K773" s="28"/>
      <c r="L773" s="28"/>
    </row>
    <row r="774" spans="1:12" x14ac:dyDescent="0.25">
      <c r="A774" s="35"/>
      <c r="B774" s="36"/>
      <c r="C774" s="37"/>
      <c r="D774" s="36"/>
      <c r="E774" s="36"/>
      <c r="F774" s="37"/>
      <c r="G774" s="36"/>
      <c r="H774" s="36"/>
      <c r="I774" s="171"/>
      <c r="J774" s="38"/>
      <c r="K774" s="28"/>
      <c r="L774" s="28"/>
    </row>
    <row r="775" spans="1:12" x14ac:dyDescent="0.25">
      <c r="A775" s="35"/>
      <c r="B775" s="36"/>
      <c r="C775" s="37"/>
      <c r="D775" s="36"/>
      <c r="E775" s="36"/>
      <c r="F775" s="37"/>
      <c r="G775" s="36"/>
      <c r="H775" s="36"/>
      <c r="I775" s="171"/>
      <c r="J775" s="38"/>
      <c r="K775" s="28"/>
      <c r="L775" s="28"/>
    </row>
    <row r="776" spans="1:12" x14ac:dyDescent="0.25">
      <c r="A776" s="35"/>
      <c r="B776" s="36"/>
      <c r="C776" s="37"/>
      <c r="D776" s="36"/>
      <c r="E776" s="36"/>
      <c r="F776" s="37"/>
      <c r="G776" s="36"/>
      <c r="H776" s="36"/>
      <c r="I776" s="171"/>
      <c r="J776" s="38"/>
      <c r="K776" s="28"/>
      <c r="L776" s="28"/>
    </row>
    <row r="777" spans="1:12" x14ac:dyDescent="0.25">
      <c r="A777" s="35"/>
      <c r="B777" s="36"/>
      <c r="C777" s="37"/>
      <c r="D777" s="36"/>
      <c r="E777" s="36"/>
      <c r="F777" s="37"/>
      <c r="G777" s="36"/>
      <c r="H777" s="36"/>
      <c r="I777" s="171"/>
      <c r="J777" s="38"/>
      <c r="K777" s="28"/>
      <c r="L777" s="28"/>
    </row>
    <row r="778" spans="1:12" x14ac:dyDescent="0.25">
      <c r="A778" s="35"/>
      <c r="B778" s="36"/>
      <c r="C778" s="37"/>
      <c r="D778" s="36"/>
      <c r="E778" s="36"/>
      <c r="F778" s="37"/>
      <c r="G778" s="36"/>
      <c r="H778" s="36"/>
      <c r="I778" s="171"/>
      <c r="J778" s="38"/>
      <c r="K778" s="28"/>
      <c r="L778" s="28"/>
    </row>
    <row r="779" spans="1:12" x14ac:dyDescent="0.25">
      <c r="A779" s="35"/>
      <c r="B779" s="36"/>
      <c r="C779" s="37"/>
      <c r="D779" s="36"/>
      <c r="E779" s="36"/>
      <c r="F779" s="37"/>
      <c r="G779" s="36"/>
      <c r="H779" s="36"/>
      <c r="I779" s="171"/>
      <c r="J779" s="38"/>
      <c r="K779" s="28"/>
      <c r="L779" s="28"/>
    </row>
    <row r="780" spans="1:12" x14ac:dyDescent="0.25">
      <c r="A780" s="35"/>
      <c r="B780" s="36"/>
      <c r="C780" s="37"/>
      <c r="D780" s="36"/>
      <c r="E780" s="36"/>
      <c r="F780" s="37"/>
      <c r="G780" s="36"/>
      <c r="H780" s="36"/>
      <c r="I780" s="171"/>
      <c r="J780" s="38"/>
      <c r="K780" s="28"/>
      <c r="L780" s="28"/>
    </row>
    <row r="781" spans="1:12" x14ac:dyDescent="0.25">
      <c r="A781" s="35"/>
      <c r="B781" s="36"/>
      <c r="C781" s="37"/>
      <c r="D781" s="36"/>
      <c r="E781" s="36"/>
      <c r="F781" s="37"/>
      <c r="G781" s="36"/>
      <c r="H781" s="36"/>
      <c r="I781" s="171"/>
      <c r="J781" s="38"/>
      <c r="K781" s="28"/>
      <c r="L781" s="28"/>
    </row>
    <row r="782" spans="1:12" x14ac:dyDescent="0.25">
      <c r="A782" s="35"/>
      <c r="B782" s="36"/>
      <c r="C782" s="37"/>
      <c r="D782" s="36"/>
      <c r="E782" s="36"/>
      <c r="F782" s="37"/>
      <c r="G782" s="36"/>
      <c r="H782" s="36"/>
      <c r="I782" s="171"/>
      <c r="J782" s="38"/>
      <c r="K782" s="28"/>
      <c r="L782" s="28"/>
    </row>
    <row r="783" spans="1:12" x14ac:dyDescent="0.25">
      <c r="A783" s="35"/>
      <c r="B783" s="36"/>
      <c r="C783" s="37"/>
      <c r="D783" s="36"/>
      <c r="E783" s="36"/>
      <c r="F783" s="37"/>
      <c r="G783" s="36"/>
      <c r="H783" s="36"/>
      <c r="I783" s="171"/>
      <c r="J783" s="38"/>
      <c r="K783" s="28"/>
      <c r="L783" s="28"/>
    </row>
    <row r="784" spans="1:12" x14ac:dyDescent="0.25">
      <c r="A784" s="35"/>
      <c r="B784" s="36"/>
      <c r="C784" s="37"/>
      <c r="D784" s="36"/>
      <c r="E784" s="36"/>
      <c r="F784" s="37"/>
      <c r="G784" s="36"/>
      <c r="H784" s="36"/>
      <c r="I784" s="171"/>
      <c r="J784" s="38"/>
      <c r="K784" s="28"/>
      <c r="L784" s="28"/>
    </row>
    <row r="785" spans="1:12" x14ac:dyDescent="0.25">
      <c r="A785" s="35"/>
      <c r="B785" s="36"/>
      <c r="C785" s="37"/>
      <c r="D785" s="36"/>
      <c r="E785" s="36"/>
      <c r="F785" s="37"/>
      <c r="G785" s="36"/>
      <c r="H785" s="36"/>
      <c r="I785" s="171"/>
      <c r="J785" s="38"/>
      <c r="K785" s="28"/>
      <c r="L785" s="28"/>
    </row>
    <row r="786" spans="1:12" x14ac:dyDescent="0.25">
      <c r="A786" s="35"/>
      <c r="B786" s="36"/>
      <c r="C786" s="37"/>
      <c r="D786" s="36"/>
      <c r="E786" s="36"/>
      <c r="F786" s="37"/>
      <c r="G786" s="36"/>
      <c r="H786" s="36"/>
      <c r="I786" s="171"/>
      <c r="J786" s="38"/>
      <c r="K786" s="28"/>
      <c r="L786" s="28"/>
    </row>
    <row r="787" spans="1:12" x14ac:dyDescent="0.25">
      <c r="A787" s="35"/>
      <c r="B787" s="36"/>
      <c r="C787" s="37"/>
      <c r="D787" s="36"/>
      <c r="E787" s="36"/>
      <c r="F787" s="37"/>
      <c r="G787" s="36"/>
      <c r="H787" s="36"/>
      <c r="I787" s="171"/>
      <c r="J787" s="38"/>
      <c r="K787" s="28"/>
      <c r="L787" s="28"/>
    </row>
    <row r="788" spans="1:12" x14ac:dyDescent="0.25">
      <c r="A788" s="35"/>
      <c r="B788" s="36"/>
      <c r="C788" s="37"/>
      <c r="D788" s="36"/>
      <c r="E788" s="36"/>
      <c r="F788" s="37"/>
      <c r="G788" s="36"/>
      <c r="H788" s="36"/>
      <c r="I788" s="171"/>
      <c r="J788" s="38"/>
      <c r="K788" s="28"/>
      <c r="L788" s="28"/>
    </row>
    <row r="789" spans="1:12" x14ac:dyDescent="0.25">
      <c r="A789" s="35"/>
      <c r="B789" s="36"/>
      <c r="C789" s="37"/>
      <c r="D789" s="36"/>
      <c r="E789" s="36"/>
      <c r="F789" s="37"/>
      <c r="G789" s="36"/>
      <c r="H789" s="36"/>
      <c r="I789" s="171"/>
      <c r="J789" s="38"/>
      <c r="K789" s="28"/>
      <c r="L789" s="28"/>
    </row>
    <row r="790" spans="1:12" x14ac:dyDescent="0.25">
      <c r="A790" s="35"/>
      <c r="B790" s="36"/>
      <c r="C790" s="37"/>
      <c r="D790" s="36"/>
      <c r="E790" s="36"/>
      <c r="F790" s="37"/>
      <c r="G790" s="36"/>
      <c r="H790" s="36"/>
      <c r="I790" s="171"/>
      <c r="J790" s="38"/>
      <c r="K790" s="28"/>
      <c r="L790" s="28"/>
    </row>
    <row r="791" spans="1:12" x14ac:dyDescent="0.25">
      <c r="A791" s="35"/>
      <c r="B791" s="36"/>
      <c r="C791" s="37"/>
      <c r="D791" s="36"/>
      <c r="E791" s="36"/>
      <c r="F791" s="37"/>
      <c r="G791" s="36"/>
      <c r="H791" s="36"/>
      <c r="I791" s="171"/>
      <c r="J791" s="38"/>
      <c r="K791" s="28"/>
      <c r="L791" s="28"/>
    </row>
    <row r="792" spans="1:12" x14ac:dyDescent="0.25">
      <c r="A792" s="35"/>
      <c r="B792" s="36"/>
      <c r="C792" s="37"/>
      <c r="D792" s="36"/>
      <c r="E792" s="36"/>
      <c r="F792" s="37"/>
      <c r="G792" s="36"/>
      <c r="H792" s="36"/>
      <c r="I792" s="171"/>
      <c r="J792" s="38"/>
      <c r="K792" s="28"/>
      <c r="L792" s="28"/>
    </row>
    <row r="793" spans="1:12" x14ac:dyDescent="0.25">
      <c r="A793" s="35"/>
      <c r="B793" s="36"/>
      <c r="C793" s="37"/>
      <c r="D793" s="36"/>
      <c r="E793" s="36"/>
      <c r="F793" s="37"/>
      <c r="G793" s="36"/>
      <c r="H793" s="36"/>
      <c r="I793" s="171"/>
      <c r="J793" s="38"/>
      <c r="K793" s="28"/>
      <c r="L793" s="28"/>
    </row>
    <row r="794" spans="1:12" x14ac:dyDescent="0.25">
      <c r="A794" s="35"/>
      <c r="B794" s="36"/>
      <c r="C794" s="37"/>
      <c r="D794" s="36"/>
      <c r="E794" s="36"/>
      <c r="F794" s="37"/>
      <c r="G794" s="36"/>
      <c r="H794" s="36"/>
      <c r="I794" s="171"/>
      <c r="J794" s="38"/>
      <c r="K794" s="28"/>
      <c r="L794" s="28"/>
    </row>
    <row r="795" spans="1:12" x14ac:dyDescent="0.25">
      <c r="A795" s="35"/>
      <c r="B795" s="36"/>
      <c r="C795" s="37"/>
      <c r="D795" s="36"/>
      <c r="E795" s="36"/>
      <c r="F795" s="37"/>
      <c r="G795" s="36"/>
      <c r="H795" s="36"/>
      <c r="I795" s="171"/>
      <c r="J795" s="38"/>
      <c r="K795" s="28"/>
      <c r="L795" s="28"/>
    </row>
    <row r="796" spans="1:12" x14ac:dyDescent="0.25">
      <c r="A796" s="35"/>
      <c r="B796" s="36"/>
      <c r="C796" s="37"/>
      <c r="D796" s="36"/>
      <c r="E796" s="36"/>
      <c r="F796" s="37"/>
      <c r="G796" s="36"/>
      <c r="H796" s="36"/>
      <c r="I796" s="171"/>
      <c r="J796" s="38"/>
      <c r="K796" s="28"/>
      <c r="L796" s="28"/>
    </row>
    <row r="797" spans="1:12" x14ac:dyDescent="0.25">
      <c r="A797" s="35"/>
      <c r="B797" s="36"/>
      <c r="C797" s="37"/>
      <c r="D797" s="36"/>
      <c r="E797" s="36"/>
      <c r="F797" s="37"/>
      <c r="G797" s="36"/>
      <c r="H797" s="36"/>
      <c r="I797" s="171"/>
      <c r="J797" s="38"/>
      <c r="K797" s="28"/>
      <c r="L797" s="28"/>
    </row>
    <row r="798" spans="1:12" x14ac:dyDescent="0.25">
      <c r="A798" s="35"/>
      <c r="B798" s="36"/>
      <c r="C798" s="37"/>
      <c r="D798" s="36"/>
      <c r="E798" s="36"/>
      <c r="F798" s="37"/>
      <c r="G798" s="36"/>
      <c r="H798" s="36"/>
      <c r="I798" s="171"/>
      <c r="J798" s="38"/>
      <c r="K798" s="28"/>
      <c r="L798" s="28"/>
    </row>
    <row r="799" spans="1:12" x14ac:dyDescent="0.25">
      <c r="A799" s="35"/>
      <c r="B799" s="36"/>
      <c r="C799" s="37"/>
      <c r="D799" s="36"/>
      <c r="E799" s="36"/>
      <c r="F799" s="37"/>
      <c r="G799" s="36"/>
      <c r="H799" s="36"/>
      <c r="I799" s="171"/>
      <c r="J799" s="38"/>
      <c r="K799" s="28"/>
      <c r="L799" s="28"/>
    </row>
    <row r="800" spans="1:12" x14ac:dyDescent="0.25">
      <c r="A800" s="35"/>
      <c r="B800" s="36"/>
      <c r="C800" s="37"/>
      <c r="D800" s="36"/>
      <c r="E800" s="36"/>
      <c r="F800" s="37"/>
      <c r="G800" s="36"/>
      <c r="H800" s="36"/>
      <c r="I800" s="171"/>
      <c r="J800" s="38"/>
      <c r="K800" s="28"/>
      <c r="L800" s="28"/>
    </row>
    <row r="801" spans="1:12" x14ac:dyDescent="0.25">
      <c r="A801" s="35"/>
      <c r="B801" s="36"/>
      <c r="C801" s="37"/>
      <c r="D801" s="36"/>
      <c r="E801" s="36"/>
      <c r="F801" s="37"/>
      <c r="G801" s="36"/>
      <c r="H801" s="36"/>
      <c r="I801" s="171"/>
      <c r="J801" s="38"/>
      <c r="K801" s="28"/>
      <c r="L801" s="28"/>
    </row>
    <row r="802" spans="1:12" x14ac:dyDescent="0.25">
      <c r="A802" s="35"/>
      <c r="B802" s="36"/>
      <c r="C802" s="37"/>
      <c r="D802" s="36"/>
      <c r="E802" s="36"/>
      <c r="F802" s="37"/>
      <c r="G802" s="36"/>
      <c r="H802" s="36"/>
      <c r="I802" s="171"/>
      <c r="J802" s="38"/>
      <c r="K802" s="28"/>
      <c r="L802" s="28"/>
    </row>
    <row r="803" spans="1:12" x14ac:dyDescent="0.25">
      <c r="A803" s="35"/>
      <c r="B803" s="36"/>
      <c r="C803" s="37"/>
      <c r="D803" s="36"/>
      <c r="E803" s="36"/>
      <c r="F803" s="37"/>
      <c r="G803" s="36"/>
      <c r="H803" s="36"/>
      <c r="I803" s="171"/>
      <c r="J803" s="38"/>
      <c r="K803" s="28"/>
      <c r="L803" s="28"/>
    </row>
    <row r="804" spans="1:12" x14ac:dyDescent="0.25">
      <c r="A804" s="35"/>
      <c r="B804" s="36"/>
      <c r="C804" s="37"/>
      <c r="D804" s="36"/>
      <c r="E804" s="36"/>
      <c r="F804" s="37"/>
      <c r="G804" s="36"/>
      <c r="H804" s="36"/>
      <c r="I804" s="171"/>
      <c r="J804" s="38"/>
      <c r="K804" s="28"/>
      <c r="L804" s="28"/>
    </row>
    <row r="805" spans="1:12" x14ac:dyDescent="0.25">
      <c r="A805" s="35"/>
      <c r="B805" s="36"/>
      <c r="C805" s="37"/>
      <c r="D805" s="36"/>
      <c r="E805" s="36"/>
      <c r="F805" s="37"/>
      <c r="G805" s="36"/>
      <c r="H805" s="36"/>
      <c r="I805" s="171"/>
      <c r="J805" s="38"/>
      <c r="K805" s="28"/>
      <c r="L805" s="28"/>
    </row>
    <row r="806" spans="1:12" x14ac:dyDescent="0.25">
      <c r="A806" s="35"/>
      <c r="B806" s="36"/>
      <c r="C806" s="37"/>
      <c r="D806" s="36"/>
      <c r="E806" s="36"/>
      <c r="F806" s="37"/>
      <c r="G806" s="36"/>
      <c r="H806" s="36"/>
      <c r="I806" s="171"/>
      <c r="J806" s="38"/>
      <c r="K806" s="28"/>
      <c r="L806" s="28"/>
    </row>
    <row r="807" spans="1:12" x14ac:dyDescent="0.25">
      <c r="A807" s="35"/>
      <c r="B807" s="36"/>
      <c r="C807" s="37"/>
      <c r="D807" s="36"/>
      <c r="E807" s="36"/>
      <c r="F807" s="37"/>
      <c r="G807" s="36"/>
      <c r="H807" s="36"/>
      <c r="I807" s="171"/>
      <c r="J807" s="38"/>
      <c r="K807" s="28"/>
      <c r="L807" s="28"/>
    </row>
    <row r="808" spans="1:12" x14ac:dyDescent="0.25">
      <c r="A808" s="35"/>
      <c r="B808" s="36"/>
      <c r="C808" s="37"/>
      <c r="D808" s="36"/>
      <c r="E808" s="36"/>
      <c r="F808" s="37"/>
      <c r="G808" s="36"/>
      <c r="H808" s="36"/>
      <c r="I808" s="171"/>
      <c r="J808" s="38"/>
      <c r="K808" s="28"/>
      <c r="L808" s="28"/>
    </row>
    <row r="809" spans="1:12" x14ac:dyDescent="0.25">
      <c r="A809" s="35"/>
      <c r="B809" s="36"/>
      <c r="C809" s="37"/>
      <c r="D809" s="36"/>
      <c r="E809" s="36"/>
      <c r="F809" s="37"/>
      <c r="G809" s="36"/>
      <c r="H809" s="36"/>
      <c r="I809" s="171"/>
      <c r="J809" s="38"/>
      <c r="K809" s="28"/>
      <c r="L809" s="28"/>
    </row>
    <row r="810" spans="1:12" x14ac:dyDescent="0.25">
      <c r="A810" s="35"/>
      <c r="B810" s="36"/>
      <c r="C810" s="37"/>
      <c r="D810" s="36"/>
      <c r="E810" s="36"/>
      <c r="F810" s="37"/>
      <c r="G810" s="36"/>
      <c r="H810" s="36"/>
      <c r="I810" s="171"/>
      <c r="J810" s="38"/>
      <c r="K810" s="28"/>
      <c r="L810" s="28"/>
    </row>
    <row r="811" spans="1:12" x14ac:dyDescent="0.25">
      <c r="A811" s="35"/>
      <c r="B811" s="36"/>
      <c r="C811" s="37"/>
      <c r="D811" s="36"/>
      <c r="E811" s="36"/>
      <c r="F811" s="37"/>
      <c r="G811" s="36"/>
      <c r="H811" s="36"/>
      <c r="I811" s="171"/>
      <c r="J811" s="38"/>
      <c r="K811" s="28"/>
      <c r="L811" s="28"/>
    </row>
    <row r="812" spans="1:12" x14ac:dyDescent="0.25">
      <c r="A812" s="35"/>
      <c r="B812" s="36"/>
      <c r="C812" s="37"/>
      <c r="D812" s="36"/>
      <c r="E812" s="36"/>
      <c r="F812" s="37"/>
      <c r="G812" s="36"/>
      <c r="H812" s="36"/>
      <c r="I812" s="171"/>
      <c r="J812" s="38"/>
      <c r="K812" s="28"/>
      <c r="L812" s="28"/>
    </row>
    <row r="813" spans="1:12" x14ac:dyDescent="0.25">
      <c r="A813" s="35"/>
      <c r="B813" s="36"/>
      <c r="C813" s="37"/>
      <c r="D813" s="36"/>
      <c r="E813" s="36"/>
      <c r="F813" s="37"/>
      <c r="G813" s="36"/>
      <c r="H813" s="36"/>
      <c r="I813" s="171"/>
      <c r="J813" s="38"/>
      <c r="K813" s="28"/>
      <c r="L813" s="28"/>
    </row>
    <row r="814" spans="1:12" x14ac:dyDescent="0.25">
      <c r="A814" s="35"/>
      <c r="B814" s="36"/>
      <c r="C814" s="37"/>
      <c r="D814" s="36"/>
      <c r="E814" s="36"/>
      <c r="F814" s="37"/>
      <c r="G814" s="36"/>
      <c r="H814" s="36"/>
      <c r="I814" s="171"/>
      <c r="J814" s="38"/>
      <c r="K814" s="28"/>
      <c r="L814" s="28"/>
    </row>
    <row r="815" spans="1:12" x14ac:dyDescent="0.25">
      <c r="A815" s="35"/>
      <c r="B815" s="36"/>
      <c r="C815" s="37"/>
      <c r="D815" s="36"/>
      <c r="E815" s="36"/>
      <c r="F815" s="37"/>
      <c r="G815" s="36"/>
      <c r="H815" s="36"/>
      <c r="I815" s="171"/>
      <c r="J815" s="38"/>
      <c r="K815" s="28"/>
      <c r="L815" s="28"/>
    </row>
    <row r="816" spans="1:12" x14ac:dyDescent="0.25">
      <c r="A816" s="35"/>
      <c r="B816" s="36"/>
      <c r="C816" s="37"/>
      <c r="D816" s="36"/>
      <c r="E816" s="36"/>
      <c r="F816" s="37"/>
      <c r="G816" s="36"/>
      <c r="H816" s="36"/>
      <c r="I816" s="171"/>
      <c r="J816" s="38"/>
      <c r="K816" s="28"/>
      <c r="L816" s="28"/>
    </row>
    <row r="817" spans="1:12" x14ac:dyDescent="0.25">
      <c r="A817" s="35"/>
      <c r="B817" s="36"/>
      <c r="C817" s="37"/>
      <c r="D817" s="36"/>
      <c r="E817" s="36"/>
      <c r="F817" s="37"/>
      <c r="G817" s="36"/>
      <c r="H817" s="36"/>
      <c r="I817" s="171"/>
      <c r="J817" s="38"/>
      <c r="K817" s="28"/>
      <c r="L817" s="28"/>
    </row>
    <row r="818" spans="1:12" x14ac:dyDescent="0.25">
      <c r="A818" s="35"/>
      <c r="B818" s="36"/>
      <c r="C818" s="37"/>
      <c r="D818" s="36"/>
      <c r="E818" s="36"/>
      <c r="F818" s="37"/>
      <c r="G818" s="36"/>
      <c r="H818" s="36"/>
      <c r="I818" s="171"/>
      <c r="J818" s="38"/>
      <c r="K818" s="28"/>
      <c r="L818" s="28"/>
    </row>
    <row r="819" spans="1:12" x14ac:dyDescent="0.25">
      <c r="A819" s="35"/>
      <c r="B819" s="36"/>
      <c r="C819" s="37"/>
      <c r="D819" s="36"/>
      <c r="E819" s="36"/>
      <c r="F819" s="37"/>
      <c r="G819" s="36"/>
      <c r="H819" s="36"/>
      <c r="I819" s="171"/>
      <c r="J819" s="38"/>
      <c r="K819" s="28"/>
      <c r="L819" s="28"/>
    </row>
    <row r="820" spans="1:12" x14ac:dyDescent="0.25">
      <c r="A820" s="35"/>
      <c r="B820" s="36"/>
      <c r="C820" s="37"/>
      <c r="D820" s="36"/>
      <c r="E820" s="36"/>
      <c r="F820" s="37"/>
      <c r="G820" s="36"/>
      <c r="H820" s="36"/>
      <c r="I820" s="171"/>
      <c r="J820" s="38"/>
      <c r="K820" s="28"/>
      <c r="L820" s="28"/>
    </row>
    <row r="821" spans="1:12" x14ac:dyDescent="0.25">
      <c r="A821" s="35"/>
      <c r="B821" s="36"/>
      <c r="C821" s="37"/>
      <c r="D821" s="36"/>
      <c r="E821" s="36"/>
      <c r="F821" s="37"/>
      <c r="G821" s="36"/>
      <c r="H821" s="36"/>
      <c r="I821" s="171"/>
      <c r="J821" s="38"/>
      <c r="K821" s="28"/>
      <c r="L821" s="28"/>
    </row>
    <row r="822" spans="1:12" x14ac:dyDescent="0.25">
      <c r="A822" s="35"/>
      <c r="B822" s="36"/>
      <c r="C822" s="37"/>
      <c r="D822" s="36"/>
      <c r="E822" s="36"/>
      <c r="F822" s="37"/>
      <c r="G822" s="36"/>
      <c r="H822" s="36"/>
      <c r="I822" s="171"/>
      <c r="J822" s="38"/>
      <c r="K822" s="28"/>
      <c r="L822" s="28"/>
    </row>
    <row r="823" spans="1:12" x14ac:dyDescent="0.25">
      <c r="A823" s="35"/>
      <c r="B823" s="36"/>
      <c r="C823" s="37"/>
      <c r="D823" s="36"/>
      <c r="E823" s="36"/>
      <c r="F823" s="37"/>
      <c r="G823" s="36"/>
      <c r="H823" s="36"/>
      <c r="I823" s="171"/>
      <c r="J823" s="38"/>
      <c r="K823" s="28"/>
      <c r="L823" s="28"/>
    </row>
    <row r="824" spans="1:12" x14ac:dyDescent="0.25">
      <c r="A824" s="35"/>
      <c r="B824" s="36"/>
      <c r="C824" s="37"/>
      <c r="D824" s="36"/>
      <c r="E824" s="36"/>
      <c r="F824" s="37"/>
      <c r="G824" s="36"/>
      <c r="H824" s="36"/>
      <c r="I824" s="171"/>
      <c r="J824" s="38"/>
      <c r="K824" s="28"/>
      <c r="L824" s="28"/>
    </row>
    <row r="825" spans="1:12" x14ac:dyDescent="0.25">
      <c r="A825" s="35"/>
      <c r="B825" s="36"/>
      <c r="C825" s="37"/>
      <c r="D825" s="36"/>
      <c r="E825" s="36"/>
      <c r="F825" s="37"/>
      <c r="G825" s="36"/>
      <c r="H825" s="36"/>
      <c r="I825" s="171"/>
      <c r="J825" s="38"/>
      <c r="K825" s="28"/>
      <c r="L825" s="28"/>
    </row>
    <row r="826" spans="1:12" x14ac:dyDescent="0.25">
      <c r="A826" s="35"/>
      <c r="B826" s="36"/>
      <c r="C826" s="37"/>
      <c r="D826" s="36"/>
      <c r="E826" s="36"/>
      <c r="F826" s="37"/>
      <c r="G826" s="36"/>
      <c r="H826" s="36"/>
      <c r="I826" s="171"/>
      <c r="J826" s="38"/>
      <c r="K826" s="28"/>
      <c r="L826" s="28"/>
    </row>
    <row r="827" spans="1:12" x14ac:dyDescent="0.25">
      <c r="A827" s="35"/>
      <c r="B827" s="36"/>
      <c r="C827" s="37"/>
      <c r="D827" s="36"/>
      <c r="E827" s="36"/>
      <c r="F827" s="37"/>
      <c r="G827" s="36"/>
      <c r="H827" s="36"/>
      <c r="I827" s="171"/>
      <c r="J827" s="38"/>
      <c r="K827" s="28"/>
      <c r="L827" s="28"/>
    </row>
    <row r="828" spans="1:12" x14ac:dyDescent="0.25">
      <c r="A828" s="35"/>
      <c r="B828" s="36"/>
      <c r="C828" s="37"/>
      <c r="D828" s="36"/>
      <c r="E828" s="36"/>
      <c r="F828" s="37"/>
      <c r="G828" s="36"/>
      <c r="H828" s="36"/>
      <c r="I828" s="171"/>
      <c r="J828" s="38"/>
      <c r="K828" s="28"/>
      <c r="L828" s="28"/>
    </row>
    <row r="829" spans="1:12" x14ac:dyDescent="0.25">
      <c r="A829" s="35"/>
      <c r="B829" s="36"/>
      <c r="C829" s="37"/>
      <c r="D829" s="36"/>
      <c r="E829" s="36"/>
      <c r="F829" s="37"/>
      <c r="G829" s="36"/>
      <c r="H829" s="36"/>
      <c r="I829" s="171"/>
      <c r="J829" s="38"/>
      <c r="K829" s="28"/>
      <c r="L829" s="28"/>
    </row>
    <row r="830" spans="1:12" x14ac:dyDescent="0.25">
      <c r="A830" s="35"/>
      <c r="B830" s="36"/>
      <c r="C830" s="37"/>
      <c r="D830" s="36"/>
      <c r="E830" s="36"/>
      <c r="F830" s="37"/>
      <c r="G830" s="36"/>
      <c r="H830" s="36"/>
      <c r="I830" s="171"/>
      <c r="J830" s="38"/>
      <c r="K830" s="28"/>
      <c r="L830" s="28"/>
    </row>
    <row r="831" spans="1:12" x14ac:dyDescent="0.25">
      <c r="A831" s="35"/>
      <c r="B831" s="36"/>
      <c r="C831" s="37"/>
      <c r="D831" s="36"/>
      <c r="E831" s="36"/>
      <c r="F831" s="37"/>
      <c r="G831" s="36"/>
      <c r="H831" s="36"/>
      <c r="I831" s="171"/>
      <c r="J831" s="38"/>
      <c r="K831" s="28"/>
      <c r="L831" s="28"/>
    </row>
    <row r="832" spans="1:12" x14ac:dyDescent="0.25">
      <c r="A832" s="35"/>
      <c r="B832" s="36"/>
      <c r="C832" s="37"/>
      <c r="D832" s="36"/>
      <c r="E832" s="36"/>
      <c r="F832" s="37"/>
      <c r="G832" s="36"/>
      <c r="H832" s="36"/>
      <c r="I832" s="171"/>
      <c r="J832" s="38"/>
      <c r="K832" s="28"/>
      <c r="L832" s="28"/>
    </row>
    <row r="833" spans="1:12" x14ac:dyDescent="0.25">
      <c r="A833" s="35"/>
      <c r="B833" s="36"/>
      <c r="C833" s="37"/>
      <c r="D833" s="36"/>
      <c r="E833" s="36"/>
      <c r="F833" s="37"/>
      <c r="G833" s="36"/>
      <c r="H833" s="36"/>
      <c r="I833" s="171"/>
      <c r="J833" s="38"/>
      <c r="K833" s="28"/>
      <c r="L833" s="28"/>
    </row>
    <row r="834" spans="1:12" x14ac:dyDescent="0.25">
      <c r="A834" s="35"/>
      <c r="B834" s="36"/>
      <c r="C834" s="37"/>
      <c r="D834" s="36"/>
      <c r="E834" s="36"/>
      <c r="F834" s="37"/>
      <c r="G834" s="36"/>
      <c r="H834" s="36"/>
      <c r="I834" s="171"/>
      <c r="J834" s="38"/>
      <c r="K834" s="28"/>
      <c r="L834" s="28"/>
    </row>
    <row r="835" spans="1:12" x14ac:dyDescent="0.25">
      <c r="A835" s="35"/>
      <c r="B835" s="36"/>
      <c r="C835" s="37"/>
      <c r="D835" s="36"/>
      <c r="E835" s="36"/>
      <c r="F835" s="37"/>
      <c r="G835" s="36"/>
      <c r="H835" s="36"/>
      <c r="I835" s="171"/>
      <c r="J835" s="38"/>
      <c r="K835" s="28"/>
      <c r="L835" s="28"/>
    </row>
    <row r="836" spans="1:12" x14ac:dyDescent="0.25">
      <c r="A836" s="35"/>
      <c r="B836" s="36"/>
      <c r="C836" s="37"/>
      <c r="D836" s="36"/>
      <c r="E836" s="36"/>
      <c r="F836" s="37"/>
      <c r="G836" s="36"/>
      <c r="H836" s="36"/>
      <c r="I836" s="171"/>
      <c r="J836" s="38"/>
      <c r="K836" s="28"/>
      <c r="L836" s="28"/>
    </row>
    <row r="837" spans="1:12" x14ac:dyDescent="0.25">
      <c r="A837" s="35"/>
      <c r="B837" s="36"/>
      <c r="C837" s="37"/>
      <c r="D837" s="36"/>
      <c r="E837" s="36"/>
      <c r="F837" s="37"/>
      <c r="G837" s="36"/>
      <c r="H837" s="36"/>
      <c r="I837" s="171"/>
      <c r="J837" s="38"/>
      <c r="K837" s="28"/>
      <c r="L837" s="28"/>
    </row>
    <row r="838" spans="1:12" x14ac:dyDescent="0.25">
      <c r="A838" s="35"/>
      <c r="B838" s="36"/>
      <c r="C838" s="37"/>
      <c r="D838" s="36"/>
      <c r="E838" s="36"/>
      <c r="F838" s="37"/>
      <c r="G838" s="36"/>
      <c r="H838" s="36"/>
      <c r="I838" s="171"/>
      <c r="J838" s="38"/>
      <c r="K838" s="28"/>
      <c r="L838" s="28"/>
    </row>
    <row r="839" spans="1:12" x14ac:dyDescent="0.25">
      <c r="A839" s="35"/>
      <c r="B839" s="36"/>
      <c r="C839" s="37"/>
      <c r="D839" s="36"/>
      <c r="E839" s="36"/>
      <c r="F839" s="37"/>
      <c r="G839" s="36"/>
      <c r="H839" s="36"/>
      <c r="I839" s="171"/>
      <c r="J839" s="38"/>
      <c r="K839" s="28"/>
      <c r="L839" s="28"/>
    </row>
    <row r="840" spans="1:12" x14ac:dyDescent="0.25">
      <c r="A840" s="35"/>
      <c r="B840" s="36"/>
      <c r="C840" s="37"/>
      <c r="D840" s="36"/>
      <c r="E840" s="36"/>
      <c r="F840" s="37"/>
      <c r="G840" s="36"/>
      <c r="H840" s="36"/>
      <c r="I840" s="171"/>
      <c r="J840" s="38"/>
      <c r="K840" s="28"/>
      <c r="L840" s="28"/>
    </row>
    <row r="841" spans="1:12" x14ac:dyDescent="0.25">
      <c r="A841" s="35"/>
      <c r="B841" s="36"/>
      <c r="C841" s="37"/>
      <c r="D841" s="36"/>
      <c r="E841" s="36"/>
      <c r="F841" s="37"/>
      <c r="G841" s="36"/>
      <c r="H841" s="36"/>
      <c r="I841" s="171"/>
      <c r="J841" s="38"/>
      <c r="K841" s="28"/>
      <c r="L841" s="28"/>
    </row>
    <row r="842" spans="1:12" x14ac:dyDescent="0.25">
      <c r="A842" s="35"/>
      <c r="B842" s="36"/>
      <c r="C842" s="37"/>
      <c r="D842" s="36"/>
      <c r="E842" s="36"/>
      <c r="F842" s="37"/>
      <c r="G842" s="36"/>
      <c r="H842" s="36"/>
      <c r="I842" s="171"/>
      <c r="J842" s="38"/>
      <c r="K842" s="28"/>
      <c r="L842" s="28"/>
    </row>
    <row r="843" spans="1:12" x14ac:dyDescent="0.25">
      <c r="A843" s="35"/>
      <c r="B843" s="36"/>
      <c r="C843" s="37"/>
      <c r="D843" s="36"/>
      <c r="E843" s="36"/>
      <c r="F843" s="37"/>
      <c r="G843" s="36"/>
      <c r="H843" s="36"/>
      <c r="I843" s="171"/>
      <c r="J843" s="38"/>
      <c r="K843" s="28"/>
      <c r="L843" s="28"/>
    </row>
    <row r="844" spans="1:12" x14ac:dyDescent="0.25">
      <c r="A844" s="35"/>
      <c r="B844" s="36"/>
      <c r="C844" s="37"/>
      <c r="D844" s="36"/>
      <c r="E844" s="36"/>
      <c r="F844" s="37"/>
      <c r="G844" s="36"/>
      <c r="H844" s="36"/>
      <c r="I844" s="171"/>
      <c r="J844" s="38"/>
      <c r="K844" s="28"/>
      <c r="L844" s="28"/>
    </row>
    <row r="845" spans="1:12" x14ac:dyDescent="0.25">
      <c r="A845" s="35"/>
      <c r="B845" s="36"/>
      <c r="C845" s="37"/>
      <c r="D845" s="36"/>
      <c r="E845" s="36"/>
      <c r="F845" s="37"/>
      <c r="G845" s="36"/>
      <c r="H845" s="36"/>
      <c r="I845" s="171"/>
      <c r="J845" s="38"/>
      <c r="K845" s="28"/>
      <c r="L845" s="28"/>
    </row>
    <row r="846" spans="1:12" x14ac:dyDescent="0.25">
      <c r="A846" s="35"/>
      <c r="B846" s="36"/>
      <c r="C846" s="37"/>
      <c r="D846" s="36"/>
      <c r="E846" s="36"/>
      <c r="F846" s="37"/>
      <c r="G846" s="36"/>
      <c r="H846" s="36"/>
      <c r="I846" s="171"/>
      <c r="J846" s="38"/>
      <c r="K846" s="28"/>
      <c r="L846" s="28"/>
    </row>
    <row r="847" spans="1:12" x14ac:dyDescent="0.25">
      <c r="A847" s="35"/>
      <c r="B847" s="36"/>
      <c r="C847" s="37"/>
      <c r="D847" s="36"/>
      <c r="E847" s="36"/>
      <c r="F847" s="37"/>
      <c r="G847" s="36"/>
      <c r="H847" s="36"/>
      <c r="I847" s="171"/>
      <c r="J847" s="38"/>
      <c r="K847" s="28"/>
      <c r="L847" s="28"/>
    </row>
    <row r="848" spans="1:12" x14ac:dyDescent="0.25">
      <c r="A848" s="35"/>
      <c r="B848" s="36"/>
      <c r="C848" s="37"/>
      <c r="D848" s="36"/>
      <c r="E848" s="36"/>
      <c r="F848" s="37"/>
      <c r="G848" s="36"/>
      <c r="H848" s="36"/>
      <c r="I848" s="171"/>
      <c r="J848" s="38"/>
      <c r="K848" s="28"/>
      <c r="L848" s="28"/>
    </row>
    <row r="849" spans="1:12" x14ac:dyDescent="0.25">
      <c r="A849" s="35"/>
      <c r="B849" s="36"/>
      <c r="C849" s="37"/>
      <c r="D849" s="36"/>
      <c r="E849" s="36"/>
      <c r="F849" s="37"/>
      <c r="G849" s="36"/>
      <c r="H849" s="36"/>
      <c r="I849" s="171"/>
      <c r="J849" s="38"/>
      <c r="K849" s="28"/>
      <c r="L849" s="28"/>
    </row>
    <row r="850" spans="1:12" x14ac:dyDescent="0.25">
      <c r="A850" s="35"/>
      <c r="B850" s="36"/>
      <c r="C850" s="37"/>
      <c r="D850" s="36"/>
      <c r="E850" s="36"/>
      <c r="F850" s="37"/>
      <c r="G850" s="36"/>
      <c r="H850" s="36"/>
      <c r="I850" s="171"/>
      <c r="J850" s="38"/>
      <c r="K850" s="28"/>
      <c r="L850" s="28"/>
    </row>
    <row r="851" spans="1:12" x14ac:dyDescent="0.25">
      <c r="A851" s="35"/>
      <c r="B851" s="36"/>
      <c r="C851" s="37"/>
      <c r="D851" s="36"/>
      <c r="E851" s="36"/>
      <c r="F851" s="37"/>
      <c r="G851" s="36"/>
      <c r="H851" s="36"/>
      <c r="I851" s="171"/>
      <c r="J851" s="38"/>
      <c r="K851" s="28"/>
      <c r="L851" s="28"/>
    </row>
    <row r="852" spans="1:12" x14ac:dyDescent="0.25">
      <c r="A852" s="35"/>
      <c r="B852" s="36"/>
      <c r="C852" s="37"/>
      <c r="D852" s="36"/>
      <c r="E852" s="36"/>
      <c r="F852" s="37"/>
      <c r="G852" s="36"/>
      <c r="H852" s="36"/>
      <c r="I852" s="171"/>
      <c r="J852" s="38"/>
      <c r="K852" s="28"/>
      <c r="L852" s="28"/>
    </row>
    <row r="853" spans="1:12" x14ac:dyDescent="0.25">
      <c r="A853" s="35"/>
      <c r="B853" s="36"/>
      <c r="C853" s="37"/>
      <c r="D853" s="36"/>
      <c r="E853" s="36"/>
      <c r="F853" s="37"/>
      <c r="G853" s="36"/>
      <c r="H853" s="36"/>
      <c r="I853" s="171"/>
      <c r="J853" s="38"/>
      <c r="K853" s="28"/>
      <c r="L853" s="28"/>
    </row>
    <row r="854" spans="1:12" x14ac:dyDescent="0.25">
      <c r="A854" s="35"/>
      <c r="B854" s="36"/>
      <c r="C854" s="37"/>
      <c r="D854" s="36"/>
      <c r="E854" s="36"/>
      <c r="F854" s="37"/>
      <c r="G854" s="36"/>
      <c r="H854" s="36"/>
      <c r="I854" s="171"/>
      <c r="J854" s="38"/>
      <c r="K854" s="28"/>
      <c r="L854" s="28"/>
    </row>
    <row r="855" spans="1:12" x14ac:dyDescent="0.25">
      <c r="A855" s="35"/>
      <c r="B855" s="36"/>
      <c r="C855" s="37"/>
      <c r="D855" s="36"/>
      <c r="E855" s="36"/>
      <c r="F855" s="37"/>
      <c r="G855" s="36"/>
      <c r="H855" s="36"/>
      <c r="I855" s="171"/>
      <c r="J855" s="38"/>
      <c r="K855" s="28"/>
      <c r="L855" s="28"/>
    </row>
    <row r="856" spans="1:12" x14ac:dyDescent="0.25">
      <c r="A856" s="35"/>
      <c r="B856" s="36"/>
      <c r="C856" s="37"/>
      <c r="D856" s="36"/>
      <c r="E856" s="36"/>
      <c r="F856" s="37"/>
      <c r="G856" s="36"/>
      <c r="H856" s="36"/>
      <c r="I856" s="171"/>
      <c r="J856" s="38"/>
      <c r="K856" s="28"/>
      <c r="L856" s="28"/>
    </row>
    <row r="857" spans="1:12" x14ac:dyDescent="0.25">
      <c r="A857" s="35"/>
      <c r="B857" s="36"/>
      <c r="C857" s="37"/>
      <c r="D857" s="36"/>
      <c r="E857" s="36"/>
      <c r="F857" s="37"/>
      <c r="G857" s="36"/>
      <c r="H857" s="36"/>
      <c r="I857" s="171"/>
      <c r="J857" s="38"/>
      <c r="K857" s="28"/>
      <c r="L857" s="28"/>
    </row>
    <row r="858" spans="1:12" x14ac:dyDescent="0.25">
      <c r="A858" s="35"/>
      <c r="B858" s="36"/>
      <c r="C858" s="37"/>
      <c r="D858" s="36"/>
      <c r="E858" s="36"/>
      <c r="F858" s="37"/>
      <c r="G858" s="36"/>
      <c r="H858" s="36"/>
      <c r="I858" s="171"/>
      <c r="J858" s="38"/>
      <c r="K858" s="28"/>
      <c r="L858" s="28"/>
    </row>
    <row r="859" spans="1:12" x14ac:dyDescent="0.25">
      <c r="A859" s="35"/>
      <c r="B859" s="36"/>
      <c r="C859" s="37"/>
      <c r="D859" s="36"/>
      <c r="E859" s="36"/>
      <c r="F859" s="37"/>
      <c r="G859" s="36"/>
      <c r="H859" s="36"/>
      <c r="I859" s="171"/>
      <c r="J859" s="38"/>
      <c r="K859" s="28"/>
      <c r="L859" s="28"/>
    </row>
    <row r="860" spans="1:12" x14ac:dyDescent="0.25">
      <c r="A860" s="35"/>
      <c r="B860" s="36"/>
      <c r="C860" s="37"/>
      <c r="D860" s="36"/>
      <c r="E860" s="36"/>
      <c r="F860" s="37"/>
      <c r="G860" s="36"/>
      <c r="H860" s="36"/>
      <c r="I860" s="171"/>
      <c r="J860" s="38"/>
      <c r="K860" s="28"/>
      <c r="L860" s="28"/>
    </row>
    <row r="861" spans="1:12" x14ac:dyDescent="0.25">
      <c r="A861" s="35"/>
      <c r="B861" s="36"/>
      <c r="C861" s="37"/>
      <c r="D861" s="36"/>
      <c r="E861" s="36"/>
      <c r="F861" s="37"/>
      <c r="G861" s="36"/>
      <c r="H861" s="36"/>
      <c r="I861" s="171"/>
      <c r="J861" s="38"/>
      <c r="K861" s="28"/>
      <c r="L861" s="28"/>
    </row>
    <row r="862" spans="1:12" x14ac:dyDescent="0.25">
      <c r="A862" s="35"/>
      <c r="B862" s="36"/>
      <c r="C862" s="37"/>
      <c r="D862" s="36"/>
      <c r="E862" s="36"/>
      <c r="F862" s="37"/>
      <c r="G862" s="36"/>
      <c r="H862" s="36"/>
      <c r="I862" s="171"/>
      <c r="J862" s="38"/>
      <c r="K862" s="28"/>
      <c r="L862" s="28"/>
    </row>
    <row r="863" spans="1:12" x14ac:dyDescent="0.25">
      <c r="A863" s="35"/>
      <c r="B863" s="36"/>
      <c r="C863" s="37"/>
      <c r="D863" s="36"/>
      <c r="E863" s="36"/>
      <c r="F863" s="37"/>
      <c r="G863" s="36"/>
      <c r="H863" s="36"/>
      <c r="I863" s="171"/>
      <c r="J863" s="38"/>
      <c r="K863" s="28"/>
      <c r="L863" s="28"/>
    </row>
    <row r="864" spans="1:12" x14ac:dyDescent="0.25">
      <c r="A864" s="35"/>
      <c r="B864" s="36"/>
      <c r="C864" s="37"/>
      <c r="D864" s="36"/>
      <c r="E864" s="36"/>
      <c r="F864" s="37"/>
      <c r="G864" s="36"/>
      <c r="H864" s="36"/>
      <c r="I864" s="171"/>
      <c r="J864" s="38"/>
      <c r="K864" s="28"/>
      <c r="L864" s="28"/>
    </row>
    <row r="865" spans="1:12" x14ac:dyDescent="0.25">
      <c r="A865" s="35"/>
      <c r="B865" s="36"/>
      <c r="C865" s="37"/>
      <c r="D865" s="36"/>
      <c r="E865" s="36"/>
      <c r="F865" s="37"/>
      <c r="G865" s="36"/>
      <c r="H865" s="36"/>
      <c r="I865" s="171"/>
      <c r="J865" s="38"/>
      <c r="K865" s="28"/>
      <c r="L865" s="28"/>
    </row>
    <row r="866" spans="1:12" x14ac:dyDescent="0.25">
      <c r="A866" s="35"/>
      <c r="B866" s="36"/>
      <c r="C866" s="37"/>
      <c r="D866" s="36"/>
      <c r="E866" s="36"/>
      <c r="F866" s="37"/>
      <c r="G866" s="36"/>
      <c r="H866" s="36"/>
      <c r="I866" s="171"/>
      <c r="J866" s="38"/>
      <c r="K866" s="28"/>
      <c r="L866" s="28"/>
    </row>
    <row r="867" spans="1:12" x14ac:dyDescent="0.25">
      <c r="A867" s="35"/>
      <c r="B867" s="36"/>
      <c r="C867" s="37"/>
      <c r="D867" s="36"/>
      <c r="E867" s="36"/>
      <c r="F867" s="37"/>
      <c r="G867" s="36"/>
      <c r="H867" s="36"/>
      <c r="I867" s="171"/>
      <c r="J867" s="38"/>
      <c r="K867" s="28"/>
      <c r="L867" s="28"/>
    </row>
    <row r="868" spans="1:12" x14ac:dyDescent="0.25">
      <c r="A868" s="35"/>
      <c r="B868" s="36"/>
      <c r="C868" s="37"/>
      <c r="D868" s="36"/>
      <c r="E868" s="36"/>
      <c r="F868" s="37"/>
      <c r="G868" s="36"/>
      <c r="H868" s="36"/>
      <c r="I868" s="171"/>
      <c r="J868" s="38"/>
      <c r="K868" s="28"/>
      <c r="L868" s="28"/>
    </row>
    <row r="869" spans="1:12" x14ac:dyDescent="0.25">
      <c r="A869" s="35"/>
      <c r="B869" s="36"/>
      <c r="C869" s="37"/>
      <c r="D869" s="36"/>
      <c r="E869" s="36"/>
      <c r="F869" s="37"/>
      <c r="G869" s="36"/>
      <c r="H869" s="36"/>
      <c r="I869" s="171"/>
      <c r="J869" s="38"/>
      <c r="K869" s="28"/>
      <c r="L869" s="28"/>
    </row>
    <row r="870" spans="1:12" x14ac:dyDescent="0.25">
      <c r="A870" s="35"/>
      <c r="B870" s="36"/>
      <c r="C870" s="37"/>
      <c r="D870" s="36"/>
      <c r="E870" s="36"/>
      <c r="F870" s="37"/>
      <c r="G870" s="36"/>
      <c r="H870" s="36"/>
      <c r="I870" s="171"/>
      <c r="J870" s="38"/>
      <c r="K870" s="28"/>
      <c r="L870" s="28"/>
    </row>
    <row r="871" spans="1:12" x14ac:dyDescent="0.25">
      <c r="A871" s="35"/>
      <c r="B871" s="36"/>
      <c r="C871" s="37"/>
      <c r="D871" s="36"/>
      <c r="E871" s="36"/>
      <c r="F871" s="37"/>
      <c r="G871" s="36"/>
      <c r="H871" s="36"/>
      <c r="I871" s="171"/>
      <c r="J871" s="38"/>
      <c r="K871" s="28"/>
      <c r="L871" s="28"/>
    </row>
    <row r="872" spans="1:12" x14ac:dyDescent="0.25">
      <c r="A872" s="35"/>
      <c r="B872" s="36"/>
      <c r="C872" s="37"/>
      <c r="D872" s="36"/>
      <c r="E872" s="36"/>
      <c r="F872" s="37"/>
      <c r="G872" s="36"/>
      <c r="H872" s="36"/>
      <c r="I872" s="171"/>
      <c r="J872" s="38"/>
      <c r="K872" s="28"/>
      <c r="L872" s="28"/>
    </row>
    <row r="873" spans="1:12" x14ac:dyDescent="0.25">
      <c r="A873" s="35"/>
      <c r="B873" s="36"/>
      <c r="C873" s="37"/>
      <c r="D873" s="36"/>
      <c r="E873" s="36"/>
      <c r="F873" s="37"/>
      <c r="G873" s="36"/>
      <c r="H873" s="36"/>
      <c r="I873" s="171"/>
      <c r="J873" s="38"/>
      <c r="K873" s="28"/>
      <c r="L873" s="28"/>
    </row>
    <row r="874" spans="1:12" x14ac:dyDescent="0.25">
      <c r="A874" s="35"/>
      <c r="B874" s="36"/>
      <c r="C874" s="37"/>
      <c r="D874" s="36"/>
      <c r="E874" s="36"/>
      <c r="F874" s="37"/>
      <c r="G874" s="36"/>
      <c r="H874" s="36"/>
      <c r="I874" s="171"/>
      <c r="J874" s="38"/>
      <c r="K874" s="28"/>
      <c r="L874" s="28"/>
    </row>
    <row r="875" spans="1:12" x14ac:dyDescent="0.25">
      <c r="A875" s="35"/>
      <c r="B875" s="36"/>
      <c r="C875" s="37"/>
      <c r="D875" s="36"/>
      <c r="E875" s="36"/>
      <c r="F875" s="37"/>
      <c r="G875" s="36"/>
      <c r="H875" s="36"/>
      <c r="I875" s="171"/>
      <c r="J875" s="38"/>
      <c r="K875" s="28"/>
      <c r="L875" s="28"/>
    </row>
    <row r="876" spans="1:12" x14ac:dyDescent="0.25">
      <c r="A876" s="35"/>
      <c r="B876" s="36"/>
      <c r="C876" s="37"/>
      <c r="D876" s="36"/>
      <c r="E876" s="36"/>
      <c r="F876" s="37"/>
      <c r="G876" s="36"/>
      <c r="H876" s="36"/>
      <c r="I876" s="171"/>
      <c r="J876" s="38"/>
      <c r="K876" s="28"/>
      <c r="L876" s="28"/>
    </row>
    <row r="877" spans="1:12" x14ac:dyDescent="0.25">
      <c r="A877" s="35"/>
      <c r="B877" s="36"/>
      <c r="C877" s="37"/>
      <c r="D877" s="36"/>
      <c r="E877" s="36"/>
      <c r="F877" s="37"/>
      <c r="G877" s="36"/>
      <c r="H877" s="36"/>
      <c r="I877" s="171"/>
      <c r="J877" s="38"/>
      <c r="K877" s="28"/>
      <c r="L877" s="28"/>
    </row>
    <row r="878" spans="1:12" x14ac:dyDescent="0.25">
      <c r="A878" s="35"/>
      <c r="B878" s="36"/>
      <c r="C878" s="37"/>
      <c r="D878" s="36"/>
      <c r="E878" s="36"/>
      <c r="F878" s="37"/>
      <c r="G878" s="36"/>
      <c r="H878" s="36"/>
      <c r="I878" s="171"/>
      <c r="J878" s="38"/>
      <c r="K878" s="28"/>
      <c r="L878" s="28"/>
    </row>
    <row r="879" spans="1:12" x14ac:dyDescent="0.25">
      <c r="A879" s="35"/>
      <c r="B879" s="36"/>
      <c r="C879" s="37"/>
      <c r="D879" s="36"/>
      <c r="E879" s="36"/>
      <c r="F879" s="37"/>
      <c r="G879" s="36"/>
      <c r="H879" s="36"/>
      <c r="I879" s="171"/>
      <c r="J879" s="38"/>
      <c r="K879" s="28"/>
      <c r="L879" s="28"/>
    </row>
    <row r="880" spans="1:12" x14ac:dyDescent="0.25">
      <c r="A880" s="35"/>
      <c r="B880" s="36"/>
      <c r="C880" s="37"/>
      <c r="D880" s="36"/>
      <c r="E880" s="36"/>
      <c r="F880" s="37"/>
      <c r="G880" s="36"/>
      <c r="H880" s="36"/>
      <c r="I880" s="171"/>
      <c r="J880" s="38"/>
      <c r="K880" s="28"/>
      <c r="L880" s="28"/>
    </row>
    <row r="881" spans="1:12" x14ac:dyDescent="0.25">
      <c r="A881" s="35"/>
      <c r="B881" s="36"/>
      <c r="C881" s="37"/>
      <c r="D881" s="36"/>
      <c r="E881" s="36"/>
      <c r="F881" s="37"/>
      <c r="G881" s="36"/>
      <c r="H881" s="36"/>
      <c r="I881" s="171"/>
      <c r="J881" s="38"/>
      <c r="K881" s="28"/>
      <c r="L881" s="28"/>
    </row>
    <row r="882" spans="1:12" x14ac:dyDescent="0.25">
      <c r="A882" s="35"/>
      <c r="B882" s="36"/>
      <c r="C882" s="37"/>
      <c r="D882" s="36"/>
      <c r="E882" s="36"/>
      <c r="F882" s="37"/>
      <c r="G882" s="36"/>
      <c r="H882" s="36"/>
      <c r="I882" s="171"/>
      <c r="J882" s="38"/>
      <c r="K882" s="28"/>
      <c r="L882" s="28"/>
    </row>
    <row r="883" spans="1:12" x14ac:dyDescent="0.25">
      <c r="A883" s="35"/>
      <c r="B883" s="36"/>
      <c r="C883" s="37"/>
      <c r="D883" s="36"/>
      <c r="E883" s="36"/>
      <c r="F883" s="37"/>
      <c r="G883" s="36"/>
      <c r="H883" s="36"/>
      <c r="I883" s="171"/>
      <c r="J883" s="38"/>
      <c r="K883" s="28"/>
      <c r="L883" s="28"/>
    </row>
    <row r="884" spans="1:12" x14ac:dyDescent="0.25">
      <c r="A884" s="35"/>
      <c r="B884" s="36"/>
      <c r="C884" s="37"/>
      <c r="D884" s="36"/>
      <c r="E884" s="36"/>
      <c r="F884" s="37"/>
      <c r="G884" s="36"/>
      <c r="H884" s="36"/>
      <c r="I884" s="171"/>
      <c r="J884" s="38"/>
      <c r="K884" s="28"/>
      <c r="L884" s="28"/>
    </row>
    <row r="885" spans="1:12" x14ac:dyDescent="0.25">
      <c r="A885" s="35"/>
      <c r="B885" s="36"/>
      <c r="C885" s="37"/>
      <c r="D885" s="36"/>
      <c r="E885" s="36"/>
      <c r="F885" s="37"/>
      <c r="G885" s="36"/>
      <c r="H885" s="36"/>
      <c r="I885" s="171"/>
      <c r="J885" s="38"/>
      <c r="K885" s="28"/>
      <c r="L885" s="28"/>
    </row>
    <row r="886" spans="1:12" x14ac:dyDescent="0.25">
      <c r="A886" s="35"/>
      <c r="B886" s="36"/>
      <c r="C886" s="37"/>
      <c r="D886" s="36"/>
      <c r="E886" s="36"/>
      <c r="F886" s="37"/>
      <c r="G886" s="36"/>
      <c r="H886" s="36"/>
      <c r="I886" s="171"/>
      <c r="J886" s="38"/>
      <c r="K886" s="28"/>
      <c r="L886" s="28"/>
    </row>
    <row r="887" spans="1:12" x14ac:dyDescent="0.25">
      <c r="A887" s="35"/>
      <c r="B887" s="36"/>
      <c r="C887" s="37"/>
      <c r="D887" s="36"/>
      <c r="E887" s="36"/>
      <c r="F887" s="37"/>
      <c r="G887" s="36"/>
      <c r="H887" s="36"/>
      <c r="I887" s="171"/>
      <c r="J887" s="38"/>
      <c r="K887" s="28"/>
      <c r="L887" s="28"/>
    </row>
    <row r="888" spans="1:12" x14ac:dyDescent="0.25">
      <c r="A888" s="35"/>
      <c r="B888" s="36"/>
      <c r="C888" s="37"/>
      <c r="D888" s="36"/>
      <c r="E888" s="36"/>
      <c r="F888" s="37"/>
      <c r="G888" s="36"/>
      <c r="H888" s="36"/>
      <c r="I888" s="171"/>
      <c r="J888" s="38"/>
      <c r="K888" s="28"/>
      <c r="L888" s="28"/>
    </row>
    <row r="889" spans="1:12" x14ac:dyDescent="0.25">
      <c r="A889" s="35"/>
      <c r="B889" s="36"/>
      <c r="C889" s="37"/>
      <c r="D889" s="36"/>
      <c r="E889" s="36"/>
      <c r="F889" s="37"/>
      <c r="G889" s="36"/>
      <c r="H889" s="36"/>
      <c r="I889" s="171"/>
      <c r="J889" s="38"/>
      <c r="K889" s="28"/>
      <c r="L889" s="28"/>
    </row>
    <row r="890" spans="1:12" x14ac:dyDescent="0.25">
      <c r="A890" s="35"/>
      <c r="B890" s="36"/>
      <c r="C890" s="37"/>
      <c r="D890" s="36"/>
      <c r="E890" s="36"/>
      <c r="F890" s="37"/>
      <c r="G890" s="36"/>
      <c r="H890" s="36"/>
      <c r="I890" s="171"/>
      <c r="J890" s="38"/>
      <c r="K890" s="28"/>
      <c r="L890" s="28"/>
    </row>
    <row r="891" spans="1:12" x14ac:dyDescent="0.25">
      <c r="A891" s="35"/>
      <c r="B891" s="36"/>
      <c r="C891" s="37"/>
      <c r="D891" s="36"/>
      <c r="E891" s="36"/>
      <c r="F891" s="37"/>
      <c r="G891" s="36"/>
      <c r="H891" s="36"/>
      <c r="I891" s="171"/>
      <c r="J891" s="38"/>
      <c r="K891" s="28"/>
      <c r="L891" s="28"/>
    </row>
    <row r="892" spans="1:12" x14ac:dyDescent="0.25">
      <c r="A892" s="35"/>
      <c r="B892" s="36"/>
      <c r="C892" s="37"/>
      <c r="D892" s="36"/>
      <c r="E892" s="36"/>
      <c r="F892" s="37"/>
      <c r="G892" s="36"/>
      <c r="H892" s="36"/>
      <c r="I892" s="171"/>
      <c r="J892" s="38"/>
      <c r="K892" s="28"/>
      <c r="L892" s="28"/>
    </row>
    <row r="893" spans="1:12" x14ac:dyDescent="0.25">
      <c r="A893" s="35"/>
      <c r="B893" s="36"/>
      <c r="C893" s="37"/>
      <c r="D893" s="36"/>
      <c r="E893" s="36"/>
      <c r="F893" s="37"/>
      <c r="G893" s="36"/>
      <c r="H893" s="36"/>
      <c r="I893" s="171"/>
      <c r="J893" s="38"/>
      <c r="K893" s="28"/>
      <c r="L893" s="28"/>
    </row>
    <row r="894" spans="1:12" x14ac:dyDescent="0.25">
      <c r="A894" s="35"/>
      <c r="B894" s="36"/>
      <c r="C894" s="37"/>
      <c r="D894" s="36"/>
      <c r="E894" s="36"/>
      <c r="F894" s="37"/>
      <c r="G894" s="36"/>
      <c r="H894" s="36"/>
      <c r="I894" s="171"/>
      <c r="J894" s="38"/>
      <c r="K894" s="28"/>
      <c r="L894" s="28"/>
    </row>
    <row r="895" spans="1:12" x14ac:dyDescent="0.25">
      <c r="A895" s="35"/>
      <c r="B895" s="36"/>
      <c r="C895" s="37"/>
      <c r="D895" s="36"/>
      <c r="E895" s="36"/>
      <c r="F895" s="37"/>
      <c r="G895" s="36"/>
      <c r="H895" s="36"/>
      <c r="I895" s="171"/>
      <c r="J895" s="38"/>
      <c r="K895" s="28"/>
      <c r="L895" s="28"/>
    </row>
    <row r="896" spans="1:12" x14ac:dyDescent="0.25">
      <c r="A896" s="35"/>
      <c r="B896" s="36"/>
      <c r="C896" s="37"/>
      <c r="D896" s="36"/>
      <c r="E896" s="36"/>
      <c r="F896" s="37"/>
      <c r="G896" s="36"/>
      <c r="H896" s="36"/>
      <c r="I896" s="171"/>
      <c r="J896" s="38"/>
      <c r="K896" s="28"/>
      <c r="L896" s="28"/>
    </row>
    <row r="897" spans="1:12" x14ac:dyDescent="0.25">
      <c r="A897" s="35"/>
      <c r="B897" s="36"/>
      <c r="C897" s="37"/>
      <c r="D897" s="36"/>
      <c r="E897" s="36"/>
      <c r="F897" s="37"/>
      <c r="G897" s="36"/>
      <c r="H897" s="36"/>
      <c r="I897" s="171"/>
      <c r="J897" s="38"/>
      <c r="K897" s="28"/>
      <c r="L897" s="28"/>
    </row>
    <row r="898" spans="1:12" x14ac:dyDescent="0.25">
      <c r="A898" s="35"/>
      <c r="B898" s="36"/>
      <c r="C898" s="37"/>
      <c r="D898" s="36"/>
      <c r="E898" s="36"/>
      <c r="F898" s="37"/>
      <c r="G898" s="36"/>
      <c r="H898" s="36"/>
      <c r="I898" s="171"/>
      <c r="J898" s="38"/>
      <c r="K898" s="28"/>
      <c r="L898" s="28"/>
    </row>
    <row r="899" spans="1:12" x14ac:dyDescent="0.25">
      <c r="A899" s="35"/>
      <c r="B899" s="36"/>
      <c r="C899" s="37"/>
      <c r="D899" s="36"/>
      <c r="E899" s="36"/>
      <c r="F899" s="37"/>
      <c r="G899" s="36"/>
      <c r="H899" s="36"/>
      <c r="I899" s="171"/>
      <c r="J899" s="38"/>
      <c r="K899" s="28"/>
      <c r="L899" s="28"/>
    </row>
    <row r="900" spans="1:12" x14ac:dyDescent="0.25">
      <c r="A900" s="35"/>
      <c r="B900" s="36"/>
      <c r="C900" s="37"/>
      <c r="D900" s="36"/>
      <c r="E900" s="36"/>
      <c r="F900" s="37"/>
      <c r="G900" s="36"/>
      <c r="H900" s="36"/>
      <c r="I900" s="171"/>
      <c r="J900" s="38"/>
      <c r="K900" s="28"/>
      <c r="L900" s="28"/>
    </row>
    <row r="901" spans="1:12" x14ac:dyDescent="0.25">
      <c r="A901" s="35"/>
      <c r="B901" s="36"/>
      <c r="C901" s="37"/>
      <c r="D901" s="36"/>
      <c r="E901" s="36"/>
      <c r="F901" s="37"/>
      <c r="G901" s="36"/>
      <c r="H901" s="36"/>
      <c r="I901" s="171"/>
      <c r="J901" s="38"/>
      <c r="K901" s="28"/>
      <c r="L901" s="28"/>
    </row>
    <row r="902" spans="1:12" x14ac:dyDescent="0.25">
      <c r="A902" s="35"/>
      <c r="B902" s="36"/>
      <c r="C902" s="37"/>
      <c r="D902" s="36"/>
      <c r="E902" s="36"/>
      <c r="F902" s="37"/>
      <c r="G902" s="36"/>
      <c r="H902" s="36"/>
      <c r="I902" s="171"/>
      <c r="J902" s="38"/>
      <c r="K902" s="28"/>
      <c r="L902" s="28"/>
    </row>
    <row r="903" spans="1:12" x14ac:dyDescent="0.25">
      <c r="A903" s="35"/>
      <c r="B903" s="36"/>
      <c r="C903" s="37"/>
      <c r="D903" s="36"/>
      <c r="E903" s="36"/>
      <c r="F903" s="37"/>
      <c r="G903" s="36"/>
      <c r="H903" s="36"/>
      <c r="I903" s="171"/>
      <c r="J903" s="38"/>
      <c r="K903" s="28"/>
      <c r="L903" s="28"/>
    </row>
    <row r="904" spans="1:12" x14ac:dyDescent="0.25">
      <c r="A904" s="35"/>
      <c r="B904" s="36"/>
      <c r="C904" s="37"/>
      <c r="D904" s="36"/>
      <c r="E904" s="36"/>
      <c r="F904" s="37"/>
      <c r="G904" s="36"/>
      <c r="H904" s="36"/>
      <c r="I904" s="171"/>
      <c r="J904" s="38"/>
      <c r="K904" s="28"/>
      <c r="L904" s="28"/>
    </row>
    <row r="905" spans="1:12" x14ac:dyDescent="0.25">
      <c r="A905" s="35"/>
      <c r="B905" s="36"/>
      <c r="C905" s="37"/>
      <c r="D905" s="36"/>
      <c r="E905" s="36"/>
      <c r="F905" s="37"/>
      <c r="G905" s="36"/>
      <c r="H905" s="36"/>
      <c r="I905" s="171"/>
      <c r="J905" s="38"/>
      <c r="K905" s="28"/>
      <c r="L905" s="28"/>
    </row>
    <row r="906" spans="1:12" x14ac:dyDescent="0.25">
      <c r="A906" s="35"/>
      <c r="B906" s="36"/>
      <c r="C906" s="37"/>
      <c r="D906" s="36"/>
      <c r="E906" s="36"/>
      <c r="F906" s="37"/>
      <c r="G906" s="36"/>
      <c r="H906" s="36"/>
      <c r="I906" s="171"/>
      <c r="J906" s="38"/>
      <c r="K906" s="28"/>
      <c r="L906" s="28"/>
    </row>
    <row r="907" spans="1:12" x14ac:dyDescent="0.25">
      <c r="A907" s="35"/>
      <c r="B907" s="36"/>
      <c r="C907" s="37"/>
      <c r="D907" s="36"/>
      <c r="E907" s="36"/>
      <c r="F907" s="37"/>
      <c r="G907" s="36"/>
      <c r="H907" s="36"/>
      <c r="I907" s="171"/>
      <c r="J907" s="38"/>
      <c r="K907" s="28"/>
      <c r="L907" s="28"/>
    </row>
    <row r="908" spans="1:12" x14ac:dyDescent="0.25">
      <c r="A908" s="35"/>
      <c r="B908" s="36"/>
      <c r="C908" s="37"/>
      <c r="D908" s="36"/>
      <c r="E908" s="36"/>
      <c r="F908" s="37"/>
      <c r="G908" s="36"/>
      <c r="H908" s="36"/>
      <c r="I908" s="171"/>
      <c r="J908" s="38"/>
      <c r="K908" s="28"/>
      <c r="L908" s="28"/>
    </row>
    <row r="909" spans="1:12" x14ac:dyDescent="0.25">
      <c r="A909" s="35"/>
      <c r="B909" s="36"/>
      <c r="C909" s="37"/>
      <c r="D909" s="36"/>
      <c r="E909" s="36"/>
      <c r="F909" s="37"/>
      <c r="G909" s="36"/>
      <c r="H909" s="36"/>
      <c r="I909" s="171"/>
      <c r="J909" s="38"/>
      <c r="K909" s="28"/>
      <c r="L909" s="28"/>
    </row>
    <row r="910" spans="1:12" x14ac:dyDescent="0.25">
      <c r="A910" s="35"/>
      <c r="B910" s="36"/>
      <c r="C910" s="37"/>
      <c r="D910" s="36"/>
      <c r="E910" s="36"/>
      <c r="F910" s="37"/>
      <c r="G910" s="36"/>
      <c r="H910" s="36"/>
      <c r="I910" s="171"/>
      <c r="J910" s="38"/>
      <c r="K910" s="28"/>
      <c r="L910" s="28"/>
    </row>
    <row r="911" spans="1:12" x14ac:dyDescent="0.25">
      <c r="A911" s="35"/>
      <c r="B911" s="36"/>
      <c r="C911" s="37"/>
      <c r="D911" s="36"/>
      <c r="E911" s="36"/>
      <c r="F911" s="37"/>
      <c r="G911" s="36"/>
      <c r="H911" s="36"/>
      <c r="I911" s="171"/>
      <c r="J911" s="38"/>
      <c r="K911" s="28"/>
      <c r="L911" s="28"/>
    </row>
    <row r="912" spans="1:12" x14ac:dyDescent="0.25">
      <c r="A912" s="35"/>
      <c r="B912" s="36"/>
      <c r="C912" s="37"/>
      <c r="D912" s="36"/>
      <c r="E912" s="36"/>
      <c r="F912" s="37"/>
      <c r="G912" s="36"/>
      <c r="H912" s="36"/>
      <c r="I912" s="171"/>
      <c r="J912" s="38"/>
      <c r="K912" s="28"/>
      <c r="L912" s="28"/>
    </row>
    <row r="913" spans="1:12" x14ac:dyDescent="0.25">
      <c r="A913" s="35"/>
      <c r="B913" s="36"/>
      <c r="C913" s="37"/>
      <c r="D913" s="36"/>
      <c r="E913" s="36"/>
      <c r="F913" s="37"/>
      <c r="G913" s="36"/>
      <c r="H913" s="36"/>
      <c r="I913" s="171"/>
      <c r="J913" s="38"/>
      <c r="K913" s="28"/>
      <c r="L913" s="28"/>
    </row>
    <row r="914" spans="1:12" x14ac:dyDescent="0.25">
      <c r="A914" s="35"/>
      <c r="B914" s="36"/>
      <c r="C914" s="37"/>
      <c r="D914" s="36"/>
      <c r="E914" s="36"/>
      <c r="F914" s="37"/>
      <c r="G914" s="36"/>
      <c r="H914" s="36"/>
      <c r="I914" s="171"/>
      <c r="J914" s="38"/>
      <c r="K914" s="28"/>
      <c r="L914" s="28"/>
    </row>
    <row r="915" spans="1:12" x14ac:dyDescent="0.25">
      <c r="A915" s="35"/>
      <c r="B915" s="36"/>
      <c r="C915" s="37"/>
      <c r="D915" s="36"/>
      <c r="E915" s="36"/>
      <c r="F915" s="37"/>
      <c r="G915" s="36"/>
      <c r="H915" s="36"/>
      <c r="I915" s="171"/>
      <c r="J915" s="38"/>
      <c r="K915" s="28"/>
      <c r="L915" s="28"/>
    </row>
    <row r="916" spans="1:12" x14ac:dyDescent="0.25">
      <c r="A916" s="35"/>
      <c r="B916" s="36"/>
      <c r="C916" s="37"/>
      <c r="D916" s="36"/>
      <c r="E916" s="36"/>
      <c r="F916" s="37"/>
      <c r="G916" s="36"/>
      <c r="H916" s="36"/>
      <c r="I916" s="171"/>
      <c r="J916" s="38"/>
      <c r="K916" s="28"/>
      <c r="L916" s="28"/>
    </row>
    <row r="917" spans="1:12" x14ac:dyDescent="0.25">
      <c r="A917" s="35"/>
      <c r="B917" s="36"/>
      <c r="C917" s="37"/>
      <c r="D917" s="36"/>
      <c r="E917" s="36"/>
      <c r="F917" s="37"/>
      <c r="G917" s="36"/>
      <c r="H917" s="36"/>
      <c r="I917" s="171"/>
      <c r="J917" s="38"/>
      <c r="K917" s="28"/>
      <c r="L917" s="28"/>
    </row>
    <row r="918" spans="1:12" x14ac:dyDescent="0.25">
      <c r="A918" s="35"/>
      <c r="B918" s="36"/>
      <c r="C918" s="37"/>
      <c r="D918" s="36"/>
      <c r="E918" s="36"/>
      <c r="F918" s="37"/>
      <c r="G918" s="36"/>
      <c r="H918" s="36"/>
      <c r="I918" s="171"/>
      <c r="J918" s="38"/>
      <c r="K918" s="28"/>
      <c r="L918" s="28"/>
    </row>
    <row r="919" spans="1:12" x14ac:dyDescent="0.25">
      <c r="A919" s="35"/>
      <c r="B919" s="36"/>
      <c r="C919" s="37"/>
      <c r="D919" s="36"/>
      <c r="E919" s="36"/>
      <c r="F919" s="37"/>
      <c r="G919" s="36"/>
      <c r="H919" s="36"/>
      <c r="I919" s="171"/>
      <c r="J919" s="38"/>
      <c r="K919" s="28"/>
      <c r="L919" s="28"/>
    </row>
    <row r="920" spans="1:12" x14ac:dyDescent="0.25">
      <c r="A920" s="35"/>
      <c r="B920" s="36"/>
      <c r="C920" s="37"/>
      <c r="D920" s="36"/>
      <c r="E920" s="36"/>
      <c r="F920" s="37"/>
      <c r="G920" s="36"/>
      <c r="H920" s="36"/>
      <c r="I920" s="171"/>
      <c r="J920" s="38"/>
      <c r="K920" s="28"/>
      <c r="L920" s="28"/>
    </row>
    <row r="921" spans="1:12" x14ac:dyDescent="0.25">
      <c r="A921" s="35"/>
      <c r="B921" s="36"/>
      <c r="C921" s="37"/>
      <c r="D921" s="36"/>
      <c r="E921" s="36"/>
      <c r="F921" s="37"/>
      <c r="G921" s="36"/>
      <c r="H921" s="36"/>
      <c r="I921" s="171"/>
      <c r="J921" s="38"/>
      <c r="K921" s="28"/>
      <c r="L921" s="28"/>
    </row>
    <row r="922" spans="1:12" x14ac:dyDescent="0.25">
      <c r="A922" s="35"/>
      <c r="B922" s="36"/>
      <c r="C922" s="37"/>
      <c r="D922" s="36"/>
      <c r="E922" s="36"/>
      <c r="F922" s="37"/>
      <c r="G922" s="36"/>
      <c r="H922" s="36"/>
      <c r="I922" s="171"/>
      <c r="J922" s="38"/>
      <c r="K922" s="28"/>
      <c r="L922" s="28"/>
    </row>
    <row r="923" spans="1:12" x14ac:dyDescent="0.25">
      <c r="A923" s="35"/>
      <c r="B923" s="36"/>
      <c r="C923" s="37"/>
      <c r="D923" s="36"/>
      <c r="E923" s="36"/>
      <c r="F923" s="37"/>
      <c r="G923" s="36"/>
      <c r="H923" s="36"/>
      <c r="I923" s="171"/>
      <c r="J923" s="38"/>
      <c r="K923" s="28"/>
      <c r="L923" s="28"/>
    </row>
    <row r="924" spans="1:12" x14ac:dyDescent="0.25">
      <c r="A924" s="35"/>
      <c r="B924" s="36"/>
      <c r="C924" s="37"/>
      <c r="D924" s="36"/>
      <c r="E924" s="36"/>
      <c r="F924" s="37"/>
      <c r="G924" s="36"/>
      <c r="H924" s="36"/>
      <c r="I924" s="171"/>
      <c r="J924" s="38"/>
      <c r="K924" s="28"/>
      <c r="L924" s="28"/>
    </row>
    <row r="925" spans="1:12" x14ac:dyDescent="0.25">
      <c r="A925" s="35"/>
      <c r="B925" s="36"/>
      <c r="C925" s="37"/>
      <c r="D925" s="36"/>
      <c r="E925" s="36"/>
      <c r="F925" s="37"/>
      <c r="G925" s="36"/>
      <c r="H925" s="36"/>
      <c r="I925" s="171"/>
      <c r="J925" s="38"/>
      <c r="K925" s="28"/>
      <c r="L925" s="28"/>
    </row>
    <row r="926" spans="1:12" x14ac:dyDescent="0.25">
      <c r="A926" s="35"/>
      <c r="B926" s="36"/>
      <c r="C926" s="37"/>
      <c r="D926" s="36"/>
      <c r="E926" s="36"/>
      <c r="F926" s="37"/>
      <c r="G926" s="36"/>
      <c r="H926" s="36"/>
      <c r="I926" s="171"/>
      <c r="J926" s="38"/>
      <c r="K926" s="28"/>
      <c r="L926" s="28"/>
    </row>
    <row r="927" spans="1:12" x14ac:dyDescent="0.25">
      <c r="A927" s="35"/>
      <c r="B927" s="36"/>
      <c r="C927" s="37"/>
      <c r="D927" s="36"/>
      <c r="E927" s="36"/>
      <c r="F927" s="37"/>
      <c r="G927" s="36"/>
      <c r="H927" s="36"/>
      <c r="I927" s="171"/>
      <c r="J927" s="38"/>
      <c r="K927" s="28"/>
      <c r="L927" s="28"/>
    </row>
    <row r="928" spans="1:12" x14ac:dyDescent="0.25">
      <c r="A928" s="35"/>
      <c r="B928" s="36"/>
      <c r="C928" s="37"/>
      <c r="D928" s="36"/>
      <c r="E928" s="36"/>
      <c r="F928" s="37"/>
      <c r="G928" s="36"/>
      <c r="H928" s="36"/>
      <c r="I928" s="171"/>
      <c r="J928" s="38"/>
      <c r="K928" s="28"/>
      <c r="L928" s="28"/>
    </row>
    <row r="929" spans="1:12" x14ac:dyDescent="0.25">
      <c r="A929" s="35"/>
      <c r="B929" s="36"/>
      <c r="C929" s="37"/>
      <c r="D929" s="36"/>
      <c r="E929" s="36"/>
      <c r="F929" s="37"/>
      <c r="G929" s="36"/>
      <c r="H929" s="36"/>
      <c r="I929" s="171"/>
      <c r="J929" s="38"/>
      <c r="K929" s="28"/>
      <c r="L929" s="28"/>
    </row>
    <row r="930" spans="1:12" x14ac:dyDescent="0.25">
      <c r="A930" s="35"/>
      <c r="B930" s="36"/>
      <c r="C930" s="37"/>
      <c r="D930" s="36"/>
      <c r="E930" s="36"/>
      <c r="F930" s="37"/>
      <c r="G930" s="36"/>
      <c r="H930" s="36"/>
      <c r="I930" s="171"/>
      <c r="J930" s="38"/>
      <c r="K930" s="28"/>
      <c r="L930" s="28"/>
    </row>
    <row r="931" spans="1:12" x14ac:dyDescent="0.25">
      <c r="A931" s="35"/>
      <c r="B931" s="36"/>
      <c r="C931" s="37"/>
      <c r="D931" s="36"/>
      <c r="E931" s="36"/>
      <c r="F931" s="37"/>
      <c r="G931" s="36"/>
      <c r="H931" s="36"/>
      <c r="I931" s="171"/>
      <c r="J931" s="38"/>
      <c r="K931" s="28"/>
      <c r="L931" s="28"/>
    </row>
    <row r="932" spans="1:12" x14ac:dyDescent="0.25">
      <c r="A932" s="35"/>
      <c r="B932" s="36"/>
      <c r="C932" s="37"/>
      <c r="D932" s="36"/>
      <c r="E932" s="36"/>
      <c r="F932" s="37"/>
      <c r="G932" s="36"/>
      <c r="H932" s="36"/>
      <c r="I932" s="171"/>
      <c r="J932" s="38"/>
      <c r="K932" s="28"/>
      <c r="L932" s="28"/>
    </row>
    <row r="933" spans="1:12" x14ac:dyDescent="0.25">
      <c r="A933" s="35"/>
      <c r="B933" s="36"/>
      <c r="C933" s="37"/>
      <c r="D933" s="36"/>
      <c r="E933" s="36"/>
      <c r="F933" s="37"/>
      <c r="G933" s="36"/>
      <c r="H933" s="36"/>
      <c r="I933" s="171"/>
      <c r="J933" s="38"/>
      <c r="K933" s="28"/>
      <c r="L933" s="28"/>
    </row>
    <row r="934" spans="1:12" x14ac:dyDescent="0.25">
      <c r="A934" s="35"/>
      <c r="B934" s="36"/>
      <c r="C934" s="37"/>
      <c r="D934" s="36"/>
      <c r="E934" s="36"/>
      <c r="F934" s="37"/>
      <c r="G934" s="36"/>
      <c r="H934" s="36"/>
      <c r="I934" s="171"/>
      <c r="J934" s="38"/>
      <c r="K934" s="28"/>
      <c r="L934" s="28"/>
    </row>
    <row r="935" spans="1:12" x14ac:dyDescent="0.25">
      <c r="A935" s="35"/>
      <c r="B935" s="36"/>
      <c r="C935" s="37"/>
      <c r="D935" s="36"/>
      <c r="E935" s="36"/>
      <c r="F935" s="37"/>
      <c r="G935" s="36"/>
      <c r="H935" s="36"/>
      <c r="I935" s="171"/>
      <c r="J935" s="38"/>
      <c r="K935" s="28"/>
      <c r="L935" s="28"/>
    </row>
    <row r="936" spans="1:12" x14ac:dyDescent="0.25">
      <c r="A936" s="35"/>
      <c r="B936" s="36"/>
      <c r="C936" s="37"/>
      <c r="D936" s="36"/>
      <c r="E936" s="36"/>
      <c r="F936" s="37"/>
      <c r="G936" s="36"/>
      <c r="H936" s="36"/>
      <c r="I936" s="171"/>
      <c r="J936" s="38"/>
      <c r="K936" s="28"/>
      <c r="L936" s="28"/>
    </row>
    <row r="937" spans="1:12" x14ac:dyDescent="0.25">
      <c r="A937" s="35"/>
      <c r="B937" s="36"/>
      <c r="C937" s="37"/>
      <c r="D937" s="36"/>
      <c r="E937" s="36"/>
      <c r="F937" s="37"/>
      <c r="G937" s="36"/>
      <c r="H937" s="36"/>
      <c r="I937" s="171"/>
      <c r="J937" s="38"/>
      <c r="K937" s="28"/>
      <c r="L937" s="28"/>
    </row>
    <row r="938" spans="1:12" x14ac:dyDescent="0.25">
      <c r="A938" s="35"/>
      <c r="B938" s="36"/>
      <c r="C938" s="37"/>
      <c r="D938" s="36"/>
      <c r="E938" s="36"/>
      <c r="F938" s="37"/>
      <c r="G938" s="36"/>
      <c r="H938" s="36"/>
      <c r="I938" s="171"/>
      <c r="J938" s="38"/>
      <c r="K938" s="28"/>
      <c r="L938" s="28"/>
    </row>
    <row r="939" spans="1:12" x14ac:dyDescent="0.25">
      <c r="A939" s="35"/>
      <c r="B939" s="36"/>
      <c r="C939" s="37"/>
      <c r="D939" s="36"/>
      <c r="E939" s="36"/>
      <c r="F939" s="37"/>
      <c r="G939" s="36"/>
      <c r="H939" s="36"/>
      <c r="I939" s="171"/>
      <c r="J939" s="38"/>
      <c r="K939" s="28"/>
      <c r="L939" s="28"/>
    </row>
    <row r="940" spans="1:12" x14ac:dyDescent="0.25">
      <c r="A940" s="35"/>
      <c r="B940" s="36"/>
      <c r="C940" s="37"/>
      <c r="D940" s="36"/>
      <c r="E940" s="36"/>
      <c r="F940" s="37"/>
      <c r="G940" s="36"/>
      <c r="H940" s="36"/>
      <c r="I940" s="171"/>
      <c r="J940" s="38"/>
      <c r="K940" s="28"/>
      <c r="L940" s="28"/>
    </row>
    <row r="941" spans="1:12" x14ac:dyDescent="0.25">
      <c r="A941" s="35"/>
      <c r="B941" s="36"/>
      <c r="C941" s="37"/>
      <c r="D941" s="36"/>
      <c r="E941" s="36"/>
      <c r="F941" s="37"/>
      <c r="G941" s="36"/>
      <c r="H941" s="36"/>
      <c r="I941" s="171"/>
      <c r="J941" s="38"/>
      <c r="K941" s="28"/>
      <c r="L941" s="28"/>
    </row>
    <row r="942" spans="1:12" x14ac:dyDescent="0.25">
      <c r="A942" s="35"/>
      <c r="B942" s="36"/>
      <c r="C942" s="37"/>
      <c r="D942" s="36"/>
      <c r="E942" s="36"/>
      <c r="F942" s="37"/>
      <c r="G942" s="36"/>
      <c r="H942" s="36"/>
      <c r="I942" s="171"/>
      <c r="J942" s="38"/>
      <c r="K942" s="28"/>
      <c r="L942" s="28"/>
    </row>
    <row r="943" spans="1:12" x14ac:dyDescent="0.25">
      <c r="A943" s="35"/>
      <c r="B943" s="36"/>
      <c r="C943" s="37"/>
      <c r="D943" s="36"/>
      <c r="E943" s="36"/>
      <c r="F943" s="37"/>
      <c r="G943" s="36"/>
      <c r="H943" s="36"/>
      <c r="I943" s="171"/>
      <c r="J943" s="38"/>
      <c r="K943" s="28"/>
      <c r="L943" s="28"/>
    </row>
    <row r="944" spans="1:12" x14ac:dyDescent="0.25">
      <c r="A944" s="35"/>
      <c r="B944" s="36"/>
      <c r="C944" s="37"/>
      <c r="D944" s="36"/>
      <c r="E944" s="36"/>
      <c r="F944" s="37"/>
      <c r="G944" s="36"/>
      <c r="H944" s="36"/>
      <c r="I944" s="171"/>
      <c r="J944" s="38"/>
      <c r="K944" s="28"/>
      <c r="L944" s="28"/>
    </row>
    <row r="945" spans="1:12" x14ac:dyDescent="0.25">
      <c r="A945" s="35"/>
      <c r="B945" s="36"/>
      <c r="C945" s="37"/>
      <c r="D945" s="36"/>
      <c r="E945" s="36"/>
      <c r="F945" s="37"/>
      <c r="G945" s="36"/>
      <c r="H945" s="36"/>
      <c r="I945" s="171"/>
      <c r="J945" s="38"/>
      <c r="K945" s="28"/>
      <c r="L945" s="28"/>
    </row>
    <row r="946" spans="1:12" x14ac:dyDescent="0.25">
      <c r="A946" s="35"/>
      <c r="B946" s="36"/>
      <c r="C946" s="37"/>
      <c r="D946" s="36"/>
      <c r="E946" s="36"/>
      <c r="F946" s="37"/>
      <c r="G946" s="36"/>
      <c r="H946" s="36"/>
      <c r="I946" s="171"/>
      <c r="J946" s="38"/>
      <c r="K946" s="28"/>
      <c r="L946" s="28"/>
    </row>
    <row r="947" spans="1:12" x14ac:dyDescent="0.25">
      <c r="A947" s="35"/>
      <c r="B947" s="36"/>
      <c r="C947" s="37"/>
      <c r="D947" s="36"/>
      <c r="E947" s="36"/>
      <c r="F947" s="37"/>
      <c r="G947" s="36"/>
      <c r="H947" s="36"/>
      <c r="I947" s="171"/>
      <c r="J947" s="38"/>
      <c r="K947" s="28"/>
      <c r="L947" s="28"/>
    </row>
    <row r="948" spans="1:12" x14ac:dyDescent="0.25">
      <c r="A948" s="35"/>
      <c r="B948" s="36"/>
      <c r="C948" s="37"/>
      <c r="D948" s="36"/>
      <c r="E948" s="36"/>
      <c r="F948" s="37"/>
      <c r="G948" s="36"/>
      <c r="H948" s="36"/>
      <c r="I948" s="171"/>
      <c r="J948" s="38"/>
      <c r="K948" s="28"/>
      <c r="L948" s="28"/>
    </row>
    <row r="949" spans="1:12" x14ac:dyDescent="0.25">
      <c r="A949" s="35"/>
      <c r="B949" s="36"/>
      <c r="C949" s="37"/>
      <c r="D949" s="36"/>
      <c r="E949" s="36"/>
      <c r="F949" s="37"/>
      <c r="G949" s="36"/>
      <c r="H949" s="36"/>
      <c r="I949" s="171"/>
      <c r="J949" s="38"/>
      <c r="K949" s="28"/>
      <c r="L949" s="28"/>
    </row>
    <row r="950" spans="1:12" x14ac:dyDescent="0.25">
      <c r="A950" s="35"/>
      <c r="B950" s="36"/>
      <c r="C950" s="37"/>
      <c r="D950" s="36"/>
      <c r="E950" s="36"/>
      <c r="F950" s="37"/>
      <c r="G950" s="36"/>
      <c r="H950" s="36"/>
      <c r="I950" s="171"/>
      <c r="J950" s="38"/>
      <c r="K950" s="28"/>
      <c r="L950" s="28"/>
    </row>
    <row r="951" spans="1:12" x14ac:dyDescent="0.25">
      <c r="A951" s="35"/>
      <c r="B951" s="36"/>
      <c r="C951" s="37"/>
      <c r="D951" s="36"/>
      <c r="E951" s="36"/>
      <c r="F951" s="37"/>
      <c r="G951" s="36"/>
      <c r="H951" s="36"/>
      <c r="I951" s="171"/>
      <c r="J951" s="38"/>
      <c r="K951" s="28"/>
      <c r="L951" s="28"/>
    </row>
    <row r="952" spans="1:12" x14ac:dyDescent="0.25">
      <c r="A952" s="35"/>
      <c r="B952" s="36"/>
      <c r="C952" s="37"/>
      <c r="D952" s="36"/>
      <c r="E952" s="36"/>
      <c r="F952" s="37"/>
      <c r="G952" s="36"/>
      <c r="H952" s="36"/>
      <c r="I952" s="171"/>
      <c r="J952" s="38"/>
      <c r="K952" s="28"/>
      <c r="L952" s="28"/>
    </row>
    <row r="953" spans="1:12" x14ac:dyDescent="0.25">
      <c r="A953" s="35"/>
      <c r="B953" s="36"/>
      <c r="C953" s="37"/>
      <c r="D953" s="36"/>
      <c r="E953" s="36"/>
      <c r="F953" s="37"/>
      <c r="G953" s="36"/>
      <c r="H953" s="36"/>
      <c r="I953" s="171"/>
      <c r="J953" s="38"/>
      <c r="K953" s="28"/>
      <c r="L953" s="28"/>
    </row>
    <row r="954" spans="1:12" x14ac:dyDescent="0.25">
      <c r="A954" s="35"/>
      <c r="B954" s="36"/>
      <c r="C954" s="37"/>
      <c r="D954" s="36"/>
      <c r="E954" s="36"/>
      <c r="F954" s="37"/>
      <c r="G954" s="36"/>
      <c r="H954" s="36"/>
      <c r="I954" s="171"/>
      <c r="J954" s="38"/>
      <c r="K954" s="28"/>
      <c r="L954" s="28"/>
    </row>
    <row r="955" spans="1:12" x14ac:dyDescent="0.25">
      <c r="A955" s="35"/>
      <c r="B955" s="36"/>
      <c r="C955" s="37"/>
      <c r="D955" s="36"/>
      <c r="E955" s="36"/>
      <c r="F955" s="37"/>
      <c r="G955" s="36"/>
      <c r="H955" s="36"/>
      <c r="I955" s="171"/>
      <c r="J955" s="38"/>
      <c r="K955" s="28"/>
      <c r="L955" s="28"/>
    </row>
    <row r="956" spans="1:12" x14ac:dyDescent="0.25">
      <c r="A956" s="35"/>
      <c r="B956" s="36"/>
      <c r="C956" s="37"/>
      <c r="D956" s="36"/>
      <c r="E956" s="36"/>
      <c r="F956" s="37"/>
      <c r="G956" s="36"/>
      <c r="H956" s="36"/>
      <c r="I956" s="171"/>
      <c r="J956" s="38"/>
      <c r="K956" s="28"/>
      <c r="L956" s="28"/>
    </row>
    <row r="957" spans="1:12" x14ac:dyDescent="0.25">
      <c r="A957" s="35"/>
      <c r="B957" s="36"/>
      <c r="C957" s="37"/>
      <c r="D957" s="36"/>
      <c r="E957" s="36"/>
      <c r="F957" s="37"/>
      <c r="G957" s="36"/>
      <c r="H957" s="36"/>
      <c r="I957" s="171"/>
      <c r="J957" s="38"/>
      <c r="K957" s="28"/>
      <c r="L957" s="28"/>
    </row>
    <row r="958" spans="1:12" x14ac:dyDescent="0.25">
      <c r="A958" s="35"/>
      <c r="B958" s="36"/>
      <c r="C958" s="37"/>
      <c r="D958" s="36"/>
      <c r="E958" s="36"/>
      <c r="F958" s="37"/>
      <c r="G958" s="36"/>
      <c r="H958" s="36"/>
      <c r="I958" s="171"/>
      <c r="J958" s="38"/>
      <c r="K958" s="28"/>
      <c r="L958" s="28"/>
    </row>
    <row r="959" spans="1:12" x14ac:dyDescent="0.25">
      <c r="A959" s="35"/>
      <c r="B959" s="36"/>
      <c r="C959" s="37"/>
      <c r="D959" s="36"/>
      <c r="E959" s="36"/>
      <c r="F959" s="37"/>
      <c r="G959" s="36"/>
      <c r="H959" s="36"/>
      <c r="I959" s="171"/>
      <c r="J959" s="38"/>
      <c r="K959" s="28"/>
      <c r="L959" s="28"/>
    </row>
    <row r="960" spans="1:12" x14ac:dyDescent="0.25">
      <c r="A960" s="35"/>
      <c r="B960" s="36"/>
      <c r="C960" s="37"/>
      <c r="D960" s="36"/>
      <c r="E960" s="36"/>
      <c r="F960" s="37"/>
      <c r="G960" s="36"/>
      <c r="H960" s="36"/>
      <c r="I960" s="171"/>
      <c r="J960" s="38"/>
      <c r="K960" s="28"/>
      <c r="L960" s="28"/>
    </row>
    <row r="961" spans="1:12" x14ac:dyDescent="0.25">
      <c r="A961" s="35"/>
      <c r="B961" s="36"/>
      <c r="C961" s="37"/>
      <c r="D961" s="36"/>
      <c r="E961" s="36"/>
      <c r="F961" s="37"/>
      <c r="G961" s="36"/>
      <c r="H961" s="36"/>
      <c r="I961" s="171"/>
      <c r="J961" s="38"/>
      <c r="K961" s="28"/>
      <c r="L961" s="28"/>
    </row>
    <row r="962" spans="1:12" x14ac:dyDescent="0.25">
      <c r="A962" s="35"/>
      <c r="B962" s="36"/>
      <c r="C962" s="37"/>
      <c r="D962" s="36"/>
      <c r="E962" s="36"/>
      <c r="F962" s="37"/>
      <c r="G962" s="36"/>
      <c r="H962" s="36"/>
      <c r="I962" s="171"/>
      <c r="J962" s="38"/>
      <c r="K962" s="28"/>
      <c r="L962" s="28"/>
    </row>
    <row r="963" spans="1:12" x14ac:dyDescent="0.25">
      <c r="A963" s="35"/>
      <c r="B963" s="36"/>
      <c r="C963" s="37"/>
      <c r="D963" s="36"/>
      <c r="E963" s="36"/>
      <c r="F963" s="37"/>
      <c r="G963" s="36"/>
      <c r="H963" s="36"/>
      <c r="I963" s="171"/>
      <c r="J963" s="38"/>
      <c r="K963" s="28"/>
      <c r="L963" s="28"/>
    </row>
    <row r="964" spans="1:12" x14ac:dyDescent="0.25">
      <c r="A964" s="35"/>
      <c r="B964" s="36"/>
      <c r="C964" s="37"/>
      <c r="D964" s="36"/>
      <c r="E964" s="36"/>
      <c r="F964" s="37"/>
      <c r="G964" s="36"/>
      <c r="H964" s="36"/>
      <c r="I964" s="171"/>
      <c r="J964" s="38"/>
      <c r="K964" s="28"/>
      <c r="L964" s="28"/>
    </row>
    <row r="965" spans="1:12" x14ac:dyDescent="0.25">
      <c r="A965" s="35"/>
      <c r="B965" s="36"/>
      <c r="C965" s="37"/>
      <c r="D965" s="36"/>
      <c r="E965" s="36"/>
      <c r="F965" s="37"/>
      <c r="G965" s="36"/>
      <c r="H965" s="36"/>
      <c r="I965" s="171"/>
      <c r="J965" s="38"/>
      <c r="K965" s="28"/>
      <c r="L965" s="28"/>
    </row>
    <row r="966" spans="1:12" x14ac:dyDescent="0.25">
      <c r="A966" s="35"/>
      <c r="B966" s="36"/>
      <c r="C966" s="37"/>
      <c r="D966" s="36"/>
      <c r="E966" s="36"/>
      <c r="F966" s="37"/>
      <c r="G966" s="36"/>
      <c r="H966" s="36"/>
      <c r="I966" s="171"/>
      <c r="J966" s="38"/>
      <c r="K966" s="28"/>
      <c r="L966" s="28"/>
    </row>
    <row r="967" spans="1:12" x14ac:dyDescent="0.25">
      <c r="A967" s="35"/>
      <c r="B967" s="36"/>
      <c r="C967" s="37"/>
      <c r="D967" s="36"/>
      <c r="E967" s="36"/>
      <c r="F967" s="37"/>
      <c r="G967" s="36"/>
      <c r="H967" s="36"/>
      <c r="I967" s="171"/>
      <c r="J967" s="38"/>
      <c r="K967" s="28"/>
      <c r="L967" s="28"/>
    </row>
    <row r="968" spans="1:12" x14ac:dyDescent="0.25">
      <c r="A968" s="35"/>
      <c r="B968" s="36"/>
      <c r="C968" s="37"/>
      <c r="D968" s="36"/>
      <c r="E968" s="36"/>
      <c r="F968" s="37"/>
      <c r="G968" s="36"/>
      <c r="H968" s="36"/>
      <c r="I968" s="171"/>
      <c r="J968" s="38"/>
      <c r="K968" s="28"/>
      <c r="L968" s="28"/>
    </row>
    <row r="969" spans="1:12" x14ac:dyDescent="0.25">
      <c r="A969" s="35"/>
      <c r="B969" s="36"/>
      <c r="C969" s="37"/>
      <c r="D969" s="36"/>
      <c r="E969" s="36"/>
      <c r="F969" s="37"/>
      <c r="G969" s="36"/>
      <c r="H969" s="36"/>
      <c r="I969" s="171"/>
      <c r="J969" s="38"/>
      <c r="K969" s="28"/>
      <c r="L969" s="28"/>
    </row>
    <row r="970" spans="1:12" x14ac:dyDescent="0.25">
      <c r="A970" s="35"/>
      <c r="B970" s="36"/>
      <c r="C970" s="37"/>
      <c r="D970" s="36"/>
      <c r="E970" s="36"/>
      <c r="F970" s="37"/>
      <c r="G970" s="36"/>
      <c r="H970" s="36"/>
      <c r="I970" s="171"/>
      <c r="J970" s="38"/>
      <c r="K970" s="28"/>
      <c r="L970" s="28"/>
    </row>
    <row r="971" spans="1:12" x14ac:dyDescent="0.25">
      <c r="A971" s="35"/>
      <c r="B971" s="36"/>
      <c r="C971" s="37"/>
      <c r="D971" s="36"/>
      <c r="E971" s="36"/>
      <c r="F971" s="37"/>
      <c r="G971" s="36"/>
      <c r="H971" s="36"/>
      <c r="I971" s="171"/>
      <c r="J971" s="38"/>
      <c r="K971" s="28"/>
      <c r="L971" s="28"/>
    </row>
    <row r="972" spans="1:12" x14ac:dyDescent="0.25">
      <c r="A972" s="35"/>
      <c r="B972" s="36"/>
      <c r="C972" s="37"/>
      <c r="D972" s="36"/>
      <c r="E972" s="36"/>
      <c r="F972" s="37"/>
      <c r="G972" s="36"/>
      <c r="H972" s="36"/>
      <c r="I972" s="171"/>
      <c r="J972" s="38"/>
      <c r="K972" s="28"/>
      <c r="L972" s="28"/>
    </row>
    <row r="973" spans="1:12" x14ac:dyDescent="0.25">
      <c r="A973" s="35"/>
      <c r="B973" s="36"/>
      <c r="C973" s="37"/>
      <c r="D973" s="36"/>
      <c r="E973" s="36"/>
      <c r="F973" s="37"/>
      <c r="G973" s="36"/>
      <c r="H973" s="36"/>
      <c r="I973" s="171"/>
      <c r="J973" s="38"/>
      <c r="K973" s="28"/>
      <c r="L973" s="28"/>
    </row>
    <row r="974" spans="1:12" x14ac:dyDescent="0.25">
      <c r="A974" s="35"/>
      <c r="B974" s="36"/>
      <c r="C974" s="37"/>
      <c r="D974" s="36"/>
      <c r="E974" s="36"/>
      <c r="F974" s="37"/>
      <c r="G974" s="36"/>
      <c r="H974" s="36"/>
      <c r="I974" s="171"/>
      <c r="J974" s="38"/>
      <c r="K974" s="28"/>
      <c r="L974" s="28"/>
    </row>
    <row r="975" spans="1:12" x14ac:dyDescent="0.25">
      <c r="A975" s="35"/>
      <c r="B975" s="36"/>
      <c r="C975" s="37"/>
      <c r="D975" s="36"/>
      <c r="E975" s="36"/>
      <c r="F975" s="37"/>
      <c r="G975" s="36"/>
      <c r="H975" s="36"/>
      <c r="I975" s="171"/>
      <c r="J975" s="38"/>
      <c r="K975" s="28"/>
      <c r="L975" s="28"/>
    </row>
    <row r="976" spans="1:12" x14ac:dyDescent="0.25">
      <c r="A976" s="35"/>
      <c r="B976" s="36"/>
      <c r="C976" s="37"/>
      <c r="D976" s="36"/>
      <c r="E976" s="36"/>
      <c r="F976" s="37"/>
      <c r="G976" s="36"/>
      <c r="H976" s="36"/>
      <c r="I976" s="171"/>
      <c r="J976" s="38"/>
      <c r="K976" s="28"/>
      <c r="L976" s="28"/>
    </row>
    <row r="977" spans="1:12" x14ac:dyDescent="0.25">
      <c r="A977" s="35"/>
      <c r="B977" s="36"/>
      <c r="C977" s="37"/>
      <c r="D977" s="36"/>
      <c r="E977" s="36"/>
      <c r="F977" s="37"/>
      <c r="G977" s="36"/>
      <c r="H977" s="36"/>
      <c r="I977" s="171"/>
      <c r="J977" s="38"/>
      <c r="K977" s="28"/>
      <c r="L977" s="28"/>
    </row>
    <row r="978" spans="1:12" x14ac:dyDescent="0.25">
      <c r="A978" s="35"/>
      <c r="B978" s="36"/>
      <c r="C978" s="37"/>
      <c r="D978" s="36"/>
      <c r="E978" s="36"/>
      <c r="F978" s="37"/>
      <c r="G978" s="36"/>
      <c r="H978" s="36"/>
      <c r="I978" s="171"/>
      <c r="J978" s="38"/>
      <c r="K978" s="28"/>
      <c r="L978" s="28"/>
    </row>
    <row r="979" spans="1:12" x14ac:dyDescent="0.25">
      <c r="A979" s="35"/>
      <c r="B979" s="36"/>
      <c r="C979" s="37"/>
      <c r="D979" s="36"/>
      <c r="E979" s="36"/>
      <c r="F979" s="37"/>
      <c r="G979" s="36"/>
      <c r="H979" s="36"/>
      <c r="I979" s="171"/>
      <c r="J979" s="38"/>
      <c r="K979" s="28"/>
      <c r="L979" s="28"/>
    </row>
    <row r="980" spans="1:12" x14ac:dyDescent="0.25">
      <c r="A980" s="35"/>
      <c r="B980" s="36"/>
      <c r="C980" s="37"/>
      <c r="D980" s="36"/>
      <c r="E980" s="36"/>
      <c r="F980" s="37"/>
      <c r="G980" s="36"/>
      <c r="H980" s="36"/>
      <c r="I980" s="171"/>
      <c r="J980" s="38"/>
      <c r="K980" s="28"/>
      <c r="L980" s="28"/>
    </row>
    <row r="981" spans="1:12" x14ac:dyDescent="0.25">
      <c r="A981" s="35"/>
      <c r="B981" s="36"/>
      <c r="C981" s="37"/>
      <c r="D981" s="36"/>
      <c r="E981" s="36"/>
      <c r="F981" s="37"/>
      <c r="G981" s="36"/>
      <c r="H981" s="36"/>
      <c r="I981" s="171"/>
      <c r="J981" s="38"/>
      <c r="K981" s="28"/>
      <c r="L981" s="28"/>
    </row>
    <row r="982" spans="1:12" x14ac:dyDescent="0.25">
      <c r="A982" s="35"/>
      <c r="B982" s="36"/>
      <c r="C982" s="37"/>
      <c r="D982" s="36"/>
      <c r="E982" s="36"/>
      <c r="F982" s="37"/>
      <c r="G982" s="36"/>
      <c r="H982" s="36"/>
      <c r="I982" s="171"/>
      <c r="J982" s="38"/>
      <c r="K982" s="28"/>
      <c r="L982" s="28"/>
    </row>
    <row r="983" spans="1:12" x14ac:dyDescent="0.25">
      <c r="A983" s="35"/>
      <c r="B983" s="36"/>
      <c r="C983" s="37"/>
      <c r="D983" s="36"/>
      <c r="E983" s="36"/>
      <c r="F983" s="37"/>
      <c r="G983" s="36"/>
      <c r="H983" s="36"/>
      <c r="I983" s="171"/>
      <c r="J983" s="38"/>
      <c r="K983" s="28"/>
      <c r="L983" s="28"/>
    </row>
    <row r="984" spans="1:12" x14ac:dyDescent="0.25">
      <c r="A984" s="35"/>
      <c r="B984" s="36"/>
      <c r="C984" s="37"/>
      <c r="D984" s="36"/>
      <c r="E984" s="36"/>
      <c r="F984" s="37"/>
      <c r="G984" s="36"/>
      <c r="H984" s="36"/>
      <c r="I984" s="171"/>
      <c r="J984" s="38"/>
      <c r="K984" s="28"/>
      <c r="L984" s="28"/>
    </row>
    <row r="985" spans="1:12" x14ac:dyDescent="0.25">
      <c r="A985" s="35"/>
      <c r="B985" s="36"/>
      <c r="C985" s="37"/>
      <c r="D985" s="36"/>
      <c r="E985" s="36"/>
      <c r="F985" s="37"/>
      <c r="G985" s="36"/>
      <c r="H985" s="36"/>
      <c r="I985" s="171"/>
      <c r="J985" s="38"/>
      <c r="K985" s="28"/>
      <c r="L985" s="28"/>
    </row>
    <row r="986" spans="1:12" x14ac:dyDescent="0.25">
      <c r="A986" s="35"/>
      <c r="B986" s="36"/>
      <c r="C986" s="37"/>
      <c r="D986" s="36"/>
      <c r="E986" s="36"/>
      <c r="F986" s="37"/>
      <c r="G986" s="36"/>
      <c r="H986" s="36"/>
      <c r="I986" s="171"/>
      <c r="J986" s="38"/>
      <c r="K986" s="28"/>
      <c r="L986" s="28"/>
    </row>
    <row r="987" spans="1:12" x14ac:dyDescent="0.25">
      <c r="A987" s="35"/>
      <c r="B987" s="36"/>
      <c r="C987" s="37"/>
      <c r="D987" s="36"/>
      <c r="E987" s="36"/>
      <c r="F987" s="37"/>
      <c r="G987" s="36"/>
      <c r="H987" s="36"/>
      <c r="I987" s="171"/>
      <c r="J987" s="38"/>
      <c r="K987" s="28"/>
      <c r="L987" s="28"/>
    </row>
    <row r="988" spans="1:12" x14ac:dyDescent="0.25">
      <c r="A988" s="35"/>
      <c r="B988" s="36"/>
      <c r="C988" s="37"/>
      <c r="D988" s="36"/>
      <c r="E988" s="36"/>
      <c r="F988" s="37"/>
      <c r="G988" s="36"/>
      <c r="H988" s="36"/>
      <c r="I988" s="171"/>
      <c r="J988" s="38"/>
      <c r="K988" s="28"/>
      <c r="L988" s="28"/>
    </row>
    <row r="989" spans="1:12" x14ac:dyDescent="0.25">
      <c r="A989" s="35"/>
      <c r="B989" s="36"/>
      <c r="C989" s="37"/>
      <c r="D989" s="36"/>
      <c r="E989" s="36"/>
      <c r="F989" s="37"/>
      <c r="G989" s="36"/>
      <c r="H989" s="36"/>
      <c r="I989" s="171"/>
      <c r="J989" s="38"/>
      <c r="K989" s="28"/>
      <c r="L989" s="28"/>
    </row>
    <row r="990" spans="1:12" x14ac:dyDescent="0.25">
      <c r="A990" s="35"/>
      <c r="B990" s="36"/>
      <c r="C990" s="37"/>
      <c r="D990" s="36"/>
      <c r="E990" s="36"/>
      <c r="F990" s="37"/>
      <c r="G990" s="36"/>
      <c r="H990" s="36"/>
      <c r="I990" s="171"/>
      <c r="J990" s="38"/>
      <c r="K990" s="28"/>
      <c r="L990" s="28"/>
    </row>
    <row r="991" spans="1:12" x14ac:dyDescent="0.25">
      <c r="A991" s="35"/>
      <c r="B991" s="36"/>
      <c r="C991" s="37"/>
      <c r="D991" s="36"/>
      <c r="E991" s="36"/>
      <c r="F991" s="37"/>
      <c r="G991" s="36"/>
      <c r="H991" s="36"/>
      <c r="I991" s="171"/>
      <c r="J991" s="38"/>
      <c r="K991" s="28"/>
      <c r="L991" s="28"/>
    </row>
    <row r="992" spans="1:12" x14ac:dyDescent="0.25">
      <c r="A992" s="35"/>
      <c r="B992" s="36"/>
      <c r="C992" s="37"/>
      <c r="D992" s="36"/>
      <c r="E992" s="36"/>
      <c r="F992" s="37"/>
      <c r="G992" s="36"/>
      <c r="H992" s="36"/>
      <c r="I992" s="171"/>
      <c r="J992" s="38"/>
      <c r="K992" s="28"/>
      <c r="L992" s="28"/>
    </row>
    <row r="993" spans="1:12" x14ac:dyDescent="0.25">
      <c r="A993" s="35"/>
      <c r="B993" s="36"/>
      <c r="C993" s="37"/>
      <c r="D993" s="36"/>
      <c r="E993" s="36"/>
      <c r="F993" s="37"/>
      <c r="G993" s="36"/>
      <c r="H993" s="36"/>
      <c r="I993" s="171"/>
      <c r="J993" s="38"/>
      <c r="K993" s="28"/>
      <c r="L993" s="28"/>
    </row>
    <row r="994" spans="1:12" x14ac:dyDescent="0.25">
      <c r="A994" s="35"/>
      <c r="B994" s="36"/>
      <c r="C994" s="37"/>
      <c r="D994" s="36"/>
      <c r="E994" s="36"/>
      <c r="F994" s="37"/>
      <c r="G994" s="36"/>
      <c r="H994" s="36"/>
      <c r="I994" s="171"/>
      <c r="J994" s="38"/>
      <c r="K994" s="28"/>
      <c r="L994" s="28"/>
    </row>
    <row r="995" spans="1:12" x14ac:dyDescent="0.25">
      <c r="A995" s="35"/>
      <c r="B995" s="36"/>
      <c r="C995" s="37"/>
      <c r="D995" s="36"/>
      <c r="E995" s="36"/>
      <c r="F995" s="37"/>
      <c r="G995" s="36"/>
      <c r="H995" s="36"/>
      <c r="I995" s="171"/>
      <c r="J995" s="38"/>
      <c r="K995" s="28"/>
      <c r="L995" s="28"/>
    </row>
    <row r="996" spans="1:12" x14ac:dyDescent="0.25">
      <c r="A996" s="35"/>
      <c r="B996" s="36"/>
      <c r="C996" s="37"/>
      <c r="D996" s="36"/>
      <c r="E996" s="36"/>
      <c r="F996" s="37"/>
      <c r="G996" s="36"/>
      <c r="H996" s="36"/>
      <c r="I996" s="171"/>
      <c r="J996" s="38"/>
      <c r="K996" s="28"/>
      <c r="L996" s="28"/>
    </row>
    <row r="997" spans="1:12" x14ac:dyDescent="0.25">
      <c r="A997" s="35"/>
      <c r="B997" s="36"/>
      <c r="C997" s="37"/>
      <c r="D997" s="36"/>
      <c r="E997" s="36"/>
      <c r="F997" s="37"/>
      <c r="G997" s="36"/>
      <c r="H997" s="36"/>
      <c r="I997" s="171"/>
      <c r="J997" s="38"/>
      <c r="K997" s="28"/>
      <c r="L997" s="28"/>
    </row>
    <row r="998" spans="1:12" x14ac:dyDescent="0.25">
      <c r="A998" s="35"/>
      <c r="B998" s="36"/>
      <c r="C998" s="37"/>
      <c r="D998" s="36"/>
      <c r="E998" s="36"/>
      <c r="F998" s="37"/>
      <c r="G998" s="36"/>
      <c r="H998" s="36"/>
      <c r="I998" s="171"/>
      <c r="J998" s="38"/>
      <c r="K998" s="28"/>
      <c r="L998" s="28"/>
    </row>
    <row r="999" spans="1:12" x14ac:dyDescent="0.25">
      <c r="A999" s="35"/>
      <c r="B999" s="36"/>
      <c r="C999" s="37"/>
      <c r="D999" s="36"/>
      <c r="E999" s="36"/>
      <c r="F999" s="37"/>
      <c r="G999" s="36"/>
      <c r="H999" s="36"/>
      <c r="I999" s="171"/>
      <c r="J999" s="38"/>
      <c r="K999" s="28"/>
      <c r="L999" s="28"/>
    </row>
    <row r="1000" spans="1:12" x14ac:dyDescent="0.25">
      <c r="A1000" s="35"/>
      <c r="B1000" s="36"/>
      <c r="C1000" s="37"/>
      <c r="D1000" s="36"/>
      <c r="E1000" s="36"/>
      <c r="F1000" s="37"/>
      <c r="G1000" s="36"/>
      <c r="H1000" s="36"/>
      <c r="I1000" s="171"/>
      <c r="J1000" s="38"/>
      <c r="K1000" s="28"/>
      <c r="L1000" s="28"/>
    </row>
    <row r="1001" spans="1:12" x14ac:dyDescent="0.25">
      <c r="A1001" s="35"/>
      <c r="B1001" s="36"/>
      <c r="C1001" s="37"/>
      <c r="D1001" s="36"/>
      <c r="E1001" s="36"/>
      <c r="F1001" s="37"/>
      <c r="G1001" s="36"/>
      <c r="H1001" s="36"/>
      <c r="I1001" s="171"/>
      <c r="J1001" s="38"/>
      <c r="K1001" s="28"/>
      <c r="L1001" s="28"/>
    </row>
    <row r="1002" spans="1:12" x14ac:dyDescent="0.25">
      <c r="A1002" s="35"/>
      <c r="B1002" s="36"/>
      <c r="C1002" s="37"/>
      <c r="D1002" s="36"/>
      <c r="E1002" s="36"/>
      <c r="F1002" s="37"/>
      <c r="G1002" s="36"/>
      <c r="H1002" s="36"/>
      <c r="I1002" s="171"/>
      <c r="J1002" s="38"/>
      <c r="K1002" s="28"/>
      <c r="L1002" s="28"/>
    </row>
    <row r="1003" spans="1:12" x14ac:dyDescent="0.25">
      <c r="A1003" s="35"/>
      <c r="B1003" s="36"/>
      <c r="C1003" s="37"/>
      <c r="D1003" s="36"/>
      <c r="E1003" s="36"/>
      <c r="F1003" s="37"/>
      <c r="G1003" s="36"/>
      <c r="H1003" s="36"/>
      <c r="I1003" s="171"/>
      <c r="J1003" s="38"/>
      <c r="K1003" s="28"/>
      <c r="L1003" s="28"/>
    </row>
    <row r="1004" spans="1:12" x14ac:dyDescent="0.25">
      <c r="A1004" s="35"/>
      <c r="B1004" s="36"/>
      <c r="C1004" s="37"/>
      <c r="D1004" s="36"/>
      <c r="E1004" s="36"/>
      <c r="F1004" s="37"/>
      <c r="G1004" s="36"/>
      <c r="H1004" s="36"/>
      <c r="I1004" s="171"/>
      <c r="J1004" s="38"/>
      <c r="K1004" s="28"/>
      <c r="L1004" s="28"/>
    </row>
    <row r="1005" spans="1:12" x14ac:dyDescent="0.25">
      <c r="A1005" s="35"/>
      <c r="B1005" s="36"/>
      <c r="C1005" s="37"/>
      <c r="D1005" s="36"/>
      <c r="E1005" s="36"/>
      <c r="F1005" s="37"/>
      <c r="G1005" s="36"/>
      <c r="H1005" s="36"/>
      <c r="I1005" s="171"/>
      <c r="J1005" s="38"/>
      <c r="K1005" s="28"/>
      <c r="L1005" s="28"/>
    </row>
    <row r="1006" spans="1:12" x14ac:dyDescent="0.25">
      <c r="A1006" s="35"/>
      <c r="B1006" s="36"/>
      <c r="C1006" s="37"/>
      <c r="D1006" s="36"/>
      <c r="E1006" s="36"/>
      <c r="F1006" s="37"/>
      <c r="G1006" s="36"/>
      <c r="H1006" s="36"/>
      <c r="I1006" s="171"/>
      <c r="J1006" s="38"/>
      <c r="K1006" s="28"/>
      <c r="L1006" s="28"/>
    </row>
    <row r="1007" spans="1:12" x14ac:dyDescent="0.25">
      <c r="A1007" s="35"/>
      <c r="B1007" s="36"/>
      <c r="C1007" s="37"/>
      <c r="D1007" s="36"/>
      <c r="E1007" s="36"/>
      <c r="F1007" s="37"/>
      <c r="G1007" s="36"/>
      <c r="H1007" s="36"/>
      <c r="I1007" s="171"/>
      <c r="J1007" s="38"/>
      <c r="K1007" s="28"/>
      <c r="L1007" s="28"/>
    </row>
    <row r="1008" spans="1:12" x14ac:dyDescent="0.25">
      <c r="A1008" s="35"/>
      <c r="B1008" s="36"/>
      <c r="C1008" s="37"/>
      <c r="D1008" s="36"/>
      <c r="E1008" s="36"/>
      <c r="F1008" s="37"/>
      <c r="G1008" s="36"/>
      <c r="H1008" s="36"/>
      <c r="I1008" s="171"/>
      <c r="J1008" s="38"/>
      <c r="K1008" s="28"/>
      <c r="L1008" s="28"/>
    </row>
    <row r="1009" spans="1:12" x14ac:dyDescent="0.25">
      <c r="A1009" s="35"/>
      <c r="B1009" s="36"/>
      <c r="C1009" s="37"/>
      <c r="D1009" s="36"/>
      <c r="E1009" s="36"/>
      <c r="F1009" s="37"/>
      <c r="G1009" s="36"/>
      <c r="H1009" s="36"/>
      <c r="I1009" s="171"/>
      <c r="J1009" s="38"/>
      <c r="K1009" s="28"/>
      <c r="L1009" s="28"/>
    </row>
    <row r="1010" spans="1:12" x14ac:dyDescent="0.25">
      <c r="A1010" s="35"/>
      <c r="B1010" s="36"/>
      <c r="C1010" s="37"/>
      <c r="D1010" s="36"/>
      <c r="E1010" s="36"/>
      <c r="F1010" s="37"/>
      <c r="G1010" s="36"/>
      <c r="H1010" s="36"/>
      <c r="I1010" s="171"/>
      <c r="J1010" s="38"/>
      <c r="K1010" s="28"/>
      <c r="L1010" s="28"/>
    </row>
    <row r="1011" spans="1:12" x14ac:dyDescent="0.25">
      <c r="A1011" s="35"/>
      <c r="B1011" s="36"/>
      <c r="C1011" s="37"/>
      <c r="D1011" s="36"/>
      <c r="E1011" s="36"/>
      <c r="F1011" s="37"/>
      <c r="G1011" s="36"/>
      <c r="H1011" s="36"/>
      <c r="I1011" s="171"/>
      <c r="J1011" s="38"/>
      <c r="K1011" s="28"/>
      <c r="L1011" s="28"/>
    </row>
    <row r="1012" spans="1:12" x14ac:dyDescent="0.25">
      <c r="A1012" s="35"/>
      <c r="B1012" s="36"/>
      <c r="C1012" s="37"/>
      <c r="D1012" s="36"/>
      <c r="E1012" s="36"/>
      <c r="F1012" s="37"/>
      <c r="G1012" s="36"/>
      <c r="H1012" s="36"/>
      <c r="I1012" s="171"/>
      <c r="J1012" s="38"/>
      <c r="K1012" s="28"/>
      <c r="L1012" s="28"/>
    </row>
    <row r="1013" spans="1:12" x14ac:dyDescent="0.25">
      <c r="A1013" s="35"/>
      <c r="B1013" s="36"/>
      <c r="C1013" s="37"/>
      <c r="D1013" s="36"/>
      <c r="E1013" s="36"/>
      <c r="F1013" s="37"/>
      <c r="G1013" s="36"/>
      <c r="H1013" s="36"/>
      <c r="I1013" s="171"/>
      <c r="J1013" s="38"/>
      <c r="K1013" s="28"/>
      <c r="L1013" s="28"/>
    </row>
    <row r="1014" spans="1:12" x14ac:dyDescent="0.25">
      <c r="A1014" s="35"/>
      <c r="B1014" s="36"/>
      <c r="C1014" s="37"/>
      <c r="D1014" s="36"/>
      <c r="E1014" s="36"/>
      <c r="F1014" s="37"/>
      <c r="G1014" s="36"/>
      <c r="H1014" s="36"/>
      <c r="I1014" s="171"/>
      <c r="J1014" s="38"/>
      <c r="K1014" s="28"/>
      <c r="L1014" s="28"/>
    </row>
    <row r="1015" spans="1:12" x14ac:dyDescent="0.25">
      <c r="A1015" s="35"/>
      <c r="B1015" s="36"/>
      <c r="C1015" s="37"/>
      <c r="D1015" s="36"/>
      <c r="E1015" s="36"/>
      <c r="F1015" s="37"/>
      <c r="G1015" s="36"/>
      <c r="H1015" s="36"/>
      <c r="I1015" s="171"/>
      <c r="J1015" s="38"/>
      <c r="K1015" s="28"/>
      <c r="L1015" s="28"/>
    </row>
    <row r="1016" spans="1:12" x14ac:dyDescent="0.25">
      <c r="A1016" s="35"/>
      <c r="B1016" s="36"/>
      <c r="C1016" s="37"/>
      <c r="D1016" s="36"/>
      <c r="E1016" s="36"/>
      <c r="F1016" s="37"/>
      <c r="G1016" s="36"/>
      <c r="H1016" s="36"/>
      <c r="I1016" s="171"/>
      <c r="J1016" s="38"/>
      <c r="K1016" s="28"/>
      <c r="L1016" s="28"/>
    </row>
    <row r="1017" spans="1:12" x14ac:dyDescent="0.25">
      <c r="A1017" s="35"/>
      <c r="B1017" s="36"/>
      <c r="C1017" s="37"/>
      <c r="D1017" s="36"/>
      <c r="E1017" s="36"/>
      <c r="F1017" s="37"/>
      <c r="G1017" s="36"/>
      <c r="H1017" s="36"/>
      <c r="I1017" s="171"/>
      <c r="J1017" s="38"/>
      <c r="K1017" s="28"/>
      <c r="L1017" s="28"/>
    </row>
    <row r="1018" spans="1:12" x14ac:dyDescent="0.25">
      <c r="A1018" s="35"/>
      <c r="B1018" s="36"/>
      <c r="C1018" s="37"/>
      <c r="D1018" s="36"/>
      <c r="E1018" s="36"/>
      <c r="F1018" s="37"/>
      <c r="G1018" s="36"/>
      <c r="H1018" s="36"/>
      <c r="I1018" s="171"/>
      <c r="J1018" s="38"/>
      <c r="K1018" s="28"/>
      <c r="L1018" s="28"/>
    </row>
    <row r="1019" spans="1:12" x14ac:dyDescent="0.25">
      <c r="A1019" s="35"/>
      <c r="B1019" s="36"/>
      <c r="C1019" s="37"/>
      <c r="D1019" s="36"/>
      <c r="E1019" s="36"/>
      <c r="F1019" s="37"/>
      <c r="G1019" s="36"/>
      <c r="H1019" s="36"/>
      <c r="I1019" s="171"/>
      <c r="J1019" s="38"/>
      <c r="K1019" s="28"/>
      <c r="L1019" s="28"/>
    </row>
    <row r="1020" spans="1:12" x14ac:dyDescent="0.25">
      <c r="A1020" s="35"/>
      <c r="B1020" s="36"/>
      <c r="C1020" s="37"/>
      <c r="D1020" s="36"/>
      <c r="E1020" s="36"/>
      <c r="F1020" s="37"/>
      <c r="G1020" s="36"/>
      <c r="H1020" s="36"/>
      <c r="I1020" s="171"/>
      <c r="J1020" s="38"/>
      <c r="K1020" s="28"/>
      <c r="L1020" s="28"/>
    </row>
    <row r="1021" spans="1:12" x14ac:dyDescent="0.25">
      <c r="A1021" s="35"/>
      <c r="B1021" s="36"/>
      <c r="C1021" s="37"/>
      <c r="D1021" s="36"/>
      <c r="E1021" s="36"/>
      <c r="F1021" s="37"/>
      <c r="G1021" s="36"/>
      <c r="H1021" s="36"/>
      <c r="I1021" s="171"/>
      <c r="J1021" s="38"/>
      <c r="K1021" s="28"/>
      <c r="L1021" s="28"/>
    </row>
    <row r="1022" spans="1:12" x14ac:dyDescent="0.25">
      <c r="A1022" s="35"/>
      <c r="B1022" s="36"/>
      <c r="C1022" s="37"/>
      <c r="D1022" s="36"/>
      <c r="E1022" s="36"/>
      <c r="F1022" s="37"/>
      <c r="G1022" s="36"/>
      <c r="H1022" s="36"/>
      <c r="I1022" s="171"/>
      <c r="J1022" s="38"/>
      <c r="K1022" s="28"/>
      <c r="L1022" s="28"/>
    </row>
    <row r="1023" spans="1:12" x14ac:dyDescent="0.25">
      <c r="A1023" s="35"/>
      <c r="B1023" s="36"/>
      <c r="C1023" s="37"/>
      <c r="D1023" s="36"/>
      <c r="E1023" s="36"/>
      <c r="F1023" s="37"/>
      <c r="G1023" s="36"/>
      <c r="H1023" s="36"/>
      <c r="I1023" s="171"/>
      <c r="J1023" s="38"/>
      <c r="K1023" s="28"/>
      <c r="L1023" s="28"/>
    </row>
    <row r="1024" spans="1:12" x14ac:dyDescent="0.25">
      <c r="A1024" s="35"/>
      <c r="B1024" s="36"/>
      <c r="C1024" s="37"/>
      <c r="D1024" s="36"/>
      <c r="E1024" s="36"/>
      <c r="F1024" s="37"/>
      <c r="G1024" s="36"/>
      <c r="H1024" s="36"/>
      <c r="I1024" s="171"/>
      <c r="J1024" s="38"/>
      <c r="K1024" s="28"/>
      <c r="L1024" s="28"/>
    </row>
    <row r="1025" spans="1:12" x14ac:dyDescent="0.25">
      <c r="A1025" s="35"/>
      <c r="B1025" s="36"/>
      <c r="C1025" s="37"/>
      <c r="D1025" s="36"/>
      <c r="E1025" s="36"/>
      <c r="F1025" s="37"/>
      <c r="G1025" s="36"/>
      <c r="H1025" s="36"/>
      <c r="I1025" s="171"/>
      <c r="J1025" s="38"/>
      <c r="K1025" s="28"/>
      <c r="L1025" s="28"/>
    </row>
    <row r="1026" spans="1:12" x14ac:dyDescent="0.25">
      <c r="A1026" s="35"/>
      <c r="B1026" s="36"/>
      <c r="C1026" s="37"/>
      <c r="D1026" s="36"/>
      <c r="E1026" s="36"/>
      <c r="F1026" s="37"/>
      <c r="G1026" s="36"/>
      <c r="H1026" s="36"/>
      <c r="I1026" s="171"/>
      <c r="J1026" s="38"/>
      <c r="K1026" s="28"/>
      <c r="L1026" s="28"/>
    </row>
    <row r="1027" spans="1:12" x14ac:dyDescent="0.25">
      <c r="A1027" s="35"/>
      <c r="B1027" s="36"/>
      <c r="C1027" s="37"/>
      <c r="D1027" s="36"/>
      <c r="E1027" s="36"/>
      <c r="F1027" s="37"/>
      <c r="G1027" s="36"/>
      <c r="H1027" s="36"/>
      <c r="I1027" s="171"/>
      <c r="J1027" s="38"/>
      <c r="K1027" s="28"/>
      <c r="L1027" s="28"/>
    </row>
    <row r="1028" spans="1:12" x14ac:dyDescent="0.25">
      <c r="A1028" s="35"/>
      <c r="B1028" s="36"/>
      <c r="C1028" s="37"/>
      <c r="D1028" s="36"/>
      <c r="E1028" s="36"/>
      <c r="F1028" s="37"/>
      <c r="G1028" s="36"/>
      <c r="H1028" s="36"/>
      <c r="I1028" s="171"/>
      <c r="J1028" s="38"/>
      <c r="K1028" s="28"/>
      <c r="L1028" s="28"/>
    </row>
    <row r="1029" spans="1:12" x14ac:dyDescent="0.25">
      <c r="A1029" s="35"/>
      <c r="B1029" s="36"/>
      <c r="C1029" s="37"/>
      <c r="D1029" s="36"/>
      <c r="E1029" s="36"/>
      <c r="F1029" s="37"/>
      <c r="G1029" s="36"/>
      <c r="H1029" s="36"/>
      <c r="I1029" s="171"/>
      <c r="J1029" s="38"/>
      <c r="K1029" s="28"/>
      <c r="L1029" s="28"/>
    </row>
    <row r="1030" spans="1:12" x14ac:dyDescent="0.25">
      <c r="A1030" s="35"/>
      <c r="B1030" s="36"/>
      <c r="C1030" s="37"/>
      <c r="D1030" s="36"/>
      <c r="E1030" s="36"/>
      <c r="F1030" s="37"/>
      <c r="G1030" s="36"/>
      <c r="H1030" s="36"/>
      <c r="I1030" s="171"/>
      <c r="J1030" s="38"/>
      <c r="K1030" s="28"/>
      <c r="L1030" s="28"/>
    </row>
    <row r="1031" spans="1:12" x14ac:dyDescent="0.25">
      <c r="A1031" s="35"/>
      <c r="B1031" s="36"/>
      <c r="C1031" s="37"/>
      <c r="D1031" s="36"/>
      <c r="E1031" s="36"/>
      <c r="F1031" s="37"/>
      <c r="G1031" s="36"/>
      <c r="H1031" s="36"/>
      <c r="I1031" s="171"/>
      <c r="J1031" s="38"/>
      <c r="K1031" s="28"/>
      <c r="L1031" s="28"/>
    </row>
    <row r="1032" spans="1:12" x14ac:dyDescent="0.25">
      <c r="A1032" s="35"/>
      <c r="B1032" s="36"/>
      <c r="C1032" s="37"/>
      <c r="D1032" s="36"/>
      <c r="E1032" s="36"/>
      <c r="F1032" s="37"/>
      <c r="G1032" s="36"/>
      <c r="H1032" s="36"/>
      <c r="I1032" s="171"/>
      <c r="J1032" s="38"/>
      <c r="K1032" s="28"/>
      <c r="L1032" s="28"/>
    </row>
    <row r="1033" spans="1:12" x14ac:dyDescent="0.25">
      <c r="A1033" s="35"/>
      <c r="B1033" s="36"/>
      <c r="C1033" s="37"/>
      <c r="D1033" s="36"/>
      <c r="E1033" s="36"/>
      <c r="F1033" s="37"/>
      <c r="G1033" s="36"/>
      <c r="H1033" s="36"/>
      <c r="I1033" s="171"/>
      <c r="J1033" s="38"/>
      <c r="K1033" s="28"/>
      <c r="L1033" s="28"/>
    </row>
    <row r="1034" spans="1:12" x14ac:dyDescent="0.25">
      <c r="A1034" s="35"/>
      <c r="B1034" s="36"/>
      <c r="C1034" s="37"/>
      <c r="D1034" s="36"/>
      <c r="E1034" s="36"/>
      <c r="F1034" s="37"/>
      <c r="G1034" s="36"/>
      <c r="H1034" s="36"/>
      <c r="I1034" s="171"/>
      <c r="J1034" s="38"/>
      <c r="K1034" s="28"/>
      <c r="L1034" s="28"/>
    </row>
    <row r="1035" spans="1:12" x14ac:dyDescent="0.25">
      <c r="A1035" s="35"/>
      <c r="B1035" s="36"/>
      <c r="C1035" s="37"/>
      <c r="D1035" s="36"/>
      <c r="E1035" s="36"/>
      <c r="F1035" s="37"/>
      <c r="G1035" s="36"/>
      <c r="H1035" s="36"/>
      <c r="I1035" s="171"/>
      <c r="J1035" s="38"/>
      <c r="K1035" s="28"/>
      <c r="L1035" s="28"/>
    </row>
    <row r="1036" spans="1:12" x14ac:dyDescent="0.25">
      <c r="A1036" s="35"/>
      <c r="B1036" s="36"/>
      <c r="C1036" s="37"/>
      <c r="D1036" s="36"/>
      <c r="E1036" s="36"/>
      <c r="F1036" s="37"/>
      <c r="G1036" s="36"/>
      <c r="H1036" s="36"/>
      <c r="I1036" s="171"/>
      <c r="J1036" s="38"/>
      <c r="K1036" s="28"/>
      <c r="L1036" s="28"/>
    </row>
    <row r="1037" spans="1:12" x14ac:dyDescent="0.25">
      <c r="A1037" s="35"/>
      <c r="B1037" s="36"/>
      <c r="C1037" s="37"/>
      <c r="D1037" s="36"/>
      <c r="E1037" s="36"/>
      <c r="F1037" s="37"/>
      <c r="G1037" s="36"/>
      <c r="H1037" s="36"/>
      <c r="I1037" s="171"/>
      <c r="J1037" s="38"/>
      <c r="K1037" s="28"/>
      <c r="L1037" s="28"/>
    </row>
    <row r="1038" spans="1:12" x14ac:dyDescent="0.25">
      <c r="A1038" s="35"/>
      <c r="B1038" s="36"/>
      <c r="C1038" s="37"/>
      <c r="D1038" s="36"/>
      <c r="E1038" s="36"/>
      <c r="F1038" s="37"/>
      <c r="G1038" s="36"/>
      <c r="H1038" s="36"/>
      <c r="I1038" s="171"/>
      <c r="J1038" s="38"/>
      <c r="K1038" s="28"/>
      <c r="L1038" s="28"/>
    </row>
    <row r="1039" spans="1:12" x14ac:dyDescent="0.25">
      <c r="A1039" s="35"/>
      <c r="B1039" s="36"/>
      <c r="C1039" s="37"/>
      <c r="D1039" s="36"/>
      <c r="E1039" s="36"/>
      <c r="F1039" s="37"/>
      <c r="G1039" s="36"/>
      <c r="H1039" s="36"/>
      <c r="I1039" s="171"/>
      <c r="J1039" s="38"/>
      <c r="K1039" s="28"/>
      <c r="L1039" s="28"/>
    </row>
    <row r="1040" spans="1:12" x14ac:dyDescent="0.25">
      <c r="A1040" s="35"/>
      <c r="B1040" s="36"/>
      <c r="C1040" s="37"/>
      <c r="D1040" s="36"/>
      <c r="E1040" s="36"/>
      <c r="F1040" s="37"/>
      <c r="G1040" s="36"/>
      <c r="H1040" s="36"/>
      <c r="I1040" s="171"/>
      <c r="J1040" s="38"/>
      <c r="K1040" s="28"/>
      <c r="L1040" s="28"/>
    </row>
    <row r="1041" spans="1:12" x14ac:dyDescent="0.25">
      <c r="A1041" s="35"/>
      <c r="B1041" s="36"/>
      <c r="C1041" s="37"/>
      <c r="D1041" s="36"/>
      <c r="E1041" s="36"/>
      <c r="F1041" s="37"/>
      <c r="G1041" s="36"/>
      <c r="H1041" s="36"/>
      <c r="I1041" s="171"/>
      <c r="J1041" s="38"/>
      <c r="K1041" s="28"/>
      <c r="L1041" s="28"/>
    </row>
    <row r="1042" spans="1:12" x14ac:dyDescent="0.25">
      <c r="A1042" s="35"/>
      <c r="B1042" s="36"/>
      <c r="C1042" s="37"/>
      <c r="D1042" s="36"/>
      <c r="E1042" s="36"/>
      <c r="F1042" s="37"/>
      <c r="G1042" s="36"/>
      <c r="H1042" s="36"/>
      <c r="I1042" s="171"/>
      <c r="J1042" s="38"/>
      <c r="K1042" s="28"/>
      <c r="L1042" s="28"/>
    </row>
    <row r="1043" spans="1:12" x14ac:dyDescent="0.25">
      <c r="A1043" s="35"/>
      <c r="B1043" s="36"/>
      <c r="C1043" s="37"/>
      <c r="D1043" s="36"/>
      <c r="E1043" s="36"/>
      <c r="F1043" s="37"/>
      <c r="G1043" s="36"/>
      <c r="H1043" s="36"/>
      <c r="I1043" s="171"/>
      <c r="J1043" s="38"/>
      <c r="K1043" s="28"/>
      <c r="L1043" s="28"/>
    </row>
    <row r="1044" spans="1:12" x14ac:dyDescent="0.25">
      <c r="A1044" s="35"/>
      <c r="B1044" s="36"/>
      <c r="C1044" s="37"/>
      <c r="D1044" s="36"/>
      <c r="E1044" s="36"/>
      <c r="F1044" s="37"/>
      <c r="G1044" s="36"/>
      <c r="H1044" s="36"/>
      <c r="I1044" s="171"/>
      <c r="J1044" s="38"/>
      <c r="K1044" s="28"/>
      <c r="L1044" s="28"/>
    </row>
    <row r="1045" spans="1:12" x14ac:dyDescent="0.25">
      <c r="A1045" s="35"/>
      <c r="B1045" s="36"/>
      <c r="C1045" s="37"/>
      <c r="D1045" s="36"/>
      <c r="E1045" s="36"/>
      <c r="F1045" s="37"/>
      <c r="G1045" s="36"/>
      <c r="H1045" s="36"/>
      <c r="I1045" s="171"/>
      <c r="J1045" s="38"/>
      <c r="K1045" s="28"/>
      <c r="L1045" s="28"/>
    </row>
    <row r="1046" spans="1:12" x14ac:dyDescent="0.25">
      <c r="A1046" s="35"/>
      <c r="B1046" s="36"/>
      <c r="C1046" s="37"/>
      <c r="D1046" s="36"/>
      <c r="E1046" s="36"/>
      <c r="F1046" s="37"/>
      <c r="G1046" s="36"/>
      <c r="H1046" s="36"/>
      <c r="I1046" s="171"/>
      <c r="J1046" s="38"/>
      <c r="K1046" s="28"/>
      <c r="L1046" s="28"/>
    </row>
    <row r="1047" spans="1:12" x14ac:dyDescent="0.25">
      <c r="A1047" s="35"/>
      <c r="B1047" s="36"/>
      <c r="C1047" s="37"/>
      <c r="D1047" s="36"/>
      <c r="E1047" s="36"/>
      <c r="F1047" s="37"/>
      <c r="G1047" s="36"/>
      <c r="H1047" s="36"/>
      <c r="I1047" s="171"/>
      <c r="J1047" s="38"/>
      <c r="K1047" s="28"/>
      <c r="L1047" s="28"/>
    </row>
    <row r="1048" spans="1:12" x14ac:dyDescent="0.25">
      <c r="A1048" s="35"/>
      <c r="B1048" s="36"/>
      <c r="C1048" s="37"/>
      <c r="D1048" s="36"/>
      <c r="E1048" s="36"/>
      <c r="F1048" s="37"/>
      <c r="G1048" s="36"/>
      <c r="H1048" s="36"/>
      <c r="I1048" s="171"/>
      <c r="J1048" s="38"/>
      <c r="K1048" s="28"/>
      <c r="L1048" s="28"/>
    </row>
    <row r="1049" spans="1:12" x14ac:dyDescent="0.25">
      <c r="A1049" s="35"/>
      <c r="B1049" s="36"/>
      <c r="C1049" s="37"/>
      <c r="D1049" s="36"/>
      <c r="E1049" s="36"/>
      <c r="F1049" s="37"/>
      <c r="G1049" s="36"/>
      <c r="H1049" s="36"/>
      <c r="I1049" s="171"/>
      <c r="J1049" s="38"/>
      <c r="K1049" s="28"/>
      <c r="L1049" s="28"/>
    </row>
    <row r="1050" spans="1:12" x14ac:dyDescent="0.25">
      <c r="A1050" s="35"/>
      <c r="B1050" s="36"/>
      <c r="C1050" s="37"/>
      <c r="D1050" s="36"/>
      <c r="E1050" s="36"/>
      <c r="F1050" s="37"/>
      <c r="G1050" s="36"/>
      <c r="H1050" s="36"/>
      <c r="I1050" s="171"/>
      <c r="J1050" s="38"/>
      <c r="K1050" s="28"/>
      <c r="L1050" s="28"/>
    </row>
    <row r="1051" spans="1:12" x14ac:dyDescent="0.25">
      <c r="A1051" s="35"/>
      <c r="B1051" s="36"/>
      <c r="C1051" s="37"/>
      <c r="D1051" s="36"/>
      <c r="E1051" s="36"/>
      <c r="F1051" s="37"/>
      <c r="G1051" s="36"/>
      <c r="H1051" s="36"/>
      <c r="I1051" s="171"/>
      <c r="J1051" s="38"/>
      <c r="K1051" s="28"/>
      <c r="L1051" s="28"/>
    </row>
    <row r="1052" spans="1:12" x14ac:dyDescent="0.25">
      <c r="A1052" s="35"/>
      <c r="B1052" s="36"/>
      <c r="C1052" s="37"/>
      <c r="D1052" s="36"/>
      <c r="E1052" s="36"/>
      <c r="F1052" s="37"/>
      <c r="G1052" s="36"/>
      <c r="H1052" s="36"/>
      <c r="I1052" s="171"/>
      <c r="J1052" s="38"/>
      <c r="K1052" s="28"/>
      <c r="L1052" s="28"/>
    </row>
    <row r="1053" spans="1:12" x14ac:dyDescent="0.25">
      <c r="A1053" s="35"/>
      <c r="B1053" s="36"/>
      <c r="C1053" s="37"/>
      <c r="D1053" s="36"/>
      <c r="E1053" s="36"/>
      <c r="F1053" s="37"/>
      <c r="G1053" s="36"/>
      <c r="H1053" s="36"/>
      <c r="I1053" s="171"/>
      <c r="J1053" s="38"/>
      <c r="K1053" s="28"/>
      <c r="L1053" s="28"/>
    </row>
    <row r="1054" spans="1:12" x14ac:dyDescent="0.25">
      <c r="A1054" s="35"/>
      <c r="B1054" s="36"/>
      <c r="C1054" s="37"/>
      <c r="D1054" s="36"/>
      <c r="E1054" s="36"/>
      <c r="F1054" s="37"/>
      <c r="G1054" s="36"/>
      <c r="H1054" s="36"/>
      <c r="I1054" s="171"/>
      <c r="J1054" s="38"/>
      <c r="K1054" s="28"/>
      <c r="L1054" s="28"/>
    </row>
    <row r="1055" spans="1:12" x14ac:dyDescent="0.25">
      <c r="A1055" s="35"/>
      <c r="B1055" s="36"/>
      <c r="C1055" s="37"/>
      <c r="D1055" s="36"/>
      <c r="E1055" s="36"/>
      <c r="F1055" s="37"/>
      <c r="G1055" s="36"/>
      <c r="H1055" s="36"/>
      <c r="I1055" s="171"/>
      <c r="J1055" s="38"/>
      <c r="K1055" s="28"/>
      <c r="L1055" s="28"/>
    </row>
    <row r="1056" spans="1:12" x14ac:dyDescent="0.25">
      <c r="A1056" s="35"/>
      <c r="B1056" s="36"/>
      <c r="C1056" s="37"/>
      <c r="D1056" s="36"/>
      <c r="E1056" s="36"/>
      <c r="F1056" s="37"/>
      <c r="G1056" s="36"/>
      <c r="H1056" s="36"/>
      <c r="I1056" s="171"/>
      <c r="J1056" s="38"/>
      <c r="K1056" s="28"/>
      <c r="L1056" s="28"/>
    </row>
    <row r="1057" spans="1:12" x14ac:dyDescent="0.25">
      <c r="A1057" s="35"/>
      <c r="B1057" s="36"/>
      <c r="C1057" s="37"/>
      <c r="D1057" s="36"/>
      <c r="E1057" s="36"/>
      <c r="F1057" s="37"/>
      <c r="G1057" s="36"/>
      <c r="H1057" s="36"/>
      <c r="I1057" s="171"/>
      <c r="J1057" s="38"/>
      <c r="K1057" s="28"/>
      <c r="L1057" s="28"/>
    </row>
    <row r="1058" spans="1:12" x14ac:dyDescent="0.25">
      <c r="A1058" s="35"/>
      <c r="B1058" s="36"/>
      <c r="C1058" s="37"/>
      <c r="D1058" s="36"/>
      <c r="E1058" s="36"/>
      <c r="F1058" s="37"/>
      <c r="G1058" s="36"/>
      <c r="H1058" s="36"/>
      <c r="I1058" s="171"/>
      <c r="J1058" s="38"/>
      <c r="K1058" s="28"/>
      <c r="L1058" s="28"/>
    </row>
    <row r="1059" spans="1:12" x14ac:dyDescent="0.25">
      <c r="A1059" s="35"/>
      <c r="B1059" s="36"/>
      <c r="C1059" s="37"/>
      <c r="D1059" s="36"/>
      <c r="E1059" s="36"/>
      <c r="F1059" s="37"/>
      <c r="G1059" s="36"/>
      <c r="H1059" s="36"/>
      <c r="I1059" s="171"/>
      <c r="J1059" s="38"/>
      <c r="K1059" s="28"/>
      <c r="L1059" s="28"/>
    </row>
    <row r="1060" spans="1:12" x14ac:dyDescent="0.25">
      <c r="A1060" s="35"/>
      <c r="B1060" s="36"/>
      <c r="C1060" s="37"/>
      <c r="D1060" s="36"/>
      <c r="E1060" s="36"/>
      <c r="F1060" s="37"/>
      <c r="G1060" s="36"/>
      <c r="H1060" s="36"/>
      <c r="I1060" s="171"/>
      <c r="J1060" s="38"/>
      <c r="K1060" s="28"/>
      <c r="L1060" s="28"/>
    </row>
    <row r="1061" spans="1:12" x14ac:dyDescent="0.25">
      <c r="A1061" s="35"/>
      <c r="B1061" s="36"/>
      <c r="C1061" s="37"/>
      <c r="D1061" s="36"/>
      <c r="E1061" s="36"/>
      <c r="F1061" s="37"/>
      <c r="G1061" s="36"/>
      <c r="H1061" s="36"/>
      <c r="I1061" s="171"/>
      <c r="J1061" s="38"/>
      <c r="K1061" s="28"/>
      <c r="L1061" s="28"/>
    </row>
    <row r="1062" spans="1:12" x14ac:dyDescent="0.25">
      <c r="A1062" s="35"/>
      <c r="B1062" s="36"/>
      <c r="C1062" s="37"/>
      <c r="D1062" s="36"/>
      <c r="E1062" s="36"/>
      <c r="F1062" s="37"/>
      <c r="G1062" s="36"/>
      <c r="H1062" s="36"/>
      <c r="I1062" s="171"/>
      <c r="J1062" s="38"/>
      <c r="K1062" s="28"/>
      <c r="L1062" s="28"/>
    </row>
    <row r="1063" spans="1:12" x14ac:dyDescent="0.25">
      <c r="A1063" s="35"/>
      <c r="B1063" s="36"/>
      <c r="C1063" s="37"/>
      <c r="D1063" s="36"/>
      <c r="E1063" s="36"/>
      <c r="F1063" s="37"/>
      <c r="G1063" s="36"/>
      <c r="H1063" s="36"/>
      <c r="I1063" s="171"/>
      <c r="J1063" s="38"/>
      <c r="K1063" s="28"/>
      <c r="L1063" s="28"/>
    </row>
    <row r="1064" spans="1:12" x14ac:dyDescent="0.25">
      <c r="A1064" s="35"/>
      <c r="B1064" s="36"/>
      <c r="C1064" s="37"/>
      <c r="D1064" s="36"/>
      <c r="E1064" s="36"/>
      <c r="F1064" s="37"/>
      <c r="G1064" s="36"/>
      <c r="H1064" s="36"/>
      <c r="I1064" s="171"/>
      <c r="J1064" s="38"/>
      <c r="K1064" s="28"/>
      <c r="L1064" s="28"/>
    </row>
    <row r="1065" spans="1:12" x14ac:dyDescent="0.25">
      <c r="A1065" s="35"/>
      <c r="B1065" s="36"/>
      <c r="C1065" s="37"/>
      <c r="D1065" s="36"/>
      <c r="E1065" s="36"/>
      <c r="F1065" s="37"/>
      <c r="G1065" s="36"/>
      <c r="H1065" s="36"/>
      <c r="I1065" s="171"/>
      <c r="J1065" s="38"/>
      <c r="K1065" s="28"/>
      <c r="L1065" s="28"/>
    </row>
    <row r="1066" spans="1:12" x14ac:dyDescent="0.25">
      <c r="A1066" s="35"/>
      <c r="B1066" s="36"/>
      <c r="C1066" s="37"/>
      <c r="D1066" s="36"/>
      <c r="E1066" s="36"/>
      <c r="F1066" s="37"/>
      <c r="G1066" s="36"/>
      <c r="H1066" s="36"/>
      <c r="I1066" s="171"/>
      <c r="J1066" s="38"/>
      <c r="K1066" s="28"/>
      <c r="L1066" s="28"/>
    </row>
    <row r="1067" spans="1:12" x14ac:dyDescent="0.25">
      <c r="A1067" s="35"/>
      <c r="B1067" s="36"/>
      <c r="C1067" s="37"/>
      <c r="D1067" s="36"/>
      <c r="E1067" s="36"/>
      <c r="F1067" s="37"/>
      <c r="G1067" s="36"/>
      <c r="H1067" s="36"/>
      <c r="I1067" s="171"/>
      <c r="J1067" s="38"/>
      <c r="K1067" s="28"/>
      <c r="L1067" s="28"/>
    </row>
    <row r="1068" spans="1:12" x14ac:dyDescent="0.25">
      <c r="A1068" s="35"/>
      <c r="B1068" s="36"/>
      <c r="C1068" s="37"/>
      <c r="D1068" s="36"/>
      <c r="E1068" s="36"/>
      <c r="F1068" s="37"/>
      <c r="G1068" s="36"/>
      <c r="H1068" s="36"/>
      <c r="I1068" s="171"/>
      <c r="J1068" s="38"/>
      <c r="K1068" s="28"/>
      <c r="L1068" s="28"/>
    </row>
    <row r="1069" spans="1:12" x14ac:dyDescent="0.25">
      <c r="A1069" s="35"/>
      <c r="B1069" s="36"/>
      <c r="C1069" s="37"/>
      <c r="D1069" s="36"/>
      <c r="E1069" s="36"/>
      <c r="F1069" s="37"/>
      <c r="G1069" s="36"/>
      <c r="H1069" s="36"/>
      <c r="I1069" s="171"/>
      <c r="J1069" s="38"/>
      <c r="K1069" s="28"/>
      <c r="L1069" s="28"/>
    </row>
    <row r="1070" spans="1:12" x14ac:dyDescent="0.25">
      <c r="A1070" s="35"/>
      <c r="B1070" s="36"/>
      <c r="C1070" s="37"/>
      <c r="D1070" s="36"/>
      <c r="E1070" s="36"/>
      <c r="F1070" s="37"/>
      <c r="G1070" s="36"/>
      <c r="H1070" s="36"/>
      <c r="I1070" s="171"/>
      <c r="J1070" s="38"/>
      <c r="K1070" s="28"/>
      <c r="L1070" s="28"/>
    </row>
    <row r="1071" spans="1:12" x14ac:dyDescent="0.25">
      <c r="A1071" s="35"/>
      <c r="B1071" s="36"/>
      <c r="C1071" s="37"/>
      <c r="D1071" s="36"/>
      <c r="E1071" s="36"/>
      <c r="F1071" s="37"/>
      <c r="G1071" s="36"/>
      <c r="H1071" s="36"/>
      <c r="I1071" s="171"/>
      <c r="J1071" s="38"/>
      <c r="K1071" s="28"/>
      <c r="L1071" s="28"/>
    </row>
    <row r="1072" spans="1:12" x14ac:dyDescent="0.25">
      <c r="A1072" s="35"/>
      <c r="B1072" s="36"/>
      <c r="C1072" s="37"/>
      <c r="D1072" s="36"/>
      <c r="E1072" s="36"/>
      <c r="F1072" s="37"/>
      <c r="G1072" s="36"/>
      <c r="H1072" s="36"/>
      <c r="I1072" s="171"/>
      <c r="J1072" s="38"/>
      <c r="K1072" s="28"/>
      <c r="L1072" s="28"/>
    </row>
    <row r="1073" spans="1:12" x14ac:dyDescent="0.25">
      <c r="A1073" s="35"/>
      <c r="B1073" s="36"/>
      <c r="C1073" s="37"/>
      <c r="D1073" s="36"/>
      <c r="E1073" s="36"/>
      <c r="F1073" s="37"/>
      <c r="G1073" s="36"/>
      <c r="H1073" s="36"/>
      <c r="I1073" s="171"/>
      <c r="J1073" s="38"/>
      <c r="K1073" s="28"/>
      <c r="L1073" s="28"/>
    </row>
    <row r="1074" spans="1:12" x14ac:dyDescent="0.25">
      <c r="A1074" s="35"/>
      <c r="B1074" s="36"/>
      <c r="C1074" s="37"/>
      <c r="D1074" s="36"/>
      <c r="E1074" s="36"/>
      <c r="F1074" s="37"/>
      <c r="G1074" s="36"/>
      <c r="H1074" s="36"/>
      <c r="I1074" s="171"/>
      <c r="J1074" s="38"/>
      <c r="K1074" s="28"/>
      <c r="L1074" s="28"/>
    </row>
    <row r="1075" spans="1:12" x14ac:dyDescent="0.25">
      <c r="A1075" s="35"/>
      <c r="B1075" s="36"/>
      <c r="C1075" s="37"/>
      <c r="D1075" s="36"/>
      <c r="E1075" s="36"/>
      <c r="F1075" s="37"/>
      <c r="G1075" s="36"/>
      <c r="H1075" s="36"/>
      <c r="I1075" s="171"/>
      <c r="J1075" s="38"/>
      <c r="K1075" s="28"/>
      <c r="L1075" s="28"/>
    </row>
    <row r="1076" spans="1:12" x14ac:dyDescent="0.25">
      <c r="A1076" s="35"/>
      <c r="B1076" s="36"/>
      <c r="C1076" s="37"/>
      <c r="D1076" s="36"/>
      <c r="E1076" s="36"/>
      <c r="F1076" s="37"/>
      <c r="G1076" s="36"/>
      <c r="H1076" s="36"/>
      <c r="I1076" s="171"/>
      <c r="J1076" s="38"/>
      <c r="K1076" s="28"/>
      <c r="L1076" s="28"/>
    </row>
    <row r="1077" spans="1:12" x14ac:dyDescent="0.25">
      <c r="A1077" s="35"/>
      <c r="B1077" s="36"/>
      <c r="C1077" s="37"/>
      <c r="D1077" s="36"/>
      <c r="E1077" s="36"/>
      <c r="F1077" s="37"/>
      <c r="G1077" s="36"/>
      <c r="H1077" s="36"/>
      <c r="I1077" s="171"/>
      <c r="J1077" s="38"/>
      <c r="K1077" s="28"/>
      <c r="L1077" s="28"/>
    </row>
    <row r="1078" spans="1:12" x14ac:dyDescent="0.25">
      <c r="A1078" s="35"/>
      <c r="B1078" s="36"/>
      <c r="C1078" s="37"/>
      <c r="D1078" s="36"/>
      <c r="E1078" s="36"/>
      <c r="F1078" s="37"/>
      <c r="G1078" s="36"/>
      <c r="H1078" s="36"/>
      <c r="I1078" s="171"/>
      <c r="J1078" s="38"/>
      <c r="K1078" s="28"/>
      <c r="L1078" s="28"/>
    </row>
    <row r="1079" spans="1:12" x14ac:dyDescent="0.25">
      <c r="A1079" s="35"/>
      <c r="B1079" s="36"/>
      <c r="C1079" s="37"/>
      <c r="D1079" s="36"/>
      <c r="E1079" s="36"/>
      <c r="F1079" s="37"/>
      <c r="G1079" s="36"/>
      <c r="H1079" s="36"/>
      <c r="I1079" s="171"/>
      <c r="J1079" s="38"/>
      <c r="K1079" s="28"/>
      <c r="L1079" s="28"/>
    </row>
    <row r="1080" spans="1:12" x14ac:dyDescent="0.25">
      <c r="A1080" s="35"/>
      <c r="B1080" s="36"/>
      <c r="C1080" s="37"/>
      <c r="D1080" s="36"/>
      <c r="E1080" s="36"/>
      <c r="F1080" s="37"/>
      <c r="G1080" s="36"/>
      <c r="H1080" s="36"/>
      <c r="I1080" s="171"/>
      <c r="J1080" s="38"/>
      <c r="K1080" s="28"/>
      <c r="L1080" s="28"/>
    </row>
    <row r="1081" spans="1:12" x14ac:dyDescent="0.25">
      <c r="A1081" s="35"/>
      <c r="B1081" s="36"/>
      <c r="C1081" s="37"/>
      <c r="D1081" s="36"/>
      <c r="E1081" s="36"/>
      <c r="F1081" s="37"/>
      <c r="G1081" s="36"/>
      <c r="H1081" s="36"/>
      <c r="I1081" s="171"/>
      <c r="J1081" s="38"/>
      <c r="K1081" s="28"/>
      <c r="L1081" s="28"/>
    </row>
    <row r="1082" spans="1:12" x14ac:dyDescent="0.25">
      <c r="A1082" s="35"/>
      <c r="B1082" s="36"/>
      <c r="C1082" s="37"/>
      <c r="D1082" s="36"/>
      <c r="E1082" s="36"/>
      <c r="F1082" s="37"/>
      <c r="G1082" s="36"/>
      <c r="H1082" s="36"/>
      <c r="I1082" s="171"/>
      <c r="J1082" s="38"/>
      <c r="K1082" s="28"/>
      <c r="L1082" s="28"/>
    </row>
    <row r="1083" spans="1:12" x14ac:dyDescent="0.25">
      <c r="A1083" s="35"/>
      <c r="B1083" s="36"/>
      <c r="C1083" s="37"/>
      <c r="D1083" s="36"/>
      <c r="E1083" s="36"/>
      <c r="F1083" s="37"/>
      <c r="G1083" s="36"/>
      <c r="H1083" s="36"/>
      <c r="I1083" s="171"/>
      <c r="J1083" s="38"/>
      <c r="K1083" s="28"/>
      <c r="L1083" s="28"/>
    </row>
    <row r="1084" spans="1:12" x14ac:dyDescent="0.25">
      <c r="A1084" s="35"/>
      <c r="B1084" s="36"/>
      <c r="C1084" s="37"/>
      <c r="D1084" s="36"/>
      <c r="E1084" s="36"/>
      <c r="F1084" s="37"/>
      <c r="G1084" s="36"/>
      <c r="H1084" s="36"/>
      <c r="I1084" s="171"/>
      <c r="J1084" s="38"/>
      <c r="K1084" s="28"/>
      <c r="L1084" s="28"/>
    </row>
    <row r="1085" spans="1:12" x14ac:dyDescent="0.25">
      <c r="A1085" s="35"/>
      <c r="B1085" s="36"/>
      <c r="C1085" s="37"/>
      <c r="D1085" s="36"/>
      <c r="E1085" s="36"/>
      <c r="F1085" s="37"/>
      <c r="G1085" s="36"/>
      <c r="H1085" s="36"/>
      <c r="I1085" s="171"/>
      <c r="J1085" s="38"/>
      <c r="K1085" s="28"/>
      <c r="L1085" s="28"/>
    </row>
    <row r="1086" spans="1:12" x14ac:dyDescent="0.25">
      <c r="A1086" s="35"/>
      <c r="B1086" s="36"/>
      <c r="C1086" s="37"/>
      <c r="D1086" s="36"/>
      <c r="E1086" s="36"/>
      <c r="F1086" s="37"/>
      <c r="G1086" s="36"/>
      <c r="H1086" s="36"/>
      <c r="I1086" s="171"/>
      <c r="J1086" s="38"/>
      <c r="K1086" s="28"/>
      <c r="L1086" s="28"/>
    </row>
    <row r="1087" spans="1:12" x14ac:dyDescent="0.25">
      <c r="A1087" s="35"/>
      <c r="B1087" s="36"/>
      <c r="C1087" s="37"/>
      <c r="D1087" s="36"/>
      <c r="E1087" s="36"/>
      <c r="F1087" s="37"/>
      <c r="G1087" s="36"/>
      <c r="H1087" s="36"/>
      <c r="I1087" s="171"/>
      <c r="J1087" s="38"/>
      <c r="K1087" s="28"/>
      <c r="L1087" s="28"/>
    </row>
    <row r="1088" spans="1:12" x14ac:dyDescent="0.25">
      <c r="A1088" s="35"/>
      <c r="B1088" s="36"/>
      <c r="C1088" s="37"/>
      <c r="D1088" s="36"/>
      <c r="E1088" s="36"/>
      <c r="F1088" s="37"/>
      <c r="G1088" s="36"/>
      <c r="H1088" s="36"/>
      <c r="I1088" s="171"/>
      <c r="J1088" s="38"/>
      <c r="K1088" s="28"/>
      <c r="L1088" s="28"/>
    </row>
    <row r="1089" spans="1:12" x14ac:dyDescent="0.25">
      <c r="A1089" s="35"/>
      <c r="B1089" s="36"/>
      <c r="C1089" s="37"/>
      <c r="D1089" s="36"/>
      <c r="E1089" s="36"/>
      <c r="F1089" s="37"/>
      <c r="G1089" s="36"/>
      <c r="H1089" s="36"/>
      <c r="I1089" s="171"/>
      <c r="J1089" s="38"/>
      <c r="K1089" s="28"/>
      <c r="L1089" s="28"/>
    </row>
    <row r="1090" spans="1:12" x14ac:dyDescent="0.25">
      <c r="A1090" s="35"/>
      <c r="B1090" s="36"/>
      <c r="C1090" s="37"/>
      <c r="D1090" s="36"/>
      <c r="E1090" s="36"/>
      <c r="F1090" s="37"/>
      <c r="G1090" s="36"/>
      <c r="H1090" s="36"/>
      <c r="I1090" s="171"/>
      <c r="J1090" s="38"/>
      <c r="K1090" s="28"/>
      <c r="L1090" s="28"/>
    </row>
    <row r="1091" spans="1:12" x14ac:dyDescent="0.25">
      <c r="A1091" s="35"/>
      <c r="B1091" s="36"/>
      <c r="C1091" s="37"/>
      <c r="D1091" s="36"/>
      <c r="E1091" s="36"/>
      <c r="F1091" s="37"/>
      <c r="G1091" s="36"/>
      <c r="H1091" s="36"/>
      <c r="I1091" s="171"/>
      <c r="J1091" s="38"/>
      <c r="K1091" s="28"/>
      <c r="L1091" s="28"/>
    </row>
    <row r="1092" spans="1:12" x14ac:dyDescent="0.25">
      <c r="A1092" s="35"/>
      <c r="B1092" s="36"/>
      <c r="C1092" s="37"/>
      <c r="D1092" s="36"/>
      <c r="E1092" s="36"/>
      <c r="F1092" s="37"/>
      <c r="G1092" s="36"/>
      <c r="H1092" s="36"/>
      <c r="I1092" s="171"/>
      <c r="J1092" s="38"/>
      <c r="K1092" s="28"/>
      <c r="L1092" s="28"/>
    </row>
    <row r="1093" spans="1:12" x14ac:dyDescent="0.25">
      <c r="A1093" s="35"/>
      <c r="B1093" s="36"/>
      <c r="C1093" s="37"/>
      <c r="D1093" s="36"/>
      <c r="E1093" s="36"/>
      <c r="F1093" s="37"/>
      <c r="G1093" s="36"/>
      <c r="H1093" s="36"/>
      <c r="I1093" s="171"/>
      <c r="J1093" s="38"/>
      <c r="K1093" s="28"/>
      <c r="L1093" s="28"/>
    </row>
    <row r="1094" spans="1:12" x14ac:dyDescent="0.25">
      <c r="A1094" s="35"/>
      <c r="B1094" s="36"/>
      <c r="C1094" s="37"/>
      <c r="D1094" s="36"/>
      <c r="E1094" s="36"/>
      <c r="F1094" s="37"/>
      <c r="G1094" s="36"/>
      <c r="H1094" s="36"/>
      <c r="I1094" s="171"/>
      <c r="J1094" s="38"/>
      <c r="K1094" s="28"/>
      <c r="L1094" s="28"/>
    </row>
    <row r="1095" spans="1:12" x14ac:dyDescent="0.25">
      <c r="A1095" s="35"/>
      <c r="B1095" s="36"/>
      <c r="C1095" s="37"/>
      <c r="D1095" s="36"/>
      <c r="E1095" s="36"/>
      <c r="F1095" s="37"/>
      <c r="G1095" s="36"/>
      <c r="H1095" s="36"/>
      <c r="I1095" s="171"/>
      <c r="J1095" s="38"/>
      <c r="K1095" s="28"/>
      <c r="L1095" s="28"/>
    </row>
    <row r="1096" spans="1:12" x14ac:dyDescent="0.25">
      <c r="A1096" s="35"/>
      <c r="B1096" s="36"/>
      <c r="C1096" s="37"/>
      <c r="D1096" s="36"/>
      <c r="E1096" s="36"/>
      <c r="F1096" s="37"/>
      <c r="G1096" s="36"/>
      <c r="H1096" s="36"/>
      <c r="I1096" s="171"/>
      <c r="J1096" s="38"/>
      <c r="K1096" s="28"/>
      <c r="L1096" s="28"/>
    </row>
    <row r="1097" spans="1:12" x14ac:dyDescent="0.25">
      <c r="A1097" s="35"/>
      <c r="B1097" s="36"/>
      <c r="C1097" s="37"/>
      <c r="D1097" s="36"/>
      <c r="E1097" s="36"/>
      <c r="F1097" s="37"/>
      <c r="G1097" s="36"/>
      <c r="H1097" s="36"/>
      <c r="I1097" s="171"/>
      <c r="J1097" s="38"/>
      <c r="K1097" s="28"/>
      <c r="L1097" s="28"/>
    </row>
    <row r="1098" spans="1:12" x14ac:dyDescent="0.25">
      <c r="A1098" s="35"/>
      <c r="B1098" s="36"/>
      <c r="C1098" s="37"/>
      <c r="D1098" s="36"/>
      <c r="E1098" s="36"/>
      <c r="F1098" s="37"/>
      <c r="G1098" s="36"/>
      <c r="H1098" s="36"/>
      <c r="I1098" s="171"/>
      <c r="J1098" s="38"/>
      <c r="K1098" s="28"/>
      <c r="L1098" s="28"/>
    </row>
    <row r="1099" spans="1:12" x14ac:dyDescent="0.25">
      <c r="A1099" s="35"/>
      <c r="B1099" s="36"/>
      <c r="C1099" s="37"/>
      <c r="D1099" s="36"/>
      <c r="E1099" s="36"/>
      <c r="F1099" s="37"/>
      <c r="G1099" s="36"/>
      <c r="H1099" s="36"/>
      <c r="I1099" s="171"/>
      <c r="J1099" s="38"/>
      <c r="K1099" s="28"/>
      <c r="L1099" s="28"/>
    </row>
    <row r="1100" spans="1:12" x14ac:dyDescent="0.25">
      <c r="A1100" s="35"/>
      <c r="B1100" s="36"/>
      <c r="C1100" s="37"/>
      <c r="D1100" s="36"/>
      <c r="E1100" s="36"/>
      <c r="F1100" s="37"/>
      <c r="G1100" s="36"/>
      <c r="H1100" s="36"/>
      <c r="I1100" s="171"/>
      <c r="J1100" s="38"/>
      <c r="K1100" s="28"/>
      <c r="L1100" s="28"/>
    </row>
    <row r="1101" spans="1:12" x14ac:dyDescent="0.25">
      <c r="A1101" s="35"/>
      <c r="B1101" s="36"/>
      <c r="C1101" s="37"/>
      <c r="D1101" s="36"/>
      <c r="E1101" s="36"/>
      <c r="F1101" s="37"/>
      <c r="G1101" s="36"/>
      <c r="H1101" s="36"/>
      <c r="I1101" s="171"/>
      <c r="J1101" s="38"/>
      <c r="K1101" s="28"/>
      <c r="L1101" s="28"/>
    </row>
    <row r="1102" spans="1:12" x14ac:dyDescent="0.25">
      <c r="A1102" s="35"/>
      <c r="B1102" s="36"/>
      <c r="C1102" s="37"/>
      <c r="D1102" s="36"/>
      <c r="E1102" s="36"/>
      <c r="F1102" s="37"/>
      <c r="G1102" s="36"/>
      <c r="H1102" s="36"/>
      <c r="I1102" s="171"/>
      <c r="J1102" s="38"/>
      <c r="K1102" s="28"/>
      <c r="L1102" s="28"/>
    </row>
    <row r="1103" spans="1:12" x14ac:dyDescent="0.25">
      <c r="A1103" s="35"/>
      <c r="B1103" s="36"/>
      <c r="C1103" s="37"/>
      <c r="D1103" s="36"/>
      <c r="E1103" s="36"/>
      <c r="F1103" s="37"/>
      <c r="G1103" s="36"/>
      <c r="H1103" s="36"/>
      <c r="I1103" s="171"/>
      <c r="J1103" s="38"/>
      <c r="K1103" s="28"/>
      <c r="L1103" s="28"/>
    </row>
    <row r="1104" spans="1:12" x14ac:dyDescent="0.25">
      <c r="A1104" s="35"/>
      <c r="B1104" s="36"/>
      <c r="C1104" s="37"/>
      <c r="D1104" s="36"/>
      <c r="E1104" s="36"/>
      <c r="F1104" s="37"/>
      <c r="G1104" s="36"/>
      <c r="H1104" s="36"/>
      <c r="I1104" s="171"/>
      <c r="J1104" s="38"/>
      <c r="K1104" s="28"/>
      <c r="L1104" s="28"/>
    </row>
    <row r="1105" spans="1:12" x14ac:dyDescent="0.25">
      <c r="A1105" s="35"/>
      <c r="B1105" s="36"/>
      <c r="C1105" s="37"/>
      <c r="D1105" s="36"/>
      <c r="E1105" s="36"/>
      <c r="F1105" s="37"/>
      <c r="G1105" s="36"/>
      <c r="H1105" s="36"/>
      <c r="I1105" s="171"/>
      <c r="J1105" s="38"/>
      <c r="K1105" s="28"/>
      <c r="L1105" s="28"/>
    </row>
    <row r="1106" spans="1:12" x14ac:dyDescent="0.25">
      <c r="A1106" s="35"/>
      <c r="B1106" s="36"/>
      <c r="C1106" s="37"/>
      <c r="D1106" s="36"/>
      <c r="E1106" s="36"/>
      <c r="F1106" s="37"/>
      <c r="G1106" s="36"/>
      <c r="H1106" s="36"/>
      <c r="I1106" s="171"/>
      <c r="J1106" s="38"/>
      <c r="K1106" s="28"/>
      <c r="L1106" s="28"/>
    </row>
    <row r="1107" spans="1:12" x14ac:dyDescent="0.25">
      <c r="A1107" s="35"/>
      <c r="B1107" s="36"/>
      <c r="C1107" s="37"/>
      <c r="D1107" s="36"/>
      <c r="E1107" s="36"/>
      <c r="F1107" s="37"/>
      <c r="G1107" s="36"/>
      <c r="H1107" s="36"/>
      <c r="I1107" s="171"/>
      <c r="J1107" s="38"/>
      <c r="K1107" s="28"/>
      <c r="L1107" s="28"/>
    </row>
    <row r="1108" spans="1:12" x14ac:dyDescent="0.25">
      <c r="A1108" s="35"/>
      <c r="B1108" s="36"/>
      <c r="C1108" s="37"/>
      <c r="D1108" s="36"/>
      <c r="E1108" s="36"/>
      <c r="F1108" s="37"/>
      <c r="G1108" s="36"/>
      <c r="H1108" s="36"/>
      <c r="I1108" s="171"/>
      <c r="J1108" s="38"/>
      <c r="K1108" s="28"/>
      <c r="L1108" s="28"/>
    </row>
    <row r="1109" spans="1:12" x14ac:dyDescent="0.25">
      <c r="A1109" s="35"/>
      <c r="B1109" s="36"/>
      <c r="C1109" s="37"/>
      <c r="D1109" s="36"/>
      <c r="E1109" s="36"/>
      <c r="F1109" s="37"/>
      <c r="G1109" s="36"/>
      <c r="H1109" s="36"/>
      <c r="I1109" s="171"/>
      <c r="J1109" s="38"/>
      <c r="K1109" s="28"/>
      <c r="L1109" s="28"/>
    </row>
    <row r="1110" spans="1:12" x14ac:dyDescent="0.25">
      <c r="A1110" s="35"/>
      <c r="B1110" s="36"/>
      <c r="C1110" s="37"/>
      <c r="D1110" s="36"/>
      <c r="E1110" s="36"/>
      <c r="F1110" s="37"/>
      <c r="G1110" s="36"/>
      <c r="H1110" s="36"/>
      <c r="I1110" s="171"/>
      <c r="J1110" s="38"/>
      <c r="K1110" s="28"/>
      <c r="L1110" s="28"/>
    </row>
    <row r="1111" spans="1:12" x14ac:dyDescent="0.25">
      <c r="A1111" s="35"/>
      <c r="B1111" s="36"/>
      <c r="C1111" s="37"/>
      <c r="D1111" s="36"/>
      <c r="E1111" s="36"/>
      <c r="F1111" s="37"/>
      <c r="G1111" s="36"/>
      <c r="H1111" s="36"/>
      <c r="I1111" s="171"/>
      <c r="J1111" s="38"/>
      <c r="K1111" s="28"/>
      <c r="L1111" s="28"/>
    </row>
    <row r="1112" spans="1:12" x14ac:dyDescent="0.25">
      <c r="A1112" s="35"/>
      <c r="B1112" s="36"/>
      <c r="C1112" s="37"/>
      <c r="D1112" s="36"/>
      <c r="E1112" s="36"/>
      <c r="F1112" s="37"/>
      <c r="G1112" s="36"/>
      <c r="H1112" s="36"/>
      <c r="I1112" s="171"/>
      <c r="J1112" s="38"/>
      <c r="K1112" s="28"/>
      <c r="L1112" s="28"/>
    </row>
    <row r="1113" spans="1:12" x14ac:dyDescent="0.25">
      <c r="A1113" s="35"/>
      <c r="B1113" s="36"/>
      <c r="C1113" s="37"/>
      <c r="D1113" s="36"/>
      <c r="E1113" s="36"/>
      <c r="F1113" s="37"/>
      <c r="G1113" s="36"/>
      <c r="H1113" s="36"/>
      <c r="I1113" s="171"/>
      <c r="J1113" s="38"/>
      <c r="K1113" s="28"/>
      <c r="L1113" s="28"/>
    </row>
    <row r="1114" spans="1:12" x14ac:dyDescent="0.25">
      <c r="A1114" s="35"/>
      <c r="B1114" s="36"/>
      <c r="C1114" s="37"/>
      <c r="D1114" s="36"/>
      <c r="E1114" s="36"/>
      <c r="F1114" s="37"/>
      <c r="G1114" s="36"/>
      <c r="H1114" s="36"/>
      <c r="I1114" s="171"/>
      <c r="J1114" s="38"/>
      <c r="K1114" s="28"/>
      <c r="L1114" s="28"/>
    </row>
    <row r="1115" spans="1:12" x14ac:dyDescent="0.25">
      <c r="A1115" s="35"/>
      <c r="B1115" s="36"/>
      <c r="C1115" s="37"/>
      <c r="D1115" s="36"/>
      <c r="E1115" s="36"/>
      <c r="F1115" s="37"/>
      <c r="G1115" s="36"/>
      <c r="H1115" s="36"/>
      <c r="I1115" s="171"/>
      <c r="J1115" s="38"/>
      <c r="K1115" s="28"/>
      <c r="L1115" s="28"/>
    </row>
    <row r="1116" spans="1:12" x14ac:dyDescent="0.25">
      <c r="A1116" s="35"/>
      <c r="B1116" s="36"/>
      <c r="C1116" s="37"/>
      <c r="D1116" s="36"/>
      <c r="E1116" s="36"/>
      <c r="F1116" s="37"/>
      <c r="G1116" s="36"/>
      <c r="H1116" s="36"/>
      <c r="I1116" s="171"/>
      <c r="J1116" s="38"/>
      <c r="K1116" s="28"/>
      <c r="L1116" s="28"/>
    </row>
    <row r="1117" spans="1:12" x14ac:dyDescent="0.25">
      <c r="A1117" s="35"/>
      <c r="B1117" s="36"/>
      <c r="C1117" s="37"/>
      <c r="D1117" s="36"/>
      <c r="E1117" s="36"/>
      <c r="F1117" s="37"/>
      <c r="G1117" s="36"/>
      <c r="H1117" s="36"/>
      <c r="I1117" s="171"/>
      <c r="J1117" s="38"/>
      <c r="K1117" s="28"/>
      <c r="L1117" s="28"/>
    </row>
    <row r="1118" spans="1:12" x14ac:dyDescent="0.25">
      <c r="A1118" s="35"/>
      <c r="B1118" s="36"/>
      <c r="C1118" s="37"/>
      <c r="D1118" s="36"/>
      <c r="E1118" s="36"/>
      <c r="F1118" s="37"/>
      <c r="G1118" s="36"/>
      <c r="H1118" s="36"/>
      <c r="I1118" s="171"/>
      <c r="J1118" s="38"/>
      <c r="K1118" s="28"/>
      <c r="L1118" s="28"/>
    </row>
    <row r="1119" spans="1:12" x14ac:dyDescent="0.25">
      <c r="A1119" s="35"/>
      <c r="B1119" s="36"/>
      <c r="C1119" s="37"/>
      <c r="D1119" s="36"/>
      <c r="E1119" s="36"/>
      <c r="F1119" s="37"/>
      <c r="G1119" s="36"/>
      <c r="H1119" s="36"/>
      <c r="I1119" s="171"/>
      <c r="J1119" s="38"/>
      <c r="K1119" s="28"/>
      <c r="L1119" s="28"/>
    </row>
    <row r="1120" spans="1:12" x14ac:dyDescent="0.25">
      <c r="A1120" s="35"/>
      <c r="B1120" s="36"/>
      <c r="C1120" s="37"/>
      <c r="D1120" s="36"/>
      <c r="E1120" s="36"/>
      <c r="F1120" s="37"/>
      <c r="G1120" s="36"/>
      <c r="H1120" s="36"/>
      <c r="I1120" s="171"/>
      <c r="J1120" s="38"/>
      <c r="K1120" s="28"/>
      <c r="L1120" s="28"/>
    </row>
    <row r="1121" spans="1:12" x14ac:dyDescent="0.25">
      <c r="A1121" s="35"/>
      <c r="B1121" s="36"/>
      <c r="C1121" s="37"/>
      <c r="D1121" s="36"/>
      <c r="E1121" s="36"/>
      <c r="F1121" s="37"/>
      <c r="G1121" s="36"/>
      <c r="H1121" s="36"/>
      <c r="I1121" s="171"/>
      <c r="J1121" s="38"/>
      <c r="K1121" s="28"/>
      <c r="L1121" s="28"/>
    </row>
    <row r="1122" spans="1:12" x14ac:dyDescent="0.25">
      <c r="A1122" s="35"/>
      <c r="B1122" s="36"/>
      <c r="C1122" s="37"/>
      <c r="D1122" s="36"/>
      <c r="E1122" s="36"/>
      <c r="F1122" s="37"/>
      <c r="G1122" s="36"/>
      <c r="H1122" s="36"/>
      <c r="I1122" s="171"/>
      <c r="J1122" s="38"/>
      <c r="K1122" s="28"/>
      <c r="L1122" s="28"/>
    </row>
    <row r="1123" spans="1:12" x14ac:dyDescent="0.25">
      <c r="A1123" s="35"/>
      <c r="B1123" s="36"/>
      <c r="C1123" s="37"/>
      <c r="D1123" s="36"/>
      <c r="E1123" s="36"/>
      <c r="F1123" s="37"/>
      <c r="G1123" s="36"/>
      <c r="H1123" s="36"/>
      <c r="I1123" s="171"/>
      <c r="J1123" s="38"/>
      <c r="K1123" s="28"/>
      <c r="L1123" s="28"/>
    </row>
    <row r="1124" spans="1:12" x14ac:dyDescent="0.25">
      <c r="A1124" s="35"/>
      <c r="B1124" s="36"/>
      <c r="C1124" s="37"/>
      <c r="D1124" s="36"/>
      <c r="E1124" s="36"/>
      <c r="F1124" s="37"/>
      <c r="G1124" s="36"/>
      <c r="H1124" s="36"/>
      <c r="I1124" s="171"/>
      <c r="J1124" s="38"/>
      <c r="K1124" s="28"/>
      <c r="L1124" s="28"/>
    </row>
    <row r="1125" spans="1:12" x14ac:dyDescent="0.25">
      <c r="A1125" s="35"/>
      <c r="B1125" s="36"/>
      <c r="C1125" s="37"/>
      <c r="D1125" s="36"/>
      <c r="E1125" s="36"/>
      <c r="F1125" s="37"/>
      <c r="G1125" s="36"/>
      <c r="H1125" s="36"/>
      <c r="I1125" s="171"/>
      <c r="J1125" s="38"/>
      <c r="K1125" s="28"/>
      <c r="L1125" s="28"/>
    </row>
    <row r="1126" spans="1:12" x14ac:dyDescent="0.25">
      <c r="A1126" s="35"/>
      <c r="B1126" s="36"/>
      <c r="C1126" s="37"/>
      <c r="D1126" s="36"/>
      <c r="E1126" s="36"/>
      <c r="F1126" s="37"/>
      <c r="G1126" s="36"/>
      <c r="H1126" s="36"/>
      <c r="I1126" s="171"/>
      <c r="J1126" s="38"/>
      <c r="K1126" s="28"/>
      <c r="L1126" s="28"/>
    </row>
    <row r="1127" spans="1:12" x14ac:dyDescent="0.25">
      <c r="A1127" s="35"/>
      <c r="B1127" s="36"/>
      <c r="C1127" s="37"/>
      <c r="D1127" s="36"/>
      <c r="E1127" s="36"/>
      <c r="F1127" s="37"/>
      <c r="G1127" s="36"/>
      <c r="H1127" s="36"/>
      <c r="I1127" s="171"/>
      <c r="J1127" s="38"/>
      <c r="K1127" s="28"/>
      <c r="L1127" s="28"/>
    </row>
    <row r="1128" spans="1:12" x14ac:dyDescent="0.25">
      <c r="A1128" s="35"/>
      <c r="B1128" s="36"/>
      <c r="C1128" s="37"/>
      <c r="D1128" s="36"/>
      <c r="E1128" s="36"/>
      <c r="F1128" s="37"/>
      <c r="G1128" s="36"/>
      <c r="H1128" s="36"/>
      <c r="I1128" s="171"/>
      <c r="J1128" s="38"/>
      <c r="K1128" s="28"/>
      <c r="L1128" s="28"/>
    </row>
    <row r="1129" spans="1:12" x14ac:dyDescent="0.25">
      <c r="A1129" s="35"/>
      <c r="B1129" s="36"/>
      <c r="C1129" s="37"/>
      <c r="D1129" s="36"/>
      <c r="E1129" s="36"/>
      <c r="F1129" s="37"/>
      <c r="G1129" s="36"/>
      <c r="H1129" s="36"/>
      <c r="I1129" s="171"/>
      <c r="J1129" s="38"/>
      <c r="K1129" s="28"/>
      <c r="L1129" s="28"/>
    </row>
    <row r="1130" spans="1:12" x14ac:dyDescent="0.25">
      <c r="A1130" s="35"/>
      <c r="B1130" s="36"/>
      <c r="C1130" s="37"/>
      <c r="D1130" s="36"/>
      <c r="E1130" s="36"/>
      <c r="F1130" s="37"/>
      <c r="G1130" s="36"/>
      <c r="H1130" s="36"/>
      <c r="I1130" s="171"/>
      <c r="J1130" s="38"/>
      <c r="K1130" s="28"/>
      <c r="L1130" s="28"/>
    </row>
    <row r="1131" spans="1:12" x14ac:dyDescent="0.25">
      <c r="A1131" s="35"/>
      <c r="B1131" s="36"/>
      <c r="C1131" s="37"/>
      <c r="D1131" s="36"/>
      <c r="E1131" s="36"/>
      <c r="F1131" s="37"/>
      <c r="G1131" s="36"/>
      <c r="H1131" s="36"/>
      <c r="I1131" s="171"/>
      <c r="J1131" s="38"/>
      <c r="K1131" s="28"/>
      <c r="L1131" s="28"/>
    </row>
    <row r="1132" spans="1:12" x14ac:dyDescent="0.25">
      <c r="A1132" s="35"/>
      <c r="B1132" s="36"/>
      <c r="C1132" s="37"/>
      <c r="D1132" s="36"/>
      <c r="E1132" s="36"/>
      <c r="F1132" s="37"/>
      <c r="G1132" s="36"/>
      <c r="H1132" s="36"/>
      <c r="I1132" s="171"/>
      <c r="J1132" s="38"/>
      <c r="K1132" s="28"/>
      <c r="L1132" s="28"/>
    </row>
    <row r="1133" spans="1:12" x14ac:dyDescent="0.25">
      <c r="A1133" s="35"/>
      <c r="B1133" s="36"/>
      <c r="C1133" s="37"/>
      <c r="D1133" s="36"/>
      <c r="E1133" s="36"/>
      <c r="F1133" s="37"/>
      <c r="G1133" s="36"/>
      <c r="H1133" s="36"/>
      <c r="I1133" s="171"/>
      <c r="J1133" s="38"/>
      <c r="K1133" s="28"/>
      <c r="L1133" s="28"/>
    </row>
    <row r="1134" spans="1:12" x14ac:dyDescent="0.25">
      <c r="A1134" s="35"/>
      <c r="B1134" s="36"/>
      <c r="C1134" s="37"/>
      <c r="D1134" s="36"/>
      <c r="E1134" s="36"/>
      <c r="F1134" s="37"/>
      <c r="G1134" s="36"/>
      <c r="H1134" s="36"/>
      <c r="I1134" s="171"/>
      <c r="J1134" s="38"/>
      <c r="K1134" s="28"/>
      <c r="L1134" s="28"/>
    </row>
    <row r="1135" spans="1:12" x14ac:dyDescent="0.25">
      <c r="A1135" s="35"/>
      <c r="B1135" s="36"/>
      <c r="C1135" s="37"/>
      <c r="D1135" s="36"/>
      <c r="E1135" s="36"/>
      <c r="F1135" s="37"/>
      <c r="G1135" s="36"/>
      <c r="H1135" s="36"/>
      <c r="I1135" s="171"/>
      <c r="J1135" s="38"/>
      <c r="K1135" s="28"/>
      <c r="L1135" s="28"/>
    </row>
    <row r="1136" spans="1:12" x14ac:dyDescent="0.25">
      <c r="A1136" s="35"/>
      <c r="B1136" s="36"/>
      <c r="C1136" s="37"/>
      <c r="D1136" s="36"/>
      <c r="E1136" s="36"/>
      <c r="F1136" s="37"/>
      <c r="G1136" s="36"/>
      <c r="H1136" s="36"/>
      <c r="I1136" s="171"/>
      <c r="J1136" s="38"/>
      <c r="K1136" s="28"/>
      <c r="L1136" s="28"/>
    </row>
    <row r="1137" spans="1:12" x14ac:dyDescent="0.25">
      <c r="A1137" s="35"/>
      <c r="B1137" s="36"/>
      <c r="C1137" s="37"/>
      <c r="D1137" s="36"/>
      <c r="E1137" s="36"/>
      <c r="F1137" s="37"/>
      <c r="G1137" s="36"/>
      <c r="H1137" s="36"/>
      <c r="I1137" s="171"/>
      <c r="J1137" s="38"/>
      <c r="K1137" s="28"/>
      <c r="L1137" s="28"/>
    </row>
    <row r="1138" spans="1:12" x14ac:dyDescent="0.25">
      <c r="A1138" s="35"/>
      <c r="B1138" s="36"/>
      <c r="C1138" s="37"/>
      <c r="D1138" s="36"/>
      <c r="E1138" s="36"/>
      <c r="F1138" s="37"/>
      <c r="G1138" s="36"/>
      <c r="H1138" s="36"/>
      <c r="I1138" s="171"/>
      <c r="J1138" s="38"/>
      <c r="K1138" s="28"/>
      <c r="L1138" s="28"/>
    </row>
    <row r="1139" spans="1:12" x14ac:dyDescent="0.25">
      <c r="A1139" s="35"/>
      <c r="B1139" s="36"/>
      <c r="C1139" s="37"/>
      <c r="D1139" s="36"/>
      <c r="E1139" s="36"/>
      <c r="F1139" s="37"/>
      <c r="G1139" s="36"/>
      <c r="H1139" s="36"/>
      <c r="I1139" s="171"/>
      <c r="J1139" s="38"/>
      <c r="K1139" s="28"/>
      <c r="L1139" s="28"/>
    </row>
    <row r="1140" spans="1:12" x14ac:dyDescent="0.25">
      <c r="A1140" s="35"/>
      <c r="B1140" s="36"/>
      <c r="C1140" s="37"/>
      <c r="D1140" s="36"/>
      <c r="E1140" s="36"/>
      <c r="F1140" s="37"/>
      <c r="G1140" s="36"/>
      <c r="H1140" s="36"/>
      <c r="I1140" s="171"/>
      <c r="J1140" s="38"/>
      <c r="K1140" s="28"/>
      <c r="L1140" s="28"/>
    </row>
    <row r="1141" spans="1:12" x14ac:dyDescent="0.25">
      <c r="A1141" s="35"/>
      <c r="B1141" s="36"/>
      <c r="C1141" s="37"/>
      <c r="D1141" s="36"/>
      <c r="E1141" s="36"/>
      <c r="F1141" s="37"/>
      <c r="G1141" s="36"/>
      <c r="H1141" s="36"/>
      <c r="I1141" s="171"/>
      <c r="J1141" s="38"/>
      <c r="K1141" s="28"/>
      <c r="L1141" s="28"/>
    </row>
    <row r="1142" spans="1:12" x14ac:dyDescent="0.25">
      <c r="A1142" s="35"/>
      <c r="B1142" s="36"/>
      <c r="C1142" s="37"/>
      <c r="D1142" s="36"/>
      <c r="E1142" s="36"/>
      <c r="F1142" s="37"/>
      <c r="G1142" s="36"/>
      <c r="H1142" s="36"/>
      <c r="I1142" s="171"/>
      <c r="J1142" s="38"/>
      <c r="K1142" s="28"/>
      <c r="L1142" s="28"/>
    </row>
    <row r="1143" spans="1:12" x14ac:dyDescent="0.25">
      <c r="A1143" s="35"/>
      <c r="B1143" s="36"/>
      <c r="C1143" s="37"/>
      <c r="D1143" s="36"/>
      <c r="E1143" s="36"/>
      <c r="F1143" s="37"/>
      <c r="G1143" s="36"/>
      <c r="H1143" s="36"/>
      <c r="I1143" s="171"/>
      <c r="J1143" s="38"/>
      <c r="K1143" s="28"/>
      <c r="L1143" s="28"/>
    </row>
    <row r="1144" spans="1:12" x14ac:dyDescent="0.25">
      <c r="A1144" s="35"/>
      <c r="B1144" s="36"/>
      <c r="C1144" s="37"/>
      <c r="D1144" s="36"/>
      <c r="E1144" s="36"/>
      <c r="F1144" s="37"/>
      <c r="G1144" s="36"/>
      <c r="H1144" s="36"/>
      <c r="I1144" s="171"/>
      <c r="J1144" s="38"/>
      <c r="K1144" s="28"/>
      <c r="L1144" s="28"/>
    </row>
    <row r="1145" spans="1:12" x14ac:dyDescent="0.25">
      <c r="A1145" s="35"/>
      <c r="B1145" s="36"/>
      <c r="C1145" s="37"/>
      <c r="D1145" s="36"/>
      <c r="E1145" s="36"/>
      <c r="F1145" s="37"/>
      <c r="G1145" s="36"/>
      <c r="H1145" s="36"/>
      <c r="I1145" s="171"/>
      <c r="J1145" s="38"/>
      <c r="K1145" s="28"/>
      <c r="L1145" s="28"/>
    </row>
    <row r="1146" spans="1:12" x14ac:dyDescent="0.25">
      <c r="A1146" s="35"/>
      <c r="B1146" s="36"/>
      <c r="C1146" s="37"/>
      <c r="D1146" s="36"/>
      <c r="E1146" s="36"/>
      <c r="F1146" s="37"/>
      <c r="G1146" s="36"/>
      <c r="H1146" s="36"/>
      <c r="I1146" s="171"/>
      <c r="J1146" s="38"/>
      <c r="K1146" s="28"/>
      <c r="L1146" s="28"/>
    </row>
    <row r="1147" spans="1:12" x14ac:dyDescent="0.25">
      <c r="A1147" s="35"/>
      <c r="B1147" s="36"/>
      <c r="C1147" s="37"/>
      <c r="D1147" s="36"/>
      <c r="E1147" s="36"/>
      <c r="F1147" s="37"/>
      <c r="G1147" s="36"/>
      <c r="H1147" s="36"/>
      <c r="I1147" s="171"/>
      <c r="J1147" s="38"/>
      <c r="K1147" s="28"/>
      <c r="L1147" s="28"/>
    </row>
    <row r="1148" spans="1:12" x14ac:dyDescent="0.25">
      <c r="A1148" s="35"/>
      <c r="B1148" s="36"/>
      <c r="C1148" s="37"/>
      <c r="D1148" s="36"/>
      <c r="E1148" s="36"/>
      <c r="F1148" s="37"/>
      <c r="G1148" s="36"/>
      <c r="H1148" s="36"/>
      <c r="I1148" s="171"/>
      <c r="J1148" s="38"/>
      <c r="K1148" s="28"/>
      <c r="L1148" s="28"/>
    </row>
    <row r="1149" spans="1:12" x14ac:dyDescent="0.25">
      <c r="A1149" s="35"/>
      <c r="B1149" s="36"/>
      <c r="C1149" s="37"/>
      <c r="D1149" s="36"/>
      <c r="E1149" s="36"/>
      <c r="F1149" s="37"/>
      <c r="G1149" s="36"/>
      <c r="H1149" s="36"/>
      <c r="I1149" s="171"/>
      <c r="J1149" s="38"/>
      <c r="K1149" s="28"/>
      <c r="L1149" s="28"/>
    </row>
    <row r="1150" spans="1:12" x14ac:dyDescent="0.25">
      <c r="A1150" s="35"/>
      <c r="B1150" s="36"/>
      <c r="C1150" s="37"/>
      <c r="D1150" s="36"/>
      <c r="E1150" s="36"/>
      <c r="F1150" s="37"/>
      <c r="G1150" s="36"/>
      <c r="H1150" s="36"/>
      <c r="I1150" s="171"/>
      <c r="J1150" s="38"/>
      <c r="K1150" s="28"/>
      <c r="L1150" s="28"/>
    </row>
    <row r="1151" spans="1:12" x14ac:dyDescent="0.25">
      <c r="A1151" s="35"/>
      <c r="B1151" s="36"/>
      <c r="C1151" s="37"/>
      <c r="D1151" s="36"/>
      <c r="E1151" s="36"/>
      <c r="F1151" s="37"/>
      <c r="G1151" s="36"/>
      <c r="H1151" s="36"/>
      <c r="I1151" s="171"/>
      <c r="J1151" s="38"/>
      <c r="K1151" s="28"/>
      <c r="L1151" s="28"/>
    </row>
    <row r="1152" spans="1:12" x14ac:dyDescent="0.25">
      <c r="A1152" s="35"/>
      <c r="B1152" s="36"/>
      <c r="C1152" s="37"/>
      <c r="D1152" s="36"/>
      <c r="E1152" s="36"/>
      <c r="F1152" s="37"/>
      <c r="G1152" s="36"/>
      <c r="H1152" s="36"/>
      <c r="I1152" s="171"/>
      <c r="J1152" s="38"/>
      <c r="K1152" s="28"/>
      <c r="L1152" s="28"/>
    </row>
    <row r="1153" spans="1:12" x14ac:dyDescent="0.25">
      <c r="A1153" s="35"/>
      <c r="B1153" s="36"/>
      <c r="C1153" s="37"/>
      <c r="D1153" s="36"/>
      <c r="E1153" s="36"/>
      <c r="F1153" s="37"/>
      <c r="G1153" s="36"/>
      <c r="H1153" s="36"/>
      <c r="I1153" s="171"/>
      <c r="J1153" s="38"/>
      <c r="K1153" s="28"/>
      <c r="L1153" s="28"/>
    </row>
    <row r="1154" spans="1:12" x14ac:dyDescent="0.25">
      <c r="A1154" s="35"/>
      <c r="B1154" s="36"/>
      <c r="C1154" s="37"/>
      <c r="D1154" s="36"/>
      <c r="E1154" s="36"/>
      <c r="F1154" s="37"/>
      <c r="G1154" s="36"/>
      <c r="H1154" s="36"/>
      <c r="I1154" s="171"/>
      <c r="J1154" s="38"/>
      <c r="K1154" s="28"/>
      <c r="L1154" s="28"/>
    </row>
    <row r="1155" spans="1:12" x14ac:dyDescent="0.25">
      <c r="A1155" s="35"/>
      <c r="B1155" s="36"/>
      <c r="C1155" s="37"/>
      <c r="D1155" s="36"/>
      <c r="E1155" s="36"/>
      <c r="F1155" s="37"/>
      <c r="G1155" s="36"/>
      <c r="H1155" s="36"/>
      <c r="I1155" s="171"/>
      <c r="J1155" s="38"/>
      <c r="K1155" s="28"/>
      <c r="L1155" s="28"/>
    </row>
    <row r="1156" spans="1:12" x14ac:dyDescent="0.25">
      <c r="A1156" s="35"/>
      <c r="B1156" s="36"/>
      <c r="C1156" s="37"/>
      <c r="D1156" s="36"/>
      <c r="E1156" s="36"/>
      <c r="F1156" s="37"/>
      <c r="G1156" s="36"/>
      <c r="H1156" s="36"/>
      <c r="I1156" s="171"/>
      <c r="J1156" s="38"/>
      <c r="K1156" s="28"/>
      <c r="L1156" s="28"/>
    </row>
    <row r="1157" spans="1:12" x14ac:dyDescent="0.25">
      <c r="A1157" s="35"/>
      <c r="B1157" s="36"/>
      <c r="C1157" s="37"/>
      <c r="D1157" s="36"/>
      <c r="E1157" s="36"/>
      <c r="F1157" s="37"/>
      <c r="G1157" s="36"/>
      <c r="H1157" s="36"/>
      <c r="I1157" s="171"/>
      <c r="J1157" s="38"/>
      <c r="K1157" s="28"/>
      <c r="L1157" s="28"/>
    </row>
    <row r="1158" spans="1:12" x14ac:dyDescent="0.25">
      <c r="A1158" s="35"/>
      <c r="B1158" s="36"/>
      <c r="C1158" s="37"/>
      <c r="D1158" s="36"/>
      <c r="E1158" s="36"/>
      <c r="F1158" s="37"/>
      <c r="G1158" s="36"/>
      <c r="H1158" s="36"/>
      <c r="I1158" s="171"/>
      <c r="J1158" s="38"/>
      <c r="K1158" s="28"/>
      <c r="L1158" s="28"/>
    </row>
    <row r="1159" spans="1:12" x14ac:dyDescent="0.25">
      <c r="A1159" s="35"/>
      <c r="B1159" s="36"/>
      <c r="C1159" s="37"/>
      <c r="D1159" s="36"/>
      <c r="E1159" s="36"/>
      <c r="F1159" s="37"/>
      <c r="G1159" s="36"/>
      <c r="H1159" s="36"/>
      <c r="I1159" s="171"/>
      <c r="J1159" s="38"/>
      <c r="K1159" s="28"/>
      <c r="L1159" s="28"/>
    </row>
    <row r="1160" spans="1:12" x14ac:dyDescent="0.25">
      <c r="A1160" s="35"/>
      <c r="B1160" s="36"/>
      <c r="C1160" s="37"/>
      <c r="D1160" s="36"/>
      <c r="E1160" s="36"/>
      <c r="F1160" s="37"/>
      <c r="G1160" s="36"/>
      <c r="H1160" s="36"/>
      <c r="I1160" s="171"/>
      <c r="J1160" s="38"/>
      <c r="K1160" s="28"/>
      <c r="L1160" s="28"/>
    </row>
    <row r="1161" spans="1:12" x14ac:dyDescent="0.25">
      <c r="A1161" s="35"/>
      <c r="B1161" s="36"/>
      <c r="C1161" s="37"/>
      <c r="D1161" s="36"/>
      <c r="E1161" s="36"/>
      <c r="F1161" s="37"/>
      <c r="G1161" s="36"/>
      <c r="H1161" s="36"/>
      <c r="I1161" s="171"/>
      <c r="J1161" s="38"/>
      <c r="K1161" s="28"/>
      <c r="L1161" s="28"/>
    </row>
    <row r="1162" spans="1:12" x14ac:dyDescent="0.25">
      <c r="A1162" s="35"/>
      <c r="B1162" s="36"/>
      <c r="C1162" s="37"/>
      <c r="D1162" s="36"/>
      <c r="E1162" s="36"/>
      <c r="F1162" s="37"/>
      <c r="G1162" s="36"/>
      <c r="H1162" s="36"/>
      <c r="I1162" s="171"/>
      <c r="J1162" s="38"/>
      <c r="K1162" s="28"/>
      <c r="L1162" s="28"/>
    </row>
    <row r="1163" spans="1:12" x14ac:dyDescent="0.25">
      <c r="A1163" s="35"/>
      <c r="B1163" s="36"/>
      <c r="C1163" s="37"/>
      <c r="D1163" s="36"/>
      <c r="E1163" s="36"/>
      <c r="F1163" s="37"/>
      <c r="G1163" s="36"/>
      <c r="H1163" s="36"/>
      <c r="I1163" s="171"/>
      <c r="J1163" s="38"/>
      <c r="K1163" s="28"/>
      <c r="L1163" s="28"/>
    </row>
    <row r="1164" spans="1:12" x14ac:dyDescent="0.25">
      <c r="A1164" s="35"/>
      <c r="B1164" s="36"/>
      <c r="C1164" s="37"/>
      <c r="D1164" s="36"/>
      <c r="E1164" s="36"/>
      <c r="F1164" s="37"/>
      <c r="G1164" s="36"/>
      <c r="H1164" s="36"/>
      <c r="I1164" s="171"/>
      <c r="J1164" s="38"/>
      <c r="K1164" s="28"/>
      <c r="L1164" s="28"/>
    </row>
    <row r="1165" spans="1:12" x14ac:dyDescent="0.25">
      <c r="A1165" s="35"/>
      <c r="B1165" s="36"/>
      <c r="C1165" s="37"/>
      <c r="D1165" s="36"/>
      <c r="E1165" s="36"/>
      <c r="F1165" s="37"/>
      <c r="G1165" s="36"/>
      <c r="H1165" s="36"/>
      <c r="I1165" s="171"/>
      <c r="J1165" s="38"/>
      <c r="K1165" s="28"/>
      <c r="L1165" s="28"/>
    </row>
    <row r="1166" spans="1:12" x14ac:dyDescent="0.25">
      <c r="A1166" s="35"/>
      <c r="B1166" s="36"/>
      <c r="C1166" s="37"/>
      <c r="D1166" s="36"/>
      <c r="E1166" s="36"/>
      <c r="F1166" s="37"/>
      <c r="G1166" s="36"/>
      <c r="H1166" s="36"/>
      <c r="I1166" s="171"/>
      <c r="J1166" s="38"/>
      <c r="K1166" s="28"/>
      <c r="L1166" s="28"/>
    </row>
    <row r="1167" spans="1:12" x14ac:dyDescent="0.25">
      <c r="A1167" s="35"/>
      <c r="B1167" s="36"/>
      <c r="C1167" s="37"/>
      <c r="D1167" s="36"/>
      <c r="E1167" s="36"/>
      <c r="F1167" s="37"/>
      <c r="G1167" s="36"/>
      <c r="H1167" s="36"/>
      <c r="I1167" s="171"/>
      <c r="J1167" s="38"/>
      <c r="K1167" s="28"/>
      <c r="L1167" s="28"/>
    </row>
    <row r="1168" spans="1:12" x14ac:dyDescent="0.25">
      <c r="A1168" s="35"/>
      <c r="B1168" s="36"/>
      <c r="C1168" s="37"/>
      <c r="D1168" s="36"/>
      <c r="E1168" s="36"/>
      <c r="F1168" s="37"/>
      <c r="G1168" s="36"/>
      <c r="H1168" s="36"/>
      <c r="I1168" s="171"/>
      <c r="J1168" s="38"/>
      <c r="K1168" s="28"/>
      <c r="L1168" s="28"/>
    </row>
    <row r="1169" spans="1:12" x14ac:dyDescent="0.25">
      <c r="A1169" s="35"/>
      <c r="B1169" s="36"/>
      <c r="C1169" s="37"/>
      <c r="D1169" s="36"/>
      <c r="E1169" s="36"/>
      <c r="F1169" s="37"/>
      <c r="G1169" s="36"/>
      <c r="H1169" s="36"/>
      <c r="I1169" s="171"/>
      <c r="J1169" s="38"/>
      <c r="K1169" s="28"/>
      <c r="L1169" s="28"/>
    </row>
    <row r="1170" spans="1:12" x14ac:dyDescent="0.25">
      <c r="A1170" s="35"/>
      <c r="B1170" s="36"/>
      <c r="C1170" s="37"/>
      <c r="D1170" s="36"/>
      <c r="E1170" s="36"/>
      <c r="F1170" s="37"/>
      <c r="G1170" s="36"/>
      <c r="H1170" s="36"/>
      <c r="I1170" s="171"/>
      <c r="J1170" s="38"/>
      <c r="K1170" s="28"/>
      <c r="L1170" s="28"/>
    </row>
    <row r="1171" spans="1:12" x14ac:dyDescent="0.25">
      <c r="A1171" s="35"/>
      <c r="B1171" s="36"/>
      <c r="C1171" s="37"/>
      <c r="D1171" s="36"/>
      <c r="E1171" s="36"/>
      <c r="F1171" s="37"/>
      <c r="G1171" s="36"/>
      <c r="H1171" s="36"/>
      <c r="I1171" s="171"/>
      <c r="J1171" s="38"/>
      <c r="K1171" s="28"/>
      <c r="L1171" s="28"/>
    </row>
    <row r="1172" spans="1:12" x14ac:dyDescent="0.25">
      <c r="A1172" s="35"/>
      <c r="B1172" s="36"/>
      <c r="C1172" s="37"/>
      <c r="D1172" s="36"/>
      <c r="E1172" s="36"/>
      <c r="F1172" s="37"/>
      <c r="G1172" s="36"/>
      <c r="H1172" s="36"/>
      <c r="I1172" s="171"/>
      <c r="J1172" s="38"/>
      <c r="K1172" s="28"/>
      <c r="L1172" s="28"/>
    </row>
    <row r="1173" spans="1:12" x14ac:dyDescent="0.25">
      <c r="A1173" s="35"/>
      <c r="B1173" s="36"/>
      <c r="C1173" s="37"/>
      <c r="D1173" s="36"/>
      <c r="E1173" s="36"/>
      <c r="F1173" s="37"/>
      <c r="G1173" s="36"/>
      <c r="H1173" s="36"/>
      <c r="I1173" s="171"/>
      <c r="J1173" s="38"/>
      <c r="K1173" s="28"/>
      <c r="L1173" s="28"/>
    </row>
    <row r="1174" spans="1:12" x14ac:dyDescent="0.25">
      <c r="A1174" s="35"/>
      <c r="B1174" s="36"/>
      <c r="C1174" s="37"/>
      <c r="D1174" s="36"/>
      <c r="E1174" s="36"/>
      <c r="F1174" s="37"/>
      <c r="G1174" s="36"/>
      <c r="H1174" s="36"/>
      <c r="I1174" s="171"/>
      <c r="J1174" s="38"/>
      <c r="K1174" s="28"/>
      <c r="L1174" s="28"/>
    </row>
    <row r="1175" spans="1:12" x14ac:dyDescent="0.25">
      <c r="A1175" s="35"/>
      <c r="B1175" s="36"/>
      <c r="C1175" s="37"/>
      <c r="D1175" s="36"/>
      <c r="E1175" s="36"/>
      <c r="F1175" s="37"/>
      <c r="G1175" s="36"/>
      <c r="H1175" s="36"/>
      <c r="I1175" s="171"/>
      <c r="J1175" s="38"/>
      <c r="K1175" s="28"/>
      <c r="L1175" s="28"/>
    </row>
    <row r="1176" spans="1:12" x14ac:dyDescent="0.25">
      <c r="A1176" s="35"/>
      <c r="B1176" s="36"/>
      <c r="C1176" s="37"/>
      <c r="D1176" s="36"/>
      <c r="E1176" s="36"/>
      <c r="F1176" s="37"/>
      <c r="G1176" s="36"/>
      <c r="H1176" s="36"/>
      <c r="I1176" s="171"/>
      <c r="J1176" s="38"/>
      <c r="K1176" s="28"/>
      <c r="L1176" s="28"/>
    </row>
    <row r="1177" spans="1:12" x14ac:dyDescent="0.25">
      <c r="A1177" s="35"/>
      <c r="B1177" s="36"/>
      <c r="C1177" s="37"/>
      <c r="D1177" s="36"/>
      <c r="E1177" s="36"/>
      <c r="F1177" s="37"/>
      <c r="G1177" s="36"/>
      <c r="H1177" s="36"/>
      <c r="I1177" s="171"/>
      <c r="J1177" s="38"/>
      <c r="K1177" s="28"/>
      <c r="L1177" s="28"/>
    </row>
    <row r="1178" spans="1:12" x14ac:dyDescent="0.25">
      <c r="A1178" s="35"/>
      <c r="B1178" s="36"/>
      <c r="C1178" s="37"/>
      <c r="D1178" s="36"/>
      <c r="E1178" s="36"/>
      <c r="F1178" s="37"/>
      <c r="G1178" s="36"/>
      <c r="H1178" s="36"/>
      <c r="I1178" s="171"/>
      <c r="J1178" s="38"/>
      <c r="K1178" s="28"/>
      <c r="L1178" s="28"/>
    </row>
    <row r="1179" spans="1:12" x14ac:dyDescent="0.25">
      <c r="A1179" s="35"/>
      <c r="B1179" s="36"/>
      <c r="C1179" s="37"/>
      <c r="D1179" s="36"/>
      <c r="E1179" s="36"/>
      <c r="F1179" s="37"/>
      <c r="G1179" s="36"/>
      <c r="H1179" s="36"/>
      <c r="I1179" s="171"/>
      <c r="J1179" s="38"/>
      <c r="K1179" s="28"/>
      <c r="L1179" s="28"/>
    </row>
    <row r="1180" spans="1:12" x14ac:dyDescent="0.25">
      <c r="A1180" s="35"/>
      <c r="B1180" s="36"/>
      <c r="C1180" s="37"/>
      <c r="D1180" s="36"/>
      <c r="E1180" s="36"/>
      <c r="F1180" s="37"/>
      <c r="G1180" s="36"/>
      <c r="H1180" s="36"/>
      <c r="I1180" s="171"/>
      <c r="J1180" s="38"/>
      <c r="K1180" s="28"/>
      <c r="L1180" s="28"/>
    </row>
    <row r="1181" spans="1:12" x14ac:dyDescent="0.25">
      <c r="A1181" s="35"/>
      <c r="B1181" s="36"/>
      <c r="C1181" s="37"/>
      <c r="D1181" s="36"/>
      <c r="E1181" s="36"/>
      <c r="F1181" s="37"/>
      <c r="G1181" s="36"/>
      <c r="H1181" s="36"/>
      <c r="I1181" s="171"/>
      <c r="J1181" s="38"/>
      <c r="K1181" s="28"/>
      <c r="L1181" s="28"/>
    </row>
    <row r="1182" spans="1:12" x14ac:dyDescent="0.25">
      <c r="A1182" s="35"/>
      <c r="B1182" s="36"/>
      <c r="C1182" s="37"/>
      <c r="D1182" s="36"/>
      <c r="E1182" s="36"/>
      <c r="F1182" s="37"/>
      <c r="G1182" s="36"/>
      <c r="H1182" s="36"/>
      <c r="I1182" s="171"/>
      <c r="J1182" s="38"/>
      <c r="K1182" s="28"/>
      <c r="L1182" s="28"/>
    </row>
    <row r="1183" spans="1:12" x14ac:dyDescent="0.25">
      <c r="A1183" s="35"/>
      <c r="B1183" s="36"/>
      <c r="C1183" s="37"/>
      <c r="D1183" s="36"/>
      <c r="E1183" s="36"/>
      <c r="F1183" s="37"/>
      <c r="G1183" s="36"/>
      <c r="H1183" s="36"/>
      <c r="I1183" s="171"/>
      <c r="J1183" s="38"/>
      <c r="K1183" s="28"/>
      <c r="L1183" s="28"/>
    </row>
    <row r="1184" spans="1:12" x14ac:dyDescent="0.25">
      <c r="A1184" s="35"/>
      <c r="B1184" s="36"/>
      <c r="C1184" s="37"/>
      <c r="D1184" s="36"/>
      <c r="E1184" s="36"/>
      <c r="F1184" s="37"/>
      <c r="G1184" s="36"/>
      <c r="H1184" s="36"/>
      <c r="I1184" s="171"/>
      <c r="J1184" s="38"/>
      <c r="K1184" s="28"/>
      <c r="L1184" s="28"/>
    </row>
    <row r="1185" spans="1:12" x14ac:dyDescent="0.25">
      <c r="A1185" s="35"/>
      <c r="B1185" s="36"/>
      <c r="C1185" s="37"/>
      <c r="D1185" s="36"/>
      <c r="E1185" s="36"/>
      <c r="F1185" s="37"/>
      <c r="G1185" s="36"/>
      <c r="H1185" s="36"/>
      <c r="I1185" s="171"/>
      <c r="J1185" s="38"/>
      <c r="K1185" s="28"/>
      <c r="L1185" s="28"/>
    </row>
    <row r="1186" spans="1:12" x14ac:dyDescent="0.25">
      <c r="A1186" s="35"/>
      <c r="B1186" s="36"/>
      <c r="C1186" s="37"/>
      <c r="D1186" s="36"/>
      <c r="E1186" s="36"/>
      <c r="F1186" s="37"/>
      <c r="G1186" s="36"/>
      <c r="H1186" s="36"/>
      <c r="I1186" s="171"/>
      <c r="J1186" s="38"/>
      <c r="K1186" s="28"/>
      <c r="L1186" s="28"/>
    </row>
    <row r="1187" spans="1:12" x14ac:dyDescent="0.25">
      <c r="A1187" s="35"/>
      <c r="B1187" s="36"/>
      <c r="C1187" s="37"/>
      <c r="D1187" s="36"/>
      <c r="E1187" s="36"/>
      <c r="F1187" s="37"/>
      <c r="G1187" s="36"/>
      <c r="H1187" s="36"/>
      <c r="I1187" s="171"/>
      <c r="J1187" s="38"/>
      <c r="K1187" s="28"/>
      <c r="L1187" s="28"/>
    </row>
    <row r="1188" spans="1:12" x14ac:dyDescent="0.25">
      <c r="A1188" s="35"/>
      <c r="B1188" s="36"/>
      <c r="C1188" s="37"/>
      <c r="D1188" s="36"/>
      <c r="E1188" s="36"/>
      <c r="F1188" s="37"/>
      <c r="G1188" s="36"/>
      <c r="H1188" s="36"/>
      <c r="I1188" s="171"/>
      <c r="J1188" s="38"/>
      <c r="K1188" s="28"/>
      <c r="L1188" s="28"/>
    </row>
    <row r="1189" spans="1:12" x14ac:dyDescent="0.25">
      <c r="A1189" s="35"/>
      <c r="B1189" s="36"/>
      <c r="C1189" s="37"/>
      <c r="D1189" s="36"/>
      <c r="E1189" s="36"/>
      <c r="F1189" s="37"/>
      <c r="G1189" s="36"/>
      <c r="H1189" s="36"/>
      <c r="I1189" s="171"/>
      <c r="J1189" s="38"/>
      <c r="K1189" s="28"/>
      <c r="L1189" s="28"/>
    </row>
    <row r="1190" spans="1:12" x14ac:dyDescent="0.25">
      <c r="A1190" s="35"/>
      <c r="B1190" s="36"/>
      <c r="C1190" s="37"/>
      <c r="D1190" s="36"/>
      <c r="E1190" s="36"/>
      <c r="F1190" s="37"/>
      <c r="G1190" s="36"/>
      <c r="H1190" s="36"/>
      <c r="I1190" s="171"/>
      <c r="J1190" s="38"/>
      <c r="K1190" s="28"/>
      <c r="L1190" s="28"/>
    </row>
    <row r="1191" spans="1:12" x14ac:dyDescent="0.25">
      <c r="A1191" s="35"/>
      <c r="B1191" s="36"/>
      <c r="C1191" s="37"/>
      <c r="D1191" s="36"/>
      <c r="E1191" s="36"/>
      <c r="F1191" s="37"/>
      <c r="G1191" s="36"/>
      <c r="H1191" s="36"/>
      <c r="I1191" s="171"/>
      <c r="J1191" s="38"/>
      <c r="K1191" s="28"/>
      <c r="L1191" s="28"/>
    </row>
    <row r="1192" spans="1:12" x14ac:dyDescent="0.25">
      <c r="A1192" s="35"/>
      <c r="B1192" s="36"/>
      <c r="C1192" s="37"/>
      <c r="D1192" s="36"/>
      <c r="E1192" s="36"/>
      <c r="F1192" s="37"/>
      <c r="G1192" s="36"/>
      <c r="H1192" s="36"/>
      <c r="I1192" s="171"/>
      <c r="J1192" s="38"/>
      <c r="K1192" s="28"/>
      <c r="L1192" s="28"/>
    </row>
    <row r="1193" spans="1:12" x14ac:dyDescent="0.25">
      <c r="A1193" s="35"/>
      <c r="B1193" s="36"/>
      <c r="C1193" s="37"/>
      <c r="D1193" s="36"/>
      <c r="E1193" s="36"/>
      <c r="F1193" s="37"/>
      <c r="G1193" s="36"/>
      <c r="H1193" s="36"/>
      <c r="I1193" s="171"/>
      <c r="J1193" s="38"/>
      <c r="K1193" s="28"/>
      <c r="L1193" s="28"/>
    </row>
    <row r="1194" spans="1:12" x14ac:dyDescent="0.25">
      <c r="A1194" s="35"/>
      <c r="B1194" s="36"/>
      <c r="C1194" s="37"/>
      <c r="D1194" s="36"/>
      <c r="E1194" s="36"/>
      <c r="F1194" s="37"/>
      <c r="G1194" s="36"/>
      <c r="H1194" s="36"/>
      <c r="I1194" s="171"/>
      <c r="J1194" s="38"/>
      <c r="K1194" s="28"/>
      <c r="L1194" s="28"/>
    </row>
    <row r="1195" spans="1:12" x14ac:dyDescent="0.25">
      <c r="A1195" s="35"/>
      <c r="B1195" s="36"/>
      <c r="C1195" s="37"/>
      <c r="D1195" s="36"/>
      <c r="E1195" s="36"/>
      <c r="F1195" s="37"/>
      <c r="G1195" s="36"/>
      <c r="H1195" s="36"/>
      <c r="I1195" s="171"/>
      <c r="J1195" s="38"/>
      <c r="K1195" s="28"/>
      <c r="L1195" s="28"/>
    </row>
    <row r="1196" spans="1:12" x14ac:dyDescent="0.25">
      <c r="A1196" s="35"/>
      <c r="B1196" s="36"/>
      <c r="C1196" s="37"/>
      <c r="D1196" s="36"/>
      <c r="E1196" s="36"/>
      <c r="F1196" s="37"/>
      <c r="G1196" s="36"/>
      <c r="H1196" s="36"/>
      <c r="I1196" s="171"/>
      <c r="J1196" s="38"/>
      <c r="K1196" s="28"/>
      <c r="L1196" s="28"/>
    </row>
    <row r="1197" spans="1:12" x14ac:dyDescent="0.25">
      <c r="A1197" s="35"/>
      <c r="B1197" s="36"/>
      <c r="C1197" s="37"/>
      <c r="D1197" s="36"/>
      <c r="E1197" s="36"/>
      <c r="F1197" s="37"/>
      <c r="G1197" s="36"/>
      <c r="H1197" s="36"/>
      <c r="I1197" s="171"/>
      <c r="J1197" s="38"/>
      <c r="K1197" s="28"/>
      <c r="L1197" s="28"/>
    </row>
    <row r="1198" spans="1:12" x14ac:dyDescent="0.25">
      <c r="A1198" s="35"/>
      <c r="B1198" s="36"/>
      <c r="C1198" s="37"/>
      <c r="D1198" s="36"/>
      <c r="E1198" s="36"/>
      <c r="F1198" s="37"/>
      <c r="G1198" s="36"/>
      <c r="H1198" s="36"/>
      <c r="I1198" s="171"/>
      <c r="J1198" s="38"/>
      <c r="K1198" s="28"/>
      <c r="L1198" s="28"/>
    </row>
    <row r="1199" spans="1:12" x14ac:dyDescent="0.25">
      <c r="A1199" s="35"/>
      <c r="B1199" s="36"/>
      <c r="C1199" s="37"/>
      <c r="D1199" s="36"/>
      <c r="E1199" s="36"/>
      <c r="F1199" s="37"/>
      <c r="G1199" s="36"/>
      <c r="H1199" s="36"/>
      <c r="I1199" s="171"/>
      <c r="J1199" s="38"/>
      <c r="K1199" s="28"/>
      <c r="L1199" s="28"/>
    </row>
    <row r="1200" spans="1:12" x14ac:dyDescent="0.25">
      <c r="A1200" s="35"/>
      <c r="B1200" s="36"/>
      <c r="C1200" s="37"/>
      <c r="D1200" s="36"/>
      <c r="E1200" s="36"/>
      <c r="F1200" s="37"/>
      <c r="G1200" s="36"/>
      <c r="H1200" s="36"/>
      <c r="I1200" s="171"/>
      <c r="J1200" s="38"/>
      <c r="K1200" s="28"/>
      <c r="L1200" s="28"/>
    </row>
    <row r="1201" spans="1:12" x14ac:dyDescent="0.25">
      <c r="A1201" s="35"/>
      <c r="B1201" s="36"/>
      <c r="C1201" s="37"/>
      <c r="D1201" s="36"/>
      <c r="E1201" s="36"/>
      <c r="F1201" s="37"/>
      <c r="G1201" s="36"/>
      <c r="H1201" s="36"/>
      <c r="I1201" s="171"/>
      <c r="J1201" s="38"/>
      <c r="K1201" s="28"/>
      <c r="L1201" s="28"/>
    </row>
    <row r="1202" spans="1:12" x14ac:dyDescent="0.25">
      <c r="A1202" s="35"/>
      <c r="B1202" s="36"/>
      <c r="C1202" s="37"/>
      <c r="D1202" s="36"/>
      <c r="E1202" s="36"/>
      <c r="F1202" s="37"/>
      <c r="G1202" s="36"/>
      <c r="H1202" s="36"/>
      <c r="I1202" s="171"/>
      <c r="J1202" s="38"/>
      <c r="K1202" s="28"/>
      <c r="L1202" s="28"/>
    </row>
    <row r="1203" spans="1:12" x14ac:dyDescent="0.25">
      <c r="A1203" s="35"/>
      <c r="B1203" s="36"/>
      <c r="C1203" s="37"/>
      <c r="D1203" s="36"/>
      <c r="E1203" s="36"/>
      <c r="F1203" s="37"/>
      <c r="G1203" s="36"/>
      <c r="H1203" s="36"/>
      <c r="I1203" s="171"/>
      <c r="J1203" s="38"/>
      <c r="K1203" s="28"/>
      <c r="L1203" s="28"/>
    </row>
    <row r="1204" spans="1:12" x14ac:dyDescent="0.25">
      <c r="A1204" s="35"/>
      <c r="B1204" s="36"/>
      <c r="C1204" s="37"/>
      <c r="D1204" s="36"/>
      <c r="E1204" s="36"/>
      <c r="F1204" s="37"/>
      <c r="G1204" s="36"/>
      <c r="H1204" s="36"/>
      <c r="I1204" s="171"/>
      <c r="J1204" s="38"/>
      <c r="K1204" s="28"/>
      <c r="L1204" s="28"/>
    </row>
    <row r="1205" spans="1:12" x14ac:dyDescent="0.25">
      <c r="A1205" s="35"/>
      <c r="B1205" s="36"/>
      <c r="C1205" s="37"/>
      <c r="D1205" s="36"/>
      <c r="E1205" s="36"/>
      <c r="F1205" s="37"/>
      <c r="G1205" s="36"/>
      <c r="H1205" s="36"/>
      <c r="I1205" s="171"/>
      <c r="J1205" s="38"/>
      <c r="K1205" s="28"/>
      <c r="L1205" s="28"/>
    </row>
    <row r="1206" spans="1:12" x14ac:dyDescent="0.25">
      <c r="A1206" s="35"/>
      <c r="B1206" s="36"/>
      <c r="C1206" s="37"/>
      <c r="D1206" s="36"/>
      <c r="E1206" s="36"/>
      <c r="F1206" s="37"/>
      <c r="G1206" s="36"/>
      <c r="H1206" s="36"/>
      <c r="I1206" s="171"/>
      <c r="J1206" s="38"/>
      <c r="K1206" s="28"/>
      <c r="L1206" s="28"/>
    </row>
    <row r="1207" spans="1:12" x14ac:dyDescent="0.25">
      <c r="A1207" s="35"/>
      <c r="B1207" s="36"/>
      <c r="C1207" s="37"/>
      <c r="D1207" s="36"/>
      <c r="E1207" s="36"/>
      <c r="F1207" s="37"/>
      <c r="G1207" s="36"/>
      <c r="H1207" s="36"/>
      <c r="I1207" s="171"/>
      <c r="J1207" s="38"/>
      <c r="K1207" s="28"/>
      <c r="L1207" s="28"/>
    </row>
    <row r="1208" spans="1:12" x14ac:dyDescent="0.25">
      <c r="A1208" s="35"/>
      <c r="B1208" s="36"/>
      <c r="C1208" s="37"/>
      <c r="D1208" s="36"/>
      <c r="E1208" s="36"/>
      <c r="F1208" s="37"/>
      <c r="G1208" s="36"/>
      <c r="H1208" s="36"/>
      <c r="I1208" s="171"/>
      <c r="J1208" s="38"/>
      <c r="K1208" s="28"/>
      <c r="L1208" s="28"/>
    </row>
    <row r="1209" spans="1:12" x14ac:dyDescent="0.25">
      <c r="A1209" s="35"/>
      <c r="B1209" s="36"/>
      <c r="C1209" s="37"/>
      <c r="D1209" s="36"/>
      <c r="E1209" s="36"/>
      <c r="F1209" s="37"/>
      <c r="G1209" s="36"/>
      <c r="H1209" s="36"/>
      <c r="I1209" s="171"/>
      <c r="J1209" s="38"/>
      <c r="K1209" s="28"/>
      <c r="L1209" s="28"/>
    </row>
    <row r="1210" spans="1:12" x14ac:dyDescent="0.25">
      <c r="A1210" s="35"/>
      <c r="B1210" s="36"/>
      <c r="C1210" s="37"/>
      <c r="D1210" s="36"/>
      <c r="E1210" s="36"/>
      <c r="F1210" s="37"/>
      <c r="G1210" s="36"/>
      <c r="H1210" s="36"/>
      <c r="I1210" s="171"/>
      <c r="J1210" s="38"/>
      <c r="K1210" s="28"/>
      <c r="L1210" s="28"/>
    </row>
    <row r="1211" spans="1:12" x14ac:dyDescent="0.25">
      <c r="A1211" s="35"/>
      <c r="B1211" s="36"/>
      <c r="C1211" s="37"/>
      <c r="D1211" s="36"/>
      <c r="E1211" s="36"/>
      <c r="F1211" s="37"/>
      <c r="G1211" s="36"/>
      <c r="H1211" s="36"/>
      <c r="I1211" s="171"/>
      <c r="J1211" s="38"/>
      <c r="K1211" s="28"/>
      <c r="L1211" s="28"/>
    </row>
    <row r="1212" spans="1:12" x14ac:dyDescent="0.25">
      <c r="A1212" s="35"/>
      <c r="B1212" s="36"/>
      <c r="C1212" s="37"/>
      <c r="D1212" s="36"/>
      <c r="E1212" s="36"/>
      <c r="F1212" s="37"/>
      <c r="G1212" s="36"/>
      <c r="H1212" s="36"/>
      <c r="I1212" s="171"/>
      <c r="J1212" s="38"/>
      <c r="K1212" s="28"/>
      <c r="L1212" s="28"/>
    </row>
    <row r="1213" spans="1:12" x14ac:dyDescent="0.25">
      <c r="A1213" s="35"/>
      <c r="B1213" s="36"/>
      <c r="C1213" s="37"/>
      <c r="D1213" s="36"/>
      <c r="E1213" s="36"/>
      <c r="F1213" s="37"/>
      <c r="G1213" s="36"/>
      <c r="H1213" s="36"/>
      <c r="I1213" s="171"/>
      <c r="J1213" s="38"/>
      <c r="K1213" s="28"/>
      <c r="L1213" s="28"/>
    </row>
    <row r="1214" spans="1:12" x14ac:dyDescent="0.25">
      <c r="A1214" s="35"/>
      <c r="B1214" s="36"/>
      <c r="C1214" s="37"/>
      <c r="D1214" s="36"/>
      <c r="E1214" s="36"/>
      <c r="F1214" s="37"/>
      <c r="G1214" s="36"/>
      <c r="H1214" s="36"/>
      <c r="I1214" s="171"/>
      <c r="J1214" s="38"/>
      <c r="K1214" s="28"/>
      <c r="L1214" s="28"/>
    </row>
    <row r="1215" spans="1:12" x14ac:dyDescent="0.25">
      <c r="A1215" s="35"/>
      <c r="B1215" s="36"/>
      <c r="C1215" s="37"/>
      <c r="D1215" s="36"/>
      <c r="E1215" s="36"/>
      <c r="F1215" s="37"/>
      <c r="G1215" s="36"/>
      <c r="H1215" s="36"/>
      <c r="I1215" s="171"/>
      <c r="J1215" s="38"/>
      <c r="K1215" s="28"/>
      <c r="L1215" s="28"/>
    </row>
    <row r="1216" spans="1:12" x14ac:dyDescent="0.25">
      <c r="A1216" s="35"/>
      <c r="B1216" s="36"/>
      <c r="C1216" s="37"/>
      <c r="D1216" s="36"/>
      <c r="E1216" s="36"/>
      <c r="F1216" s="37"/>
      <c r="G1216" s="36"/>
      <c r="H1216" s="36"/>
      <c r="I1216" s="171"/>
      <c r="J1216" s="38"/>
      <c r="K1216" s="28"/>
      <c r="L1216" s="28"/>
    </row>
    <row r="1217" spans="1:12" x14ac:dyDescent="0.25">
      <c r="A1217" s="35"/>
      <c r="B1217" s="36"/>
      <c r="C1217" s="37"/>
      <c r="D1217" s="36"/>
      <c r="E1217" s="36"/>
      <c r="F1217" s="37"/>
      <c r="G1217" s="36"/>
      <c r="H1217" s="36"/>
      <c r="I1217" s="171"/>
      <c r="J1217" s="38"/>
      <c r="K1217" s="28"/>
      <c r="L1217" s="28"/>
    </row>
    <row r="1218" spans="1:12" x14ac:dyDescent="0.25">
      <c r="A1218" s="35"/>
      <c r="B1218" s="36"/>
      <c r="C1218" s="37"/>
      <c r="D1218" s="36"/>
      <c r="E1218" s="36"/>
      <c r="F1218" s="37"/>
      <c r="G1218" s="36"/>
      <c r="H1218" s="36"/>
      <c r="I1218" s="171"/>
      <c r="J1218" s="38"/>
      <c r="K1218" s="28"/>
      <c r="L1218" s="28"/>
    </row>
    <row r="1219" spans="1:12" x14ac:dyDescent="0.25">
      <c r="A1219" s="35"/>
      <c r="B1219" s="36"/>
      <c r="C1219" s="37"/>
      <c r="D1219" s="36"/>
      <c r="E1219" s="36"/>
      <c r="F1219" s="37"/>
      <c r="G1219" s="36"/>
      <c r="H1219" s="36"/>
      <c r="I1219" s="171"/>
      <c r="J1219" s="38"/>
      <c r="K1219" s="28"/>
      <c r="L1219" s="28"/>
    </row>
    <row r="1220" spans="1:12" x14ac:dyDescent="0.25">
      <c r="A1220" s="35"/>
      <c r="B1220" s="36"/>
      <c r="C1220" s="37"/>
      <c r="D1220" s="36"/>
      <c r="E1220" s="36"/>
      <c r="F1220" s="37"/>
      <c r="G1220" s="36"/>
      <c r="H1220" s="36"/>
      <c r="I1220" s="171"/>
      <c r="J1220" s="38"/>
      <c r="K1220" s="28"/>
      <c r="L1220" s="28"/>
    </row>
    <row r="1221" spans="1:12" x14ac:dyDescent="0.25">
      <c r="A1221" s="35"/>
      <c r="B1221" s="36"/>
      <c r="C1221" s="37"/>
      <c r="D1221" s="36"/>
      <c r="E1221" s="36"/>
      <c r="F1221" s="37"/>
      <c r="G1221" s="36"/>
      <c r="H1221" s="36"/>
      <c r="I1221" s="171"/>
      <c r="J1221" s="38"/>
      <c r="K1221" s="28"/>
      <c r="L1221" s="28"/>
    </row>
    <row r="1222" spans="1:12" x14ac:dyDescent="0.25">
      <c r="A1222" s="35"/>
      <c r="B1222" s="36"/>
      <c r="C1222" s="37"/>
      <c r="D1222" s="36"/>
      <c r="E1222" s="36"/>
      <c r="F1222" s="37"/>
      <c r="G1222" s="36"/>
      <c r="H1222" s="36"/>
      <c r="I1222" s="171"/>
      <c r="J1222" s="38"/>
      <c r="K1222" s="28"/>
      <c r="L1222" s="28"/>
    </row>
    <row r="1223" spans="1:12" x14ac:dyDescent="0.25">
      <c r="A1223" s="35"/>
      <c r="B1223" s="36"/>
      <c r="C1223" s="37"/>
      <c r="D1223" s="36"/>
      <c r="E1223" s="36"/>
      <c r="F1223" s="37"/>
      <c r="G1223" s="36"/>
      <c r="H1223" s="36"/>
      <c r="I1223" s="171"/>
      <c r="J1223" s="38"/>
      <c r="K1223" s="28"/>
      <c r="L1223" s="28"/>
    </row>
    <row r="1224" spans="1:12" x14ac:dyDescent="0.25">
      <c r="A1224" s="35"/>
      <c r="B1224" s="36"/>
      <c r="C1224" s="37"/>
      <c r="D1224" s="36"/>
      <c r="E1224" s="36"/>
      <c r="F1224" s="37"/>
      <c r="G1224" s="36"/>
      <c r="H1224" s="36"/>
      <c r="I1224" s="171"/>
      <c r="J1224" s="38"/>
      <c r="K1224" s="28"/>
      <c r="L1224" s="28"/>
    </row>
    <row r="1225" spans="1:12" x14ac:dyDescent="0.25">
      <c r="A1225" s="35"/>
      <c r="B1225" s="36"/>
      <c r="C1225" s="37"/>
      <c r="D1225" s="36"/>
      <c r="E1225" s="36"/>
      <c r="F1225" s="37"/>
      <c r="G1225" s="36"/>
      <c r="H1225" s="36"/>
      <c r="I1225" s="171"/>
      <c r="J1225" s="38"/>
      <c r="K1225" s="28"/>
      <c r="L1225" s="28"/>
    </row>
    <row r="1226" spans="1:12" x14ac:dyDescent="0.25">
      <c r="A1226" s="35"/>
      <c r="B1226" s="36"/>
      <c r="C1226" s="37"/>
      <c r="D1226" s="36"/>
      <c r="E1226" s="36"/>
      <c r="F1226" s="37"/>
      <c r="G1226" s="36"/>
      <c r="H1226" s="36"/>
      <c r="I1226" s="171"/>
      <c r="J1226" s="38"/>
      <c r="K1226" s="28"/>
      <c r="L1226" s="28"/>
    </row>
    <row r="1227" spans="1:12" x14ac:dyDescent="0.25">
      <c r="A1227" s="35"/>
      <c r="B1227" s="36"/>
      <c r="C1227" s="37"/>
      <c r="D1227" s="36"/>
      <c r="E1227" s="36"/>
      <c r="F1227" s="37"/>
      <c r="G1227" s="36"/>
      <c r="H1227" s="36"/>
      <c r="I1227" s="171"/>
      <c r="J1227" s="38"/>
      <c r="K1227" s="28"/>
      <c r="L1227" s="28"/>
    </row>
    <row r="1228" spans="1:12" x14ac:dyDescent="0.25">
      <c r="A1228" s="35"/>
      <c r="B1228" s="36"/>
      <c r="C1228" s="37"/>
      <c r="D1228" s="36"/>
      <c r="E1228" s="36"/>
      <c r="F1228" s="37"/>
      <c r="G1228" s="36"/>
      <c r="H1228" s="36"/>
      <c r="I1228" s="171"/>
      <c r="J1228" s="38"/>
      <c r="K1228" s="28"/>
      <c r="L1228" s="28"/>
    </row>
    <row r="1229" spans="1:12" x14ac:dyDescent="0.25">
      <c r="A1229" s="35"/>
      <c r="B1229" s="36"/>
      <c r="C1229" s="37"/>
      <c r="D1229" s="36"/>
      <c r="E1229" s="36"/>
      <c r="F1229" s="37"/>
      <c r="G1229" s="36"/>
      <c r="H1229" s="36"/>
      <c r="I1229" s="171"/>
      <c r="J1229" s="38"/>
      <c r="K1229" s="28"/>
      <c r="L1229" s="28"/>
    </row>
    <row r="1230" spans="1:12" x14ac:dyDescent="0.25">
      <c r="A1230" s="35"/>
      <c r="B1230" s="36"/>
      <c r="C1230" s="37"/>
      <c r="D1230" s="36"/>
      <c r="E1230" s="36"/>
      <c r="F1230" s="37"/>
      <c r="G1230" s="36"/>
      <c r="H1230" s="36"/>
      <c r="I1230" s="171"/>
      <c r="J1230" s="38"/>
      <c r="K1230" s="28"/>
      <c r="L1230" s="28"/>
    </row>
    <row r="1231" spans="1:12" x14ac:dyDescent="0.25">
      <c r="A1231" s="35"/>
      <c r="B1231" s="36"/>
      <c r="C1231" s="37"/>
      <c r="D1231" s="36"/>
      <c r="E1231" s="36"/>
      <c r="F1231" s="37"/>
      <c r="G1231" s="36"/>
      <c r="H1231" s="36"/>
      <c r="I1231" s="171"/>
      <c r="J1231" s="38"/>
      <c r="K1231" s="28"/>
      <c r="L1231" s="28"/>
    </row>
    <row r="1232" spans="1:12" x14ac:dyDescent="0.25">
      <c r="A1232" s="35"/>
      <c r="B1232" s="36"/>
      <c r="C1232" s="37"/>
      <c r="D1232" s="36"/>
      <c r="E1232" s="36"/>
      <c r="F1232" s="37"/>
      <c r="G1232" s="36"/>
      <c r="H1232" s="36"/>
      <c r="I1232" s="171"/>
      <c r="J1232" s="38"/>
      <c r="K1232" s="28"/>
      <c r="L1232" s="28"/>
    </row>
    <row r="1233" spans="1:12" x14ac:dyDescent="0.25">
      <c r="A1233" s="35"/>
      <c r="B1233" s="36"/>
      <c r="C1233" s="37"/>
      <c r="D1233" s="36"/>
      <c r="E1233" s="36"/>
      <c r="F1233" s="37"/>
      <c r="G1233" s="36"/>
      <c r="H1233" s="36"/>
      <c r="I1233" s="171"/>
      <c r="J1233" s="38"/>
      <c r="K1233" s="28"/>
      <c r="L1233" s="28"/>
    </row>
    <row r="1234" spans="1:12" x14ac:dyDescent="0.25">
      <c r="A1234" s="35"/>
      <c r="B1234" s="36"/>
      <c r="C1234" s="37"/>
      <c r="D1234" s="36"/>
      <c r="E1234" s="36"/>
      <c r="F1234" s="37"/>
      <c r="G1234" s="36"/>
      <c r="H1234" s="36"/>
      <c r="I1234" s="171"/>
      <c r="J1234" s="38"/>
      <c r="K1234" s="28"/>
      <c r="L1234" s="28"/>
    </row>
    <row r="1235" spans="1:12" x14ac:dyDescent="0.25">
      <c r="A1235" s="35"/>
      <c r="B1235" s="36"/>
      <c r="C1235" s="37"/>
      <c r="D1235" s="36"/>
      <c r="E1235" s="36"/>
      <c r="F1235" s="37"/>
      <c r="G1235" s="36"/>
      <c r="H1235" s="36"/>
      <c r="I1235" s="171"/>
      <c r="J1235" s="38"/>
      <c r="K1235" s="28"/>
      <c r="L1235" s="28"/>
    </row>
    <row r="1236" spans="1:12" x14ac:dyDescent="0.25">
      <c r="A1236" s="35"/>
      <c r="B1236" s="36"/>
      <c r="C1236" s="37"/>
      <c r="D1236" s="36"/>
      <c r="E1236" s="36"/>
      <c r="F1236" s="37"/>
      <c r="G1236" s="36"/>
      <c r="H1236" s="36"/>
      <c r="I1236" s="171"/>
      <c r="J1236" s="38"/>
      <c r="K1236" s="28"/>
      <c r="L1236" s="28"/>
    </row>
    <row r="1237" spans="1:12" x14ac:dyDescent="0.25">
      <c r="A1237" s="35"/>
      <c r="B1237" s="36"/>
      <c r="C1237" s="37"/>
      <c r="D1237" s="36"/>
      <c r="E1237" s="36"/>
      <c r="F1237" s="37"/>
      <c r="G1237" s="36"/>
      <c r="H1237" s="36"/>
      <c r="I1237" s="171"/>
      <c r="J1237" s="38"/>
      <c r="K1237" s="28"/>
      <c r="L1237" s="28"/>
    </row>
    <row r="1238" spans="1:12" x14ac:dyDescent="0.25">
      <c r="A1238" s="35"/>
      <c r="B1238" s="36"/>
      <c r="C1238" s="37"/>
      <c r="D1238" s="36"/>
      <c r="E1238" s="36"/>
      <c r="F1238" s="37"/>
      <c r="G1238" s="36"/>
      <c r="H1238" s="36"/>
      <c r="I1238" s="171"/>
      <c r="J1238" s="38"/>
      <c r="K1238" s="28"/>
      <c r="L1238" s="28"/>
    </row>
    <row r="1239" spans="1:12" x14ac:dyDescent="0.25">
      <c r="A1239" s="35"/>
      <c r="B1239" s="36"/>
      <c r="C1239" s="37"/>
      <c r="D1239" s="36"/>
      <c r="E1239" s="36"/>
      <c r="F1239" s="37"/>
      <c r="G1239" s="36"/>
      <c r="H1239" s="36"/>
      <c r="I1239" s="171"/>
      <c r="J1239" s="38"/>
      <c r="K1239" s="28"/>
      <c r="L1239" s="28"/>
    </row>
    <row r="1240" spans="1:12" x14ac:dyDescent="0.25">
      <c r="A1240" s="35"/>
      <c r="B1240" s="36"/>
      <c r="C1240" s="37"/>
      <c r="D1240" s="36"/>
      <c r="E1240" s="36"/>
      <c r="F1240" s="37"/>
      <c r="G1240" s="36"/>
      <c r="H1240" s="36"/>
      <c r="I1240" s="171"/>
      <c r="J1240" s="38"/>
      <c r="K1240" s="28"/>
      <c r="L1240" s="28"/>
    </row>
    <row r="1241" spans="1:12" x14ac:dyDescent="0.25">
      <c r="A1241" s="35"/>
      <c r="B1241" s="36"/>
      <c r="C1241" s="37"/>
      <c r="D1241" s="36"/>
      <c r="E1241" s="36"/>
      <c r="F1241" s="37"/>
      <c r="G1241" s="36"/>
      <c r="H1241" s="36"/>
      <c r="I1241" s="171"/>
      <c r="J1241" s="38"/>
      <c r="K1241" s="28"/>
      <c r="L1241" s="28"/>
    </row>
    <row r="1242" spans="1:12" x14ac:dyDescent="0.25">
      <c r="A1242" s="35"/>
      <c r="B1242" s="36"/>
      <c r="C1242" s="37"/>
      <c r="D1242" s="36"/>
      <c r="E1242" s="36"/>
      <c r="F1242" s="37"/>
      <c r="G1242" s="36"/>
      <c r="H1242" s="36"/>
      <c r="I1242" s="171"/>
      <c r="J1242" s="38"/>
      <c r="K1242" s="28"/>
      <c r="L1242" s="28"/>
    </row>
    <row r="1243" spans="1:12" x14ac:dyDescent="0.25">
      <c r="A1243" s="35"/>
      <c r="B1243" s="36"/>
      <c r="C1243" s="37"/>
      <c r="D1243" s="36"/>
      <c r="E1243" s="36"/>
      <c r="F1243" s="37"/>
      <c r="G1243" s="36"/>
      <c r="H1243" s="36"/>
      <c r="I1243" s="171"/>
      <c r="J1243" s="38"/>
      <c r="K1243" s="28"/>
      <c r="L1243" s="28"/>
    </row>
    <row r="1244" spans="1:12" x14ac:dyDescent="0.25">
      <c r="A1244" s="35"/>
      <c r="B1244" s="36"/>
      <c r="C1244" s="37"/>
      <c r="D1244" s="36"/>
      <c r="E1244" s="36"/>
      <c r="F1244" s="37"/>
      <c r="G1244" s="36"/>
      <c r="H1244" s="36"/>
      <c r="I1244" s="171"/>
      <c r="J1244" s="38"/>
      <c r="K1244" s="28"/>
      <c r="L1244" s="28"/>
    </row>
    <row r="1245" spans="1:12" x14ac:dyDescent="0.25">
      <c r="A1245" s="35"/>
      <c r="B1245" s="36"/>
      <c r="C1245" s="37"/>
      <c r="D1245" s="36"/>
      <c r="E1245" s="36"/>
      <c r="F1245" s="37"/>
      <c r="G1245" s="36"/>
      <c r="H1245" s="36"/>
      <c r="I1245" s="171"/>
      <c r="J1245" s="38"/>
      <c r="K1245" s="28"/>
      <c r="L1245" s="28"/>
    </row>
    <row r="1246" spans="1:12" x14ac:dyDescent="0.25">
      <c r="A1246" s="35"/>
      <c r="B1246" s="36"/>
      <c r="C1246" s="37"/>
      <c r="D1246" s="36"/>
      <c r="E1246" s="36"/>
      <c r="F1246" s="37"/>
      <c r="G1246" s="36"/>
      <c r="H1246" s="36"/>
      <c r="I1246" s="171"/>
      <c r="J1246" s="38"/>
      <c r="K1246" s="28"/>
      <c r="L1246" s="28"/>
    </row>
    <row r="1247" spans="1:12" x14ac:dyDescent="0.25">
      <c r="A1247" s="35"/>
      <c r="B1247" s="36"/>
      <c r="C1247" s="37"/>
      <c r="D1247" s="36"/>
      <c r="E1247" s="36"/>
      <c r="F1247" s="37"/>
      <c r="G1247" s="36"/>
      <c r="H1247" s="36"/>
      <c r="I1247" s="171"/>
      <c r="J1247" s="38"/>
      <c r="K1247" s="28"/>
      <c r="L1247" s="28"/>
    </row>
    <row r="1248" spans="1:12" x14ac:dyDescent="0.25">
      <c r="A1248" s="35"/>
      <c r="B1248" s="36"/>
      <c r="C1248" s="37"/>
      <c r="D1248" s="36"/>
      <c r="E1248" s="36"/>
      <c r="F1248" s="37"/>
      <c r="G1248" s="36"/>
      <c r="H1248" s="36"/>
      <c r="I1248" s="171"/>
      <c r="J1248" s="38"/>
      <c r="K1248" s="28"/>
      <c r="L1248" s="28"/>
    </row>
    <row r="1249" spans="1:12" x14ac:dyDescent="0.25">
      <c r="A1249" s="35"/>
      <c r="B1249" s="36"/>
      <c r="C1249" s="37"/>
      <c r="D1249" s="36"/>
      <c r="E1249" s="36"/>
      <c r="F1249" s="37"/>
      <c r="G1249" s="36"/>
      <c r="H1249" s="36"/>
      <c r="I1249" s="171"/>
      <c r="J1249" s="38"/>
      <c r="K1249" s="28"/>
      <c r="L1249" s="28"/>
    </row>
    <row r="1250" spans="1:12" x14ac:dyDescent="0.25">
      <c r="A1250" s="35"/>
      <c r="B1250" s="36"/>
      <c r="C1250" s="37"/>
      <c r="D1250" s="36"/>
      <c r="E1250" s="36"/>
      <c r="F1250" s="37"/>
      <c r="G1250" s="36"/>
      <c r="H1250" s="36"/>
      <c r="I1250" s="171"/>
      <c r="J1250" s="38"/>
      <c r="K1250" s="28"/>
      <c r="L1250" s="28"/>
    </row>
    <row r="1251" spans="1:12" x14ac:dyDescent="0.25">
      <c r="A1251" s="35"/>
      <c r="B1251" s="36"/>
      <c r="C1251" s="37"/>
      <c r="D1251" s="36"/>
      <c r="E1251" s="36"/>
      <c r="F1251" s="37"/>
      <c r="G1251" s="36"/>
      <c r="H1251" s="36"/>
      <c r="I1251" s="171"/>
      <c r="J1251" s="38"/>
      <c r="K1251" s="28"/>
      <c r="L1251" s="28"/>
    </row>
    <row r="1252" spans="1:12" x14ac:dyDescent="0.25">
      <c r="A1252" s="35"/>
      <c r="B1252" s="36"/>
      <c r="C1252" s="37"/>
      <c r="D1252" s="36"/>
      <c r="E1252" s="36"/>
      <c r="F1252" s="37"/>
      <c r="G1252" s="36"/>
      <c r="H1252" s="36"/>
      <c r="I1252" s="171"/>
      <c r="J1252" s="38"/>
      <c r="K1252" s="28"/>
      <c r="L1252" s="28"/>
    </row>
    <row r="1253" spans="1:12" x14ac:dyDescent="0.25">
      <c r="A1253" s="35"/>
      <c r="B1253" s="36"/>
      <c r="C1253" s="37"/>
      <c r="D1253" s="36"/>
      <c r="E1253" s="36"/>
      <c r="F1253" s="37"/>
      <c r="G1253" s="36"/>
      <c r="H1253" s="36"/>
      <c r="I1253" s="171"/>
      <c r="J1253" s="38"/>
      <c r="K1253" s="28"/>
      <c r="L1253" s="28"/>
    </row>
    <row r="1254" spans="1:12" x14ac:dyDescent="0.25">
      <c r="A1254" s="35"/>
      <c r="B1254" s="36"/>
      <c r="C1254" s="37"/>
      <c r="D1254" s="36"/>
      <c r="E1254" s="36"/>
      <c r="F1254" s="37"/>
      <c r="G1254" s="36"/>
      <c r="H1254" s="36"/>
      <c r="I1254" s="171"/>
      <c r="J1254" s="38"/>
      <c r="K1254" s="28"/>
      <c r="L1254" s="28"/>
    </row>
    <row r="1255" spans="1:12" x14ac:dyDescent="0.25">
      <c r="A1255" s="35"/>
      <c r="B1255" s="36"/>
      <c r="C1255" s="37"/>
      <c r="D1255" s="36"/>
      <c r="E1255" s="36"/>
      <c r="F1255" s="37"/>
      <c r="G1255" s="36"/>
      <c r="H1255" s="36"/>
      <c r="I1255" s="171"/>
      <c r="J1255" s="38"/>
      <c r="K1255" s="28"/>
      <c r="L1255" s="28"/>
    </row>
    <row r="1256" spans="1:12" x14ac:dyDescent="0.25">
      <c r="A1256" s="35"/>
      <c r="B1256" s="36"/>
      <c r="C1256" s="37"/>
      <c r="D1256" s="36"/>
      <c r="E1256" s="36"/>
      <c r="F1256" s="37"/>
      <c r="G1256" s="36"/>
      <c r="H1256" s="36"/>
      <c r="I1256" s="171"/>
      <c r="J1256" s="38"/>
      <c r="K1256" s="28"/>
      <c r="L1256" s="28"/>
    </row>
    <row r="1257" spans="1:12" x14ac:dyDescent="0.25">
      <c r="A1257" s="35"/>
      <c r="B1257" s="36"/>
      <c r="C1257" s="37"/>
      <c r="D1257" s="36"/>
      <c r="E1257" s="36"/>
      <c r="F1257" s="37"/>
      <c r="G1257" s="36"/>
      <c r="H1257" s="36"/>
      <c r="I1257" s="171"/>
      <c r="J1257" s="38"/>
      <c r="K1257" s="28"/>
      <c r="L1257" s="28"/>
    </row>
    <row r="1258" spans="1:12" x14ac:dyDescent="0.25">
      <c r="A1258" s="35"/>
      <c r="B1258" s="36"/>
      <c r="C1258" s="37"/>
      <c r="D1258" s="36"/>
      <c r="E1258" s="36"/>
      <c r="F1258" s="37"/>
      <c r="G1258" s="36"/>
      <c r="H1258" s="36"/>
      <c r="I1258" s="171"/>
      <c r="J1258" s="38"/>
      <c r="K1258" s="28"/>
      <c r="L1258" s="28"/>
    </row>
    <row r="1259" spans="1:12" x14ac:dyDescent="0.25">
      <c r="A1259" s="35"/>
      <c r="B1259" s="36"/>
      <c r="C1259" s="37"/>
      <c r="D1259" s="36"/>
      <c r="E1259" s="36"/>
      <c r="F1259" s="37"/>
      <c r="G1259" s="36"/>
      <c r="H1259" s="36"/>
      <c r="I1259" s="171"/>
      <c r="J1259" s="38"/>
      <c r="K1259" s="28"/>
      <c r="L1259" s="28"/>
    </row>
    <row r="1260" spans="1:12" x14ac:dyDescent="0.25">
      <c r="A1260" s="35"/>
      <c r="B1260" s="36"/>
      <c r="C1260" s="37"/>
      <c r="D1260" s="36"/>
      <c r="E1260" s="36"/>
      <c r="F1260" s="37"/>
      <c r="G1260" s="36"/>
      <c r="H1260" s="36"/>
      <c r="I1260" s="171"/>
      <c r="J1260" s="38"/>
      <c r="K1260" s="28"/>
      <c r="L1260" s="28"/>
    </row>
    <row r="1261" spans="1:12" x14ac:dyDescent="0.25">
      <c r="A1261" s="35"/>
      <c r="B1261" s="36"/>
      <c r="C1261" s="37"/>
      <c r="D1261" s="36"/>
      <c r="E1261" s="36"/>
      <c r="F1261" s="37"/>
      <c r="G1261" s="36"/>
      <c r="H1261" s="36"/>
      <c r="I1261" s="171"/>
      <c r="J1261" s="38"/>
      <c r="K1261" s="28"/>
      <c r="L1261" s="28"/>
    </row>
    <row r="1262" spans="1:12" x14ac:dyDescent="0.25">
      <c r="A1262" s="35"/>
      <c r="B1262" s="36"/>
      <c r="C1262" s="37"/>
      <c r="D1262" s="36"/>
      <c r="E1262" s="36"/>
      <c r="F1262" s="37"/>
      <c r="G1262" s="36"/>
      <c r="H1262" s="36"/>
      <c r="I1262" s="171"/>
      <c r="J1262" s="38"/>
      <c r="K1262" s="28"/>
      <c r="L1262" s="28"/>
    </row>
    <row r="1263" spans="1:12" x14ac:dyDescent="0.25">
      <c r="A1263" s="35"/>
      <c r="B1263" s="36"/>
      <c r="C1263" s="37"/>
      <c r="D1263" s="36"/>
      <c r="E1263" s="36"/>
      <c r="F1263" s="37"/>
      <c r="G1263" s="36"/>
      <c r="H1263" s="36"/>
      <c r="I1263" s="171"/>
      <c r="J1263" s="38"/>
      <c r="K1263" s="28"/>
      <c r="L1263" s="28"/>
    </row>
    <row r="1264" spans="1:12" x14ac:dyDescent="0.25">
      <c r="A1264" s="35"/>
      <c r="B1264" s="36"/>
      <c r="C1264" s="37"/>
      <c r="D1264" s="36"/>
      <c r="E1264" s="36"/>
      <c r="F1264" s="37"/>
      <c r="G1264" s="36"/>
      <c r="H1264" s="36"/>
      <c r="I1264" s="171"/>
      <c r="J1264" s="38"/>
      <c r="K1264" s="28"/>
      <c r="L1264" s="28"/>
    </row>
    <row r="1265" spans="1:12" x14ac:dyDescent="0.25">
      <c r="A1265" s="35"/>
      <c r="B1265" s="36"/>
      <c r="C1265" s="37"/>
      <c r="D1265" s="36"/>
      <c r="E1265" s="36"/>
      <c r="F1265" s="37"/>
      <c r="G1265" s="36"/>
      <c r="H1265" s="36"/>
      <c r="I1265" s="171"/>
      <c r="J1265" s="38"/>
      <c r="K1265" s="28"/>
      <c r="L1265" s="28"/>
    </row>
    <row r="1266" spans="1:12" x14ac:dyDescent="0.25">
      <c r="A1266" s="35"/>
      <c r="B1266" s="36"/>
      <c r="C1266" s="37"/>
      <c r="D1266" s="36"/>
      <c r="E1266" s="36"/>
      <c r="F1266" s="37"/>
      <c r="G1266" s="36"/>
      <c r="H1266" s="36"/>
      <c r="I1266" s="171"/>
      <c r="J1266" s="38"/>
      <c r="K1266" s="28"/>
      <c r="L1266" s="28"/>
    </row>
    <row r="1267" spans="1:12" x14ac:dyDescent="0.25">
      <c r="A1267" s="35"/>
      <c r="B1267" s="36"/>
      <c r="C1267" s="37"/>
      <c r="D1267" s="36"/>
      <c r="E1267" s="36"/>
      <c r="F1267" s="37"/>
      <c r="G1267" s="36"/>
      <c r="H1267" s="36"/>
      <c r="I1267" s="171"/>
      <c r="J1267" s="38"/>
      <c r="K1267" s="28"/>
      <c r="L1267" s="28"/>
    </row>
    <row r="1268" spans="1:12" x14ac:dyDescent="0.25">
      <c r="A1268" s="35"/>
      <c r="B1268" s="36"/>
      <c r="C1268" s="37"/>
      <c r="D1268" s="36"/>
      <c r="E1268" s="36"/>
      <c r="F1268" s="37"/>
      <c r="G1268" s="36"/>
      <c r="H1268" s="36"/>
      <c r="I1268" s="171"/>
      <c r="J1268" s="38"/>
      <c r="K1268" s="28"/>
      <c r="L1268" s="28"/>
    </row>
    <row r="1269" spans="1:12" x14ac:dyDescent="0.25">
      <c r="A1269" s="35"/>
      <c r="B1269" s="36"/>
      <c r="C1269" s="37"/>
      <c r="D1269" s="36"/>
      <c r="E1269" s="36"/>
      <c r="F1269" s="37"/>
      <c r="G1269" s="36"/>
      <c r="H1269" s="36"/>
      <c r="I1269" s="171"/>
      <c r="J1269" s="38"/>
      <c r="K1269" s="28"/>
      <c r="L1269" s="28"/>
    </row>
    <row r="1270" spans="1:12" x14ac:dyDescent="0.25">
      <c r="A1270" s="35"/>
      <c r="B1270" s="36"/>
      <c r="C1270" s="37"/>
      <c r="D1270" s="36"/>
      <c r="E1270" s="36"/>
      <c r="F1270" s="37"/>
      <c r="G1270" s="36"/>
      <c r="H1270" s="36"/>
      <c r="I1270" s="171"/>
      <c r="J1270" s="38"/>
      <c r="K1270" s="28"/>
      <c r="L1270" s="28"/>
    </row>
    <row r="1271" spans="1:12" x14ac:dyDescent="0.25">
      <c r="A1271" s="35"/>
      <c r="B1271" s="36"/>
      <c r="C1271" s="37"/>
      <c r="D1271" s="36"/>
      <c r="E1271" s="36"/>
      <c r="F1271" s="37"/>
      <c r="G1271" s="36"/>
      <c r="H1271" s="36"/>
      <c r="I1271" s="171"/>
      <c r="J1271" s="38"/>
      <c r="K1271" s="28"/>
      <c r="L1271" s="28"/>
    </row>
    <row r="1272" spans="1:12" x14ac:dyDescent="0.25">
      <c r="A1272" s="35"/>
      <c r="B1272" s="36"/>
      <c r="C1272" s="37"/>
      <c r="D1272" s="36"/>
      <c r="E1272" s="36"/>
      <c r="F1272" s="37"/>
      <c r="G1272" s="36"/>
      <c r="H1272" s="36"/>
      <c r="I1272" s="171"/>
      <c r="J1272" s="38"/>
      <c r="K1272" s="28"/>
      <c r="L1272" s="28"/>
    </row>
    <row r="1273" spans="1:12" x14ac:dyDescent="0.25">
      <c r="A1273" s="35"/>
      <c r="B1273" s="36"/>
      <c r="C1273" s="37"/>
      <c r="D1273" s="36"/>
      <c r="E1273" s="36"/>
      <c r="F1273" s="37"/>
      <c r="G1273" s="36"/>
      <c r="H1273" s="36"/>
      <c r="I1273" s="171"/>
      <c r="J1273" s="38"/>
      <c r="K1273" s="28"/>
      <c r="L1273" s="28"/>
    </row>
    <row r="1274" spans="1:12" x14ac:dyDescent="0.25">
      <c r="A1274" s="35"/>
      <c r="B1274" s="36"/>
      <c r="C1274" s="37"/>
      <c r="D1274" s="36"/>
      <c r="E1274" s="36"/>
      <c r="F1274" s="37"/>
      <c r="G1274" s="36"/>
      <c r="H1274" s="36"/>
      <c r="I1274" s="171"/>
      <c r="J1274" s="38"/>
      <c r="K1274" s="28"/>
      <c r="L1274" s="28"/>
    </row>
    <row r="1275" spans="1:12" x14ac:dyDescent="0.25">
      <c r="A1275" s="35"/>
      <c r="B1275" s="36"/>
      <c r="C1275" s="37"/>
      <c r="D1275" s="36"/>
      <c r="E1275" s="36"/>
      <c r="F1275" s="37"/>
      <c r="G1275" s="36"/>
      <c r="H1275" s="36"/>
      <c r="I1275" s="171"/>
      <c r="J1275" s="38"/>
      <c r="K1275" s="28"/>
      <c r="L1275" s="28"/>
    </row>
    <row r="1276" spans="1:12" x14ac:dyDescent="0.25">
      <c r="A1276" s="35"/>
      <c r="B1276" s="36"/>
      <c r="C1276" s="37"/>
      <c r="D1276" s="36"/>
      <c r="E1276" s="36"/>
      <c r="F1276" s="37"/>
      <c r="G1276" s="36"/>
      <c r="H1276" s="36"/>
      <c r="I1276" s="171"/>
      <c r="J1276" s="38"/>
      <c r="K1276" s="28"/>
      <c r="L1276" s="28"/>
    </row>
    <row r="1277" spans="1:12" x14ac:dyDescent="0.25">
      <c r="A1277" s="35"/>
      <c r="B1277" s="36"/>
      <c r="C1277" s="37"/>
      <c r="D1277" s="36"/>
      <c r="E1277" s="36"/>
      <c r="F1277" s="37"/>
      <c r="G1277" s="36"/>
      <c r="H1277" s="36"/>
      <c r="I1277" s="171"/>
      <c r="J1277" s="38"/>
      <c r="K1277" s="28"/>
      <c r="L1277" s="28"/>
    </row>
    <row r="1278" spans="1:12" x14ac:dyDescent="0.25">
      <c r="A1278" s="35"/>
      <c r="B1278" s="36"/>
      <c r="C1278" s="37"/>
      <c r="D1278" s="36"/>
      <c r="E1278" s="36"/>
      <c r="F1278" s="37"/>
      <c r="G1278" s="36"/>
      <c r="H1278" s="36"/>
      <c r="I1278" s="171"/>
      <c r="J1278" s="38"/>
      <c r="K1278" s="28"/>
      <c r="L1278" s="28"/>
    </row>
    <row r="1279" spans="1:12" x14ac:dyDescent="0.25">
      <c r="A1279" s="35"/>
      <c r="B1279" s="36"/>
      <c r="C1279" s="37"/>
      <c r="D1279" s="36"/>
      <c r="E1279" s="36"/>
      <c r="F1279" s="37"/>
      <c r="G1279" s="36"/>
      <c r="H1279" s="36"/>
      <c r="I1279" s="171"/>
      <c r="J1279" s="38"/>
      <c r="K1279" s="28"/>
      <c r="L1279" s="28"/>
    </row>
    <row r="1280" spans="1:12" x14ac:dyDescent="0.25">
      <c r="A1280" s="35"/>
      <c r="B1280" s="36"/>
      <c r="C1280" s="37"/>
      <c r="D1280" s="36"/>
      <c r="E1280" s="36"/>
      <c r="F1280" s="37"/>
      <c r="G1280" s="36"/>
      <c r="H1280" s="36"/>
      <c r="I1280" s="171"/>
      <c r="J1280" s="38"/>
      <c r="K1280" s="28"/>
      <c r="L1280" s="28"/>
    </row>
    <row r="1281" spans="1:12" x14ac:dyDescent="0.25">
      <c r="A1281" s="35"/>
      <c r="B1281" s="36"/>
      <c r="C1281" s="37"/>
      <c r="D1281" s="36"/>
      <c r="E1281" s="36"/>
      <c r="F1281" s="37"/>
      <c r="G1281" s="36"/>
      <c r="H1281" s="36"/>
      <c r="I1281" s="171"/>
      <c r="J1281" s="38"/>
      <c r="K1281" s="28"/>
      <c r="L1281" s="28"/>
    </row>
    <row r="1282" spans="1:12" x14ac:dyDescent="0.25">
      <c r="A1282" s="35"/>
      <c r="B1282" s="36"/>
      <c r="C1282" s="37"/>
      <c r="D1282" s="36"/>
      <c r="E1282" s="36"/>
      <c r="F1282" s="37"/>
      <c r="G1282" s="36"/>
      <c r="H1282" s="36"/>
      <c r="I1282" s="171"/>
      <c r="J1282" s="38"/>
      <c r="K1282" s="28"/>
      <c r="L1282" s="28"/>
    </row>
    <row r="1283" spans="1:12" x14ac:dyDescent="0.25">
      <c r="A1283" s="35"/>
      <c r="B1283" s="36"/>
      <c r="C1283" s="37"/>
      <c r="D1283" s="36"/>
      <c r="E1283" s="36"/>
      <c r="F1283" s="37"/>
      <c r="G1283" s="36"/>
      <c r="H1283" s="36"/>
      <c r="I1283" s="171"/>
      <c r="J1283" s="38"/>
      <c r="K1283" s="28"/>
      <c r="L1283" s="28"/>
    </row>
    <row r="1284" spans="1:12" x14ac:dyDescent="0.25">
      <c r="A1284" s="35"/>
      <c r="B1284" s="36"/>
      <c r="C1284" s="37"/>
      <c r="D1284" s="36"/>
      <c r="E1284" s="36"/>
      <c r="F1284" s="37"/>
      <c r="G1284" s="36"/>
      <c r="H1284" s="36"/>
      <c r="I1284" s="171"/>
      <c r="J1284" s="38"/>
      <c r="K1284" s="28"/>
      <c r="L1284" s="28"/>
    </row>
    <row r="1285" spans="1:12" x14ac:dyDescent="0.25">
      <c r="A1285" s="35"/>
      <c r="B1285" s="36"/>
      <c r="C1285" s="37"/>
      <c r="D1285" s="36"/>
      <c r="E1285" s="36"/>
      <c r="F1285" s="37"/>
      <c r="G1285" s="36"/>
      <c r="H1285" s="36"/>
      <c r="I1285" s="171"/>
      <c r="J1285" s="38"/>
      <c r="K1285" s="28"/>
      <c r="L1285" s="28"/>
    </row>
    <row r="1286" spans="1:12" x14ac:dyDescent="0.25">
      <c r="A1286" s="35"/>
      <c r="B1286" s="36"/>
      <c r="C1286" s="37"/>
      <c r="D1286" s="36"/>
      <c r="E1286" s="36"/>
      <c r="F1286" s="37"/>
      <c r="G1286" s="36"/>
      <c r="H1286" s="36"/>
      <c r="I1286" s="171"/>
      <c r="J1286" s="38"/>
      <c r="K1286" s="28"/>
      <c r="L1286" s="28"/>
    </row>
    <row r="1287" spans="1:12" x14ac:dyDescent="0.25">
      <c r="A1287" s="35"/>
      <c r="B1287" s="36"/>
      <c r="C1287" s="37"/>
      <c r="D1287" s="36"/>
      <c r="E1287" s="36"/>
      <c r="F1287" s="37"/>
      <c r="G1287" s="36"/>
      <c r="H1287" s="36"/>
      <c r="I1287" s="171"/>
      <c r="J1287" s="38"/>
      <c r="K1287" s="28"/>
      <c r="L1287" s="28"/>
    </row>
    <row r="1288" spans="1:12" x14ac:dyDescent="0.25">
      <c r="A1288" s="35"/>
      <c r="B1288" s="36"/>
      <c r="C1288" s="37"/>
      <c r="D1288" s="36"/>
      <c r="E1288" s="36"/>
      <c r="F1288" s="37"/>
      <c r="G1288" s="36"/>
      <c r="H1288" s="36"/>
      <c r="I1288" s="171"/>
      <c r="J1288" s="38"/>
      <c r="K1288" s="28"/>
      <c r="L1288" s="28"/>
    </row>
    <row r="1289" spans="1:12" x14ac:dyDescent="0.25">
      <c r="A1289" s="35"/>
      <c r="B1289" s="36"/>
      <c r="C1289" s="37"/>
      <c r="D1289" s="36"/>
      <c r="E1289" s="36"/>
      <c r="F1289" s="37"/>
      <c r="G1289" s="36"/>
      <c r="H1289" s="36"/>
      <c r="I1289" s="171"/>
      <c r="J1289" s="38"/>
      <c r="K1289" s="28"/>
      <c r="L1289" s="28"/>
    </row>
    <row r="1290" spans="1:12" x14ac:dyDescent="0.25">
      <c r="A1290" s="35"/>
      <c r="B1290" s="36"/>
      <c r="C1290" s="37"/>
      <c r="D1290" s="36"/>
      <c r="E1290" s="36"/>
      <c r="F1290" s="37"/>
      <c r="G1290" s="36"/>
      <c r="H1290" s="36"/>
      <c r="I1290" s="171"/>
      <c r="J1290" s="38"/>
      <c r="K1290" s="28"/>
      <c r="L1290" s="28"/>
    </row>
    <row r="1291" spans="1:12" x14ac:dyDescent="0.25">
      <c r="A1291" s="35"/>
      <c r="B1291" s="36"/>
      <c r="C1291" s="37"/>
      <c r="D1291" s="36"/>
      <c r="E1291" s="36"/>
      <c r="F1291" s="37"/>
      <c r="G1291" s="36"/>
      <c r="H1291" s="36"/>
      <c r="I1291" s="171"/>
      <c r="J1291" s="38"/>
      <c r="K1291" s="28"/>
      <c r="L1291" s="28"/>
    </row>
    <row r="1292" spans="1:12" x14ac:dyDescent="0.25">
      <c r="A1292" s="35"/>
      <c r="B1292" s="36"/>
      <c r="C1292" s="37"/>
      <c r="D1292" s="36"/>
      <c r="E1292" s="36"/>
      <c r="F1292" s="37"/>
      <c r="G1292" s="36"/>
      <c r="H1292" s="36"/>
      <c r="I1292" s="171"/>
      <c r="J1292" s="38"/>
      <c r="K1292" s="28"/>
      <c r="L1292" s="28"/>
    </row>
    <row r="1293" spans="1:12" x14ac:dyDescent="0.25">
      <c r="A1293" s="35"/>
      <c r="B1293" s="36"/>
      <c r="C1293" s="37"/>
      <c r="D1293" s="36"/>
      <c r="E1293" s="36"/>
      <c r="F1293" s="37"/>
      <c r="G1293" s="36"/>
      <c r="H1293" s="36"/>
      <c r="I1293" s="171"/>
      <c r="J1293" s="38"/>
      <c r="K1293" s="28"/>
      <c r="L1293" s="28"/>
    </row>
    <row r="1294" spans="1:12" x14ac:dyDescent="0.25">
      <c r="A1294" s="35"/>
      <c r="B1294" s="36"/>
      <c r="C1294" s="37"/>
      <c r="D1294" s="36"/>
      <c r="E1294" s="36"/>
      <c r="F1294" s="37"/>
      <c r="G1294" s="36"/>
      <c r="H1294" s="36"/>
      <c r="I1294" s="171"/>
      <c r="J1294" s="38"/>
      <c r="K1294" s="28"/>
      <c r="L1294" s="28"/>
    </row>
    <row r="1295" spans="1:12" x14ac:dyDescent="0.25">
      <c r="A1295" s="35"/>
      <c r="B1295" s="36"/>
      <c r="C1295" s="37"/>
      <c r="D1295" s="36"/>
      <c r="E1295" s="36"/>
      <c r="F1295" s="37"/>
      <c r="G1295" s="36"/>
      <c r="H1295" s="36"/>
      <c r="I1295" s="171"/>
      <c r="J1295" s="38"/>
      <c r="K1295" s="28"/>
      <c r="L1295" s="28"/>
    </row>
    <row r="1296" spans="1:12" x14ac:dyDescent="0.25">
      <c r="A1296" s="35"/>
      <c r="B1296" s="36"/>
      <c r="C1296" s="37"/>
      <c r="D1296" s="36"/>
      <c r="E1296" s="36"/>
      <c r="F1296" s="37"/>
      <c r="G1296" s="36"/>
      <c r="H1296" s="36"/>
      <c r="I1296" s="171"/>
      <c r="J1296" s="38"/>
      <c r="K1296" s="28"/>
      <c r="L1296" s="28"/>
    </row>
    <row r="1297" spans="1:12" x14ac:dyDescent="0.25">
      <c r="A1297" s="35"/>
      <c r="B1297" s="36"/>
      <c r="C1297" s="37"/>
      <c r="D1297" s="36"/>
      <c r="E1297" s="36"/>
      <c r="F1297" s="37"/>
      <c r="G1297" s="36"/>
      <c r="H1297" s="36"/>
      <c r="I1297" s="171"/>
      <c r="J1297" s="38"/>
      <c r="K1297" s="28"/>
      <c r="L1297" s="28"/>
    </row>
    <row r="1298" spans="1:12" x14ac:dyDescent="0.25">
      <c r="A1298" s="35"/>
      <c r="B1298" s="36"/>
      <c r="C1298" s="37"/>
      <c r="D1298" s="36"/>
      <c r="E1298" s="36"/>
      <c r="F1298" s="37"/>
      <c r="G1298" s="36"/>
      <c r="H1298" s="36"/>
      <c r="I1298" s="171"/>
      <c r="J1298" s="38"/>
      <c r="K1298" s="28"/>
      <c r="L1298" s="28"/>
    </row>
    <row r="1299" spans="1:12" x14ac:dyDescent="0.25">
      <c r="A1299" s="35"/>
      <c r="B1299" s="36"/>
      <c r="C1299" s="37"/>
      <c r="D1299" s="36"/>
      <c r="E1299" s="36"/>
      <c r="F1299" s="37"/>
      <c r="G1299" s="36"/>
      <c r="H1299" s="36"/>
      <c r="I1299" s="171"/>
      <c r="J1299" s="38"/>
      <c r="K1299" s="28"/>
      <c r="L1299" s="28"/>
    </row>
    <row r="1300" spans="1:12" x14ac:dyDescent="0.25">
      <c r="A1300" s="35"/>
      <c r="B1300" s="36"/>
      <c r="C1300" s="37"/>
      <c r="D1300" s="36"/>
      <c r="E1300" s="36"/>
      <c r="F1300" s="37"/>
      <c r="G1300" s="36"/>
      <c r="H1300" s="36"/>
      <c r="I1300" s="171"/>
      <c r="J1300" s="38"/>
      <c r="K1300" s="28"/>
      <c r="L1300" s="28"/>
    </row>
    <row r="1301" spans="1:12" x14ac:dyDescent="0.25">
      <c r="A1301" s="35"/>
      <c r="B1301" s="36"/>
      <c r="C1301" s="37"/>
      <c r="D1301" s="36"/>
      <c r="E1301" s="36"/>
      <c r="F1301" s="37"/>
      <c r="G1301" s="36"/>
      <c r="H1301" s="36"/>
      <c r="I1301" s="171"/>
      <c r="J1301" s="38"/>
      <c r="K1301" s="28"/>
      <c r="L1301" s="28"/>
    </row>
    <row r="1302" spans="1:12" x14ac:dyDescent="0.25">
      <c r="A1302" s="35"/>
      <c r="B1302" s="36"/>
      <c r="C1302" s="37"/>
      <c r="D1302" s="36"/>
      <c r="E1302" s="36"/>
      <c r="F1302" s="37"/>
      <c r="G1302" s="36"/>
      <c r="H1302" s="36"/>
      <c r="I1302" s="171"/>
      <c r="J1302" s="38"/>
      <c r="K1302" s="28"/>
      <c r="L1302" s="28"/>
    </row>
    <row r="1303" spans="1:12" x14ac:dyDescent="0.25">
      <c r="A1303" s="35"/>
      <c r="B1303" s="36"/>
      <c r="C1303" s="37"/>
      <c r="D1303" s="36"/>
      <c r="E1303" s="36"/>
      <c r="F1303" s="37"/>
      <c r="G1303" s="36"/>
      <c r="H1303" s="36"/>
      <c r="I1303" s="171"/>
      <c r="J1303" s="38"/>
      <c r="K1303" s="28"/>
      <c r="L1303" s="28"/>
    </row>
    <row r="1304" spans="1:12" x14ac:dyDescent="0.25">
      <c r="A1304" s="35"/>
      <c r="B1304" s="36"/>
      <c r="C1304" s="37"/>
      <c r="D1304" s="36"/>
      <c r="E1304" s="36"/>
      <c r="F1304" s="37"/>
      <c r="G1304" s="36"/>
      <c r="H1304" s="36"/>
      <c r="I1304" s="171"/>
      <c r="J1304" s="38"/>
      <c r="K1304" s="28"/>
      <c r="L1304" s="28"/>
    </row>
    <row r="1305" spans="1:12" x14ac:dyDescent="0.25">
      <c r="A1305" s="35"/>
      <c r="B1305" s="36"/>
      <c r="C1305" s="37"/>
      <c r="D1305" s="36"/>
      <c r="E1305" s="36"/>
      <c r="F1305" s="37"/>
      <c r="G1305" s="36"/>
      <c r="H1305" s="36"/>
      <c r="I1305" s="171"/>
      <c r="J1305" s="38"/>
      <c r="K1305" s="28"/>
      <c r="L1305" s="28"/>
    </row>
    <row r="1306" spans="1:12" x14ac:dyDescent="0.25">
      <c r="A1306" s="35"/>
      <c r="B1306" s="36"/>
      <c r="C1306" s="37"/>
      <c r="D1306" s="36"/>
      <c r="E1306" s="36"/>
      <c r="F1306" s="37"/>
      <c r="G1306" s="36"/>
      <c r="H1306" s="36"/>
      <c r="I1306" s="171"/>
      <c r="J1306" s="38"/>
      <c r="K1306" s="28"/>
      <c r="L1306" s="28"/>
    </row>
    <row r="1307" spans="1:12" x14ac:dyDescent="0.25">
      <c r="A1307" s="35"/>
      <c r="B1307" s="36"/>
      <c r="C1307" s="37"/>
      <c r="D1307" s="36"/>
      <c r="E1307" s="36"/>
      <c r="F1307" s="37"/>
      <c r="G1307" s="36"/>
      <c r="H1307" s="36"/>
      <c r="I1307" s="171"/>
      <c r="J1307" s="38"/>
      <c r="K1307" s="28"/>
      <c r="L1307" s="28"/>
    </row>
    <row r="1308" spans="1:12" x14ac:dyDescent="0.25">
      <c r="A1308" s="35"/>
      <c r="B1308" s="36"/>
      <c r="C1308" s="37"/>
      <c r="D1308" s="36"/>
      <c r="E1308" s="36"/>
      <c r="F1308" s="37"/>
      <c r="G1308" s="36"/>
      <c r="H1308" s="36"/>
      <c r="I1308" s="171"/>
      <c r="J1308" s="38"/>
      <c r="K1308" s="28"/>
      <c r="L1308" s="28"/>
    </row>
    <row r="1309" spans="1:12" x14ac:dyDescent="0.25">
      <c r="A1309" s="35"/>
      <c r="B1309" s="36"/>
      <c r="C1309" s="37"/>
      <c r="D1309" s="36"/>
      <c r="E1309" s="36"/>
      <c r="F1309" s="37"/>
      <c r="G1309" s="36"/>
      <c r="H1309" s="36"/>
      <c r="I1309" s="171"/>
      <c r="J1309" s="38"/>
      <c r="K1309" s="28"/>
      <c r="L1309" s="28"/>
    </row>
    <row r="1310" spans="1:12" x14ac:dyDescent="0.25">
      <c r="A1310" s="35"/>
      <c r="B1310" s="36"/>
      <c r="C1310" s="37"/>
      <c r="D1310" s="36"/>
      <c r="E1310" s="36"/>
      <c r="F1310" s="37"/>
      <c r="G1310" s="36"/>
      <c r="H1310" s="36"/>
      <c r="I1310" s="171"/>
      <c r="J1310" s="38"/>
      <c r="K1310" s="28"/>
      <c r="L1310" s="28"/>
    </row>
    <row r="1311" spans="1:12" x14ac:dyDescent="0.25">
      <c r="A1311" s="35"/>
      <c r="B1311" s="36"/>
      <c r="C1311" s="37"/>
      <c r="D1311" s="36"/>
      <c r="E1311" s="36"/>
      <c r="F1311" s="37"/>
      <c r="G1311" s="36"/>
      <c r="H1311" s="36"/>
      <c r="I1311" s="171"/>
      <c r="J1311" s="38"/>
      <c r="K1311" s="28"/>
      <c r="L1311" s="28"/>
    </row>
    <row r="1312" spans="1:12" x14ac:dyDescent="0.25">
      <c r="A1312" s="35"/>
      <c r="B1312" s="36"/>
      <c r="C1312" s="37"/>
      <c r="D1312" s="36"/>
      <c r="E1312" s="36"/>
      <c r="F1312" s="37"/>
      <c r="G1312" s="36"/>
      <c r="H1312" s="36"/>
      <c r="I1312" s="171"/>
      <c r="J1312" s="38"/>
      <c r="K1312" s="28"/>
      <c r="L1312" s="28"/>
    </row>
    <row r="1313" spans="1:12" x14ac:dyDescent="0.25">
      <c r="A1313" s="35"/>
      <c r="B1313" s="36"/>
      <c r="C1313" s="37"/>
      <c r="D1313" s="36"/>
      <c r="E1313" s="36"/>
      <c r="F1313" s="37"/>
      <c r="G1313" s="36"/>
      <c r="H1313" s="36"/>
      <c r="I1313" s="171"/>
      <c r="J1313" s="38"/>
      <c r="K1313" s="28"/>
      <c r="L1313" s="28"/>
    </row>
    <row r="1314" spans="1:12" x14ac:dyDescent="0.25">
      <c r="A1314" s="35"/>
      <c r="B1314" s="36"/>
      <c r="C1314" s="37"/>
      <c r="D1314" s="36"/>
      <c r="E1314" s="36"/>
      <c r="F1314" s="37"/>
      <c r="G1314" s="36"/>
      <c r="H1314" s="36"/>
      <c r="I1314" s="171"/>
      <c r="J1314" s="38"/>
      <c r="K1314" s="28"/>
      <c r="L1314" s="28"/>
    </row>
    <row r="1315" spans="1:12" x14ac:dyDescent="0.25">
      <c r="A1315" s="35"/>
      <c r="B1315" s="36"/>
      <c r="C1315" s="37"/>
      <c r="D1315" s="36"/>
      <c r="E1315" s="36"/>
      <c r="F1315" s="37"/>
      <c r="G1315" s="36"/>
      <c r="H1315" s="36"/>
      <c r="I1315" s="171"/>
      <c r="J1315" s="38"/>
      <c r="K1315" s="28"/>
      <c r="L1315" s="28"/>
    </row>
    <row r="1316" spans="1:12" x14ac:dyDescent="0.25">
      <c r="A1316" s="35"/>
      <c r="B1316" s="36"/>
      <c r="C1316" s="37"/>
      <c r="D1316" s="36"/>
      <c r="E1316" s="36"/>
      <c r="F1316" s="37"/>
      <c r="G1316" s="36"/>
      <c r="H1316" s="36"/>
      <c r="I1316" s="171"/>
      <c r="J1316" s="38"/>
      <c r="K1316" s="28"/>
      <c r="L1316" s="28"/>
    </row>
    <row r="1317" spans="1:12" x14ac:dyDescent="0.25">
      <c r="A1317" s="35"/>
      <c r="B1317" s="36"/>
      <c r="C1317" s="37"/>
      <c r="D1317" s="36"/>
      <c r="E1317" s="36"/>
      <c r="F1317" s="37"/>
      <c r="G1317" s="36"/>
      <c r="H1317" s="36"/>
      <c r="I1317" s="171"/>
      <c r="J1317" s="38"/>
      <c r="K1317" s="28"/>
      <c r="L1317" s="28"/>
    </row>
    <row r="1318" spans="1:12" x14ac:dyDescent="0.25">
      <c r="A1318" s="35"/>
      <c r="B1318" s="36"/>
      <c r="C1318" s="37"/>
      <c r="D1318" s="36"/>
      <c r="E1318" s="36"/>
      <c r="F1318" s="37"/>
      <c r="G1318" s="36"/>
      <c r="H1318" s="36"/>
      <c r="I1318" s="171"/>
      <c r="J1318" s="38"/>
      <c r="K1318" s="28"/>
      <c r="L1318" s="28"/>
    </row>
    <row r="1319" spans="1:12" x14ac:dyDescent="0.25">
      <c r="A1319" s="35"/>
      <c r="B1319" s="36"/>
      <c r="C1319" s="37"/>
      <c r="D1319" s="36"/>
      <c r="E1319" s="36"/>
      <c r="F1319" s="37"/>
      <c r="G1319" s="36"/>
      <c r="H1319" s="36"/>
      <c r="I1319" s="171"/>
      <c r="J1319" s="38"/>
      <c r="K1319" s="28"/>
      <c r="L1319" s="28"/>
    </row>
    <row r="1320" spans="1:12" x14ac:dyDescent="0.25">
      <c r="A1320" s="35"/>
      <c r="B1320" s="36"/>
      <c r="C1320" s="37"/>
      <c r="D1320" s="36"/>
      <c r="E1320" s="36"/>
      <c r="F1320" s="37"/>
      <c r="G1320" s="36"/>
      <c r="H1320" s="36"/>
      <c r="I1320" s="171"/>
      <c r="J1320" s="38"/>
      <c r="K1320" s="28"/>
      <c r="L1320" s="28"/>
    </row>
    <row r="1321" spans="1:12" x14ac:dyDescent="0.25">
      <c r="A1321" s="35"/>
      <c r="B1321" s="36"/>
      <c r="C1321" s="37"/>
      <c r="D1321" s="36"/>
      <c r="E1321" s="36"/>
      <c r="F1321" s="37"/>
      <c r="G1321" s="36"/>
      <c r="H1321" s="36"/>
      <c r="I1321" s="171"/>
      <c r="J1321" s="38"/>
      <c r="K1321" s="28"/>
      <c r="L1321" s="28"/>
    </row>
    <row r="1322" spans="1:12" x14ac:dyDescent="0.25">
      <c r="A1322" s="35"/>
      <c r="B1322" s="36"/>
      <c r="C1322" s="37"/>
      <c r="D1322" s="36"/>
      <c r="E1322" s="36"/>
      <c r="F1322" s="37"/>
      <c r="G1322" s="36"/>
      <c r="H1322" s="36"/>
      <c r="I1322" s="171"/>
      <c r="J1322" s="38"/>
      <c r="K1322" s="28"/>
      <c r="L1322" s="28"/>
    </row>
    <row r="1323" spans="1:12" x14ac:dyDescent="0.25">
      <c r="A1323" s="35"/>
      <c r="B1323" s="36"/>
      <c r="C1323" s="37"/>
      <c r="D1323" s="36"/>
      <c r="E1323" s="36"/>
      <c r="F1323" s="37"/>
      <c r="G1323" s="36"/>
      <c r="H1323" s="36"/>
      <c r="I1323" s="171"/>
      <c r="J1323" s="38"/>
      <c r="K1323" s="28"/>
      <c r="L1323" s="28"/>
    </row>
    <row r="1324" spans="1:12" x14ac:dyDescent="0.25">
      <c r="A1324" s="35"/>
      <c r="B1324" s="36"/>
      <c r="C1324" s="37"/>
      <c r="D1324" s="36"/>
      <c r="E1324" s="36"/>
      <c r="F1324" s="37"/>
      <c r="G1324" s="36"/>
      <c r="H1324" s="36"/>
      <c r="I1324" s="171"/>
      <c r="J1324" s="38"/>
      <c r="K1324" s="28"/>
      <c r="L1324" s="28"/>
    </row>
    <row r="1325" spans="1:12" x14ac:dyDescent="0.25">
      <c r="A1325" s="35"/>
      <c r="B1325" s="36"/>
      <c r="C1325" s="37"/>
      <c r="D1325" s="36"/>
      <c r="E1325" s="36"/>
      <c r="F1325" s="37"/>
      <c r="G1325" s="36"/>
      <c r="H1325" s="36"/>
      <c r="I1325" s="171"/>
      <c r="J1325" s="38"/>
      <c r="K1325" s="28"/>
      <c r="L1325" s="28"/>
    </row>
    <row r="1326" spans="1:12" x14ac:dyDescent="0.25">
      <c r="A1326" s="35"/>
      <c r="B1326" s="36"/>
      <c r="C1326" s="37"/>
      <c r="D1326" s="36"/>
      <c r="E1326" s="36"/>
      <c r="F1326" s="37"/>
      <c r="G1326" s="36"/>
      <c r="H1326" s="36"/>
      <c r="I1326" s="171"/>
      <c r="J1326" s="38"/>
      <c r="K1326" s="28"/>
      <c r="L1326" s="28"/>
    </row>
    <row r="1327" spans="1:12" x14ac:dyDescent="0.25">
      <c r="A1327" s="35"/>
      <c r="B1327" s="36"/>
      <c r="C1327" s="37"/>
      <c r="D1327" s="36"/>
      <c r="E1327" s="36"/>
      <c r="F1327" s="37"/>
      <c r="G1327" s="36"/>
      <c r="H1327" s="36"/>
      <c r="I1327" s="171"/>
      <c r="J1327" s="38"/>
      <c r="K1327" s="28"/>
      <c r="L1327" s="28"/>
    </row>
    <row r="1328" spans="1:12" x14ac:dyDescent="0.25">
      <c r="A1328" s="35"/>
      <c r="B1328" s="36"/>
      <c r="C1328" s="37"/>
      <c r="D1328" s="36"/>
      <c r="E1328" s="36"/>
      <c r="F1328" s="37"/>
      <c r="G1328" s="36"/>
      <c r="H1328" s="36"/>
      <c r="I1328" s="171"/>
      <c r="J1328" s="38"/>
      <c r="K1328" s="28"/>
      <c r="L1328" s="28"/>
    </row>
    <row r="1329" spans="1:12" x14ac:dyDescent="0.25">
      <c r="A1329" s="35"/>
      <c r="B1329" s="36"/>
      <c r="C1329" s="37"/>
      <c r="D1329" s="36"/>
      <c r="E1329" s="36"/>
      <c r="F1329" s="37"/>
      <c r="G1329" s="36"/>
      <c r="H1329" s="36"/>
      <c r="I1329" s="171"/>
      <c r="J1329" s="38"/>
      <c r="K1329" s="28"/>
      <c r="L1329" s="28"/>
    </row>
    <row r="1330" spans="1:12" x14ac:dyDescent="0.25">
      <c r="A1330" s="35"/>
      <c r="B1330" s="36"/>
      <c r="C1330" s="37"/>
      <c r="D1330" s="36"/>
      <c r="E1330" s="36"/>
      <c r="F1330" s="37"/>
      <c r="G1330" s="36"/>
      <c r="H1330" s="36"/>
      <c r="I1330" s="171"/>
      <c r="J1330" s="38"/>
      <c r="K1330" s="28"/>
      <c r="L1330" s="28"/>
    </row>
    <row r="1331" spans="1:12" x14ac:dyDescent="0.25">
      <c r="A1331" s="35"/>
      <c r="B1331" s="36"/>
      <c r="C1331" s="37"/>
      <c r="D1331" s="36"/>
      <c r="E1331" s="36"/>
      <c r="F1331" s="37"/>
      <c r="G1331" s="36"/>
      <c r="H1331" s="36"/>
      <c r="I1331" s="171"/>
      <c r="J1331" s="38"/>
      <c r="K1331" s="28"/>
      <c r="L1331" s="28"/>
    </row>
    <row r="1332" spans="1:12" x14ac:dyDescent="0.25">
      <c r="A1332" s="35"/>
      <c r="B1332" s="36"/>
      <c r="C1332" s="37"/>
      <c r="D1332" s="36"/>
      <c r="E1332" s="36"/>
      <c r="F1332" s="37"/>
      <c r="G1332" s="36"/>
      <c r="H1332" s="36"/>
      <c r="I1332" s="171"/>
      <c r="J1332" s="38"/>
      <c r="K1332" s="28"/>
      <c r="L1332" s="28"/>
    </row>
    <row r="1333" spans="1:12" x14ac:dyDescent="0.25">
      <c r="A1333" s="35"/>
      <c r="B1333" s="36"/>
      <c r="C1333" s="37"/>
      <c r="D1333" s="36"/>
      <c r="E1333" s="36"/>
      <c r="F1333" s="37"/>
      <c r="G1333" s="36"/>
      <c r="H1333" s="36"/>
      <c r="I1333" s="171"/>
      <c r="J1333" s="38"/>
      <c r="K1333" s="28"/>
      <c r="L1333" s="28"/>
    </row>
    <row r="1334" spans="1:12" x14ac:dyDescent="0.25">
      <c r="A1334" s="35"/>
      <c r="B1334" s="36"/>
      <c r="C1334" s="37"/>
      <c r="D1334" s="36"/>
      <c r="E1334" s="36"/>
      <c r="F1334" s="37"/>
      <c r="G1334" s="36"/>
      <c r="H1334" s="36"/>
      <c r="I1334" s="171"/>
      <c r="J1334" s="38"/>
      <c r="K1334" s="28"/>
      <c r="L1334" s="28"/>
    </row>
    <row r="1335" spans="1:12" x14ac:dyDescent="0.25">
      <c r="A1335" s="35"/>
      <c r="B1335" s="36"/>
      <c r="C1335" s="37"/>
      <c r="D1335" s="36"/>
      <c r="E1335" s="36"/>
      <c r="F1335" s="37"/>
      <c r="G1335" s="36"/>
      <c r="H1335" s="36"/>
      <c r="I1335" s="171"/>
      <c r="J1335" s="38"/>
      <c r="K1335" s="28"/>
      <c r="L1335" s="28"/>
    </row>
    <row r="1336" spans="1:12" x14ac:dyDescent="0.25">
      <c r="A1336" s="35"/>
      <c r="B1336" s="36"/>
      <c r="C1336" s="37"/>
      <c r="D1336" s="36"/>
      <c r="E1336" s="36"/>
      <c r="F1336" s="37"/>
      <c r="G1336" s="36"/>
      <c r="H1336" s="36"/>
      <c r="I1336" s="171"/>
      <c r="J1336" s="38"/>
      <c r="K1336" s="28"/>
      <c r="L1336" s="28"/>
    </row>
    <row r="1337" spans="1:12" x14ac:dyDescent="0.25">
      <c r="A1337" s="35"/>
      <c r="B1337" s="36"/>
      <c r="C1337" s="37"/>
      <c r="D1337" s="36"/>
      <c r="E1337" s="36"/>
      <c r="F1337" s="37"/>
      <c r="G1337" s="36"/>
      <c r="H1337" s="36"/>
      <c r="I1337" s="171"/>
      <c r="J1337" s="38"/>
      <c r="K1337" s="28"/>
      <c r="L1337" s="28"/>
    </row>
    <row r="1338" spans="1:12" x14ac:dyDescent="0.25">
      <c r="A1338" s="35"/>
      <c r="B1338" s="36"/>
      <c r="C1338" s="37"/>
      <c r="D1338" s="36"/>
      <c r="E1338" s="36"/>
      <c r="F1338" s="37"/>
      <c r="G1338" s="36"/>
      <c r="H1338" s="36"/>
      <c r="I1338" s="171"/>
      <c r="J1338" s="38"/>
      <c r="K1338" s="28"/>
      <c r="L1338" s="28"/>
    </row>
    <row r="1339" spans="1:12" x14ac:dyDescent="0.25">
      <c r="A1339" s="35"/>
      <c r="B1339" s="36"/>
      <c r="C1339" s="37"/>
      <c r="D1339" s="36"/>
      <c r="E1339" s="36"/>
      <c r="F1339" s="37"/>
      <c r="G1339" s="36"/>
      <c r="H1339" s="36"/>
      <c r="I1339" s="171"/>
      <c r="J1339" s="38"/>
      <c r="K1339" s="28"/>
      <c r="L1339" s="28"/>
    </row>
    <row r="1340" spans="1:12" x14ac:dyDescent="0.25">
      <c r="A1340" s="35"/>
      <c r="B1340" s="36"/>
      <c r="C1340" s="37"/>
      <c r="D1340" s="36"/>
      <c r="E1340" s="36"/>
      <c r="F1340" s="37"/>
      <c r="G1340" s="36"/>
      <c r="H1340" s="36"/>
      <c r="I1340" s="171"/>
      <c r="J1340" s="38"/>
      <c r="K1340" s="28"/>
      <c r="L1340" s="28"/>
    </row>
    <row r="1341" spans="1:12" x14ac:dyDescent="0.25">
      <c r="A1341" s="35"/>
      <c r="B1341" s="36"/>
      <c r="C1341" s="37"/>
      <c r="D1341" s="36"/>
      <c r="E1341" s="36"/>
      <c r="F1341" s="37"/>
      <c r="G1341" s="36"/>
      <c r="H1341" s="36"/>
      <c r="I1341" s="171"/>
      <c r="J1341" s="38"/>
      <c r="K1341" s="28"/>
      <c r="L1341" s="28"/>
    </row>
    <row r="1342" spans="1:12" x14ac:dyDescent="0.25">
      <c r="A1342" s="35"/>
      <c r="B1342" s="36"/>
      <c r="C1342" s="37"/>
      <c r="D1342" s="36"/>
      <c r="E1342" s="36"/>
      <c r="F1342" s="37"/>
      <c r="G1342" s="36"/>
      <c r="H1342" s="36"/>
      <c r="I1342" s="171"/>
      <c r="J1342" s="38"/>
      <c r="K1342" s="28"/>
      <c r="L1342" s="28"/>
    </row>
    <row r="1343" spans="1:12" x14ac:dyDescent="0.25">
      <c r="A1343" s="35"/>
      <c r="B1343" s="36"/>
      <c r="C1343" s="37"/>
      <c r="D1343" s="36"/>
      <c r="E1343" s="36"/>
      <c r="F1343" s="37"/>
      <c r="G1343" s="36"/>
      <c r="H1343" s="36"/>
      <c r="I1343" s="171"/>
      <c r="J1343" s="38"/>
      <c r="K1343" s="28"/>
      <c r="L1343" s="28"/>
    </row>
    <row r="1344" spans="1:12" x14ac:dyDescent="0.25">
      <c r="A1344" s="35"/>
      <c r="B1344" s="36"/>
      <c r="C1344" s="37"/>
      <c r="D1344" s="36"/>
      <c r="E1344" s="36"/>
      <c r="F1344" s="37"/>
      <c r="G1344" s="36"/>
      <c r="H1344" s="36"/>
      <c r="I1344" s="171"/>
      <c r="J1344" s="38"/>
      <c r="K1344" s="28"/>
      <c r="L1344" s="28"/>
    </row>
    <row r="1345" spans="1:12" x14ac:dyDescent="0.25">
      <c r="A1345" s="35"/>
      <c r="B1345" s="36"/>
      <c r="C1345" s="37"/>
      <c r="D1345" s="36"/>
      <c r="E1345" s="36"/>
      <c r="F1345" s="37"/>
      <c r="G1345" s="36"/>
      <c r="H1345" s="36"/>
      <c r="I1345" s="171"/>
      <c r="J1345" s="38"/>
      <c r="K1345" s="28"/>
      <c r="L1345" s="28"/>
    </row>
    <row r="1346" spans="1:12" x14ac:dyDescent="0.25">
      <c r="A1346" s="35"/>
      <c r="B1346" s="36"/>
      <c r="C1346" s="37"/>
      <c r="D1346" s="36"/>
      <c r="E1346" s="36"/>
      <c r="F1346" s="37"/>
      <c r="G1346" s="36"/>
      <c r="H1346" s="36"/>
      <c r="I1346" s="171"/>
      <c r="J1346" s="38"/>
      <c r="K1346" s="28"/>
      <c r="L1346" s="28"/>
    </row>
    <row r="1347" spans="1:12" x14ac:dyDescent="0.25">
      <c r="A1347" s="35"/>
      <c r="B1347" s="36"/>
      <c r="C1347" s="37"/>
      <c r="D1347" s="36"/>
      <c r="E1347" s="36"/>
      <c r="F1347" s="37"/>
      <c r="G1347" s="36"/>
      <c r="H1347" s="36"/>
      <c r="I1347" s="171"/>
      <c r="J1347" s="38"/>
      <c r="K1347" s="28"/>
      <c r="L1347" s="28"/>
    </row>
    <row r="1348" spans="1:12" x14ac:dyDescent="0.25">
      <c r="A1348" s="35"/>
      <c r="B1348" s="36"/>
      <c r="C1348" s="37"/>
      <c r="D1348" s="36"/>
      <c r="E1348" s="36"/>
      <c r="F1348" s="37"/>
      <c r="G1348" s="36"/>
      <c r="H1348" s="36"/>
      <c r="I1348" s="171"/>
      <c r="J1348" s="38"/>
      <c r="K1348" s="28"/>
      <c r="L1348" s="28"/>
    </row>
    <row r="1349" spans="1:12" x14ac:dyDescent="0.25">
      <c r="A1349" s="35"/>
      <c r="B1349" s="36"/>
      <c r="C1349" s="37"/>
      <c r="D1349" s="36"/>
      <c r="E1349" s="36"/>
      <c r="F1349" s="37"/>
      <c r="G1349" s="36"/>
      <c r="H1349" s="36"/>
      <c r="I1349" s="171"/>
      <c r="J1349" s="38"/>
      <c r="K1349" s="28"/>
      <c r="L1349" s="28"/>
    </row>
    <row r="1350" spans="1:12" x14ac:dyDescent="0.25">
      <c r="A1350" s="35"/>
      <c r="B1350" s="36"/>
      <c r="C1350" s="37"/>
      <c r="D1350" s="36"/>
      <c r="E1350" s="36"/>
      <c r="F1350" s="37"/>
      <c r="G1350" s="36"/>
      <c r="H1350" s="36"/>
      <c r="I1350" s="171"/>
      <c r="J1350" s="38"/>
      <c r="K1350" s="28"/>
      <c r="L1350" s="28"/>
    </row>
    <row r="1351" spans="1:12" x14ac:dyDescent="0.25">
      <c r="A1351" s="35"/>
      <c r="B1351" s="36"/>
      <c r="C1351" s="37"/>
      <c r="D1351" s="36"/>
      <c r="E1351" s="36"/>
      <c r="F1351" s="37"/>
      <c r="G1351" s="36"/>
      <c r="H1351" s="36"/>
      <c r="I1351" s="171"/>
      <c r="J1351" s="38"/>
      <c r="K1351" s="28"/>
      <c r="L1351" s="28"/>
    </row>
    <row r="1352" spans="1:12" x14ac:dyDescent="0.25">
      <c r="A1352" s="35"/>
      <c r="B1352" s="36"/>
      <c r="C1352" s="37"/>
      <c r="D1352" s="36"/>
      <c r="E1352" s="36"/>
      <c r="F1352" s="37"/>
      <c r="G1352" s="36"/>
      <c r="H1352" s="36"/>
      <c r="I1352" s="171"/>
      <c r="J1352" s="38"/>
      <c r="K1352" s="28"/>
      <c r="L1352" s="28"/>
    </row>
    <row r="1353" spans="1:12" x14ac:dyDescent="0.25">
      <c r="A1353" s="35"/>
      <c r="B1353" s="36"/>
      <c r="C1353" s="37"/>
      <c r="D1353" s="36"/>
      <c r="E1353" s="36"/>
      <c r="F1353" s="37"/>
      <c r="G1353" s="36"/>
      <c r="H1353" s="36"/>
      <c r="I1353" s="171"/>
      <c r="J1353" s="38"/>
      <c r="K1353" s="28"/>
      <c r="L1353" s="28"/>
    </row>
    <row r="1354" spans="1:12" x14ac:dyDescent="0.25">
      <c r="A1354" s="35"/>
      <c r="B1354" s="36"/>
      <c r="C1354" s="37"/>
      <c r="D1354" s="36"/>
      <c r="E1354" s="36"/>
      <c r="F1354" s="37"/>
      <c r="G1354" s="36"/>
      <c r="H1354" s="36"/>
      <c r="I1354" s="171"/>
      <c r="J1354" s="38"/>
      <c r="K1354" s="28"/>
      <c r="L1354" s="28"/>
    </row>
    <row r="1355" spans="1:12" x14ac:dyDescent="0.25">
      <c r="A1355" s="35"/>
      <c r="B1355" s="36"/>
      <c r="C1355" s="37"/>
      <c r="D1355" s="36"/>
      <c r="E1355" s="36"/>
      <c r="F1355" s="37"/>
      <c r="G1355" s="36"/>
      <c r="H1355" s="36"/>
      <c r="I1355" s="171"/>
      <c r="J1355" s="38"/>
      <c r="K1355" s="28"/>
      <c r="L1355" s="28"/>
    </row>
    <row r="1356" spans="1:12" x14ac:dyDescent="0.25">
      <c r="A1356" s="35"/>
      <c r="B1356" s="36"/>
      <c r="C1356" s="37"/>
      <c r="D1356" s="36"/>
      <c r="E1356" s="36"/>
      <c r="F1356" s="37"/>
      <c r="G1356" s="36"/>
      <c r="H1356" s="36"/>
      <c r="I1356" s="171"/>
      <c r="J1356" s="38"/>
      <c r="K1356" s="28"/>
      <c r="L1356" s="28"/>
    </row>
    <row r="1357" spans="1:12" x14ac:dyDescent="0.25">
      <c r="A1357" s="35"/>
      <c r="B1357" s="36"/>
      <c r="C1357" s="37"/>
      <c r="D1357" s="36"/>
      <c r="E1357" s="36"/>
      <c r="F1357" s="37"/>
      <c r="G1357" s="36"/>
      <c r="H1357" s="36"/>
      <c r="I1357" s="171"/>
      <c r="J1357" s="38"/>
      <c r="K1357" s="28"/>
      <c r="L1357" s="28"/>
    </row>
    <row r="1358" spans="1:12" x14ac:dyDescent="0.25">
      <c r="A1358" s="35"/>
      <c r="B1358" s="36"/>
      <c r="C1358" s="37"/>
      <c r="D1358" s="36"/>
      <c r="E1358" s="36"/>
      <c r="F1358" s="37"/>
      <c r="G1358" s="36"/>
      <c r="H1358" s="36"/>
      <c r="I1358" s="171"/>
      <c r="J1358" s="38"/>
      <c r="K1358" s="28"/>
      <c r="L1358" s="28"/>
    </row>
    <row r="1359" spans="1:12" x14ac:dyDescent="0.25">
      <c r="A1359" s="35"/>
      <c r="B1359" s="36"/>
      <c r="C1359" s="37"/>
      <c r="D1359" s="36"/>
      <c r="E1359" s="36"/>
      <c r="F1359" s="37"/>
      <c r="G1359" s="36"/>
      <c r="H1359" s="36"/>
      <c r="I1359" s="171"/>
      <c r="J1359" s="38"/>
      <c r="K1359" s="28"/>
      <c r="L1359" s="28"/>
    </row>
    <row r="1360" spans="1:12" x14ac:dyDescent="0.25">
      <c r="A1360" s="35"/>
      <c r="B1360" s="36"/>
      <c r="C1360" s="37"/>
      <c r="D1360" s="36"/>
      <c r="E1360" s="36"/>
      <c r="F1360" s="37"/>
      <c r="G1360" s="36"/>
      <c r="H1360" s="36"/>
      <c r="I1360" s="171"/>
      <c r="J1360" s="38"/>
      <c r="K1360" s="28"/>
      <c r="L1360" s="28"/>
    </row>
    <row r="1361" spans="1:12" x14ac:dyDescent="0.25">
      <c r="A1361" s="35"/>
      <c r="B1361" s="36"/>
      <c r="C1361" s="37"/>
      <c r="D1361" s="36"/>
      <c r="E1361" s="36"/>
      <c r="F1361" s="37"/>
      <c r="G1361" s="36"/>
      <c r="H1361" s="36"/>
      <c r="I1361" s="171"/>
      <c r="J1361" s="38"/>
      <c r="K1361" s="28"/>
      <c r="L1361" s="28"/>
    </row>
    <row r="1362" spans="1:12" x14ac:dyDescent="0.25">
      <c r="A1362" s="35"/>
      <c r="B1362" s="36"/>
      <c r="C1362" s="37"/>
      <c r="D1362" s="36"/>
      <c r="E1362" s="36"/>
      <c r="F1362" s="37"/>
      <c r="G1362" s="36"/>
      <c r="H1362" s="36"/>
      <c r="I1362" s="171"/>
      <c r="J1362" s="38"/>
      <c r="K1362" s="28"/>
      <c r="L1362" s="28"/>
    </row>
    <row r="1363" spans="1:12" x14ac:dyDescent="0.25">
      <c r="A1363" s="35"/>
      <c r="B1363" s="36"/>
      <c r="C1363" s="37"/>
      <c r="D1363" s="36"/>
      <c r="E1363" s="36"/>
      <c r="F1363" s="37"/>
      <c r="G1363" s="36"/>
      <c r="H1363" s="36"/>
      <c r="I1363" s="171"/>
      <c r="J1363" s="38"/>
      <c r="K1363" s="28"/>
      <c r="L1363" s="28"/>
    </row>
    <row r="1364" spans="1:12" x14ac:dyDescent="0.25">
      <c r="A1364" s="35"/>
      <c r="B1364" s="36"/>
      <c r="C1364" s="37"/>
      <c r="D1364" s="36"/>
      <c r="E1364" s="36"/>
      <c r="F1364" s="37"/>
      <c r="G1364" s="36"/>
      <c r="H1364" s="36"/>
      <c r="I1364" s="171"/>
      <c r="J1364" s="38"/>
      <c r="K1364" s="28"/>
      <c r="L1364" s="28"/>
    </row>
    <row r="1365" spans="1:12" x14ac:dyDescent="0.25">
      <c r="A1365" s="35"/>
      <c r="B1365" s="36"/>
      <c r="C1365" s="37"/>
      <c r="D1365" s="36"/>
      <c r="E1365" s="36"/>
      <c r="F1365" s="37"/>
      <c r="G1365" s="36"/>
      <c r="H1365" s="36"/>
      <c r="I1365" s="171"/>
      <c r="J1365" s="38"/>
      <c r="K1365" s="28"/>
      <c r="L1365" s="28"/>
    </row>
    <row r="1366" spans="1:12" x14ac:dyDescent="0.25">
      <c r="A1366" s="35"/>
      <c r="B1366" s="36"/>
      <c r="C1366" s="37"/>
      <c r="D1366" s="36"/>
      <c r="E1366" s="36"/>
      <c r="F1366" s="37"/>
      <c r="G1366" s="36"/>
      <c r="H1366" s="36"/>
      <c r="I1366" s="171"/>
      <c r="J1366" s="38"/>
      <c r="K1366" s="28"/>
      <c r="L1366" s="28"/>
    </row>
    <row r="1367" spans="1:12" x14ac:dyDescent="0.25">
      <c r="A1367" s="35"/>
      <c r="B1367" s="36"/>
      <c r="C1367" s="37"/>
      <c r="D1367" s="36"/>
      <c r="E1367" s="36"/>
      <c r="F1367" s="37"/>
      <c r="G1367" s="36"/>
      <c r="H1367" s="36"/>
      <c r="I1367" s="171"/>
      <c r="J1367" s="38"/>
      <c r="K1367" s="28"/>
      <c r="L1367" s="28"/>
    </row>
    <row r="1368" spans="1:12" x14ac:dyDescent="0.25">
      <c r="A1368" s="35"/>
      <c r="B1368" s="36"/>
      <c r="C1368" s="37"/>
      <c r="D1368" s="36"/>
      <c r="E1368" s="36"/>
      <c r="F1368" s="37"/>
      <c r="G1368" s="36"/>
      <c r="H1368" s="36"/>
      <c r="I1368" s="171"/>
      <c r="J1368" s="38"/>
      <c r="K1368" s="28"/>
      <c r="L1368" s="28"/>
    </row>
    <row r="1369" spans="1:12" x14ac:dyDescent="0.25">
      <c r="A1369" s="35"/>
      <c r="B1369" s="36"/>
      <c r="C1369" s="37"/>
      <c r="D1369" s="36"/>
      <c r="E1369" s="36"/>
      <c r="F1369" s="37"/>
      <c r="G1369" s="36"/>
      <c r="H1369" s="36"/>
      <c r="I1369" s="171"/>
      <c r="J1369" s="38"/>
      <c r="K1369" s="28"/>
      <c r="L1369" s="28"/>
    </row>
    <row r="1370" spans="1:12" x14ac:dyDescent="0.25">
      <c r="A1370" s="35"/>
      <c r="B1370" s="36"/>
      <c r="C1370" s="37"/>
      <c r="D1370" s="36"/>
      <c r="E1370" s="36"/>
      <c r="F1370" s="37"/>
      <c r="G1370" s="36"/>
      <c r="H1370" s="36"/>
      <c r="I1370" s="171"/>
      <c r="J1370" s="38"/>
      <c r="K1370" s="28"/>
      <c r="L1370" s="28"/>
    </row>
    <row r="1371" spans="1:12" x14ac:dyDescent="0.25">
      <c r="A1371" s="35"/>
      <c r="B1371" s="36"/>
      <c r="C1371" s="37"/>
      <c r="D1371" s="36"/>
      <c r="E1371" s="36"/>
      <c r="F1371" s="37"/>
      <c r="G1371" s="36"/>
      <c r="H1371" s="36"/>
      <c r="I1371" s="171"/>
      <c r="J1371" s="38"/>
      <c r="K1371" s="28"/>
      <c r="L1371" s="28"/>
    </row>
    <row r="1372" spans="1:12" x14ac:dyDescent="0.25">
      <c r="A1372" s="35"/>
      <c r="B1372" s="36"/>
      <c r="C1372" s="37"/>
      <c r="D1372" s="36"/>
      <c r="E1372" s="36"/>
      <c r="F1372" s="37"/>
      <c r="G1372" s="36"/>
      <c r="H1372" s="36"/>
      <c r="I1372" s="171"/>
      <c r="J1372" s="38"/>
      <c r="K1372" s="28"/>
      <c r="L1372" s="28"/>
    </row>
    <row r="1373" spans="1:12" x14ac:dyDescent="0.25">
      <c r="A1373" s="35"/>
      <c r="B1373" s="36"/>
      <c r="C1373" s="37"/>
      <c r="D1373" s="36"/>
      <c r="E1373" s="36"/>
      <c r="F1373" s="37"/>
      <c r="G1373" s="36"/>
      <c r="H1373" s="36"/>
      <c r="I1373" s="171"/>
      <c r="J1373" s="38"/>
      <c r="K1373" s="28"/>
      <c r="L1373" s="28"/>
    </row>
    <row r="1374" spans="1:12" x14ac:dyDescent="0.25">
      <c r="A1374" s="35"/>
      <c r="B1374" s="36"/>
      <c r="C1374" s="37"/>
      <c r="D1374" s="36"/>
      <c r="E1374" s="36"/>
      <c r="F1374" s="37"/>
      <c r="G1374" s="36"/>
      <c r="H1374" s="36"/>
      <c r="I1374" s="171"/>
      <c r="J1374" s="38"/>
      <c r="K1374" s="28"/>
      <c r="L1374" s="28"/>
    </row>
    <row r="1375" spans="1:12" x14ac:dyDescent="0.25">
      <c r="A1375" s="35"/>
      <c r="B1375" s="36"/>
      <c r="C1375" s="37"/>
      <c r="D1375" s="36"/>
      <c r="E1375" s="36"/>
      <c r="F1375" s="37"/>
      <c r="G1375" s="36"/>
      <c r="H1375" s="36"/>
      <c r="I1375" s="171"/>
      <c r="J1375" s="38"/>
      <c r="K1375" s="28"/>
      <c r="L1375" s="28"/>
    </row>
    <row r="1376" spans="1:12" x14ac:dyDescent="0.25">
      <c r="A1376" s="35"/>
      <c r="B1376" s="36"/>
      <c r="C1376" s="37"/>
      <c r="D1376" s="36"/>
      <c r="E1376" s="36"/>
      <c r="F1376" s="37"/>
      <c r="G1376" s="36"/>
      <c r="H1376" s="36"/>
      <c r="I1376" s="171"/>
      <c r="J1376" s="38"/>
      <c r="K1376" s="28"/>
      <c r="L1376" s="28"/>
    </row>
    <row r="1377" spans="1:12" x14ac:dyDescent="0.25">
      <c r="A1377" s="35"/>
      <c r="B1377" s="36"/>
      <c r="C1377" s="37"/>
      <c r="D1377" s="36"/>
      <c r="E1377" s="36"/>
      <c r="F1377" s="37"/>
      <c r="G1377" s="36"/>
      <c r="H1377" s="36"/>
      <c r="I1377" s="171"/>
      <c r="J1377" s="38"/>
      <c r="K1377" s="28"/>
      <c r="L1377" s="28"/>
    </row>
    <row r="1378" spans="1:12" x14ac:dyDescent="0.25">
      <c r="A1378" s="35"/>
      <c r="B1378" s="36"/>
      <c r="C1378" s="37"/>
      <c r="D1378" s="36"/>
      <c r="E1378" s="36"/>
      <c r="F1378" s="37"/>
      <c r="G1378" s="36"/>
      <c r="H1378" s="36"/>
      <c r="I1378" s="171"/>
      <c r="J1378" s="38"/>
      <c r="K1378" s="28"/>
      <c r="L1378" s="28"/>
    </row>
    <row r="1379" spans="1:12" x14ac:dyDescent="0.25">
      <c r="A1379" s="35"/>
      <c r="B1379" s="36"/>
      <c r="C1379" s="37"/>
      <c r="D1379" s="36"/>
      <c r="E1379" s="36"/>
      <c r="F1379" s="37"/>
      <c r="G1379" s="36"/>
      <c r="H1379" s="36"/>
      <c r="I1379" s="171"/>
      <c r="J1379" s="38"/>
      <c r="K1379" s="28"/>
      <c r="L1379" s="28"/>
    </row>
    <row r="1380" spans="1:12" x14ac:dyDescent="0.25">
      <c r="A1380" s="35"/>
      <c r="B1380" s="36"/>
      <c r="C1380" s="37"/>
      <c r="D1380" s="36"/>
      <c r="E1380" s="36"/>
      <c r="F1380" s="37"/>
      <c r="G1380" s="36"/>
      <c r="H1380" s="36"/>
      <c r="I1380" s="171"/>
      <c r="J1380" s="38"/>
      <c r="K1380" s="28"/>
      <c r="L1380" s="28"/>
    </row>
    <row r="1381" spans="1:12" x14ac:dyDescent="0.25">
      <c r="A1381" s="35"/>
      <c r="B1381" s="36"/>
      <c r="C1381" s="37"/>
      <c r="D1381" s="36"/>
      <c r="E1381" s="36"/>
      <c r="F1381" s="37"/>
      <c r="G1381" s="36"/>
      <c r="H1381" s="36"/>
      <c r="I1381" s="171"/>
      <c r="J1381" s="38"/>
      <c r="K1381" s="28"/>
      <c r="L1381" s="28"/>
    </row>
    <row r="1382" spans="1:12" x14ac:dyDescent="0.25">
      <c r="A1382" s="35"/>
      <c r="B1382" s="36"/>
      <c r="C1382" s="37"/>
      <c r="D1382" s="36"/>
      <c r="E1382" s="36"/>
      <c r="F1382" s="37"/>
      <c r="G1382" s="36"/>
      <c r="H1382" s="36"/>
      <c r="I1382" s="171"/>
      <c r="J1382" s="38"/>
      <c r="K1382" s="28"/>
      <c r="L1382" s="28"/>
    </row>
    <row r="1383" spans="1:12" x14ac:dyDescent="0.25">
      <c r="A1383" s="35"/>
      <c r="B1383" s="36"/>
      <c r="C1383" s="37"/>
      <c r="D1383" s="36"/>
      <c r="E1383" s="36"/>
      <c r="F1383" s="37"/>
      <c r="G1383" s="36"/>
      <c r="H1383" s="36"/>
      <c r="I1383" s="171"/>
      <c r="J1383" s="38"/>
      <c r="K1383" s="28"/>
      <c r="L1383" s="28"/>
    </row>
    <row r="1384" spans="1:12" x14ac:dyDescent="0.25">
      <c r="A1384" s="35"/>
      <c r="B1384" s="36"/>
      <c r="C1384" s="37"/>
      <c r="D1384" s="36"/>
      <c r="E1384" s="36"/>
      <c r="F1384" s="37"/>
      <c r="G1384" s="36"/>
      <c r="H1384" s="36"/>
      <c r="I1384" s="171"/>
      <c r="J1384" s="38"/>
      <c r="K1384" s="28"/>
      <c r="L1384" s="28"/>
    </row>
    <row r="1385" spans="1:12" x14ac:dyDescent="0.25">
      <c r="A1385" s="35"/>
      <c r="B1385" s="36"/>
      <c r="C1385" s="37"/>
      <c r="D1385" s="36"/>
      <c r="E1385" s="36"/>
      <c r="F1385" s="37"/>
      <c r="G1385" s="36"/>
      <c r="H1385" s="36"/>
      <c r="I1385" s="171"/>
      <c r="J1385" s="38"/>
      <c r="K1385" s="28"/>
      <c r="L1385" s="28"/>
    </row>
    <row r="1386" spans="1:12" x14ac:dyDescent="0.25">
      <c r="A1386" s="35"/>
      <c r="B1386" s="36"/>
      <c r="C1386" s="37"/>
      <c r="D1386" s="36"/>
      <c r="E1386" s="36"/>
      <c r="F1386" s="37"/>
      <c r="G1386" s="36"/>
      <c r="H1386" s="36"/>
      <c r="I1386" s="171"/>
      <c r="J1386" s="38"/>
      <c r="K1386" s="28"/>
      <c r="L1386" s="28"/>
    </row>
    <row r="1387" spans="1:12" x14ac:dyDescent="0.25">
      <c r="A1387" s="35"/>
      <c r="B1387" s="36"/>
      <c r="C1387" s="37"/>
      <c r="D1387" s="36"/>
      <c r="E1387" s="36"/>
      <c r="F1387" s="37"/>
      <c r="G1387" s="36"/>
      <c r="H1387" s="36"/>
      <c r="I1387" s="171"/>
      <c r="J1387" s="38"/>
      <c r="K1387" s="28"/>
      <c r="L1387" s="28"/>
    </row>
    <row r="1388" spans="1:12" x14ac:dyDescent="0.25">
      <c r="A1388" s="35"/>
      <c r="B1388" s="36"/>
      <c r="C1388" s="37"/>
      <c r="D1388" s="36"/>
      <c r="E1388" s="36"/>
      <c r="F1388" s="37"/>
      <c r="G1388" s="36"/>
      <c r="H1388" s="36"/>
      <c r="I1388" s="171"/>
      <c r="J1388" s="38"/>
      <c r="K1388" s="28"/>
      <c r="L1388" s="28"/>
    </row>
    <row r="1389" spans="1:12" x14ac:dyDescent="0.25">
      <c r="A1389" s="35"/>
      <c r="B1389" s="36"/>
      <c r="C1389" s="37"/>
      <c r="D1389" s="36"/>
      <c r="E1389" s="36"/>
      <c r="F1389" s="37"/>
      <c r="G1389" s="36"/>
      <c r="H1389" s="36"/>
      <c r="I1389" s="171"/>
      <c r="J1389" s="38"/>
      <c r="K1389" s="28"/>
      <c r="L1389" s="28"/>
    </row>
    <row r="1390" spans="1:12" x14ac:dyDescent="0.25">
      <c r="A1390" s="35"/>
      <c r="B1390" s="36"/>
      <c r="C1390" s="37"/>
      <c r="D1390" s="36"/>
      <c r="E1390" s="36"/>
      <c r="F1390" s="37"/>
      <c r="G1390" s="36"/>
      <c r="H1390" s="36"/>
      <c r="I1390" s="171"/>
      <c r="J1390" s="38"/>
      <c r="K1390" s="28"/>
      <c r="L1390" s="28"/>
    </row>
    <row r="1391" spans="1:12" x14ac:dyDescent="0.25">
      <c r="A1391" s="35"/>
      <c r="B1391" s="36"/>
      <c r="C1391" s="37"/>
      <c r="D1391" s="36"/>
      <c r="E1391" s="36"/>
      <c r="F1391" s="37"/>
      <c r="G1391" s="36"/>
      <c r="H1391" s="36"/>
      <c r="I1391" s="171"/>
      <c r="J1391" s="38"/>
      <c r="K1391" s="28"/>
      <c r="L1391" s="28"/>
    </row>
    <row r="1392" spans="1:12" x14ac:dyDescent="0.25">
      <c r="A1392" s="35"/>
      <c r="B1392" s="36"/>
      <c r="C1392" s="37"/>
      <c r="D1392" s="36"/>
      <c r="E1392" s="36"/>
      <c r="F1392" s="37"/>
      <c r="G1392" s="36"/>
      <c r="H1392" s="36"/>
      <c r="I1392" s="171"/>
      <c r="J1392" s="38"/>
      <c r="K1392" s="28"/>
      <c r="L1392" s="28"/>
    </row>
    <row r="1393" spans="1:12" x14ac:dyDescent="0.25">
      <c r="A1393" s="35"/>
      <c r="B1393" s="36"/>
      <c r="C1393" s="37"/>
      <c r="D1393" s="36"/>
      <c r="E1393" s="36"/>
      <c r="F1393" s="37"/>
      <c r="G1393" s="36"/>
      <c r="H1393" s="36"/>
      <c r="I1393" s="171"/>
      <c r="J1393" s="38"/>
      <c r="K1393" s="28"/>
      <c r="L1393" s="28"/>
    </row>
    <row r="1394" spans="1:12" x14ac:dyDescent="0.25">
      <c r="A1394" s="35"/>
      <c r="B1394" s="36"/>
      <c r="C1394" s="37"/>
      <c r="D1394" s="36"/>
      <c r="E1394" s="36"/>
      <c r="F1394" s="37"/>
      <c r="G1394" s="36"/>
      <c r="H1394" s="36"/>
      <c r="I1394" s="171"/>
      <c r="J1394" s="38"/>
      <c r="K1394" s="28"/>
      <c r="L1394" s="28"/>
    </row>
    <row r="1395" spans="1:12" x14ac:dyDescent="0.25">
      <c r="A1395" s="35"/>
      <c r="B1395" s="36"/>
      <c r="C1395" s="37"/>
      <c r="D1395" s="36"/>
      <c r="E1395" s="36"/>
      <c r="F1395" s="37"/>
      <c r="G1395" s="36"/>
      <c r="H1395" s="36"/>
      <c r="I1395" s="171"/>
      <c r="J1395" s="38"/>
      <c r="K1395" s="28"/>
      <c r="L1395" s="28"/>
    </row>
    <row r="1396" spans="1:12" x14ac:dyDescent="0.25">
      <c r="A1396" s="35"/>
      <c r="B1396" s="36"/>
      <c r="C1396" s="37"/>
      <c r="D1396" s="36"/>
      <c r="E1396" s="36"/>
      <c r="F1396" s="37"/>
      <c r="G1396" s="36"/>
      <c r="H1396" s="36"/>
      <c r="I1396" s="171"/>
      <c r="J1396" s="38"/>
      <c r="K1396" s="28"/>
      <c r="L1396" s="28"/>
    </row>
    <row r="1397" spans="1:12" x14ac:dyDescent="0.25">
      <c r="A1397" s="35"/>
      <c r="B1397" s="36"/>
      <c r="C1397" s="37"/>
      <c r="D1397" s="36"/>
      <c r="E1397" s="36"/>
      <c r="F1397" s="37"/>
      <c r="G1397" s="36"/>
      <c r="H1397" s="36"/>
      <c r="I1397" s="171"/>
      <c r="J1397" s="38"/>
      <c r="K1397" s="28"/>
      <c r="L1397" s="28"/>
    </row>
    <row r="1398" spans="1:12" x14ac:dyDescent="0.25">
      <c r="A1398" s="35"/>
      <c r="B1398" s="36"/>
      <c r="C1398" s="37"/>
      <c r="D1398" s="36"/>
      <c r="E1398" s="36"/>
      <c r="F1398" s="37"/>
      <c r="G1398" s="36"/>
      <c r="H1398" s="36"/>
      <c r="I1398" s="171"/>
      <c r="J1398" s="38"/>
      <c r="K1398" s="28"/>
      <c r="L1398" s="28"/>
    </row>
    <row r="1399" spans="1:12" x14ac:dyDescent="0.25">
      <c r="A1399" s="35"/>
      <c r="B1399" s="36"/>
      <c r="C1399" s="37"/>
      <c r="D1399" s="36"/>
      <c r="E1399" s="36"/>
      <c r="F1399" s="37"/>
      <c r="G1399" s="36"/>
      <c r="H1399" s="36"/>
      <c r="I1399" s="171"/>
      <c r="J1399" s="38"/>
      <c r="K1399" s="28"/>
      <c r="L1399" s="28"/>
    </row>
    <row r="1400" spans="1:12" x14ac:dyDescent="0.25">
      <c r="A1400" s="35"/>
      <c r="B1400" s="36"/>
      <c r="C1400" s="37"/>
      <c r="D1400" s="36"/>
      <c r="E1400" s="36"/>
      <c r="F1400" s="37"/>
      <c r="G1400" s="36"/>
      <c r="H1400" s="36"/>
      <c r="I1400" s="171"/>
      <c r="J1400" s="38"/>
      <c r="K1400" s="28"/>
      <c r="L1400" s="28"/>
    </row>
    <row r="1401" spans="1:12" x14ac:dyDescent="0.25">
      <c r="A1401" s="35"/>
      <c r="B1401" s="36"/>
      <c r="C1401" s="37"/>
      <c r="D1401" s="36"/>
      <c r="E1401" s="36"/>
      <c r="F1401" s="37"/>
      <c r="G1401" s="36"/>
      <c r="H1401" s="36"/>
      <c r="I1401" s="171"/>
      <c r="J1401" s="38"/>
      <c r="K1401" s="28"/>
      <c r="L1401" s="28"/>
    </row>
    <row r="1402" spans="1:12" x14ac:dyDescent="0.25">
      <c r="A1402" s="35"/>
      <c r="B1402" s="36"/>
      <c r="C1402" s="37"/>
      <c r="D1402" s="36"/>
      <c r="E1402" s="36"/>
      <c r="F1402" s="37"/>
      <c r="G1402" s="36"/>
      <c r="H1402" s="36"/>
      <c r="I1402" s="171"/>
      <c r="J1402" s="38"/>
      <c r="K1402" s="28"/>
      <c r="L1402" s="28"/>
    </row>
    <row r="1403" spans="1:12" x14ac:dyDescent="0.25">
      <c r="A1403" s="35"/>
      <c r="B1403" s="36"/>
      <c r="C1403" s="37"/>
      <c r="D1403" s="36"/>
      <c r="E1403" s="36"/>
      <c r="F1403" s="37"/>
      <c r="G1403" s="36"/>
      <c r="H1403" s="36"/>
      <c r="I1403" s="171"/>
      <c r="J1403" s="38"/>
      <c r="K1403" s="28"/>
      <c r="L1403" s="28"/>
    </row>
    <row r="1404" spans="1:12" x14ac:dyDescent="0.25">
      <c r="A1404" s="35"/>
      <c r="B1404" s="36"/>
      <c r="C1404" s="37"/>
      <c r="D1404" s="36"/>
      <c r="E1404" s="36"/>
      <c r="F1404" s="37"/>
      <c r="G1404" s="36"/>
      <c r="H1404" s="36"/>
      <c r="I1404" s="171"/>
      <c r="J1404" s="38"/>
      <c r="K1404" s="28"/>
      <c r="L1404" s="28"/>
    </row>
    <row r="1405" spans="1:12" x14ac:dyDescent="0.25">
      <c r="A1405" s="35"/>
      <c r="B1405" s="36"/>
      <c r="C1405" s="37"/>
      <c r="D1405" s="36"/>
      <c r="E1405" s="36"/>
      <c r="F1405" s="37"/>
      <c r="G1405" s="36"/>
      <c r="H1405" s="36"/>
      <c r="I1405" s="171"/>
      <c r="J1405" s="38"/>
      <c r="K1405" s="28"/>
      <c r="L1405" s="28"/>
    </row>
    <row r="1406" spans="1:12" x14ac:dyDescent="0.25">
      <c r="A1406" s="35"/>
      <c r="B1406" s="36"/>
      <c r="C1406" s="37"/>
      <c r="D1406" s="36"/>
      <c r="E1406" s="36"/>
      <c r="F1406" s="37"/>
      <c r="G1406" s="36"/>
      <c r="H1406" s="36"/>
      <c r="I1406" s="171"/>
      <c r="J1406" s="38"/>
      <c r="K1406" s="28"/>
      <c r="L1406" s="28"/>
    </row>
    <row r="1407" spans="1:12" x14ac:dyDescent="0.25">
      <c r="A1407" s="35"/>
      <c r="B1407" s="36"/>
      <c r="C1407" s="37"/>
      <c r="D1407" s="36"/>
      <c r="E1407" s="36"/>
      <c r="F1407" s="37"/>
      <c r="G1407" s="36"/>
      <c r="H1407" s="36"/>
      <c r="I1407" s="171"/>
      <c r="J1407" s="38"/>
      <c r="K1407" s="28"/>
      <c r="L1407" s="28"/>
    </row>
    <row r="1408" spans="1:12" x14ac:dyDescent="0.25">
      <c r="A1408" s="35"/>
      <c r="B1408" s="36"/>
      <c r="C1408" s="37"/>
      <c r="D1408" s="36"/>
      <c r="E1408" s="36"/>
      <c r="F1408" s="37"/>
      <c r="G1408" s="36"/>
      <c r="H1408" s="36"/>
      <c r="I1408" s="171"/>
      <c r="J1408" s="38"/>
      <c r="K1408" s="28"/>
      <c r="L1408" s="28"/>
    </row>
    <row r="1409" spans="1:12" x14ac:dyDescent="0.25">
      <c r="A1409" s="35"/>
      <c r="B1409" s="36"/>
      <c r="C1409" s="37"/>
      <c r="D1409" s="36"/>
      <c r="E1409" s="36"/>
      <c r="F1409" s="37"/>
      <c r="G1409" s="36"/>
      <c r="H1409" s="36"/>
      <c r="I1409" s="171"/>
      <c r="J1409" s="38"/>
      <c r="K1409" s="28"/>
      <c r="L1409" s="28"/>
    </row>
    <row r="1410" spans="1:12" x14ac:dyDescent="0.25">
      <c r="A1410" s="35"/>
      <c r="B1410" s="36"/>
      <c r="C1410" s="37"/>
      <c r="D1410" s="36"/>
      <c r="E1410" s="36"/>
      <c r="F1410" s="37"/>
      <c r="G1410" s="36"/>
      <c r="H1410" s="36"/>
      <c r="I1410" s="171"/>
      <c r="J1410" s="38"/>
      <c r="K1410" s="28"/>
      <c r="L1410" s="28"/>
    </row>
    <row r="1411" spans="1:12" x14ac:dyDescent="0.25">
      <c r="A1411" s="35"/>
      <c r="B1411" s="36"/>
      <c r="C1411" s="37"/>
      <c r="D1411" s="36"/>
      <c r="E1411" s="36"/>
      <c r="F1411" s="37"/>
      <c r="G1411" s="36"/>
      <c r="H1411" s="36"/>
      <c r="I1411" s="171"/>
      <c r="J1411" s="38"/>
      <c r="K1411" s="28"/>
      <c r="L1411" s="28"/>
    </row>
    <row r="1412" spans="1:12" x14ac:dyDescent="0.25">
      <c r="A1412" s="35"/>
      <c r="B1412" s="36"/>
      <c r="C1412" s="37"/>
      <c r="D1412" s="36"/>
      <c r="E1412" s="36"/>
      <c r="F1412" s="37"/>
      <c r="G1412" s="36"/>
      <c r="H1412" s="36"/>
      <c r="I1412" s="171"/>
      <c r="J1412" s="38"/>
      <c r="K1412" s="28"/>
      <c r="L1412" s="28"/>
    </row>
    <row r="1413" spans="1:12" x14ac:dyDescent="0.25">
      <c r="A1413" s="35"/>
      <c r="B1413" s="36"/>
      <c r="C1413" s="37"/>
      <c r="D1413" s="36"/>
      <c r="E1413" s="36"/>
      <c r="F1413" s="37"/>
      <c r="G1413" s="36"/>
      <c r="H1413" s="36"/>
      <c r="I1413" s="171"/>
      <c r="J1413" s="38"/>
      <c r="K1413" s="28"/>
      <c r="L1413" s="28"/>
    </row>
    <row r="1414" spans="1:12" x14ac:dyDescent="0.25">
      <c r="A1414" s="35"/>
      <c r="B1414" s="36"/>
      <c r="C1414" s="37"/>
      <c r="D1414" s="36"/>
      <c r="E1414" s="36"/>
      <c r="F1414" s="37"/>
      <c r="G1414" s="36"/>
      <c r="H1414" s="36"/>
      <c r="I1414" s="171"/>
      <c r="J1414" s="38"/>
      <c r="K1414" s="28"/>
      <c r="L1414" s="28"/>
    </row>
    <row r="1415" spans="1:12" x14ac:dyDescent="0.25">
      <c r="A1415" s="35"/>
      <c r="B1415" s="36"/>
      <c r="C1415" s="37"/>
      <c r="D1415" s="36"/>
      <c r="E1415" s="36"/>
      <c r="F1415" s="37"/>
      <c r="G1415" s="36"/>
      <c r="H1415" s="36"/>
      <c r="I1415" s="171"/>
      <c r="J1415" s="38"/>
      <c r="K1415" s="28"/>
      <c r="L1415" s="28"/>
    </row>
    <row r="1416" spans="1:12" x14ac:dyDescent="0.25">
      <c r="A1416" s="35"/>
      <c r="B1416" s="36"/>
      <c r="C1416" s="37"/>
      <c r="D1416" s="36"/>
      <c r="E1416" s="36"/>
      <c r="F1416" s="37"/>
      <c r="G1416" s="36"/>
      <c r="H1416" s="36"/>
      <c r="I1416" s="171"/>
      <c r="J1416" s="38"/>
      <c r="K1416" s="28"/>
      <c r="L1416" s="28"/>
    </row>
    <row r="1417" spans="1:12" x14ac:dyDescent="0.25">
      <c r="A1417" s="35"/>
      <c r="B1417" s="36"/>
      <c r="C1417" s="37"/>
      <c r="D1417" s="36"/>
      <c r="E1417" s="36"/>
      <c r="F1417" s="37"/>
      <c r="G1417" s="36"/>
      <c r="H1417" s="36"/>
      <c r="I1417" s="171"/>
      <c r="J1417" s="38"/>
      <c r="K1417" s="28"/>
      <c r="L1417" s="28"/>
    </row>
    <row r="1418" spans="1:12" x14ac:dyDescent="0.25">
      <c r="A1418" s="35"/>
      <c r="B1418" s="36"/>
      <c r="C1418" s="37"/>
      <c r="D1418" s="36"/>
      <c r="E1418" s="36"/>
      <c r="F1418" s="37"/>
      <c r="G1418" s="36"/>
      <c r="H1418" s="36"/>
      <c r="I1418" s="171"/>
      <c r="J1418" s="38"/>
      <c r="K1418" s="28"/>
      <c r="L1418" s="28"/>
    </row>
    <row r="1419" spans="1:12" x14ac:dyDescent="0.25">
      <c r="A1419" s="35"/>
      <c r="B1419" s="36"/>
      <c r="C1419" s="37"/>
      <c r="D1419" s="36"/>
      <c r="E1419" s="36"/>
      <c r="F1419" s="37"/>
      <c r="G1419" s="36"/>
      <c r="H1419" s="36"/>
      <c r="I1419" s="171"/>
      <c r="J1419" s="38"/>
      <c r="K1419" s="28"/>
      <c r="L1419" s="28"/>
    </row>
    <row r="1420" spans="1:12" x14ac:dyDescent="0.25">
      <c r="A1420" s="35"/>
      <c r="B1420" s="36"/>
      <c r="C1420" s="37"/>
      <c r="D1420" s="36"/>
      <c r="E1420" s="36"/>
      <c r="F1420" s="37"/>
      <c r="G1420" s="36"/>
      <c r="H1420" s="36"/>
      <c r="I1420" s="171"/>
      <c r="J1420" s="38"/>
      <c r="K1420" s="28"/>
      <c r="L1420" s="28"/>
    </row>
    <row r="1421" spans="1:12" x14ac:dyDescent="0.25">
      <c r="A1421" s="35"/>
      <c r="B1421" s="36"/>
      <c r="C1421" s="37"/>
      <c r="D1421" s="36"/>
      <c r="E1421" s="36"/>
      <c r="F1421" s="37"/>
      <c r="G1421" s="36"/>
      <c r="H1421" s="36"/>
      <c r="I1421" s="171"/>
      <c r="J1421" s="38"/>
      <c r="K1421" s="28"/>
      <c r="L1421" s="28"/>
    </row>
    <row r="1422" spans="1:12" x14ac:dyDescent="0.25">
      <c r="A1422" s="35"/>
      <c r="B1422" s="36"/>
      <c r="C1422" s="37"/>
      <c r="D1422" s="36"/>
      <c r="E1422" s="36"/>
      <c r="F1422" s="37"/>
      <c r="G1422" s="36"/>
      <c r="H1422" s="36"/>
      <c r="I1422" s="171"/>
      <c r="J1422" s="38"/>
      <c r="K1422" s="28"/>
      <c r="L1422" s="28"/>
    </row>
    <row r="1423" spans="1:12" x14ac:dyDescent="0.25">
      <c r="A1423" s="35"/>
      <c r="B1423" s="36"/>
      <c r="C1423" s="37"/>
      <c r="D1423" s="36"/>
      <c r="E1423" s="36"/>
      <c r="F1423" s="37"/>
      <c r="G1423" s="36"/>
      <c r="H1423" s="36"/>
      <c r="I1423" s="171"/>
      <c r="J1423" s="38"/>
      <c r="K1423" s="28"/>
      <c r="L1423" s="28"/>
    </row>
    <row r="1424" spans="1:12" x14ac:dyDescent="0.25">
      <c r="A1424" s="35"/>
      <c r="B1424" s="36"/>
      <c r="C1424" s="37"/>
      <c r="D1424" s="36"/>
      <c r="E1424" s="36"/>
      <c r="F1424" s="37"/>
      <c r="G1424" s="36"/>
      <c r="H1424" s="36"/>
      <c r="I1424" s="171"/>
      <c r="J1424" s="38"/>
      <c r="K1424" s="28"/>
      <c r="L1424" s="28"/>
    </row>
    <row r="1425" spans="1:12" x14ac:dyDescent="0.25">
      <c r="A1425" s="35"/>
      <c r="B1425" s="36"/>
      <c r="C1425" s="37"/>
      <c r="D1425" s="36"/>
      <c r="E1425" s="36"/>
      <c r="F1425" s="37"/>
      <c r="G1425" s="36"/>
      <c r="H1425" s="36"/>
      <c r="I1425" s="171"/>
      <c r="J1425" s="38"/>
      <c r="K1425" s="28"/>
      <c r="L1425" s="28"/>
    </row>
    <row r="1426" spans="1:12" x14ac:dyDescent="0.25">
      <c r="A1426" s="35"/>
      <c r="B1426" s="36"/>
      <c r="C1426" s="37"/>
      <c r="D1426" s="36"/>
      <c r="E1426" s="36"/>
      <c r="F1426" s="37"/>
      <c r="G1426" s="36"/>
      <c r="H1426" s="36"/>
      <c r="I1426" s="171"/>
      <c r="J1426" s="38"/>
      <c r="K1426" s="28"/>
      <c r="L1426" s="28"/>
    </row>
    <row r="1427" spans="1:12" x14ac:dyDescent="0.25">
      <c r="A1427" s="35"/>
      <c r="B1427" s="36"/>
      <c r="C1427" s="37"/>
      <c r="D1427" s="36"/>
      <c r="E1427" s="36"/>
      <c r="F1427" s="37"/>
      <c r="G1427" s="36"/>
      <c r="H1427" s="36"/>
      <c r="I1427" s="171"/>
      <c r="J1427" s="38"/>
      <c r="K1427" s="28"/>
      <c r="L1427" s="28"/>
    </row>
    <row r="1428" spans="1:12" x14ac:dyDescent="0.25">
      <c r="A1428" s="35"/>
      <c r="B1428" s="36"/>
      <c r="C1428" s="37"/>
      <c r="D1428" s="36"/>
      <c r="E1428" s="36"/>
      <c r="F1428" s="37"/>
      <c r="G1428" s="36"/>
      <c r="H1428" s="36"/>
      <c r="I1428" s="171"/>
      <c r="J1428" s="38"/>
      <c r="K1428" s="28"/>
      <c r="L1428" s="28"/>
    </row>
    <row r="1429" spans="1:12" x14ac:dyDescent="0.25">
      <c r="A1429" s="35"/>
      <c r="B1429" s="36"/>
      <c r="C1429" s="37"/>
      <c r="D1429" s="36"/>
      <c r="E1429" s="36"/>
      <c r="F1429" s="37"/>
      <c r="G1429" s="36"/>
      <c r="H1429" s="36"/>
      <c r="I1429" s="171"/>
      <c r="J1429" s="38"/>
      <c r="K1429" s="28"/>
      <c r="L1429" s="28"/>
    </row>
    <row r="1430" spans="1:12" x14ac:dyDescent="0.25">
      <c r="A1430" s="35"/>
      <c r="B1430" s="36"/>
      <c r="C1430" s="37"/>
      <c r="D1430" s="36"/>
      <c r="E1430" s="36"/>
      <c r="F1430" s="37"/>
      <c r="G1430" s="36"/>
      <c r="H1430" s="36"/>
      <c r="I1430" s="171"/>
      <c r="J1430" s="38"/>
      <c r="K1430" s="28"/>
      <c r="L1430" s="28"/>
    </row>
    <row r="1431" spans="1:12" x14ac:dyDescent="0.25">
      <c r="A1431" s="35"/>
      <c r="B1431" s="36"/>
      <c r="C1431" s="37"/>
      <c r="D1431" s="36"/>
      <c r="E1431" s="36"/>
      <c r="F1431" s="37"/>
      <c r="G1431" s="36"/>
      <c r="H1431" s="36"/>
      <c r="I1431" s="171"/>
      <c r="J1431" s="38"/>
      <c r="K1431" s="28"/>
      <c r="L1431" s="28"/>
    </row>
    <row r="1432" spans="1:12" x14ac:dyDescent="0.25">
      <c r="A1432" s="35"/>
      <c r="B1432" s="36"/>
      <c r="C1432" s="37"/>
      <c r="D1432" s="36"/>
      <c r="E1432" s="36"/>
      <c r="F1432" s="37"/>
      <c r="G1432" s="36"/>
      <c r="H1432" s="36"/>
      <c r="I1432" s="171"/>
      <c r="J1432" s="38"/>
      <c r="K1432" s="28"/>
      <c r="L1432" s="28"/>
    </row>
    <row r="1433" spans="1:12" x14ac:dyDescent="0.25">
      <c r="A1433" s="35"/>
      <c r="B1433" s="36"/>
      <c r="C1433" s="37"/>
      <c r="D1433" s="36"/>
      <c r="E1433" s="36"/>
      <c r="F1433" s="37"/>
      <c r="G1433" s="36"/>
      <c r="H1433" s="36"/>
      <c r="I1433" s="171"/>
      <c r="J1433" s="38"/>
      <c r="K1433" s="28"/>
      <c r="L1433" s="28"/>
    </row>
    <row r="1434" spans="1:12" x14ac:dyDescent="0.25">
      <c r="A1434" s="35"/>
      <c r="B1434" s="36"/>
      <c r="C1434" s="37"/>
      <c r="D1434" s="36"/>
      <c r="E1434" s="36"/>
      <c r="F1434" s="37"/>
      <c r="G1434" s="36"/>
      <c r="H1434" s="36"/>
      <c r="I1434" s="171"/>
      <c r="J1434" s="38"/>
      <c r="K1434" s="28"/>
      <c r="L1434" s="28"/>
    </row>
    <row r="1435" spans="1:12" x14ac:dyDescent="0.25">
      <c r="A1435" s="35"/>
      <c r="B1435" s="36"/>
      <c r="C1435" s="37"/>
      <c r="D1435" s="36"/>
      <c r="E1435" s="36"/>
      <c r="F1435" s="37"/>
      <c r="G1435" s="36"/>
      <c r="H1435" s="36"/>
      <c r="I1435" s="171"/>
      <c r="J1435" s="38"/>
      <c r="K1435" s="28"/>
      <c r="L1435" s="28"/>
    </row>
    <row r="1436" spans="1:12" x14ac:dyDescent="0.25">
      <c r="A1436" s="35"/>
      <c r="B1436" s="36"/>
      <c r="C1436" s="37"/>
      <c r="D1436" s="36"/>
      <c r="E1436" s="36"/>
      <c r="F1436" s="37"/>
      <c r="G1436" s="36"/>
      <c r="H1436" s="36"/>
      <c r="I1436" s="171"/>
      <c r="J1436" s="38"/>
      <c r="K1436" s="28"/>
      <c r="L1436" s="28"/>
    </row>
    <row r="1437" spans="1:12" x14ac:dyDescent="0.25">
      <c r="A1437" s="35"/>
      <c r="B1437" s="36"/>
      <c r="C1437" s="37"/>
      <c r="D1437" s="36"/>
      <c r="E1437" s="36"/>
      <c r="F1437" s="37"/>
      <c r="G1437" s="36"/>
      <c r="H1437" s="36"/>
      <c r="I1437" s="171"/>
      <c r="J1437" s="38"/>
      <c r="K1437" s="28"/>
      <c r="L1437" s="28"/>
    </row>
    <row r="1438" spans="1:12" x14ac:dyDescent="0.25">
      <c r="A1438" s="35"/>
      <c r="B1438" s="36"/>
      <c r="C1438" s="37"/>
      <c r="D1438" s="36"/>
      <c r="E1438" s="36"/>
      <c r="F1438" s="37"/>
      <c r="G1438" s="36"/>
      <c r="H1438" s="36"/>
      <c r="I1438" s="171"/>
      <c r="J1438" s="38"/>
      <c r="K1438" s="28"/>
      <c r="L1438" s="28"/>
    </row>
    <row r="1439" spans="1:12" x14ac:dyDescent="0.25">
      <c r="A1439" s="35"/>
      <c r="B1439" s="36"/>
      <c r="C1439" s="37"/>
      <c r="D1439" s="36"/>
      <c r="E1439" s="36"/>
      <c r="F1439" s="37"/>
      <c r="G1439" s="36"/>
      <c r="H1439" s="36"/>
      <c r="I1439" s="171"/>
      <c r="J1439" s="38"/>
      <c r="K1439" s="28"/>
      <c r="L1439" s="28"/>
    </row>
    <row r="1440" spans="1:12" x14ac:dyDescent="0.25">
      <c r="A1440" s="35"/>
      <c r="B1440" s="36"/>
      <c r="C1440" s="37"/>
      <c r="D1440" s="36"/>
      <c r="E1440" s="36"/>
      <c r="F1440" s="37"/>
      <c r="G1440" s="36"/>
      <c r="H1440" s="36"/>
      <c r="I1440" s="171"/>
      <c r="J1440" s="38"/>
      <c r="K1440" s="28"/>
      <c r="L1440" s="28"/>
    </row>
    <row r="1441" spans="1:12" x14ac:dyDescent="0.25">
      <c r="A1441" s="35"/>
      <c r="B1441" s="36"/>
      <c r="C1441" s="37"/>
      <c r="D1441" s="36"/>
      <c r="E1441" s="36"/>
      <c r="F1441" s="37"/>
      <c r="G1441" s="36"/>
      <c r="H1441" s="36"/>
      <c r="I1441" s="171"/>
      <c r="J1441" s="38"/>
      <c r="K1441" s="28"/>
      <c r="L1441" s="28"/>
    </row>
    <row r="1442" spans="1:12" x14ac:dyDescent="0.25">
      <c r="A1442" s="35"/>
      <c r="B1442" s="36"/>
      <c r="C1442" s="37"/>
      <c r="D1442" s="36"/>
      <c r="E1442" s="36"/>
      <c r="F1442" s="37"/>
      <c r="G1442" s="36"/>
      <c r="H1442" s="36"/>
      <c r="I1442" s="171"/>
      <c r="J1442" s="38"/>
      <c r="K1442" s="28"/>
      <c r="L1442" s="28"/>
    </row>
    <row r="1443" spans="1:12" x14ac:dyDescent="0.25">
      <c r="A1443" s="35"/>
      <c r="B1443" s="36"/>
      <c r="C1443" s="37"/>
      <c r="D1443" s="36"/>
      <c r="E1443" s="36"/>
      <c r="F1443" s="37"/>
      <c r="G1443" s="36"/>
      <c r="H1443" s="36"/>
      <c r="I1443" s="171"/>
      <c r="J1443" s="38"/>
      <c r="K1443" s="28"/>
      <c r="L1443" s="28"/>
    </row>
    <row r="1444" spans="1:12" x14ac:dyDescent="0.25">
      <c r="A1444" s="35"/>
      <c r="B1444" s="36"/>
      <c r="C1444" s="37"/>
      <c r="D1444" s="36"/>
      <c r="E1444" s="36"/>
      <c r="F1444" s="37"/>
      <c r="G1444" s="36"/>
      <c r="H1444" s="36"/>
      <c r="I1444" s="171"/>
      <c r="J1444" s="38"/>
      <c r="K1444" s="28"/>
      <c r="L1444" s="28"/>
    </row>
    <row r="1445" spans="1:12" x14ac:dyDescent="0.25">
      <c r="A1445" s="35"/>
      <c r="B1445" s="36"/>
      <c r="C1445" s="37"/>
      <c r="D1445" s="36"/>
      <c r="E1445" s="36"/>
      <c r="F1445" s="37"/>
      <c r="G1445" s="36"/>
      <c r="H1445" s="36"/>
      <c r="I1445" s="171"/>
      <c r="J1445" s="38"/>
      <c r="K1445" s="28"/>
      <c r="L1445" s="28"/>
    </row>
    <row r="1446" spans="1:12" x14ac:dyDescent="0.25">
      <c r="A1446" s="35"/>
      <c r="B1446" s="36"/>
      <c r="C1446" s="37"/>
      <c r="D1446" s="36"/>
      <c r="E1446" s="36"/>
      <c r="F1446" s="37"/>
      <c r="G1446" s="36"/>
      <c r="H1446" s="36"/>
      <c r="I1446" s="171"/>
      <c r="J1446" s="38"/>
      <c r="K1446" s="28"/>
      <c r="L1446" s="28"/>
    </row>
    <row r="1447" spans="1:12" x14ac:dyDescent="0.25">
      <c r="A1447" s="35"/>
      <c r="B1447" s="36"/>
      <c r="C1447" s="37"/>
      <c r="D1447" s="36"/>
      <c r="E1447" s="36"/>
      <c r="F1447" s="37"/>
      <c r="G1447" s="36"/>
      <c r="H1447" s="36"/>
      <c r="I1447" s="171"/>
      <c r="J1447" s="38"/>
      <c r="K1447" s="28"/>
      <c r="L1447" s="28"/>
    </row>
    <row r="1448" spans="1:12" x14ac:dyDescent="0.25">
      <c r="A1448" s="35"/>
      <c r="B1448" s="36"/>
      <c r="C1448" s="37"/>
      <c r="D1448" s="36"/>
      <c r="E1448" s="36"/>
      <c r="F1448" s="37"/>
      <c r="G1448" s="36"/>
      <c r="H1448" s="36"/>
      <c r="I1448" s="171"/>
      <c r="J1448" s="38"/>
      <c r="K1448" s="28"/>
      <c r="L1448" s="28"/>
    </row>
    <row r="1449" spans="1:12" x14ac:dyDescent="0.25">
      <c r="A1449" s="35"/>
      <c r="B1449" s="36"/>
      <c r="C1449" s="37"/>
      <c r="D1449" s="36"/>
      <c r="E1449" s="36"/>
      <c r="F1449" s="37"/>
      <c r="G1449" s="36"/>
      <c r="H1449" s="36"/>
      <c r="I1449" s="171"/>
      <c r="J1449" s="38"/>
      <c r="K1449" s="28"/>
      <c r="L1449" s="28"/>
    </row>
    <row r="1450" spans="1:12" x14ac:dyDescent="0.25">
      <c r="A1450" s="35"/>
      <c r="B1450" s="36"/>
      <c r="C1450" s="37"/>
      <c r="D1450" s="36"/>
      <c r="E1450" s="36"/>
      <c r="F1450" s="37"/>
      <c r="G1450" s="36"/>
      <c r="H1450" s="36"/>
      <c r="I1450" s="171"/>
      <c r="J1450" s="38"/>
      <c r="K1450" s="28"/>
      <c r="L1450" s="28"/>
    </row>
    <row r="1451" spans="1:12" x14ac:dyDescent="0.25">
      <c r="A1451" s="35"/>
      <c r="B1451" s="36"/>
      <c r="C1451" s="37"/>
      <c r="D1451" s="36"/>
      <c r="E1451" s="36"/>
      <c r="F1451" s="37"/>
      <c r="G1451" s="36"/>
      <c r="H1451" s="36"/>
      <c r="I1451" s="171"/>
      <c r="J1451" s="38"/>
      <c r="K1451" s="28"/>
      <c r="L1451" s="28"/>
    </row>
    <row r="1452" spans="1:12" x14ac:dyDescent="0.25">
      <c r="A1452" s="35"/>
      <c r="B1452" s="36"/>
      <c r="C1452" s="37"/>
      <c r="D1452" s="36"/>
      <c r="E1452" s="36"/>
      <c r="F1452" s="37"/>
      <c r="G1452" s="36"/>
      <c r="H1452" s="36"/>
      <c r="I1452" s="171"/>
      <c r="J1452" s="38"/>
      <c r="K1452" s="28"/>
      <c r="L1452" s="28"/>
    </row>
    <row r="1453" spans="1:12" x14ac:dyDescent="0.25">
      <c r="A1453" s="35"/>
      <c r="B1453" s="36"/>
      <c r="C1453" s="37"/>
      <c r="D1453" s="36"/>
      <c r="E1453" s="36"/>
      <c r="F1453" s="37"/>
      <c r="G1453" s="36"/>
      <c r="H1453" s="36"/>
      <c r="I1453" s="171"/>
      <c r="J1453" s="38"/>
      <c r="K1453" s="28"/>
      <c r="L1453" s="28"/>
    </row>
    <row r="1454" spans="1:12" x14ac:dyDescent="0.25">
      <c r="A1454" s="35"/>
      <c r="B1454" s="36"/>
      <c r="C1454" s="37"/>
      <c r="D1454" s="36"/>
      <c r="E1454" s="36"/>
      <c r="F1454" s="37"/>
      <c r="G1454" s="36"/>
      <c r="H1454" s="36"/>
      <c r="I1454" s="171"/>
      <c r="J1454" s="38"/>
      <c r="K1454" s="28"/>
      <c r="L1454" s="28"/>
    </row>
    <row r="1455" spans="1:12" x14ac:dyDescent="0.25">
      <c r="A1455" s="35"/>
      <c r="B1455" s="36"/>
      <c r="C1455" s="37"/>
      <c r="D1455" s="36"/>
      <c r="E1455" s="36"/>
      <c r="F1455" s="37"/>
      <c r="G1455" s="36"/>
      <c r="H1455" s="36"/>
      <c r="I1455" s="171"/>
      <c r="J1455" s="38"/>
      <c r="K1455" s="28"/>
      <c r="L1455" s="28"/>
    </row>
    <row r="1456" spans="1:12" x14ac:dyDescent="0.25">
      <c r="A1456" s="35"/>
      <c r="B1456" s="36"/>
      <c r="C1456" s="37"/>
      <c r="D1456" s="36"/>
      <c r="E1456" s="36"/>
      <c r="F1456" s="37"/>
      <c r="G1456" s="36"/>
      <c r="H1456" s="36"/>
      <c r="I1456" s="171"/>
      <c r="J1456" s="38"/>
      <c r="K1456" s="28"/>
      <c r="L1456" s="28"/>
    </row>
    <row r="1457" spans="1:12" x14ac:dyDescent="0.25">
      <c r="A1457" s="35"/>
      <c r="B1457" s="36"/>
      <c r="C1457" s="37"/>
      <c r="D1457" s="36"/>
      <c r="E1457" s="36"/>
      <c r="F1457" s="37"/>
      <c r="G1457" s="36"/>
      <c r="H1457" s="36"/>
      <c r="I1457" s="171"/>
      <c r="J1457" s="38"/>
      <c r="K1457" s="28"/>
      <c r="L1457" s="28"/>
    </row>
    <row r="1458" spans="1:12" x14ac:dyDescent="0.25">
      <c r="A1458" s="35"/>
      <c r="B1458" s="36"/>
      <c r="C1458" s="37"/>
      <c r="D1458" s="36"/>
      <c r="E1458" s="36"/>
      <c r="F1458" s="37"/>
      <c r="G1458" s="36"/>
      <c r="H1458" s="36"/>
      <c r="I1458" s="171"/>
      <c r="J1458" s="38"/>
      <c r="K1458" s="28"/>
      <c r="L1458" s="28"/>
    </row>
    <row r="1459" spans="1:12" x14ac:dyDescent="0.25">
      <c r="A1459" s="35"/>
      <c r="B1459" s="36"/>
      <c r="C1459" s="37"/>
      <c r="D1459" s="36"/>
      <c r="E1459" s="36"/>
      <c r="F1459" s="37"/>
      <c r="G1459" s="36"/>
      <c r="H1459" s="36"/>
      <c r="I1459" s="171"/>
      <c r="J1459" s="38"/>
      <c r="K1459" s="28"/>
      <c r="L1459" s="28"/>
    </row>
    <row r="1460" spans="1:12" x14ac:dyDescent="0.25">
      <c r="A1460" s="35"/>
      <c r="B1460" s="36"/>
      <c r="C1460" s="37"/>
      <c r="D1460" s="36"/>
      <c r="E1460" s="36"/>
      <c r="F1460" s="37"/>
      <c r="G1460" s="36"/>
      <c r="H1460" s="36"/>
      <c r="I1460" s="171"/>
      <c r="J1460" s="38"/>
      <c r="K1460" s="28"/>
      <c r="L1460" s="28"/>
    </row>
    <row r="1461" spans="1:12" x14ac:dyDescent="0.25">
      <c r="A1461" s="35"/>
      <c r="B1461" s="36"/>
      <c r="C1461" s="37"/>
      <c r="D1461" s="36"/>
      <c r="E1461" s="36"/>
      <c r="F1461" s="37"/>
      <c r="G1461" s="36"/>
      <c r="H1461" s="36"/>
      <c r="I1461" s="171"/>
      <c r="J1461" s="38"/>
      <c r="K1461" s="28"/>
      <c r="L1461" s="28"/>
    </row>
    <row r="1462" spans="1:12" x14ac:dyDescent="0.25">
      <c r="A1462" s="35"/>
      <c r="B1462" s="36"/>
      <c r="C1462" s="37"/>
      <c r="D1462" s="36"/>
      <c r="E1462" s="36"/>
      <c r="F1462" s="37"/>
      <c r="G1462" s="36"/>
      <c r="H1462" s="36"/>
      <c r="I1462" s="171"/>
      <c r="J1462" s="38"/>
      <c r="K1462" s="28"/>
      <c r="L1462" s="28"/>
    </row>
    <row r="1463" spans="1:12" x14ac:dyDescent="0.25">
      <c r="A1463" s="35"/>
      <c r="B1463" s="36"/>
      <c r="C1463" s="37"/>
      <c r="D1463" s="36"/>
      <c r="E1463" s="36"/>
      <c r="F1463" s="37"/>
      <c r="G1463" s="36"/>
      <c r="H1463" s="36"/>
      <c r="I1463" s="171"/>
      <c r="J1463" s="38"/>
      <c r="K1463" s="28"/>
      <c r="L1463" s="28"/>
    </row>
    <row r="1464" spans="1:12" x14ac:dyDescent="0.25">
      <c r="A1464" s="35"/>
      <c r="B1464" s="36"/>
      <c r="C1464" s="37"/>
      <c r="D1464" s="36"/>
      <c r="E1464" s="36"/>
      <c r="F1464" s="37"/>
      <c r="G1464" s="36"/>
      <c r="H1464" s="36"/>
      <c r="I1464" s="171"/>
      <c r="J1464" s="38"/>
      <c r="K1464" s="28"/>
      <c r="L1464" s="28"/>
    </row>
    <row r="1465" spans="1:12" x14ac:dyDescent="0.25">
      <c r="A1465" s="35"/>
      <c r="B1465" s="36"/>
      <c r="C1465" s="37"/>
      <c r="D1465" s="36"/>
      <c r="E1465" s="36"/>
      <c r="F1465" s="37"/>
      <c r="G1465" s="36"/>
      <c r="H1465" s="36"/>
      <c r="I1465" s="171"/>
      <c r="J1465" s="38"/>
      <c r="K1465" s="28"/>
      <c r="L1465" s="28"/>
    </row>
    <row r="1466" spans="1:12" x14ac:dyDescent="0.25">
      <c r="A1466" s="35"/>
      <c r="B1466" s="36"/>
      <c r="C1466" s="37"/>
      <c r="D1466" s="36"/>
      <c r="E1466" s="36"/>
      <c r="F1466" s="37"/>
      <c r="G1466" s="36"/>
      <c r="H1466" s="36"/>
      <c r="I1466" s="171"/>
      <c r="J1466" s="38"/>
      <c r="K1466" s="28"/>
      <c r="L1466" s="28"/>
    </row>
    <row r="1467" spans="1:12" x14ac:dyDescent="0.25">
      <c r="A1467" s="35"/>
      <c r="B1467" s="36"/>
      <c r="C1467" s="37"/>
      <c r="D1467" s="36"/>
      <c r="E1467" s="36"/>
      <c r="F1467" s="37"/>
      <c r="G1467" s="36"/>
      <c r="H1467" s="36"/>
      <c r="I1467" s="171"/>
      <c r="J1467" s="38"/>
      <c r="K1467" s="28"/>
      <c r="L1467" s="28"/>
    </row>
    <row r="1468" spans="1:12" x14ac:dyDescent="0.25">
      <c r="A1468" s="35"/>
      <c r="B1468" s="36"/>
      <c r="C1468" s="37"/>
      <c r="D1468" s="36"/>
      <c r="E1468" s="36"/>
      <c r="F1468" s="37"/>
      <c r="G1468" s="36"/>
      <c r="H1468" s="36"/>
      <c r="I1468" s="171"/>
      <c r="J1468" s="38"/>
      <c r="K1468" s="28"/>
      <c r="L1468" s="28"/>
    </row>
    <row r="1469" spans="1:12" x14ac:dyDescent="0.25">
      <c r="A1469" s="35"/>
      <c r="B1469" s="36"/>
      <c r="C1469" s="37"/>
      <c r="D1469" s="36"/>
      <c r="E1469" s="36"/>
      <c r="F1469" s="37"/>
      <c r="G1469" s="36"/>
      <c r="H1469" s="36"/>
      <c r="I1469" s="171"/>
      <c r="J1469" s="38"/>
      <c r="K1469" s="28"/>
      <c r="L1469" s="28"/>
    </row>
    <row r="1470" spans="1:12" x14ac:dyDescent="0.25">
      <c r="A1470" s="35"/>
      <c r="B1470" s="36"/>
      <c r="C1470" s="37"/>
      <c r="D1470" s="36"/>
      <c r="E1470" s="36"/>
      <c r="F1470" s="37"/>
      <c r="G1470" s="36"/>
      <c r="H1470" s="36"/>
      <c r="I1470" s="171"/>
      <c r="J1470" s="38"/>
      <c r="K1470" s="28"/>
      <c r="L1470" s="28"/>
    </row>
    <row r="1471" spans="1:12" x14ac:dyDescent="0.25">
      <c r="A1471" s="35"/>
      <c r="B1471" s="36"/>
      <c r="C1471" s="37"/>
      <c r="D1471" s="36"/>
      <c r="E1471" s="36"/>
      <c r="F1471" s="37"/>
      <c r="G1471" s="36"/>
      <c r="H1471" s="36"/>
      <c r="I1471" s="171"/>
      <c r="J1471" s="38"/>
      <c r="K1471" s="28"/>
      <c r="L1471" s="28"/>
    </row>
    <row r="1472" spans="1:12" x14ac:dyDescent="0.25">
      <c r="A1472" s="35"/>
      <c r="B1472" s="36"/>
      <c r="C1472" s="37"/>
      <c r="D1472" s="36"/>
      <c r="E1472" s="36"/>
      <c r="F1472" s="37"/>
      <c r="G1472" s="36"/>
      <c r="H1472" s="36"/>
      <c r="I1472" s="171"/>
      <c r="J1472" s="38"/>
      <c r="K1472" s="28"/>
      <c r="L1472" s="28"/>
    </row>
    <row r="1473" spans="1:12" x14ac:dyDescent="0.25">
      <c r="A1473" s="35"/>
      <c r="B1473" s="36"/>
      <c r="C1473" s="37"/>
      <c r="D1473" s="36"/>
      <c r="E1473" s="36"/>
      <c r="F1473" s="37"/>
      <c r="G1473" s="36"/>
      <c r="H1473" s="36"/>
      <c r="I1473" s="171"/>
      <c r="J1473" s="38"/>
      <c r="K1473" s="28"/>
      <c r="L1473" s="28"/>
    </row>
    <row r="1474" spans="1:12" x14ac:dyDescent="0.25">
      <c r="A1474" s="35"/>
      <c r="B1474" s="36"/>
      <c r="C1474" s="37"/>
      <c r="D1474" s="36"/>
      <c r="E1474" s="36"/>
      <c r="F1474" s="37"/>
      <c r="G1474" s="36"/>
      <c r="H1474" s="36"/>
      <c r="I1474" s="171"/>
      <c r="J1474" s="38"/>
      <c r="K1474" s="28"/>
      <c r="L1474" s="28"/>
    </row>
    <row r="1475" spans="1:12" x14ac:dyDescent="0.25">
      <c r="A1475" s="35"/>
      <c r="B1475" s="36"/>
      <c r="C1475" s="37"/>
      <c r="D1475" s="36"/>
      <c r="E1475" s="36"/>
      <c r="F1475" s="37"/>
      <c r="G1475" s="36"/>
      <c r="H1475" s="36"/>
      <c r="I1475" s="171"/>
      <c r="J1475" s="38"/>
      <c r="K1475" s="28"/>
      <c r="L1475" s="28"/>
    </row>
    <row r="1476" spans="1:12" x14ac:dyDescent="0.25">
      <c r="A1476" s="35"/>
      <c r="B1476" s="36"/>
      <c r="C1476" s="37"/>
      <c r="D1476" s="36"/>
      <c r="E1476" s="36"/>
      <c r="F1476" s="37"/>
      <c r="G1476" s="36"/>
      <c r="H1476" s="36"/>
      <c r="I1476" s="171"/>
      <c r="J1476" s="38"/>
      <c r="K1476" s="28"/>
      <c r="L1476" s="28"/>
    </row>
    <row r="1477" spans="1:12" x14ac:dyDescent="0.25">
      <c r="A1477" s="35"/>
      <c r="B1477" s="36"/>
      <c r="C1477" s="37"/>
      <c r="D1477" s="36"/>
      <c r="E1477" s="36"/>
      <c r="F1477" s="37"/>
      <c r="G1477" s="36"/>
      <c r="H1477" s="36"/>
      <c r="I1477" s="171"/>
      <c r="J1477" s="38"/>
      <c r="K1477" s="28"/>
      <c r="L1477" s="28"/>
    </row>
    <row r="1478" spans="1:12" x14ac:dyDescent="0.25">
      <c r="A1478" s="35"/>
      <c r="B1478" s="36"/>
      <c r="C1478" s="37"/>
      <c r="D1478" s="36"/>
      <c r="E1478" s="36"/>
      <c r="F1478" s="37"/>
      <c r="G1478" s="36"/>
      <c r="H1478" s="36"/>
      <c r="I1478" s="171"/>
      <c r="J1478" s="38"/>
      <c r="K1478" s="28"/>
      <c r="L1478" s="28"/>
    </row>
    <row r="1479" spans="1:12" x14ac:dyDescent="0.25">
      <c r="A1479" s="35"/>
      <c r="B1479" s="36"/>
      <c r="C1479" s="37"/>
      <c r="D1479" s="36"/>
      <c r="E1479" s="36"/>
      <c r="F1479" s="37"/>
      <c r="G1479" s="36"/>
      <c r="H1479" s="36"/>
      <c r="I1479" s="171"/>
      <c r="J1479" s="38"/>
      <c r="K1479" s="28"/>
      <c r="L1479" s="28"/>
    </row>
    <row r="1480" spans="1:12" x14ac:dyDescent="0.25">
      <c r="A1480" s="35"/>
      <c r="B1480" s="36"/>
      <c r="C1480" s="37"/>
      <c r="D1480" s="36"/>
      <c r="E1480" s="36"/>
      <c r="F1480" s="37"/>
      <c r="G1480" s="36"/>
      <c r="H1480" s="36"/>
      <c r="I1480" s="171"/>
      <c r="J1480" s="38"/>
      <c r="K1480" s="28"/>
      <c r="L1480" s="28"/>
    </row>
    <row r="1481" spans="1:12" x14ac:dyDescent="0.25">
      <c r="A1481" s="35"/>
      <c r="B1481" s="36"/>
      <c r="C1481" s="37"/>
      <c r="D1481" s="36"/>
      <c r="E1481" s="36"/>
      <c r="F1481" s="37"/>
      <c r="G1481" s="36"/>
      <c r="H1481" s="36"/>
      <c r="I1481" s="171"/>
      <c r="J1481" s="38"/>
      <c r="K1481" s="28"/>
      <c r="L1481" s="28"/>
    </row>
    <row r="1482" spans="1:12" x14ac:dyDescent="0.25">
      <c r="A1482" s="35"/>
      <c r="B1482" s="36"/>
      <c r="C1482" s="37"/>
      <c r="D1482" s="36"/>
      <c r="E1482" s="36"/>
      <c r="F1482" s="37"/>
      <c r="G1482" s="36"/>
      <c r="H1482" s="36"/>
      <c r="I1482" s="171"/>
      <c r="J1482" s="38"/>
      <c r="K1482" s="28"/>
      <c r="L1482" s="28"/>
    </row>
    <row r="1483" spans="1:12" x14ac:dyDescent="0.25">
      <c r="A1483" s="35"/>
      <c r="B1483" s="36"/>
      <c r="C1483" s="37"/>
      <c r="D1483" s="36"/>
      <c r="E1483" s="36"/>
      <c r="F1483" s="37"/>
      <c r="G1483" s="36"/>
      <c r="H1483" s="36"/>
      <c r="I1483" s="171"/>
      <c r="J1483" s="38"/>
      <c r="K1483" s="28"/>
      <c r="L1483" s="28"/>
    </row>
    <row r="1484" spans="1:12" x14ac:dyDescent="0.25">
      <c r="A1484" s="35"/>
      <c r="B1484" s="36"/>
      <c r="C1484" s="37"/>
      <c r="D1484" s="36"/>
      <c r="E1484" s="36"/>
      <c r="F1484" s="37"/>
      <c r="G1484" s="36"/>
      <c r="H1484" s="36"/>
      <c r="I1484" s="171"/>
      <c r="J1484" s="38"/>
      <c r="K1484" s="28"/>
      <c r="L1484" s="28"/>
    </row>
    <row r="1485" spans="1:12" x14ac:dyDescent="0.25">
      <c r="A1485" s="35"/>
      <c r="B1485" s="36"/>
      <c r="C1485" s="37"/>
      <c r="D1485" s="36"/>
      <c r="E1485" s="36"/>
      <c r="F1485" s="37"/>
      <c r="G1485" s="36"/>
      <c r="H1485" s="36"/>
      <c r="I1485" s="171"/>
      <c r="J1485" s="38"/>
      <c r="K1485" s="28"/>
      <c r="L1485" s="28"/>
    </row>
    <row r="1486" spans="1:12" x14ac:dyDescent="0.25">
      <c r="A1486" s="35"/>
      <c r="B1486" s="36"/>
      <c r="C1486" s="37"/>
      <c r="D1486" s="36"/>
      <c r="E1486" s="36"/>
      <c r="F1486" s="37"/>
      <c r="G1486" s="36"/>
      <c r="H1486" s="36"/>
      <c r="I1486" s="171"/>
      <c r="J1486" s="38"/>
      <c r="K1486" s="28"/>
      <c r="L1486" s="28"/>
    </row>
    <row r="1487" spans="1:12" x14ac:dyDescent="0.25">
      <c r="A1487" s="35"/>
      <c r="B1487" s="36"/>
      <c r="C1487" s="37"/>
      <c r="D1487" s="36"/>
      <c r="E1487" s="36"/>
      <c r="F1487" s="37"/>
      <c r="G1487" s="36"/>
      <c r="H1487" s="36"/>
      <c r="I1487" s="171"/>
      <c r="J1487" s="38"/>
      <c r="K1487" s="28"/>
      <c r="L1487" s="28"/>
    </row>
    <row r="1488" spans="1:12" x14ac:dyDescent="0.25">
      <c r="A1488" s="35"/>
      <c r="B1488" s="36"/>
      <c r="C1488" s="37"/>
      <c r="D1488" s="36"/>
      <c r="E1488" s="36"/>
      <c r="F1488" s="37"/>
      <c r="G1488" s="36"/>
      <c r="H1488" s="36"/>
      <c r="I1488" s="171"/>
      <c r="J1488" s="38"/>
      <c r="K1488" s="28"/>
      <c r="L1488" s="28"/>
    </row>
    <row r="1489" spans="1:12" x14ac:dyDescent="0.25">
      <c r="A1489" s="35"/>
      <c r="B1489" s="36"/>
      <c r="C1489" s="37"/>
      <c r="D1489" s="36"/>
      <c r="E1489" s="36"/>
      <c r="F1489" s="37"/>
      <c r="G1489" s="36"/>
      <c r="H1489" s="36"/>
      <c r="I1489" s="171"/>
      <c r="J1489" s="38"/>
      <c r="K1489" s="28"/>
      <c r="L1489" s="28"/>
    </row>
    <row r="1490" spans="1:12" x14ac:dyDescent="0.25">
      <c r="A1490" s="35"/>
      <c r="B1490" s="36"/>
      <c r="C1490" s="37"/>
      <c r="D1490" s="36"/>
      <c r="E1490" s="36"/>
      <c r="F1490" s="37"/>
      <c r="G1490" s="36"/>
      <c r="H1490" s="36"/>
      <c r="I1490" s="171"/>
      <c r="J1490" s="38"/>
      <c r="K1490" s="28"/>
      <c r="L1490" s="28"/>
    </row>
    <row r="1491" spans="1:12" x14ac:dyDescent="0.25">
      <c r="A1491" s="35"/>
      <c r="B1491" s="36"/>
      <c r="C1491" s="37"/>
      <c r="D1491" s="36"/>
      <c r="E1491" s="36"/>
      <c r="F1491" s="37"/>
      <c r="G1491" s="36"/>
      <c r="H1491" s="36"/>
      <c r="I1491" s="171"/>
      <c r="J1491" s="38"/>
      <c r="K1491" s="28"/>
      <c r="L1491" s="28"/>
    </row>
    <row r="1492" spans="1:12" x14ac:dyDescent="0.25">
      <c r="A1492" s="35"/>
      <c r="B1492" s="36"/>
      <c r="C1492" s="37"/>
      <c r="D1492" s="36"/>
      <c r="E1492" s="36"/>
      <c r="F1492" s="37"/>
      <c r="G1492" s="36"/>
      <c r="H1492" s="36"/>
      <c r="I1492" s="171"/>
      <c r="J1492" s="38"/>
      <c r="K1492" s="28"/>
      <c r="L1492" s="28"/>
    </row>
    <row r="1493" spans="1:12" x14ac:dyDescent="0.25">
      <c r="A1493" s="35"/>
      <c r="B1493" s="36"/>
      <c r="C1493" s="37"/>
      <c r="D1493" s="36"/>
      <c r="E1493" s="36"/>
      <c r="F1493" s="37"/>
      <c r="G1493" s="36"/>
      <c r="H1493" s="36"/>
      <c r="I1493" s="171"/>
      <c r="J1493" s="38"/>
      <c r="K1493" s="28"/>
      <c r="L1493" s="28"/>
    </row>
    <row r="1494" spans="1:12" x14ac:dyDescent="0.25">
      <c r="A1494" s="35"/>
      <c r="B1494" s="36"/>
      <c r="C1494" s="37"/>
      <c r="D1494" s="36"/>
      <c r="E1494" s="36"/>
      <c r="F1494" s="37"/>
      <c r="G1494" s="36"/>
      <c r="H1494" s="36"/>
      <c r="I1494" s="171"/>
      <c r="J1494" s="38"/>
      <c r="K1494" s="28"/>
      <c r="L1494" s="28"/>
    </row>
    <row r="1495" spans="1:12" x14ac:dyDescent="0.25">
      <c r="A1495" s="35"/>
      <c r="B1495" s="36"/>
      <c r="C1495" s="37"/>
      <c r="D1495" s="36"/>
      <c r="E1495" s="36"/>
      <c r="F1495" s="37"/>
      <c r="G1495" s="36"/>
      <c r="H1495" s="36"/>
      <c r="I1495" s="171"/>
      <c r="J1495" s="38"/>
      <c r="K1495" s="28"/>
      <c r="L1495" s="28"/>
    </row>
    <row r="1496" spans="1:12" x14ac:dyDescent="0.25">
      <c r="A1496" s="35"/>
      <c r="B1496" s="36"/>
      <c r="C1496" s="37"/>
      <c r="D1496" s="36"/>
      <c r="E1496" s="36"/>
      <c r="F1496" s="37"/>
      <c r="G1496" s="36"/>
      <c r="H1496" s="36"/>
      <c r="I1496" s="171"/>
      <c r="J1496" s="38"/>
      <c r="K1496" s="28"/>
      <c r="L1496" s="28"/>
    </row>
    <row r="1497" spans="1:12" x14ac:dyDescent="0.25">
      <c r="A1497" s="35"/>
      <c r="B1497" s="36"/>
      <c r="C1497" s="37"/>
      <c r="D1497" s="36"/>
      <c r="E1497" s="36"/>
      <c r="F1497" s="37"/>
      <c r="G1497" s="36"/>
      <c r="H1497" s="36"/>
      <c r="I1497" s="171"/>
      <c r="J1497" s="38"/>
      <c r="K1497" s="28"/>
      <c r="L1497" s="28"/>
    </row>
    <row r="1498" spans="1:12" x14ac:dyDescent="0.25">
      <c r="A1498" s="35"/>
      <c r="B1498" s="36"/>
      <c r="C1498" s="37"/>
      <c r="D1498" s="36"/>
      <c r="E1498" s="36"/>
      <c r="F1498" s="37"/>
      <c r="G1498" s="36"/>
      <c r="H1498" s="36"/>
      <c r="I1498" s="171"/>
      <c r="J1498" s="38"/>
      <c r="K1498" s="28"/>
      <c r="L1498" s="28"/>
    </row>
    <row r="1499" spans="1:12" x14ac:dyDescent="0.25">
      <c r="A1499" s="35"/>
      <c r="B1499" s="36"/>
      <c r="C1499" s="37"/>
      <c r="D1499" s="36"/>
      <c r="E1499" s="36"/>
      <c r="F1499" s="37"/>
      <c r="G1499" s="36"/>
      <c r="H1499" s="36"/>
      <c r="I1499" s="171"/>
      <c r="J1499" s="38"/>
      <c r="K1499" s="28"/>
      <c r="L1499" s="28"/>
    </row>
    <row r="1500" spans="1:12" x14ac:dyDescent="0.25">
      <c r="A1500" s="35"/>
      <c r="B1500" s="36"/>
      <c r="C1500" s="37"/>
      <c r="D1500" s="36"/>
      <c r="E1500" s="36"/>
      <c r="F1500" s="37"/>
      <c r="G1500" s="36"/>
      <c r="H1500" s="36"/>
      <c r="I1500" s="171"/>
      <c r="J1500" s="38"/>
      <c r="K1500" s="28"/>
      <c r="L1500" s="28"/>
    </row>
    <row r="1501" spans="1:12" x14ac:dyDescent="0.25">
      <c r="A1501" s="35"/>
      <c r="B1501" s="36"/>
      <c r="C1501" s="37"/>
      <c r="D1501" s="36"/>
      <c r="E1501" s="36"/>
      <c r="F1501" s="37"/>
      <c r="G1501" s="36"/>
      <c r="H1501" s="36"/>
      <c r="I1501" s="171"/>
      <c r="J1501" s="38"/>
      <c r="K1501" s="28"/>
      <c r="L1501" s="28"/>
    </row>
    <row r="1502" spans="1:12" x14ac:dyDescent="0.25">
      <c r="A1502" s="35"/>
      <c r="B1502" s="36"/>
      <c r="C1502" s="37"/>
      <c r="D1502" s="36"/>
      <c r="E1502" s="36"/>
      <c r="F1502" s="37"/>
      <c r="G1502" s="36"/>
      <c r="H1502" s="36"/>
      <c r="I1502" s="171"/>
      <c r="J1502" s="38"/>
      <c r="K1502" s="28"/>
      <c r="L1502" s="28"/>
    </row>
    <row r="1503" spans="1:12" x14ac:dyDescent="0.25">
      <c r="A1503" s="35"/>
      <c r="B1503" s="36"/>
      <c r="C1503" s="37"/>
      <c r="D1503" s="36"/>
      <c r="E1503" s="36"/>
      <c r="F1503" s="37"/>
      <c r="G1503" s="36"/>
      <c r="H1503" s="36"/>
      <c r="I1503" s="171"/>
      <c r="J1503" s="38"/>
      <c r="K1503" s="28"/>
      <c r="L1503" s="28"/>
    </row>
    <row r="1504" spans="1:12" x14ac:dyDescent="0.25">
      <c r="A1504" s="35"/>
      <c r="B1504" s="36"/>
      <c r="C1504" s="37"/>
      <c r="D1504" s="36"/>
      <c r="E1504" s="36"/>
      <c r="F1504" s="37"/>
      <c r="G1504" s="36"/>
      <c r="H1504" s="36"/>
      <c r="I1504" s="171"/>
      <c r="J1504" s="38"/>
      <c r="K1504" s="28"/>
      <c r="L1504" s="28"/>
    </row>
    <row r="1505" spans="1:12" x14ac:dyDescent="0.25">
      <c r="A1505" s="35"/>
      <c r="B1505" s="36"/>
      <c r="C1505" s="37"/>
      <c r="D1505" s="36"/>
      <c r="E1505" s="36"/>
      <c r="F1505" s="37"/>
      <c r="G1505" s="36"/>
      <c r="H1505" s="36"/>
      <c r="I1505" s="171"/>
      <c r="J1505" s="38"/>
      <c r="K1505" s="28"/>
      <c r="L1505" s="28"/>
    </row>
    <row r="1506" spans="1:12" x14ac:dyDescent="0.25">
      <c r="A1506" s="35"/>
      <c r="B1506" s="36"/>
      <c r="C1506" s="37"/>
      <c r="D1506" s="36"/>
      <c r="E1506" s="36"/>
      <c r="F1506" s="37"/>
      <c r="G1506" s="36"/>
      <c r="H1506" s="36"/>
      <c r="I1506" s="171"/>
      <c r="J1506" s="38"/>
      <c r="K1506" s="28"/>
      <c r="L1506" s="28"/>
    </row>
    <row r="1507" spans="1:12" x14ac:dyDescent="0.25">
      <c r="A1507" s="35"/>
      <c r="B1507" s="36"/>
      <c r="C1507" s="37"/>
      <c r="D1507" s="36"/>
      <c r="E1507" s="36"/>
      <c r="F1507" s="37"/>
      <c r="G1507" s="36"/>
      <c r="H1507" s="36"/>
      <c r="I1507" s="171"/>
      <c r="J1507" s="38"/>
      <c r="K1507" s="28"/>
      <c r="L1507" s="28"/>
    </row>
    <row r="1508" spans="1:12" x14ac:dyDescent="0.25">
      <c r="A1508" s="35"/>
      <c r="B1508" s="36"/>
      <c r="C1508" s="37"/>
      <c r="D1508" s="36"/>
      <c r="E1508" s="36"/>
      <c r="F1508" s="37"/>
      <c r="G1508" s="36"/>
      <c r="H1508" s="36"/>
      <c r="I1508" s="171"/>
      <c r="J1508" s="38"/>
      <c r="K1508" s="28"/>
      <c r="L1508" s="28"/>
    </row>
    <row r="1509" spans="1:12" x14ac:dyDescent="0.25">
      <c r="A1509" s="35"/>
      <c r="B1509" s="36"/>
      <c r="C1509" s="37"/>
      <c r="D1509" s="36"/>
      <c r="E1509" s="36"/>
      <c r="F1509" s="37"/>
      <c r="G1509" s="36"/>
      <c r="H1509" s="36"/>
      <c r="I1509" s="171"/>
      <c r="J1509" s="38"/>
      <c r="K1509" s="28"/>
      <c r="L1509" s="28"/>
    </row>
    <row r="1510" spans="1:12" x14ac:dyDescent="0.25">
      <c r="A1510" s="35"/>
      <c r="B1510" s="36"/>
      <c r="C1510" s="37"/>
      <c r="D1510" s="36"/>
      <c r="E1510" s="36"/>
      <c r="F1510" s="37"/>
      <c r="G1510" s="36"/>
      <c r="H1510" s="36"/>
      <c r="I1510" s="171"/>
      <c r="J1510" s="38"/>
      <c r="K1510" s="28"/>
      <c r="L1510" s="28"/>
    </row>
    <row r="1511" spans="1:12" x14ac:dyDescent="0.25">
      <c r="A1511" s="35"/>
      <c r="B1511" s="36"/>
      <c r="C1511" s="37"/>
      <c r="D1511" s="36"/>
      <c r="E1511" s="36"/>
      <c r="F1511" s="37"/>
      <c r="G1511" s="36"/>
      <c r="H1511" s="36"/>
      <c r="I1511" s="171"/>
      <c r="J1511" s="38"/>
      <c r="K1511" s="28"/>
      <c r="L1511" s="28"/>
    </row>
    <row r="1512" spans="1:12" x14ac:dyDescent="0.25">
      <c r="A1512" s="35"/>
      <c r="B1512" s="36"/>
      <c r="C1512" s="37"/>
      <c r="D1512" s="36"/>
      <c r="E1512" s="36"/>
      <c r="F1512" s="37"/>
      <c r="G1512" s="36"/>
      <c r="H1512" s="36"/>
      <c r="I1512" s="171"/>
      <c r="J1512" s="38"/>
      <c r="K1512" s="28"/>
      <c r="L1512" s="28"/>
    </row>
    <row r="1513" spans="1:12" x14ac:dyDescent="0.25">
      <c r="A1513" s="35"/>
      <c r="B1513" s="36"/>
      <c r="C1513" s="37"/>
      <c r="D1513" s="36"/>
      <c r="E1513" s="36"/>
      <c r="F1513" s="37"/>
      <c r="G1513" s="36"/>
      <c r="H1513" s="36"/>
      <c r="I1513" s="171"/>
      <c r="J1513" s="38"/>
      <c r="K1513" s="28"/>
      <c r="L1513" s="28"/>
    </row>
    <row r="1514" spans="1:12" x14ac:dyDescent="0.25">
      <c r="A1514" s="35"/>
      <c r="B1514" s="36"/>
      <c r="C1514" s="37"/>
      <c r="D1514" s="36"/>
      <c r="E1514" s="36"/>
      <c r="F1514" s="37"/>
      <c r="G1514" s="36"/>
      <c r="H1514" s="36"/>
      <c r="I1514" s="171"/>
      <c r="J1514" s="38"/>
      <c r="K1514" s="28"/>
      <c r="L1514" s="28"/>
    </row>
    <row r="1515" spans="1:12" x14ac:dyDescent="0.25">
      <c r="A1515" s="35"/>
      <c r="B1515" s="36"/>
      <c r="C1515" s="37"/>
      <c r="D1515" s="36"/>
      <c r="E1515" s="36"/>
      <c r="F1515" s="37"/>
      <c r="G1515" s="36"/>
      <c r="H1515" s="36"/>
      <c r="I1515" s="171"/>
      <c r="J1515" s="38"/>
      <c r="K1515" s="28"/>
      <c r="L1515" s="28"/>
    </row>
    <row r="1516" spans="1:12" x14ac:dyDescent="0.25">
      <c r="A1516" s="35"/>
      <c r="B1516" s="36"/>
      <c r="C1516" s="37"/>
      <c r="D1516" s="36"/>
      <c r="E1516" s="36"/>
      <c r="F1516" s="37"/>
      <c r="G1516" s="36"/>
      <c r="H1516" s="36"/>
      <c r="I1516" s="171"/>
      <c r="J1516" s="38"/>
      <c r="K1516" s="28"/>
      <c r="L1516" s="28"/>
    </row>
    <row r="1517" spans="1:12" x14ac:dyDescent="0.25">
      <c r="A1517" s="35"/>
      <c r="B1517" s="36"/>
      <c r="C1517" s="37"/>
      <c r="D1517" s="36"/>
      <c r="E1517" s="36"/>
      <c r="F1517" s="37"/>
      <c r="G1517" s="36"/>
      <c r="H1517" s="36"/>
      <c r="I1517" s="171"/>
      <c r="J1517" s="38"/>
      <c r="K1517" s="28"/>
      <c r="L1517" s="28"/>
    </row>
    <row r="1518" spans="1:12" x14ac:dyDescent="0.25">
      <c r="A1518" s="35"/>
      <c r="B1518" s="36"/>
      <c r="C1518" s="37"/>
      <c r="D1518" s="36"/>
      <c r="E1518" s="36"/>
      <c r="F1518" s="37"/>
      <c r="G1518" s="36"/>
      <c r="H1518" s="36"/>
      <c r="I1518" s="171"/>
      <c r="J1518" s="38"/>
      <c r="K1518" s="28"/>
      <c r="L1518" s="28"/>
    </row>
    <row r="1519" spans="1:12" x14ac:dyDescent="0.25">
      <c r="A1519" s="35"/>
      <c r="B1519" s="36"/>
      <c r="C1519" s="37"/>
      <c r="D1519" s="36"/>
      <c r="E1519" s="36"/>
      <c r="F1519" s="37"/>
      <c r="G1519" s="36"/>
      <c r="H1519" s="36"/>
      <c r="I1519" s="171"/>
      <c r="J1519" s="38"/>
      <c r="K1519" s="28"/>
      <c r="L1519" s="28"/>
    </row>
    <row r="1520" spans="1:12" x14ac:dyDescent="0.25">
      <c r="A1520" s="35"/>
      <c r="B1520" s="36"/>
      <c r="C1520" s="37"/>
      <c r="D1520" s="36"/>
      <c r="E1520" s="36"/>
      <c r="F1520" s="37"/>
      <c r="G1520" s="36"/>
      <c r="H1520" s="36"/>
      <c r="I1520" s="171"/>
      <c r="J1520" s="38"/>
      <c r="K1520" s="28"/>
      <c r="L1520" s="28"/>
    </row>
    <row r="1521" spans="1:12" x14ac:dyDescent="0.25">
      <c r="A1521" s="35"/>
      <c r="B1521" s="36"/>
      <c r="C1521" s="37"/>
      <c r="D1521" s="36"/>
      <c r="E1521" s="36"/>
      <c r="F1521" s="37"/>
      <c r="G1521" s="36"/>
      <c r="H1521" s="36"/>
      <c r="I1521" s="171"/>
      <c r="J1521" s="38"/>
      <c r="K1521" s="28"/>
      <c r="L1521" s="28"/>
    </row>
    <row r="1522" spans="1:12" x14ac:dyDescent="0.25">
      <c r="A1522" s="35"/>
      <c r="B1522" s="36"/>
      <c r="C1522" s="37"/>
      <c r="D1522" s="36"/>
      <c r="E1522" s="36"/>
      <c r="F1522" s="37"/>
      <c r="G1522" s="36"/>
      <c r="H1522" s="36"/>
      <c r="I1522" s="171"/>
      <c r="J1522" s="38"/>
      <c r="K1522" s="28"/>
      <c r="L1522" s="28"/>
    </row>
    <row r="1523" spans="1:12" x14ac:dyDescent="0.25">
      <c r="A1523" s="35"/>
      <c r="B1523" s="36"/>
      <c r="C1523" s="37"/>
      <c r="D1523" s="36"/>
      <c r="E1523" s="36"/>
      <c r="F1523" s="37"/>
      <c r="G1523" s="36"/>
      <c r="H1523" s="36"/>
      <c r="I1523" s="171"/>
      <c r="J1523" s="38"/>
      <c r="K1523" s="28"/>
      <c r="L1523" s="28"/>
    </row>
    <row r="1524" spans="1:12" x14ac:dyDescent="0.25">
      <c r="A1524" s="35"/>
      <c r="B1524" s="36"/>
      <c r="C1524" s="37"/>
      <c r="D1524" s="36"/>
      <c r="E1524" s="36"/>
      <c r="F1524" s="37"/>
      <c r="G1524" s="36"/>
      <c r="H1524" s="36"/>
      <c r="I1524" s="171"/>
      <c r="J1524" s="38"/>
      <c r="K1524" s="28"/>
      <c r="L1524" s="28"/>
    </row>
    <row r="1525" spans="1:12" x14ac:dyDescent="0.25">
      <c r="A1525" s="35"/>
      <c r="B1525" s="36"/>
      <c r="C1525" s="37"/>
      <c r="D1525" s="36"/>
      <c r="E1525" s="36"/>
      <c r="F1525" s="37"/>
      <c r="G1525" s="36"/>
      <c r="H1525" s="36"/>
      <c r="I1525" s="171"/>
      <c r="J1525" s="38"/>
      <c r="K1525" s="28"/>
      <c r="L1525" s="28"/>
    </row>
    <row r="1526" spans="1:12" x14ac:dyDescent="0.25">
      <c r="A1526" s="35"/>
      <c r="B1526" s="36"/>
      <c r="C1526" s="37"/>
      <c r="D1526" s="36"/>
      <c r="E1526" s="36"/>
      <c r="F1526" s="37"/>
      <c r="G1526" s="36"/>
      <c r="H1526" s="36"/>
      <c r="I1526" s="171"/>
      <c r="J1526" s="38"/>
      <c r="K1526" s="28"/>
      <c r="L1526" s="28"/>
    </row>
    <row r="1527" spans="1:12" x14ac:dyDescent="0.25">
      <c r="A1527" s="35"/>
      <c r="B1527" s="36"/>
      <c r="C1527" s="37"/>
      <c r="D1527" s="36"/>
      <c r="E1527" s="36"/>
      <c r="F1527" s="37"/>
      <c r="G1527" s="36"/>
      <c r="H1527" s="36"/>
      <c r="I1527" s="171"/>
      <c r="J1527" s="38"/>
      <c r="K1527" s="28"/>
      <c r="L1527" s="28"/>
    </row>
    <row r="1528" spans="1:12" x14ac:dyDescent="0.25">
      <c r="A1528" s="35"/>
      <c r="B1528" s="36"/>
      <c r="C1528" s="37"/>
      <c r="D1528" s="36"/>
      <c r="E1528" s="36"/>
      <c r="F1528" s="37"/>
      <c r="G1528" s="36"/>
      <c r="H1528" s="36"/>
      <c r="I1528" s="171"/>
      <c r="J1528" s="38"/>
      <c r="K1528" s="28"/>
      <c r="L1528" s="28"/>
    </row>
    <row r="1529" spans="1:12" x14ac:dyDescent="0.25">
      <c r="A1529" s="35"/>
      <c r="B1529" s="36"/>
      <c r="C1529" s="37"/>
      <c r="D1529" s="36"/>
      <c r="E1529" s="36"/>
      <c r="F1529" s="37"/>
      <c r="G1529" s="36"/>
      <c r="H1529" s="36"/>
      <c r="I1529" s="171"/>
      <c r="J1529" s="38"/>
      <c r="K1529" s="28"/>
      <c r="L1529" s="28"/>
    </row>
    <row r="1530" spans="1:12" x14ac:dyDescent="0.25">
      <c r="A1530" s="35"/>
      <c r="B1530" s="36"/>
      <c r="C1530" s="37"/>
      <c r="D1530" s="36"/>
      <c r="E1530" s="36"/>
      <c r="F1530" s="37"/>
      <c r="G1530" s="36"/>
      <c r="H1530" s="36"/>
      <c r="I1530" s="171"/>
      <c r="J1530" s="38"/>
      <c r="K1530" s="28"/>
      <c r="L1530" s="28"/>
    </row>
    <row r="1531" spans="1:12" x14ac:dyDescent="0.25">
      <c r="A1531" s="35"/>
      <c r="B1531" s="36"/>
      <c r="C1531" s="37"/>
      <c r="D1531" s="36"/>
      <c r="E1531" s="36"/>
      <c r="F1531" s="37"/>
      <c r="G1531" s="36"/>
      <c r="H1531" s="36"/>
      <c r="I1531" s="171"/>
      <c r="J1531" s="38"/>
      <c r="K1531" s="28"/>
      <c r="L1531" s="28"/>
    </row>
    <row r="1532" spans="1:12" x14ac:dyDescent="0.25">
      <c r="A1532" s="35"/>
      <c r="B1532" s="36"/>
      <c r="C1532" s="37"/>
      <c r="D1532" s="36"/>
      <c r="E1532" s="36"/>
      <c r="F1532" s="37"/>
      <c r="G1532" s="36"/>
      <c r="H1532" s="36"/>
      <c r="I1532" s="171"/>
      <c r="J1532" s="38"/>
      <c r="K1532" s="28"/>
      <c r="L1532" s="28"/>
    </row>
    <row r="1533" spans="1:12" x14ac:dyDescent="0.25">
      <c r="A1533" s="35"/>
      <c r="B1533" s="36"/>
      <c r="C1533" s="37"/>
      <c r="D1533" s="36"/>
      <c r="E1533" s="36"/>
      <c r="F1533" s="37"/>
      <c r="G1533" s="36"/>
      <c r="H1533" s="36"/>
      <c r="I1533" s="171"/>
      <c r="J1533" s="38"/>
      <c r="K1533" s="28"/>
      <c r="L1533" s="28"/>
    </row>
    <row r="1534" spans="1:12" x14ac:dyDescent="0.25">
      <c r="A1534" s="35"/>
      <c r="B1534" s="36"/>
      <c r="C1534" s="37"/>
      <c r="D1534" s="36"/>
      <c r="E1534" s="36"/>
      <c r="F1534" s="37"/>
      <c r="G1534" s="36"/>
      <c r="H1534" s="36"/>
      <c r="I1534" s="171"/>
      <c r="J1534" s="38"/>
      <c r="K1534" s="28"/>
      <c r="L1534" s="28"/>
    </row>
    <row r="1535" spans="1:12" x14ac:dyDescent="0.25">
      <c r="A1535" s="35"/>
      <c r="B1535" s="36"/>
      <c r="C1535" s="37"/>
      <c r="D1535" s="36"/>
      <c r="E1535" s="36"/>
      <c r="F1535" s="37"/>
      <c r="G1535" s="36"/>
      <c r="H1535" s="36"/>
      <c r="I1535" s="171"/>
      <c r="J1535" s="38"/>
      <c r="K1535" s="28"/>
      <c r="L1535" s="28"/>
    </row>
    <row r="1536" spans="1:12" x14ac:dyDescent="0.25">
      <c r="A1536" s="35"/>
      <c r="B1536" s="36"/>
      <c r="C1536" s="37"/>
      <c r="D1536" s="36"/>
      <c r="E1536" s="36"/>
      <c r="F1536" s="37"/>
      <c r="G1536" s="36"/>
      <c r="H1536" s="36"/>
      <c r="I1536" s="171"/>
      <c r="J1536" s="38"/>
      <c r="K1536" s="28"/>
      <c r="L1536" s="28"/>
    </row>
    <row r="1537" spans="1:12" x14ac:dyDescent="0.25">
      <c r="A1537" s="35"/>
      <c r="B1537" s="36"/>
      <c r="C1537" s="37"/>
      <c r="D1537" s="36"/>
      <c r="E1537" s="36"/>
      <c r="F1537" s="37"/>
      <c r="G1537" s="36"/>
      <c r="H1537" s="36"/>
      <c r="I1537" s="171"/>
      <c r="J1537" s="38"/>
      <c r="K1537" s="28"/>
      <c r="L1537" s="28"/>
    </row>
    <row r="1538" spans="1:12" x14ac:dyDescent="0.25">
      <c r="A1538" s="35"/>
      <c r="B1538" s="36"/>
      <c r="C1538" s="37"/>
      <c r="D1538" s="36"/>
      <c r="E1538" s="36"/>
      <c r="F1538" s="37"/>
      <c r="G1538" s="36"/>
      <c r="H1538" s="36"/>
      <c r="I1538" s="171"/>
      <c r="J1538" s="38"/>
      <c r="K1538" s="28"/>
      <c r="L1538" s="28"/>
    </row>
    <row r="1539" spans="1:12" x14ac:dyDescent="0.25">
      <c r="A1539" s="35"/>
      <c r="B1539" s="36"/>
      <c r="C1539" s="37"/>
      <c r="D1539" s="36"/>
      <c r="E1539" s="36"/>
      <c r="F1539" s="37"/>
      <c r="G1539" s="36"/>
      <c r="H1539" s="36"/>
      <c r="I1539" s="171"/>
      <c r="J1539" s="38"/>
      <c r="K1539" s="28"/>
      <c r="L1539" s="28"/>
    </row>
    <row r="1540" spans="1:12" x14ac:dyDescent="0.25">
      <c r="A1540" s="35"/>
      <c r="B1540" s="36"/>
      <c r="C1540" s="37"/>
      <c r="D1540" s="36"/>
      <c r="E1540" s="36"/>
      <c r="F1540" s="37"/>
      <c r="G1540" s="36"/>
      <c r="H1540" s="36"/>
      <c r="I1540" s="171"/>
      <c r="J1540" s="38"/>
      <c r="K1540" s="28"/>
      <c r="L1540" s="28"/>
    </row>
    <row r="1541" spans="1:12" x14ac:dyDescent="0.25">
      <c r="A1541" s="35"/>
      <c r="B1541" s="36"/>
      <c r="C1541" s="37"/>
      <c r="D1541" s="36"/>
      <c r="E1541" s="36"/>
      <c r="F1541" s="37"/>
      <c r="G1541" s="36"/>
      <c r="H1541" s="36"/>
      <c r="I1541" s="171"/>
      <c r="J1541" s="38"/>
      <c r="K1541" s="28"/>
      <c r="L1541" s="28"/>
    </row>
    <row r="1542" spans="1:12" x14ac:dyDescent="0.25">
      <c r="A1542" s="35"/>
      <c r="B1542" s="36"/>
      <c r="C1542" s="37"/>
      <c r="D1542" s="36"/>
      <c r="E1542" s="36"/>
      <c r="F1542" s="37"/>
      <c r="G1542" s="36"/>
      <c r="H1542" s="36"/>
      <c r="I1542" s="171"/>
      <c r="J1542" s="38"/>
      <c r="K1542" s="28"/>
      <c r="L1542" s="28"/>
    </row>
    <row r="1543" spans="1:12" x14ac:dyDescent="0.25">
      <c r="A1543" s="35"/>
      <c r="B1543" s="36"/>
      <c r="C1543" s="37"/>
      <c r="D1543" s="36"/>
      <c r="E1543" s="36"/>
      <c r="F1543" s="37"/>
      <c r="G1543" s="36"/>
      <c r="H1543" s="36"/>
      <c r="I1543" s="171"/>
      <c r="J1543" s="38"/>
      <c r="K1543" s="28"/>
      <c r="L1543" s="28"/>
    </row>
    <row r="1544" spans="1:12" x14ac:dyDescent="0.25">
      <c r="A1544" s="35"/>
      <c r="B1544" s="36"/>
      <c r="C1544" s="37"/>
      <c r="D1544" s="36"/>
      <c r="E1544" s="36"/>
      <c r="F1544" s="37"/>
      <c r="G1544" s="36"/>
      <c r="H1544" s="36"/>
      <c r="I1544" s="171"/>
      <c r="J1544" s="38"/>
      <c r="K1544" s="28"/>
      <c r="L1544" s="28"/>
    </row>
    <row r="1545" spans="1:12" x14ac:dyDescent="0.25">
      <c r="A1545" s="35"/>
      <c r="B1545" s="36"/>
      <c r="C1545" s="37"/>
      <c r="D1545" s="36"/>
      <c r="E1545" s="36"/>
      <c r="F1545" s="37"/>
      <c r="G1545" s="36"/>
      <c r="H1545" s="36"/>
      <c r="I1545" s="171"/>
      <c r="J1545" s="38"/>
      <c r="K1545" s="28"/>
      <c r="L1545" s="28"/>
    </row>
    <row r="1546" spans="1:12" x14ac:dyDescent="0.25">
      <c r="A1546" s="35"/>
      <c r="B1546" s="36"/>
      <c r="C1546" s="37"/>
      <c r="D1546" s="36"/>
      <c r="E1546" s="36"/>
      <c r="F1546" s="37"/>
      <c r="G1546" s="36"/>
      <c r="H1546" s="36"/>
      <c r="I1546" s="171"/>
      <c r="J1546" s="38"/>
      <c r="K1546" s="28"/>
      <c r="L1546" s="28"/>
    </row>
    <row r="1547" spans="1:12" x14ac:dyDescent="0.25">
      <c r="A1547" s="35"/>
      <c r="B1547" s="36"/>
      <c r="C1547" s="37"/>
      <c r="D1547" s="36"/>
      <c r="E1547" s="36"/>
      <c r="F1547" s="37"/>
      <c r="G1547" s="36"/>
      <c r="H1547" s="36"/>
      <c r="I1547" s="171"/>
      <c r="J1547" s="38"/>
      <c r="K1547" s="28"/>
      <c r="L1547" s="28"/>
    </row>
    <row r="1548" spans="1:12" x14ac:dyDescent="0.25">
      <c r="A1548" s="35"/>
      <c r="B1548" s="36"/>
      <c r="C1548" s="37"/>
      <c r="D1548" s="36"/>
      <c r="E1548" s="36"/>
      <c r="F1548" s="37"/>
      <c r="G1548" s="36"/>
      <c r="H1548" s="36"/>
      <c r="I1548" s="171"/>
      <c r="J1548" s="38"/>
      <c r="K1548" s="28"/>
      <c r="L1548" s="28"/>
    </row>
    <row r="1549" spans="1:12" x14ac:dyDescent="0.25">
      <c r="A1549" s="35"/>
      <c r="B1549" s="36"/>
      <c r="C1549" s="37"/>
      <c r="D1549" s="36"/>
      <c r="E1549" s="36"/>
      <c r="F1549" s="37"/>
      <c r="G1549" s="36"/>
      <c r="H1549" s="36"/>
      <c r="I1549" s="171"/>
      <c r="J1549" s="38"/>
      <c r="K1549" s="28"/>
      <c r="L1549" s="28"/>
    </row>
    <row r="1550" spans="1:12" x14ac:dyDescent="0.25">
      <c r="A1550" s="35"/>
      <c r="B1550" s="36"/>
      <c r="C1550" s="37"/>
      <c r="D1550" s="36"/>
      <c r="E1550" s="36"/>
      <c r="F1550" s="37"/>
      <c r="G1550" s="36"/>
      <c r="H1550" s="36"/>
      <c r="I1550" s="171"/>
      <c r="J1550" s="38"/>
      <c r="K1550" s="28"/>
      <c r="L1550" s="28"/>
    </row>
    <row r="1551" spans="1:12" x14ac:dyDescent="0.25">
      <c r="A1551" s="35"/>
      <c r="B1551" s="36"/>
      <c r="C1551" s="37"/>
      <c r="D1551" s="36"/>
      <c r="E1551" s="36"/>
      <c r="F1551" s="37"/>
      <c r="G1551" s="36"/>
      <c r="H1551" s="36"/>
      <c r="I1551" s="171"/>
      <c r="J1551" s="38"/>
      <c r="K1551" s="28"/>
      <c r="L1551" s="28"/>
    </row>
    <row r="1552" spans="1:12" x14ac:dyDescent="0.25">
      <c r="A1552" s="35"/>
      <c r="B1552" s="36"/>
      <c r="C1552" s="37"/>
      <c r="D1552" s="36"/>
      <c r="E1552" s="36"/>
      <c r="F1552" s="37"/>
      <c r="G1552" s="36"/>
      <c r="H1552" s="36"/>
      <c r="I1552" s="171"/>
      <c r="J1552" s="38"/>
      <c r="K1552" s="28"/>
      <c r="L1552" s="28"/>
    </row>
    <row r="1553" spans="1:12" x14ac:dyDescent="0.25">
      <c r="A1553" s="35"/>
      <c r="B1553" s="36"/>
      <c r="C1553" s="37"/>
      <c r="D1553" s="36"/>
      <c r="E1553" s="36"/>
      <c r="F1553" s="37"/>
      <c r="G1553" s="36"/>
      <c r="H1553" s="36"/>
      <c r="I1553" s="171"/>
      <c r="J1553" s="38"/>
      <c r="K1553" s="28"/>
      <c r="L1553" s="28"/>
    </row>
    <row r="1554" spans="1:12" x14ac:dyDescent="0.25">
      <c r="A1554" s="35"/>
      <c r="B1554" s="36"/>
      <c r="C1554" s="37"/>
      <c r="D1554" s="36"/>
      <c r="E1554" s="36"/>
      <c r="F1554" s="37"/>
      <c r="G1554" s="36"/>
      <c r="H1554" s="36"/>
      <c r="I1554" s="171"/>
      <c r="J1554" s="38"/>
      <c r="K1554" s="28"/>
      <c r="L1554" s="28"/>
    </row>
    <row r="1555" spans="1:12" x14ac:dyDescent="0.25">
      <c r="A1555" s="35"/>
      <c r="B1555" s="36"/>
      <c r="C1555" s="37"/>
      <c r="D1555" s="36"/>
      <c r="E1555" s="36"/>
      <c r="F1555" s="37"/>
      <c r="G1555" s="36"/>
      <c r="H1555" s="36"/>
      <c r="I1555" s="171"/>
      <c r="J1555" s="38"/>
      <c r="K1555" s="28"/>
      <c r="L1555" s="28"/>
    </row>
    <row r="1556" spans="1:12" x14ac:dyDescent="0.25">
      <c r="A1556" s="35"/>
      <c r="B1556" s="36"/>
      <c r="C1556" s="37"/>
      <c r="D1556" s="36"/>
      <c r="E1556" s="36"/>
      <c r="F1556" s="37"/>
      <c r="G1556" s="36"/>
      <c r="H1556" s="36"/>
      <c r="I1556" s="171"/>
      <c r="J1556" s="38"/>
      <c r="K1556" s="28"/>
      <c r="L1556" s="28"/>
    </row>
    <row r="1557" spans="1:12" x14ac:dyDescent="0.25">
      <c r="A1557" s="35"/>
      <c r="B1557" s="36"/>
      <c r="C1557" s="37"/>
      <c r="D1557" s="36"/>
      <c r="E1557" s="36"/>
      <c r="F1557" s="37"/>
      <c r="G1557" s="36"/>
      <c r="H1557" s="36"/>
      <c r="I1557" s="171"/>
      <c r="J1557" s="38"/>
      <c r="K1557" s="28"/>
      <c r="L1557" s="28"/>
    </row>
    <row r="1558" spans="1:12" x14ac:dyDescent="0.25">
      <c r="A1558" s="35"/>
      <c r="B1558" s="36"/>
      <c r="C1558" s="37"/>
      <c r="D1558" s="36"/>
      <c r="E1558" s="36"/>
      <c r="F1558" s="37"/>
      <c r="G1558" s="36"/>
      <c r="H1558" s="36"/>
      <c r="I1558" s="171"/>
      <c r="J1558" s="38"/>
      <c r="K1558" s="28"/>
      <c r="L1558" s="28"/>
    </row>
    <row r="1559" spans="1:12" x14ac:dyDescent="0.25">
      <c r="A1559" s="35"/>
      <c r="B1559" s="36"/>
      <c r="C1559" s="37"/>
      <c r="D1559" s="36"/>
      <c r="E1559" s="36"/>
      <c r="F1559" s="37"/>
      <c r="G1559" s="36"/>
      <c r="H1559" s="36"/>
      <c r="I1559" s="171"/>
      <c r="J1559" s="38"/>
      <c r="K1559" s="28"/>
      <c r="L1559" s="28"/>
    </row>
    <row r="1560" spans="1:12" x14ac:dyDescent="0.25">
      <c r="A1560" s="35"/>
      <c r="B1560" s="36"/>
      <c r="C1560" s="37"/>
      <c r="D1560" s="36"/>
      <c r="E1560" s="36"/>
      <c r="F1560" s="37"/>
      <c r="G1560" s="36"/>
      <c r="H1560" s="36"/>
      <c r="I1560" s="171"/>
      <c r="J1560" s="38"/>
      <c r="K1560" s="28"/>
      <c r="L1560" s="28"/>
    </row>
    <row r="1561" spans="1:12" x14ac:dyDescent="0.25">
      <c r="A1561" s="35"/>
      <c r="B1561" s="36"/>
      <c r="C1561" s="37"/>
      <c r="D1561" s="36"/>
      <c r="E1561" s="36"/>
      <c r="F1561" s="37"/>
      <c r="G1561" s="36"/>
      <c r="H1561" s="36"/>
      <c r="I1561" s="171"/>
      <c r="J1561" s="38"/>
      <c r="K1561" s="28"/>
      <c r="L1561" s="28"/>
    </row>
    <row r="1562" spans="1:12" x14ac:dyDescent="0.25">
      <c r="A1562" s="35"/>
      <c r="B1562" s="36"/>
      <c r="C1562" s="37"/>
      <c r="D1562" s="36"/>
      <c r="E1562" s="36"/>
      <c r="F1562" s="37"/>
      <c r="G1562" s="36"/>
      <c r="H1562" s="36"/>
      <c r="I1562" s="171"/>
      <c r="J1562" s="38"/>
      <c r="K1562" s="28"/>
      <c r="L1562" s="28"/>
    </row>
    <row r="1563" spans="1:12" x14ac:dyDescent="0.25">
      <c r="A1563" s="35"/>
      <c r="B1563" s="36"/>
      <c r="C1563" s="37"/>
      <c r="D1563" s="36"/>
      <c r="E1563" s="36"/>
      <c r="F1563" s="37"/>
      <c r="G1563" s="36"/>
      <c r="H1563" s="36"/>
      <c r="I1563" s="171"/>
      <c r="J1563" s="38"/>
      <c r="K1563" s="28"/>
      <c r="L1563" s="28"/>
    </row>
    <row r="1564" spans="1:12" x14ac:dyDescent="0.25">
      <c r="A1564" s="35"/>
      <c r="B1564" s="36"/>
      <c r="C1564" s="37"/>
      <c r="D1564" s="36"/>
      <c r="E1564" s="36"/>
      <c r="F1564" s="37"/>
      <c r="G1564" s="36"/>
      <c r="H1564" s="36"/>
      <c r="I1564" s="171"/>
      <c r="J1564" s="38"/>
      <c r="K1564" s="28"/>
      <c r="L1564" s="28"/>
    </row>
    <row r="1565" spans="1:12" x14ac:dyDescent="0.25">
      <c r="A1565" s="35"/>
      <c r="B1565" s="36"/>
      <c r="C1565" s="37"/>
      <c r="D1565" s="36"/>
      <c r="E1565" s="36"/>
      <c r="F1565" s="37"/>
      <c r="G1565" s="36"/>
      <c r="H1565" s="36"/>
      <c r="I1565" s="171"/>
      <c r="J1565" s="38"/>
      <c r="K1565" s="28"/>
      <c r="L1565" s="28"/>
    </row>
    <row r="1566" spans="1:12" x14ac:dyDescent="0.25">
      <c r="A1566" s="35"/>
      <c r="B1566" s="36"/>
      <c r="C1566" s="37"/>
      <c r="D1566" s="36"/>
      <c r="E1566" s="36"/>
      <c r="F1566" s="37"/>
      <c r="G1566" s="36"/>
      <c r="H1566" s="36"/>
      <c r="I1566" s="171"/>
      <c r="J1566" s="38"/>
      <c r="K1566" s="28"/>
      <c r="L1566" s="28"/>
    </row>
    <row r="1567" spans="1:12" x14ac:dyDescent="0.25">
      <c r="A1567" s="35"/>
      <c r="B1567" s="36"/>
      <c r="C1567" s="37"/>
      <c r="D1567" s="36"/>
      <c r="E1567" s="36"/>
      <c r="F1567" s="37"/>
      <c r="G1567" s="36"/>
      <c r="H1567" s="36"/>
      <c r="I1567" s="171"/>
      <c r="J1567" s="38"/>
      <c r="K1567" s="28"/>
      <c r="L1567" s="28"/>
    </row>
    <row r="1568" spans="1:12" x14ac:dyDescent="0.25">
      <c r="A1568" s="35"/>
      <c r="B1568" s="36"/>
      <c r="C1568" s="37"/>
      <c r="D1568" s="36"/>
      <c r="E1568" s="36"/>
      <c r="F1568" s="37"/>
      <c r="G1568" s="36"/>
      <c r="H1568" s="36"/>
      <c r="I1568" s="171"/>
      <c r="J1568" s="38"/>
      <c r="K1568" s="28"/>
      <c r="L1568" s="28"/>
    </row>
    <row r="1569" spans="1:12" x14ac:dyDescent="0.25">
      <c r="A1569" s="35"/>
      <c r="B1569" s="36"/>
      <c r="C1569" s="37"/>
      <c r="D1569" s="36"/>
      <c r="E1569" s="36"/>
      <c r="F1569" s="37"/>
      <c r="G1569" s="36"/>
      <c r="H1569" s="36"/>
      <c r="I1569" s="171"/>
      <c r="J1569" s="38"/>
      <c r="K1569" s="28"/>
      <c r="L1569" s="28"/>
    </row>
    <row r="1570" spans="1:12" x14ac:dyDescent="0.25">
      <c r="A1570" s="35"/>
      <c r="B1570" s="36"/>
      <c r="C1570" s="37"/>
      <c r="D1570" s="36"/>
      <c r="E1570" s="36"/>
      <c r="F1570" s="37"/>
      <c r="G1570" s="36"/>
      <c r="H1570" s="36"/>
      <c r="I1570" s="171"/>
      <c r="J1570" s="38"/>
      <c r="K1570" s="28"/>
      <c r="L1570" s="28"/>
    </row>
    <row r="1571" spans="1:12" x14ac:dyDescent="0.25">
      <c r="A1571" s="35"/>
      <c r="B1571" s="36"/>
      <c r="C1571" s="37"/>
      <c r="D1571" s="36"/>
      <c r="E1571" s="36"/>
      <c r="F1571" s="37"/>
      <c r="G1571" s="36"/>
      <c r="H1571" s="36"/>
      <c r="I1571" s="171"/>
      <c r="J1571" s="38"/>
      <c r="K1571" s="28"/>
      <c r="L1571" s="28"/>
    </row>
    <row r="1572" spans="1:12" x14ac:dyDescent="0.25">
      <c r="A1572" s="35"/>
      <c r="B1572" s="36"/>
      <c r="C1572" s="37"/>
      <c r="D1572" s="36"/>
      <c r="E1572" s="36"/>
      <c r="F1572" s="37"/>
      <c r="G1572" s="36"/>
      <c r="H1572" s="36"/>
      <c r="I1572" s="171"/>
      <c r="J1572" s="38"/>
      <c r="K1572" s="28"/>
      <c r="L1572" s="28"/>
    </row>
    <row r="1573" spans="1:12" x14ac:dyDescent="0.25">
      <c r="A1573" s="35"/>
      <c r="B1573" s="36"/>
      <c r="C1573" s="37"/>
      <c r="D1573" s="36"/>
      <c r="E1573" s="36"/>
      <c r="F1573" s="37"/>
      <c r="G1573" s="36"/>
      <c r="H1573" s="36"/>
      <c r="I1573" s="171"/>
      <c r="J1573" s="38"/>
      <c r="K1573" s="28"/>
      <c r="L1573" s="28"/>
    </row>
    <row r="1574" spans="1:12" x14ac:dyDescent="0.25">
      <c r="A1574" s="35"/>
      <c r="B1574" s="36"/>
      <c r="C1574" s="37"/>
      <c r="D1574" s="36"/>
      <c r="E1574" s="36"/>
      <c r="F1574" s="37"/>
      <c r="G1574" s="36"/>
      <c r="H1574" s="36"/>
      <c r="I1574" s="171"/>
      <c r="J1574" s="38"/>
      <c r="K1574" s="28"/>
      <c r="L1574" s="28"/>
    </row>
    <row r="1575" spans="1:12" x14ac:dyDescent="0.25">
      <c r="A1575" s="35"/>
      <c r="B1575" s="36"/>
      <c r="C1575" s="37"/>
      <c r="D1575" s="36"/>
      <c r="E1575" s="36"/>
      <c r="F1575" s="37"/>
      <c r="G1575" s="36"/>
      <c r="H1575" s="36"/>
      <c r="I1575" s="171"/>
      <c r="J1575" s="38"/>
      <c r="K1575" s="28"/>
      <c r="L1575" s="28"/>
    </row>
    <row r="1576" spans="1:12" x14ac:dyDescent="0.25">
      <c r="A1576" s="35"/>
      <c r="B1576" s="36"/>
      <c r="C1576" s="37"/>
      <c r="D1576" s="36"/>
      <c r="E1576" s="36"/>
      <c r="F1576" s="37"/>
      <c r="G1576" s="36"/>
      <c r="H1576" s="36"/>
      <c r="I1576" s="171"/>
      <c r="J1576" s="38"/>
      <c r="K1576" s="28"/>
      <c r="L1576" s="28"/>
    </row>
    <row r="1577" spans="1:12" x14ac:dyDescent="0.25">
      <c r="A1577" s="35"/>
      <c r="B1577" s="36"/>
      <c r="C1577" s="37"/>
      <c r="D1577" s="36"/>
      <c r="E1577" s="36"/>
      <c r="F1577" s="37"/>
      <c r="G1577" s="36"/>
      <c r="H1577" s="36"/>
      <c r="I1577" s="171"/>
      <c r="J1577" s="38"/>
      <c r="K1577" s="28"/>
      <c r="L1577" s="28"/>
    </row>
    <row r="1578" spans="1:12" x14ac:dyDescent="0.25">
      <c r="A1578" s="35"/>
      <c r="B1578" s="36"/>
      <c r="C1578" s="37"/>
      <c r="D1578" s="36"/>
      <c r="E1578" s="36"/>
      <c r="F1578" s="37"/>
      <c r="G1578" s="36"/>
      <c r="H1578" s="36"/>
      <c r="I1578" s="171"/>
      <c r="J1578" s="38"/>
      <c r="K1578" s="28"/>
      <c r="L1578" s="28"/>
    </row>
    <row r="1579" spans="1:12" x14ac:dyDescent="0.25">
      <c r="A1579" s="35"/>
      <c r="B1579" s="36"/>
      <c r="C1579" s="37"/>
      <c r="D1579" s="36"/>
      <c r="E1579" s="36"/>
      <c r="F1579" s="37"/>
      <c r="G1579" s="36"/>
      <c r="H1579" s="36"/>
      <c r="I1579" s="171"/>
      <c r="J1579" s="38"/>
      <c r="K1579" s="28"/>
      <c r="L1579" s="28"/>
    </row>
    <row r="1580" spans="1:12" x14ac:dyDescent="0.25">
      <c r="A1580" s="35"/>
      <c r="B1580" s="36"/>
      <c r="C1580" s="37"/>
      <c r="D1580" s="36"/>
      <c r="E1580" s="36"/>
      <c r="F1580" s="37"/>
      <c r="G1580" s="36"/>
      <c r="H1580" s="36"/>
      <c r="I1580" s="171"/>
      <c r="J1580" s="38"/>
      <c r="K1580" s="28"/>
      <c r="L1580" s="28"/>
    </row>
    <row r="1581" spans="1:12" x14ac:dyDescent="0.25">
      <c r="A1581" s="35"/>
      <c r="B1581" s="36"/>
      <c r="C1581" s="37"/>
      <c r="D1581" s="36"/>
      <c r="E1581" s="36"/>
      <c r="F1581" s="37"/>
      <c r="G1581" s="36"/>
      <c r="H1581" s="36"/>
      <c r="I1581" s="171"/>
      <c r="J1581" s="38"/>
      <c r="K1581" s="28"/>
      <c r="L1581" s="28"/>
    </row>
    <row r="1582" spans="1:12" x14ac:dyDescent="0.25">
      <c r="A1582" s="35"/>
      <c r="B1582" s="36"/>
      <c r="C1582" s="37"/>
      <c r="D1582" s="36"/>
      <c r="E1582" s="36"/>
      <c r="F1582" s="37"/>
      <c r="G1582" s="36"/>
      <c r="H1582" s="36"/>
      <c r="I1582" s="171"/>
      <c r="J1582" s="38"/>
      <c r="K1582" s="28"/>
      <c r="L1582" s="28"/>
    </row>
    <row r="1583" spans="1:12" x14ac:dyDescent="0.25">
      <c r="A1583" s="35"/>
      <c r="B1583" s="36"/>
      <c r="C1583" s="37"/>
      <c r="D1583" s="36"/>
      <c r="E1583" s="36"/>
      <c r="F1583" s="37"/>
      <c r="G1583" s="36"/>
      <c r="H1583" s="36"/>
      <c r="I1583" s="171"/>
      <c r="J1583" s="38"/>
      <c r="K1583" s="28"/>
      <c r="L1583" s="28"/>
    </row>
    <row r="1584" spans="1:12" x14ac:dyDescent="0.25">
      <c r="A1584" s="35"/>
      <c r="B1584" s="36"/>
      <c r="C1584" s="37"/>
      <c r="D1584" s="36"/>
      <c r="E1584" s="36"/>
      <c r="F1584" s="37"/>
      <c r="G1584" s="36"/>
      <c r="H1584" s="36"/>
      <c r="I1584" s="171"/>
      <c r="J1584" s="38"/>
      <c r="K1584" s="28"/>
      <c r="L1584" s="28"/>
    </row>
    <row r="1585" spans="1:12" x14ac:dyDescent="0.25">
      <c r="A1585" s="35"/>
      <c r="B1585" s="36"/>
      <c r="C1585" s="37"/>
      <c r="D1585" s="36"/>
      <c r="E1585" s="36"/>
      <c r="F1585" s="37"/>
      <c r="G1585" s="36"/>
      <c r="H1585" s="36"/>
      <c r="I1585" s="171"/>
      <c r="J1585" s="38"/>
      <c r="K1585" s="28"/>
      <c r="L1585" s="28"/>
    </row>
    <row r="1586" spans="1:12" x14ac:dyDescent="0.25">
      <c r="A1586" s="35"/>
      <c r="B1586" s="36"/>
      <c r="C1586" s="37"/>
      <c r="D1586" s="36"/>
      <c r="E1586" s="36"/>
      <c r="F1586" s="37"/>
      <c r="G1586" s="36"/>
      <c r="H1586" s="36"/>
      <c r="I1586" s="171"/>
      <c r="J1586" s="38"/>
      <c r="K1586" s="28"/>
      <c r="L1586" s="28"/>
    </row>
    <row r="1587" spans="1:12" x14ac:dyDescent="0.25">
      <c r="A1587" s="35"/>
      <c r="B1587" s="36"/>
      <c r="C1587" s="37"/>
      <c r="D1587" s="36"/>
      <c r="E1587" s="36"/>
      <c r="F1587" s="37"/>
      <c r="G1587" s="36"/>
      <c r="H1587" s="36"/>
      <c r="I1587" s="171"/>
      <c r="J1587" s="38"/>
      <c r="K1587" s="28"/>
      <c r="L1587" s="28"/>
    </row>
    <row r="1588" spans="1:12" x14ac:dyDescent="0.25">
      <c r="A1588" s="35"/>
      <c r="B1588" s="36"/>
      <c r="C1588" s="37"/>
      <c r="D1588" s="36"/>
      <c r="E1588" s="36"/>
      <c r="F1588" s="37"/>
      <c r="G1588" s="36"/>
      <c r="H1588" s="36"/>
      <c r="I1588" s="171"/>
      <c r="J1588" s="38"/>
      <c r="K1588" s="28"/>
      <c r="L1588" s="28"/>
    </row>
    <row r="1589" spans="1:12" x14ac:dyDescent="0.25">
      <c r="A1589" s="35"/>
      <c r="B1589" s="36"/>
      <c r="C1589" s="37"/>
      <c r="D1589" s="36"/>
      <c r="E1589" s="36"/>
      <c r="F1589" s="37"/>
      <c r="G1589" s="36"/>
      <c r="H1589" s="36"/>
      <c r="I1589" s="171"/>
      <c r="J1589" s="38"/>
      <c r="K1589" s="28"/>
      <c r="L1589" s="28"/>
    </row>
    <row r="1590" spans="1:12" x14ac:dyDescent="0.25">
      <c r="A1590" s="35"/>
      <c r="B1590" s="36"/>
      <c r="C1590" s="37"/>
      <c r="D1590" s="36"/>
      <c r="E1590" s="36"/>
      <c r="F1590" s="37"/>
      <c r="G1590" s="36"/>
      <c r="H1590" s="36"/>
      <c r="I1590" s="171"/>
      <c r="J1590" s="38"/>
      <c r="K1590" s="28"/>
      <c r="L1590" s="28"/>
    </row>
    <row r="1591" spans="1:12" x14ac:dyDescent="0.25">
      <c r="A1591" s="35"/>
      <c r="B1591" s="36"/>
      <c r="C1591" s="37"/>
      <c r="D1591" s="36"/>
      <c r="E1591" s="36"/>
      <c r="F1591" s="37"/>
      <c r="G1591" s="36"/>
      <c r="H1591" s="36"/>
      <c r="I1591" s="171"/>
      <c r="J1591" s="38"/>
      <c r="K1591" s="28"/>
      <c r="L1591" s="28"/>
    </row>
    <row r="1592" spans="1:12" x14ac:dyDescent="0.25">
      <c r="A1592" s="35"/>
      <c r="B1592" s="36"/>
      <c r="C1592" s="37"/>
      <c r="D1592" s="36"/>
      <c r="E1592" s="36"/>
      <c r="F1592" s="37"/>
      <c r="G1592" s="36"/>
      <c r="H1592" s="36"/>
      <c r="I1592" s="171"/>
      <c r="J1592" s="38"/>
      <c r="K1592" s="28"/>
      <c r="L1592" s="28"/>
    </row>
    <row r="1593" spans="1:12" x14ac:dyDescent="0.25">
      <c r="A1593" s="35"/>
      <c r="B1593" s="36"/>
      <c r="C1593" s="37"/>
      <c r="D1593" s="36"/>
      <c r="E1593" s="36"/>
      <c r="F1593" s="37"/>
      <c r="G1593" s="36"/>
      <c r="H1593" s="36"/>
      <c r="I1593" s="171"/>
      <c r="J1593" s="38"/>
      <c r="K1593" s="28"/>
      <c r="L1593" s="28"/>
    </row>
    <row r="1594" spans="1:12" x14ac:dyDescent="0.25">
      <c r="A1594" s="35"/>
      <c r="B1594" s="36"/>
      <c r="C1594" s="37"/>
      <c r="D1594" s="36"/>
      <c r="E1594" s="36"/>
      <c r="F1594" s="37"/>
      <c r="G1594" s="36"/>
      <c r="H1594" s="36"/>
      <c r="I1594" s="171"/>
      <c r="J1594" s="38"/>
      <c r="K1594" s="28"/>
      <c r="L1594" s="28"/>
    </row>
    <row r="1595" spans="1:12" x14ac:dyDescent="0.25">
      <c r="A1595" s="35"/>
      <c r="B1595" s="36"/>
      <c r="C1595" s="37"/>
      <c r="D1595" s="36"/>
      <c r="E1595" s="36"/>
      <c r="F1595" s="37"/>
      <c r="G1595" s="36"/>
      <c r="H1595" s="36"/>
      <c r="I1595" s="171"/>
      <c r="J1595" s="38"/>
      <c r="K1595" s="28"/>
      <c r="L1595" s="28"/>
    </row>
    <row r="1596" spans="1:12" x14ac:dyDescent="0.25">
      <c r="A1596" s="35"/>
      <c r="B1596" s="36"/>
      <c r="C1596" s="37"/>
      <c r="D1596" s="36"/>
      <c r="E1596" s="36"/>
      <c r="F1596" s="37"/>
      <c r="G1596" s="36"/>
      <c r="H1596" s="36"/>
      <c r="I1596" s="171"/>
      <c r="J1596" s="38"/>
      <c r="K1596" s="28"/>
      <c r="L1596" s="28"/>
    </row>
    <row r="1597" spans="1:12" x14ac:dyDescent="0.25">
      <c r="A1597" s="35"/>
      <c r="B1597" s="36"/>
      <c r="C1597" s="37"/>
      <c r="D1597" s="36"/>
      <c r="E1597" s="36"/>
      <c r="F1597" s="37"/>
      <c r="G1597" s="36"/>
      <c r="H1597" s="36"/>
      <c r="I1597" s="171"/>
      <c r="J1597" s="38"/>
      <c r="K1597" s="28"/>
      <c r="L1597" s="28"/>
    </row>
    <row r="1598" spans="1:12" x14ac:dyDescent="0.25">
      <c r="A1598" s="35"/>
      <c r="B1598" s="36"/>
      <c r="C1598" s="37"/>
      <c r="D1598" s="36"/>
      <c r="E1598" s="36"/>
      <c r="F1598" s="37"/>
      <c r="G1598" s="36"/>
      <c r="H1598" s="36"/>
      <c r="I1598" s="171"/>
      <c r="J1598" s="38"/>
      <c r="K1598" s="28"/>
      <c r="L1598" s="28"/>
    </row>
    <row r="1599" spans="1:12" x14ac:dyDescent="0.25">
      <c r="A1599" s="35"/>
      <c r="B1599" s="36"/>
      <c r="C1599" s="37"/>
      <c r="D1599" s="36"/>
      <c r="E1599" s="36"/>
      <c r="F1599" s="37"/>
      <c r="G1599" s="36"/>
      <c r="H1599" s="36"/>
      <c r="I1599" s="171"/>
      <c r="J1599" s="38"/>
      <c r="K1599" s="28"/>
      <c r="L1599" s="28"/>
    </row>
    <row r="1600" spans="1:12" x14ac:dyDescent="0.25">
      <c r="A1600" s="35"/>
      <c r="B1600" s="36"/>
      <c r="C1600" s="37"/>
      <c r="D1600" s="36"/>
      <c r="E1600" s="36"/>
      <c r="F1600" s="37"/>
      <c r="G1600" s="36"/>
      <c r="H1600" s="36"/>
      <c r="I1600" s="171"/>
      <c r="J1600" s="38"/>
      <c r="K1600" s="28"/>
      <c r="L1600" s="28"/>
    </row>
    <row r="1601" spans="1:12" x14ac:dyDescent="0.25">
      <c r="A1601" s="35"/>
      <c r="B1601" s="36"/>
      <c r="C1601" s="37"/>
      <c r="D1601" s="36"/>
      <c r="E1601" s="36"/>
      <c r="F1601" s="37"/>
      <c r="G1601" s="36"/>
      <c r="H1601" s="36"/>
      <c r="I1601" s="171"/>
      <c r="J1601" s="38"/>
      <c r="K1601" s="28"/>
      <c r="L1601" s="28"/>
    </row>
    <row r="1602" spans="1:12" x14ac:dyDescent="0.25">
      <c r="A1602" s="35"/>
      <c r="B1602" s="36"/>
      <c r="C1602" s="37"/>
      <c r="D1602" s="36"/>
      <c r="E1602" s="36"/>
      <c r="F1602" s="37"/>
      <c r="G1602" s="36"/>
      <c r="H1602" s="36"/>
      <c r="I1602" s="171"/>
      <c r="J1602" s="38"/>
      <c r="K1602" s="28"/>
      <c r="L1602" s="28"/>
    </row>
    <row r="1603" spans="1:12" x14ac:dyDescent="0.25">
      <c r="A1603" s="35"/>
      <c r="B1603" s="36"/>
      <c r="C1603" s="37"/>
      <c r="D1603" s="36"/>
      <c r="E1603" s="36"/>
      <c r="F1603" s="37"/>
      <c r="G1603" s="36"/>
      <c r="H1603" s="36"/>
      <c r="I1603" s="171"/>
      <c r="J1603" s="38"/>
      <c r="K1603" s="28"/>
      <c r="L1603" s="28"/>
    </row>
    <row r="1604" spans="1:12" x14ac:dyDescent="0.25">
      <c r="A1604" s="35"/>
      <c r="B1604" s="36"/>
      <c r="C1604" s="37"/>
      <c r="D1604" s="36"/>
      <c r="E1604" s="36"/>
      <c r="F1604" s="37"/>
      <c r="G1604" s="36"/>
      <c r="H1604" s="36"/>
      <c r="I1604" s="171"/>
      <c r="J1604" s="38"/>
      <c r="K1604" s="28"/>
      <c r="L1604" s="28"/>
    </row>
    <row r="1605" spans="1:12" x14ac:dyDescent="0.25">
      <c r="A1605" s="35"/>
      <c r="B1605" s="36"/>
      <c r="C1605" s="37"/>
      <c r="D1605" s="36"/>
      <c r="E1605" s="36"/>
      <c r="F1605" s="37"/>
      <c r="G1605" s="36"/>
      <c r="H1605" s="36"/>
      <c r="I1605" s="171"/>
      <c r="J1605" s="38"/>
      <c r="K1605" s="28"/>
      <c r="L1605" s="28"/>
    </row>
    <row r="1606" spans="1:12" x14ac:dyDescent="0.25">
      <c r="A1606" s="35"/>
      <c r="B1606" s="36"/>
      <c r="C1606" s="37"/>
      <c r="D1606" s="36"/>
      <c r="E1606" s="36"/>
      <c r="F1606" s="37"/>
      <c r="G1606" s="36"/>
      <c r="H1606" s="36"/>
      <c r="I1606" s="171"/>
      <c r="J1606" s="38"/>
      <c r="K1606" s="28"/>
      <c r="L1606" s="28"/>
    </row>
    <row r="1607" spans="1:12" x14ac:dyDescent="0.25">
      <c r="A1607" s="35"/>
      <c r="B1607" s="36"/>
      <c r="C1607" s="37"/>
      <c r="D1607" s="36"/>
      <c r="E1607" s="36"/>
      <c r="F1607" s="37"/>
      <c r="G1607" s="36"/>
      <c r="H1607" s="36"/>
      <c r="I1607" s="171"/>
      <c r="J1607" s="38"/>
      <c r="K1607" s="28"/>
      <c r="L1607" s="28"/>
    </row>
    <row r="1608" spans="1:12" x14ac:dyDescent="0.25">
      <c r="A1608" s="35"/>
      <c r="B1608" s="36"/>
      <c r="C1608" s="37"/>
      <c r="D1608" s="36"/>
      <c r="E1608" s="36"/>
      <c r="F1608" s="37"/>
      <c r="G1608" s="36"/>
      <c r="H1608" s="36"/>
      <c r="I1608" s="171"/>
      <c r="J1608" s="38"/>
      <c r="K1608" s="28"/>
      <c r="L1608" s="28"/>
    </row>
    <row r="1609" spans="1:12" x14ac:dyDescent="0.25">
      <c r="A1609" s="35"/>
      <c r="B1609" s="36"/>
      <c r="C1609" s="37"/>
      <c r="D1609" s="36"/>
      <c r="E1609" s="36"/>
      <c r="F1609" s="37"/>
      <c r="G1609" s="36"/>
      <c r="H1609" s="36"/>
      <c r="I1609" s="171"/>
      <c r="J1609" s="38"/>
      <c r="K1609" s="28"/>
      <c r="L1609" s="28"/>
    </row>
    <row r="1610" spans="1:12" x14ac:dyDescent="0.25">
      <c r="A1610" s="35"/>
      <c r="B1610" s="36"/>
      <c r="C1610" s="37"/>
      <c r="D1610" s="36"/>
      <c r="E1610" s="36"/>
      <c r="F1610" s="37"/>
      <c r="G1610" s="36"/>
      <c r="H1610" s="36"/>
      <c r="I1610" s="171"/>
      <c r="J1610" s="38"/>
      <c r="K1610" s="28"/>
      <c r="L1610" s="28"/>
    </row>
    <row r="1611" spans="1:12" x14ac:dyDescent="0.25">
      <c r="A1611" s="35"/>
      <c r="B1611" s="36"/>
      <c r="C1611" s="37"/>
      <c r="D1611" s="36"/>
      <c r="E1611" s="36"/>
      <c r="F1611" s="37"/>
      <c r="G1611" s="36"/>
      <c r="H1611" s="36"/>
      <c r="I1611" s="171"/>
      <c r="J1611" s="38"/>
      <c r="K1611" s="28"/>
      <c r="L1611" s="28"/>
    </row>
    <row r="1612" spans="1:12" x14ac:dyDescent="0.25">
      <c r="A1612" s="35"/>
      <c r="B1612" s="36"/>
      <c r="C1612" s="37"/>
      <c r="D1612" s="36"/>
      <c r="E1612" s="36"/>
      <c r="F1612" s="37"/>
      <c r="G1612" s="36"/>
      <c r="H1612" s="36"/>
      <c r="I1612" s="171"/>
      <c r="J1612" s="38"/>
      <c r="K1612" s="28"/>
      <c r="L1612" s="28"/>
    </row>
    <row r="1613" spans="1:12" x14ac:dyDescent="0.25">
      <c r="A1613" s="35"/>
      <c r="B1613" s="36"/>
      <c r="C1613" s="37"/>
      <c r="D1613" s="36"/>
      <c r="E1613" s="36"/>
      <c r="F1613" s="37"/>
      <c r="G1613" s="36"/>
      <c r="H1613" s="36"/>
      <c r="I1613" s="171"/>
      <c r="J1613" s="38"/>
      <c r="K1613" s="28"/>
      <c r="L1613" s="28"/>
    </row>
    <row r="1614" spans="1:12" x14ac:dyDescent="0.25">
      <c r="A1614" s="35"/>
      <c r="B1614" s="36"/>
      <c r="C1614" s="37"/>
      <c r="D1614" s="36"/>
      <c r="E1614" s="36"/>
      <c r="F1614" s="37"/>
      <c r="G1614" s="36"/>
      <c r="H1614" s="36"/>
      <c r="I1614" s="171"/>
      <c r="J1614" s="38"/>
      <c r="K1614" s="28"/>
      <c r="L1614" s="28"/>
    </row>
    <row r="1615" spans="1:12" x14ac:dyDescent="0.25">
      <c r="A1615" s="35"/>
      <c r="B1615" s="36"/>
      <c r="C1615" s="37"/>
      <c r="D1615" s="36"/>
      <c r="E1615" s="36"/>
      <c r="F1615" s="37"/>
      <c r="G1615" s="36"/>
      <c r="H1615" s="36"/>
      <c r="I1615" s="171"/>
      <c r="J1615" s="38"/>
      <c r="K1615" s="28"/>
      <c r="L1615" s="28"/>
    </row>
    <row r="1616" spans="1:12" x14ac:dyDescent="0.25">
      <c r="A1616" s="35"/>
      <c r="B1616" s="36"/>
      <c r="C1616" s="37"/>
      <c r="D1616" s="36"/>
      <c r="E1616" s="36"/>
      <c r="F1616" s="37"/>
      <c r="G1616" s="36"/>
      <c r="H1616" s="36"/>
      <c r="I1616" s="171"/>
      <c r="J1616" s="38"/>
      <c r="K1616" s="28"/>
      <c r="L1616" s="28"/>
    </row>
    <row r="1617" spans="1:12" x14ac:dyDescent="0.25">
      <c r="A1617" s="35"/>
      <c r="B1617" s="36"/>
      <c r="C1617" s="37"/>
      <c r="D1617" s="36"/>
      <c r="E1617" s="36"/>
      <c r="F1617" s="37"/>
      <c r="G1617" s="36"/>
      <c r="H1617" s="36"/>
      <c r="I1617" s="171"/>
      <c r="J1617" s="38"/>
      <c r="K1617" s="28"/>
      <c r="L1617" s="28"/>
    </row>
    <row r="1618" spans="1:12" x14ac:dyDescent="0.25">
      <c r="A1618" s="35"/>
      <c r="B1618" s="36"/>
      <c r="C1618" s="37"/>
      <c r="D1618" s="36"/>
      <c r="E1618" s="36"/>
      <c r="F1618" s="37"/>
      <c r="G1618" s="36"/>
      <c r="H1618" s="36"/>
      <c r="I1618" s="171"/>
      <c r="J1618" s="38"/>
      <c r="K1618" s="28"/>
      <c r="L1618" s="28"/>
    </row>
    <row r="1619" spans="1:12" x14ac:dyDescent="0.25">
      <c r="A1619" s="35"/>
      <c r="B1619" s="36"/>
      <c r="C1619" s="37"/>
      <c r="D1619" s="36"/>
      <c r="E1619" s="36"/>
      <c r="F1619" s="37"/>
      <c r="G1619" s="36"/>
      <c r="H1619" s="36"/>
      <c r="I1619" s="171"/>
      <c r="J1619" s="38"/>
      <c r="K1619" s="28"/>
      <c r="L1619" s="28"/>
    </row>
    <row r="1620" spans="1:12" x14ac:dyDescent="0.25">
      <c r="A1620" s="35"/>
      <c r="B1620" s="36"/>
      <c r="C1620" s="37"/>
      <c r="D1620" s="36"/>
      <c r="E1620" s="36"/>
      <c r="F1620" s="37"/>
      <c r="G1620" s="36"/>
      <c r="H1620" s="36"/>
      <c r="I1620" s="171"/>
      <c r="J1620" s="38"/>
      <c r="K1620" s="28"/>
      <c r="L1620" s="28"/>
    </row>
    <row r="1621" spans="1:12" x14ac:dyDescent="0.25">
      <c r="A1621" s="35"/>
      <c r="B1621" s="36"/>
      <c r="C1621" s="37"/>
      <c r="D1621" s="36"/>
      <c r="E1621" s="36"/>
      <c r="F1621" s="37"/>
      <c r="G1621" s="36"/>
      <c r="H1621" s="36"/>
      <c r="I1621" s="171"/>
      <c r="J1621" s="38"/>
      <c r="K1621" s="28"/>
      <c r="L1621" s="28"/>
    </row>
    <row r="1622" spans="1:12" x14ac:dyDescent="0.25">
      <c r="A1622" s="35"/>
      <c r="B1622" s="36"/>
      <c r="C1622" s="37"/>
      <c r="D1622" s="36"/>
      <c r="E1622" s="36"/>
      <c r="F1622" s="37"/>
      <c r="G1622" s="36"/>
      <c r="H1622" s="36"/>
      <c r="I1622" s="171"/>
      <c r="J1622" s="38"/>
      <c r="K1622" s="28"/>
      <c r="L1622" s="28"/>
    </row>
    <row r="1623" spans="1:12" x14ac:dyDescent="0.25">
      <c r="A1623" s="35"/>
      <c r="B1623" s="36"/>
      <c r="C1623" s="37"/>
      <c r="D1623" s="36"/>
      <c r="E1623" s="36"/>
      <c r="F1623" s="37"/>
      <c r="G1623" s="36"/>
      <c r="H1623" s="36"/>
      <c r="I1623" s="171"/>
      <c r="J1623" s="38"/>
      <c r="K1623" s="28"/>
      <c r="L1623" s="28"/>
    </row>
    <row r="1624" spans="1:12" x14ac:dyDescent="0.25">
      <c r="A1624" s="35"/>
      <c r="B1624" s="36"/>
      <c r="C1624" s="37"/>
      <c r="D1624" s="36"/>
      <c r="E1624" s="36"/>
      <c r="F1624" s="37"/>
      <c r="G1624" s="36"/>
      <c r="H1624" s="36"/>
      <c r="I1624" s="171"/>
      <c r="J1624" s="38"/>
      <c r="K1624" s="28"/>
      <c r="L1624" s="28"/>
    </row>
    <row r="1625" spans="1:12" x14ac:dyDescent="0.25">
      <c r="A1625" s="35"/>
      <c r="B1625" s="36"/>
      <c r="C1625" s="37"/>
      <c r="D1625" s="36"/>
      <c r="E1625" s="36"/>
      <c r="F1625" s="37"/>
      <c r="G1625" s="36"/>
      <c r="H1625" s="36"/>
      <c r="I1625" s="171"/>
      <c r="J1625" s="38"/>
      <c r="K1625" s="28"/>
      <c r="L1625" s="28"/>
    </row>
    <row r="1626" spans="1:12" x14ac:dyDescent="0.25">
      <c r="A1626" s="35"/>
      <c r="B1626" s="36"/>
      <c r="C1626" s="37"/>
      <c r="D1626" s="36"/>
      <c r="E1626" s="36"/>
      <c r="F1626" s="37"/>
      <c r="G1626" s="36"/>
      <c r="H1626" s="36"/>
      <c r="I1626" s="171"/>
      <c r="J1626" s="38"/>
      <c r="K1626" s="28"/>
      <c r="L1626" s="28"/>
    </row>
    <row r="1627" spans="1:12" x14ac:dyDescent="0.25">
      <c r="A1627" s="35"/>
      <c r="B1627" s="36"/>
      <c r="C1627" s="37"/>
      <c r="D1627" s="36"/>
      <c r="E1627" s="36"/>
      <c r="F1627" s="37"/>
      <c r="G1627" s="36"/>
      <c r="H1627" s="36"/>
      <c r="I1627" s="171"/>
      <c r="J1627" s="38"/>
      <c r="K1627" s="28"/>
      <c r="L1627" s="28"/>
    </row>
    <row r="1628" spans="1:12" x14ac:dyDescent="0.25">
      <c r="A1628" s="35"/>
      <c r="B1628" s="36"/>
      <c r="C1628" s="37"/>
      <c r="D1628" s="36"/>
      <c r="E1628" s="36"/>
      <c r="F1628" s="37"/>
      <c r="G1628" s="36"/>
      <c r="H1628" s="36"/>
      <c r="I1628" s="171"/>
      <c r="J1628" s="38"/>
      <c r="K1628" s="28"/>
      <c r="L1628" s="28"/>
    </row>
    <row r="1629" spans="1:12" x14ac:dyDescent="0.25">
      <c r="A1629" s="35"/>
      <c r="B1629" s="36"/>
      <c r="C1629" s="37"/>
      <c r="D1629" s="36"/>
      <c r="E1629" s="36"/>
      <c r="F1629" s="37"/>
      <c r="G1629" s="36"/>
      <c r="H1629" s="36"/>
      <c r="I1629" s="171"/>
      <c r="J1629" s="38"/>
      <c r="K1629" s="28"/>
      <c r="L1629" s="28"/>
    </row>
    <row r="1630" spans="1:12" x14ac:dyDescent="0.25">
      <c r="A1630" s="35"/>
      <c r="B1630" s="36"/>
      <c r="C1630" s="37"/>
      <c r="D1630" s="36"/>
      <c r="E1630" s="36"/>
      <c r="F1630" s="37"/>
      <c r="G1630" s="36"/>
      <c r="H1630" s="36"/>
      <c r="I1630" s="171"/>
      <c r="J1630" s="38"/>
      <c r="K1630" s="28"/>
      <c r="L1630" s="28"/>
    </row>
    <row r="1631" spans="1:12" x14ac:dyDescent="0.25">
      <c r="A1631" s="35"/>
      <c r="B1631" s="36"/>
      <c r="C1631" s="37"/>
      <c r="D1631" s="36"/>
      <c r="E1631" s="36"/>
      <c r="F1631" s="37"/>
      <c r="G1631" s="36"/>
      <c r="H1631" s="36"/>
      <c r="I1631" s="171"/>
      <c r="J1631" s="38"/>
      <c r="K1631" s="28"/>
      <c r="L1631" s="28"/>
    </row>
    <row r="1632" spans="1:12" x14ac:dyDescent="0.25">
      <c r="A1632" s="35"/>
      <c r="B1632" s="36"/>
      <c r="C1632" s="37"/>
      <c r="D1632" s="36"/>
      <c r="E1632" s="36"/>
      <c r="F1632" s="37"/>
      <c r="G1632" s="36"/>
      <c r="H1632" s="36"/>
      <c r="I1632" s="171"/>
      <c r="J1632" s="38"/>
      <c r="K1632" s="28"/>
      <c r="L1632" s="28"/>
    </row>
    <row r="1633" spans="1:12" x14ac:dyDescent="0.25">
      <c r="A1633" s="35"/>
      <c r="B1633" s="36"/>
      <c r="C1633" s="37"/>
      <c r="D1633" s="36"/>
      <c r="E1633" s="36"/>
      <c r="F1633" s="37"/>
      <c r="G1633" s="36"/>
      <c r="H1633" s="36"/>
      <c r="I1633" s="171"/>
      <c r="J1633" s="38"/>
      <c r="K1633" s="28"/>
      <c r="L1633" s="28"/>
    </row>
    <row r="1634" spans="1:12" x14ac:dyDescent="0.25">
      <c r="A1634" s="35"/>
      <c r="B1634" s="36"/>
      <c r="C1634" s="37"/>
      <c r="D1634" s="36"/>
      <c r="E1634" s="36"/>
      <c r="F1634" s="37"/>
      <c r="G1634" s="36"/>
      <c r="H1634" s="36"/>
      <c r="I1634" s="171"/>
      <c r="J1634" s="38"/>
      <c r="K1634" s="28"/>
      <c r="L1634" s="28"/>
    </row>
    <row r="1635" spans="1:12" x14ac:dyDescent="0.25">
      <c r="A1635" s="35"/>
      <c r="B1635" s="36"/>
      <c r="C1635" s="37"/>
      <c r="D1635" s="36"/>
      <c r="E1635" s="36"/>
      <c r="F1635" s="37"/>
      <c r="G1635" s="36"/>
      <c r="H1635" s="36"/>
      <c r="I1635" s="171"/>
      <c r="J1635" s="38"/>
      <c r="K1635" s="28"/>
      <c r="L1635" s="28"/>
    </row>
    <row r="1636" spans="1:12" x14ac:dyDescent="0.25">
      <c r="A1636" s="35"/>
      <c r="B1636" s="36"/>
      <c r="C1636" s="37"/>
      <c r="D1636" s="36"/>
      <c r="E1636" s="36"/>
      <c r="F1636" s="37"/>
      <c r="G1636" s="36"/>
      <c r="H1636" s="36"/>
      <c r="I1636" s="171"/>
      <c r="J1636" s="38"/>
      <c r="K1636" s="28"/>
      <c r="L1636" s="28"/>
    </row>
    <row r="1637" spans="1:12" x14ac:dyDescent="0.25">
      <c r="A1637" s="35"/>
      <c r="B1637" s="36"/>
      <c r="C1637" s="37"/>
      <c r="D1637" s="36"/>
      <c r="E1637" s="36"/>
      <c r="F1637" s="37"/>
      <c r="G1637" s="36"/>
      <c r="H1637" s="36"/>
      <c r="I1637" s="171"/>
      <c r="J1637" s="38"/>
      <c r="K1637" s="28"/>
      <c r="L1637" s="28"/>
    </row>
    <row r="1638" spans="1:12" x14ac:dyDescent="0.25">
      <c r="A1638" s="35"/>
      <c r="B1638" s="36"/>
      <c r="C1638" s="37"/>
      <c r="D1638" s="36"/>
      <c r="E1638" s="36"/>
      <c r="F1638" s="37"/>
      <c r="G1638" s="36"/>
      <c r="H1638" s="36"/>
      <c r="I1638" s="171"/>
      <c r="J1638" s="38"/>
      <c r="K1638" s="28"/>
      <c r="L1638" s="28"/>
    </row>
    <row r="1639" spans="1:12" x14ac:dyDescent="0.25">
      <c r="A1639" s="35"/>
      <c r="B1639" s="36"/>
      <c r="C1639" s="37"/>
      <c r="D1639" s="36"/>
      <c r="E1639" s="36"/>
      <c r="F1639" s="37"/>
      <c r="G1639" s="36"/>
      <c r="H1639" s="36"/>
      <c r="I1639" s="171"/>
      <c r="J1639" s="38"/>
      <c r="K1639" s="28"/>
      <c r="L1639" s="28"/>
    </row>
    <row r="1640" spans="1:12" x14ac:dyDescent="0.25">
      <c r="A1640" s="35"/>
      <c r="B1640" s="36"/>
      <c r="C1640" s="37"/>
      <c r="D1640" s="36"/>
      <c r="E1640" s="36"/>
      <c r="F1640" s="37"/>
      <c r="G1640" s="36"/>
      <c r="H1640" s="36"/>
      <c r="I1640" s="171"/>
      <c r="J1640" s="38"/>
      <c r="K1640" s="28"/>
      <c r="L1640" s="28"/>
    </row>
    <row r="1641" spans="1:12" x14ac:dyDescent="0.25">
      <c r="A1641" s="35"/>
      <c r="B1641" s="36"/>
      <c r="C1641" s="37"/>
      <c r="D1641" s="36"/>
      <c r="E1641" s="36"/>
      <c r="F1641" s="37"/>
      <c r="G1641" s="36"/>
      <c r="H1641" s="36"/>
      <c r="I1641" s="171"/>
      <c r="J1641" s="38"/>
      <c r="K1641" s="28"/>
      <c r="L1641" s="28"/>
    </row>
    <row r="1642" spans="1:12" x14ac:dyDescent="0.25">
      <c r="A1642" s="35"/>
      <c r="B1642" s="36"/>
      <c r="C1642" s="37"/>
      <c r="D1642" s="36"/>
      <c r="E1642" s="36"/>
      <c r="F1642" s="37"/>
      <c r="G1642" s="36"/>
      <c r="H1642" s="36"/>
      <c r="I1642" s="171"/>
      <c r="J1642" s="38"/>
      <c r="K1642" s="28"/>
      <c r="L1642" s="28"/>
    </row>
    <row r="1643" spans="1:12" x14ac:dyDescent="0.25">
      <c r="A1643" s="35"/>
      <c r="B1643" s="36"/>
      <c r="C1643" s="37"/>
      <c r="D1643" s="36"/>
      <c r="E1643" s="36"/>
      <c r="F1643" s="37"/>
      <c r="G1643" s="36"/>
      <c r="H1643" s="36"/>
      <c r="I1643" s="171"/>
      <c r="J1643" s="38"/>
      <c r="K1643" s="28"/>
      <c r="L1643" s="28"/>
    </row>
    <row r="1644" spans="1:12" x14ac:dyDescent="0.25">
      <c r="A1644" s="35"/>
      <c r="B1644" s="36"/>
      <c r="C1644" s="37"/>
      <c r="D1644" s="36"/>
      <c r="E1644" s="36"/>
      <c r="F1644" s="37"/>
      <c r="G1644" s="36"/>
      <c r="H1644" s="36"/>
      <c r="I1644" s="171"/>
      <c r="J1644" s="38"/>
      <c r="K1644" s="28"/>
      <c r="L1644" s="28"/>
    </row>
    <row r="1645" spans="1:12" x14ac:dyDescent="0.25">
      <c r="A1645" s="35"/>
      <c r="B1645" s="36"/>
      <c r="C1645" s="37"/>
      <c r="D1645" s="36"/>
      <c r="E1645" s="36"/>
      <c r="F1645" s="37"/>
      <c r="G1645" s="36"/>
      <c r="H1645" s="36"/>
      <c r="I1645" s="171"/>
      <c r="J1645" s="38"/>
      <c r="K1645" s="28"/>
      <c r="L1645" s="28"/>
    </row>
    <row r="1646" spans="1:12" x14ac:dyDescent="0.25">
      <c r="A1646" s="35"/>
      <c r="B1646" s="36"/>
      <c r="C1646" s="37"/>
      <c r="D1646" s="36"/>
      <c r="E1646" s="36"/>
      <c r="F1646" s="37"/>
      <c r="G1646" s="36"/>
      <c r="H1646" s="36"/>
      <c r="I1646" s="171"/>
      <c r="J1646" s="38"/>
      <c r="K1646" s="28"/>
      <c r="L1646" s="28"/>
    </row>
    <row r="1647" spans="1:12" x14ac:dyDescent="0.25">
      <c r="A1647" s="35"/>
      <c r="B1647" s="36"/>
      <c r="C1647" s="37"/>
      <c r="D1647" s="36"/>
      <c r="E1647" s="36"/>
      <c r="F1647" s="37"/>
      <c r="G1647" s="36"/>
      <c r="H1647" s="36"/>
      <c r="I1647" s="171"/>
      <c r="J1647" s="38"/>
      <c r="K1647" s="28"/>
      <c r="L1647" s="28"/>
    </row>
    <row r="1648" spans="1:12" x14ac:dyDescent="0.25">
      <c r="A1648" s="35"/>
      <c r="B1648" s="36"/>
      <c r="C1648" s="37"/>
      <c r="D1648" s="36"/>
      <c r="E1648" s="36"/>
      <c r="F1648" s="37"/>
      <c r="G1648" s="36"/>
      <c r="H1648" s="36"/>
      <c r="I1648" s="171"/>
      <c r="J1648" s="38"/>
      <c r="K1648" s="28"/>
      <c r="L1648" s="28"/>
    </row>
    <row r="1649" spans="1:12" x14ac:dyDescent="0.25">
      <c r="A1649" s="35"/>
      <c r="B1649" s="36"/>
      <c r="C1649" s="37"/>
      <c r="D1649" s="36"/>
      <c r="E1649" s="36"/>
      <c r="F1649" s="37"/>
      <c r="G1649" s="36"/>
      <c r="H1649" s="36"/>
      <c r="I1649" s="171"/>
      <c r="J1649" s="38"/>
      <c r="K1649" s="28"/>
      <c r="L1649" s="28"/>
    </row>
    <row r="1650" spans="1:12" x14ac:dyDescent="0.25">
      <c r="A1650" s="35"/>
      <c r="B1650" s="36"/>
      <c r="C1650" s="37"/>
      <c r="D1650" s="36"/>
      <c r="E1650" s="36"/>
      <c r="F1650" s="37"/>
      <c r="G1650" s="36"/>
      <c r="H1650" s="36"/>
      <c r="I1650" s="171"/>
      <c r="J1650" s="38"/>
      <c r="K1650" s="28"/>
      <c r="L1650" s="28"/>
    </row>
    <row r="1651" spans="1:12" x14ac:dyDescent="0.25">
      <c r="A1651" s="35"/>
      <c r="B1651" s="36"/>
      <c r="C1651" s="37"/>
      <c r="D1651" s="36"/>
      <c r="E1651" s="36"/>
      <c r="F1651" s="37"/>
      <c r="G1651" s="36"/>
      <c r="H1651" s="36"/>
      <c r="I1651" s="171"/>
      <c r="J1651" s="38"/>
      <c r="K1651" s="28"/>
      <c r="L1651" s="28"/>
    </row>
    <row r="1652" spans="1:12" x14ac:dyDescent="0.25">
      <c r="A1652" s="35"/>
      <c r="B1652" s="36"/>
      <c r="C1652" s="37"/>
      <c r="D1652" s="36"/>
      <c r="E1652" s="36"/>
      <c r="F1652" s="37"/>
      <c r="G1652" s="36"/>
      <c r="H1652" s="36"/>
      <c r="I1652" s="171"/>
      <c r="J1652" s="38"/>
      <c r="K1652" s="28"/>
      <c r="L1652" s="28"/>
    </row>
    <row r="1653" spans="1:12" x14ac:dyDescent="0.25">
      <c r="A1653" s="35"/>
      <c r="B1653" s="36"/>
      <c r="C1653" s="37"/>
      <c r="D1653" s="36"/>
      <c r="E1653" s="36"/>
      <c r="F1653" s="37"/>
      <c r="G1653" s="36"/>
      <c r="H1653" s="36"/>
      <c r="I1653" s="171"/>
      <c r="J1653" s="38"/>
      <c r="K1653" s="28"/>
      <c r="L1653" s="28"/>
    </row>
    <row r="1654" spans="1:12" x14ac:dyDescent="0.25">
      <c r="A1654" s="35"/>
      <c r="B1654" s="36"/>
      <c r="C1654" s="37"/>
      <c r="D1654" s="36"/>
      <c r="E1654" s="36"/>
      <c r="F1654" s="37"/>
      <c r="G1654" s="36"/>
      <c r="H1654" s="36"/>
      <c r="I1654" s="171"/>
      <c r="J1654" s="38"/>
      <c r="K1654" s="28"/>
      <c r="L1654" s="28"/>
    </row>
    <row r="1655" spans="1:12" x14ac:dyDescent="0.25">
      <c r="A1655" s="35"/>
      <c r="B1655" s="36"/>
      <c r="C1655" s="37"/>
      <c r="D1655" s="36"/>
      <c r="E1655" s="36"/>
      <c r="F1655" s="37"/>
      <c r="G1655" s="36"/>
      <c r="H1655" s="36"/>
      <c r="I1655" s="171"/>
      <c r="J1655" s="38"/>
      <c r="K1655" s="28"/>
      <c r="L1655" s="28"/>
    </row>
    <row r="1656" spans="1:12" x14ac:dyDescent="0.25">
      <c r="A1656" s="35"/>
      <c r="B1656" s="36"/>
      <c r="C1656" s="37"/>
      <c r="D1656" s="36"/>
      <c r="E1656" s="36"/>
      <c r="F1656" s="37"/>
      <c r="G1656" s="36"/>
      <c r="H1656" s="36"/>
      <c r="I1656" s="171"/>
      <c r="J1656" s="38"/>
      <c r="K1656" s="28"/>
      <c r="L1656" s="28"/>
    </row>
    <row r="1657" spans="1:12" x14ac:dyDescent="0.25">
      <c r="A1657" s="35"/>
      <c r="B1657" s="36"/>
      <c r="C1657" s="37"/>
      <c r="D1657" s="36"/>
      <c r="E1657" s="36"/>
      <c r="F1657" s="37"/>
      <c r="G1657" s="36"/>
      <c r="H1657" s="36"/>
      <c r="I1657" s="171"/>
      <c r="J1657" s="38"/>
      <c r="K1657" s="28"/>
      <c r="L1657" s="28"/>
    </row>
    <row r="1658" spans="1:12" x14ac:dyDescent="0.25">
      <c r="A1658" s="35"/>
      <c r="B1658" s="36"/>
      <c r="C1658" s="37"/>
      <c r="D1658" s="36"/>
      <c r="E1658" s="36"/>
      <c r="F1658" s="37"/>
      <c r="G1658" s="36"/>
      <c r="H1658" s="36"/>
      <c r="I1658" s="171"/>
      <c r="J1658" s="38"/>
      <c r="K1658" s="28"/>
      <c r="L1658" s="28"/>
    </row>
    <row r="1659" spans="1:12" x14ac:dyDescent="0.25">
      <c r="A1659" s="35"/>
      <c r="B1659" s="36"/>
      <c r="C1659" s="37"/>
      <c r="D1659" s="36"/>
      <c r="E1659" s="36"/>
      <c r="F1659" s="37"/>
      <c r="G1659" s="36"/>
      <c r="H1659" s="36"/>
      <c r="I1659" s="171"/>
      <c r="J1659" s="38"/>
      <c r="K1659" s="28"/>
      <c r="L1659" s="28"/>
    </row>
    <row r="1660" spans="1:12" x14ac:dyDescent="0.25">
      <c r="A1660" s="35"/>
      <c r="B1660" s="36"/>
      <c r="C1660" s="37"/>
      <c r="D1660" s="36"/>
      <c r="E1660" s="36"/>
      <c r="F1660" s="37"/>
      <c r="G1660" s="36"/>
      <c r="H1660" s="36"/>
      <c r="I1660" s="171"/>
      <c r="J1660" s="38"/>
      <c r="K1660" s="28"/>
      <c r="L1660" s="28"/>
    </row>
    <row r="1661" spans="1:12" x14ac:dyDescent="0.25">
      <c r="A1661" s="35"/>
      <c r="B1661" s="36"/>
      <c r="C1661" s="37"/>
      <c r="D1661" s="36"/>
      <c r="E1661" s="36"/>
      <c r="F1661" s="37"/>
      <c r="G1661" s="36"/>
      <c r="H1661" s="36"/>
      <c r="I1661" s="171"/>
      <c r="J1661" s="38"/>
      <c r="K1661" s="28"/>
      <c r="L1661" s="28"/>
    </row>
    <row r="1662" spans="1:12" x14ac:dyDescent="0.25">
      <c r="A1662" s="35"/>
      <c r="B1662" s="36"/>
      <c r="C1662" s="37"/>
      <c r="D1662" s="36"/>
      <c r="E1662" s="36"/>
      <c r="F1662" s="37"/>
      <c r="G1662" s="36"/>
      <c r="H1662" s="36"/>
      <c r="I1662" s="171"/>
      <c r="J1662" s="38"/>
      <c r="K1662" s="28"/>
      <c r="L1662" s="28"/>
    </row>
    <row r="1663" spans="1:12" x14ac:dyDescent="0.25">
      <c r="A1663" s="35"/>
      <c r="B1663" s="36"/>
      <c r="C1663" s="37"/>
      <c r="D1663" s="36"/>
      <c r="E1663" s="36"/>
      <c r="F1663" s="37"/>
      <c r="G1663" s="36"/>
      <c r="H1663" s="36"/>
      <c r="I1663" s="171"/>
      <c r="J1663" s="38"/>
      <c r="K1663" s="28"/>
      <c r="L1663" s="28"/>
    </row>
    <row r="1664" spans="1:12" x14ac:dyDescent="0.25">
      <c r="A1664" s="35"/>
      <c r="B1664" s="36"/>
      <c r="C1664" s="37"/>
      <c r="D1664" s="36"/>
      <c r="E1664" s="36"/>
      <c r="F1664" s="37"/>
      <c r="G1664" s="36"/>
      <c r="H1664" s="36"/>
      <c r="I1664" s="171"/>
      <c r="J1664" s="38"/>
      <c r="K1664" s="28"/>
      <c r="L1664" s="28"/>
    </row>
    <row r="1665" spans="1:12" x14ac:dyDescent="0.25">
      <c r="A1665" s="35"/>
      <c r="B1665" s="36"/>
      <c r="C1665" s="37"/>
      <c r="D1665" s="36"/>
      <c r="E1665" s="36"/>
      <c r="F1665" s="37"/>
      <c r="G1665" s="36"/>
      <c r="H1665" s="36"/>
      <c r="I1665" s="171"/>
      <c r="J1665" s="38"/>
      <c r="K1665" s="28"/>
      <c r="L1665" s="28"/>
    </row>
    <row r="1666" spans="1:12" x14ac:dyDescent="0.25">
      <c r="A1666" s="35"/>
      <c r="B1666" s="36"/>
      <c r="C1666" s="37"/>
      <c r="D1666" s="36"/>
      <c r="E1666" s="36"/>
      <c r="F1666" s="37"/>
      <c r="G1666" s="36"/>
      <c r="H1666" s="36"/>
      <c r="I1666" s="171"/>
      <c r="J1666" s="38"/>
      <c r="K1666" s="28"/>
      <c r="L1666" s="28"/>
    </row>
    <row r="1667" spans="1:12" x14ac:dyDescent="0.25">
      <c r="A1667" s="35"/>
      <c r="B1667" s="36"/>
      <c r="C1667" s="37"/>
      <c r="D1667" s="36"/>
      <c r="E1667" s="36"/>
      <c r="F1667" s="37"/>
      <c r="G1667" s="36"/>
      <c r="H1667" s="36"/>
      <c r="I1667" s="171"/>
      <c r="J1667" s="38"/>
      <c r="K1667" s="28"/>
      <c r="L1667" s="28"/>
    </row>
    <row r="1668" spans="1:12" x14ac:dyDescent="0.25">
      <c r="A1668" s="35"/>
      <c r="B1668" s="36"/>
      <c r="C1668" s="37"/>
      <c r="D1668" s="36"/>
      <c r="E1668" s="36"/>
      <c r="F1668" s="37"/>
      <c r="G1668" s="36"/>
      <c r="H1668" s="36"/>
      <c r="I1668" s="171"/>
      <c r="J1668" s="38"/>
      <c r="K1668" s="28"/>
      <c r="L1668" s="28"/>
    </row>
    <row r="1669" spans="1:12" x14ac:dyDescent="0.25">
      <c r="A1669" s="35"/>
      <c r="B1669" s="36"/>
      <c r="C1669" s="37"/>
      <c r="D1669" s="36"/>
      <c r="E1669" s="36"/>
      <c r="F1669" s="37"/>
      <c r="G1669" s="36"/>
      <c r="H1669" s="36"/>
      <c r="I1669" s="171"/>
      <c r="J1669" s="38"/>
      <c r="K1669" s="28"/>
      <c r="L1669" s="28"/>
    </row>
    <row r="1670" spans="1:12" x14ac:dyDescent="0.25">
      <c r="A1670" s="35"/>
      <c r="B1670" s="36"/>
      <c r="C1670" s="37"/>
      <c r="D1670" s="36"/>
      <c r="E1670" s="36"/>
      <c r="F1670" s="37"/>
      <c r="G1670" s="36"/>
      <c r="H1670" s="36"/>
      <c r="I1670" s="171"/>
      <c r="J1670" s="38"/>
      <c r="K1670" s="28"/>
      <c r="L1670" s="28"/>
    </row>
    <row r="1671" spans="1:12" x14ac:dyDescent="0.25">
      <c r="A1671" s="35"/>
      <c r="B1671" s="36"/>
      <c r="C1671" s="37"/>
      <c r="D1671" s="36"/>
      <c r="E1671" s="36"/>
      <c r="F1671" s="37"/>
      <c r="G1671" s="36"/>
      <c r="H1671" s="36"/>
      <c r="I1671" s="171"/>
      <c r="J1671" s="38"/>
      <c r="K1671" s="28"/>
      <c r="L1671" s="28"/>
    </row>
    <row r="1672" spans="1:12" x14ac:dyDescent="0.25">
      <c r="A1672" s="35"/>
      <c r="B1672" s="36"/>
      <c r="C1672" s="37"/>
      <c r="D1672" s="36"/>
      <c r="E1672" s="36"/>
      <c r="F1672" s="37"/>
      <c r="G1672" s="36"/>
      <c r="H1672" s="36"/>
      <c r="I1672" s="171"/>
      <c r="J1672" s="38"/>
      <c r="K1672" s="28"/>
      <c r="L1672" s="28"/>
    </row>
    <row r="1673" spans="1:12" x14ac:dyDescent="0.25">
      <c r="A1673" s="35"/>
      <c r="B1673" s="36"/>
      <c r="C1673" s="37"/>
      <c r="D1673" s="36"/>
      <c r="E1673" s="36"/>
      <c r="F1673" s="37"/>
      <c r="G1673" s="36"/>
      <c r="H1673" s="36"/>
      <c r="I1673" s="171"/>
      <c r="J1673" s="38"/>
      <c r="K1673" s="28"/>
      <c r="L1673" s="28"/>
    </row>
    <row r="1674" spans="1:12" x14ac:dyDescent="0.25">
      <c r="A1674" s="35"/>
      <c r="B1674" s="36"/>
      <c r="C1674" s="37"/>
      <c r="D1674" s="36"/>
      <c r="E1674" s="36"/>
      <c r="F1674" s="37"/>
      <c r="G1674" s="36"/>
      <c r="H1674" s="36"/>
      <c r="I1674" s="171"/>
      <c r="J1674" s="38"/>
      <c r="K1674" s="28"/>
      <c r="L1674" s="28"/>
    </row>
    <row r="1675" spans="1:12" x14ac:dyDescent="0.25">
      <c r="A1675" s="35"/>
      <c r="B1675" s="36"/>
      <c r="C1675" s="37"/>
      <c r="D1675" s="36"/>
      <c r="E1675" s="36"/>
      <c r="F1675" s="37"/>
      <c r="G1675" s="36"/>
      <c r="H1675" s="36"/>
      <c r="I1675" s="171"/>
      <c r="J1675" s="38"/>
      <c r="K1675" s="28"/>
      <c r="L1675" s="28"/>
    </row>
    <row r="1676" spans="1:12" x14ac:dyDescent="0.25">
      <c r="A1676" s="35"/>
      <c r="B1676" s="36"/>
      <c r="C1676" s="37"/>
      <c r="D1676" s="36"/>
      <c r="E1676" s="36"/>
      <c r="F1676" s="37"/>
      <c r="G1676" s="36"/>
      <c r="H1676" s="36"/>
      <c r="I1676" s="171"/>
      <c r="J1676" s="38"/>
      <c r="K1676" s="28"/>
      <c r="L1676" s="28"/>
    </row>
    <row r="1677" spans="1:12" x14ac:dyDescent="0.25">
      <c r="A1677" s="35"/>
      <c r="B1677" s="36"/>
      <c r="C1677" s="37"/>
      <c r="D1677" s="36"/>
      <c r="E1677" s="36"/>
      <c r="F1677" s="37"/>
      <c r="G1677" s="36"/>
      <c r="H1677" s="36"/>
      <c r="I1677" s="171"/>
      <c r="J1677" s="38"/>
      <c r="K1677" s="28"/>
      <c r="L1677" s="28"/>
    </row>
    <row r="1678" spans="1:12" x14ac:dyDescent="0.25">
      <c r="A1678" s="35"/>
      <c r="B1678" s="36"/>
      <c r="C1678" s="37"/>
      <c r="D1678" s="36"/>
      <c r="E1678" s="36"/>
      <c r="F1678" s="37"/>
      <c r="G1678" s="36"/>
      <c r="H1678" s="36"/>
      <c r="I1678" s="171"/>
      <c r="J1678" s="38"/>
      <c r="K1678" s="28"/>
      <c r="L1678" s="28"/>
    </row>
    <row r="1679" spans="1:12" x14ac:dyDescent="0.25">
      <c r="A1679" s="35"/>
      <c r="B1679" s="36"/>
      <c r="C1679" s="37"/>
      <c r="D1679" s="36"/>
      <c r="E1679" s="36"/>
      <c r="F1679" s="37"/>
      <c r="G1679" s="36"/>
      <c r="H1679" s="36"/>
      <c r="I1679" s="171"/>
      <c r="J1679" s="38"/>
      <c r="K1679" s="28"/>
      <c r="L1679" s="28"/>
    </row>
    <row r="1680" spans="1:12" x14ac:dyDescent="0.25">
      <c r="A1680" s="35"/>
      <c r="B1680" s="36"/>
      <c r="C1680" s="37"/>
      <c r="D1680" s="36"/>
      <c r="E1680" s="36"/>
      <c r="F1680" s="37"/>
      <c r="G1680" s="36"/>
      <c r="H1680" s="36"/>
      <c r="I1680" s="171"/>
      <c r="J1680" s="38"/>
      <c r="K1680" s="28"/>
      <c r="L1680" s="28"/>
    </row>
    <row r="1681" spans="1:12" x14ac:dyDescent="0.25">
      <c r="A1681" s="35"/>
      <c r="B1681" s="36"/>
      <c r="C1681" s="37"/>
      <c r="D1681" s="36"/>
      <c r="E1681" s="36"/>
      <c r="F1681" s="37"/>
      <c r="G1681" s="36"/>
      <c r="H1681" s="36"/>
      <c r="I1681" s="171"/>
      <c r="J1681" s="38"/>
      <c r="K1681" s="28"/>
      <c r="L1681" s="28"/>
    </row>
    <row r="1682" spans="1:12" x14ac:dyDescent="0.25">
      <c r="A1682" s="35"/>
      <c r="B1682" s="36"/>
      <c r="C1682" s="37"/>
      <c r="D1682" s="36"/>
      <c r="E1682" s="36"/>
      <c r="F1682" s="37"/>
      <c r="G1682" s="36"/>
      <c r="H1682" s="36"/>
      <c r="I1682" s="171"/>
      <c r="J1682" s="38"/>
      <c r="K1682" s="28"/>
      <c r="L1682" s="28"/>
    </row>
    <row r="1683" spans="1:12" x14ac:dyDescent="0.25">
      <c r="A1683" s="35"/>
      <c r="B1683" s="36"/>
      <c r="C1683" s="37"/>
      <c r="D1683" s="36"/>
      <c r="E1683" s="36"/>
      <c r="F1683" s="37"/>
      <c r="G1683" s="36"/>
      <c r="H1683" s="36"/>
      <c r="I1683" s="171"/>
      <c r="J1683" s="38"/>
      <c r="K1683" s="28"/>
      <c r="L1683" s="28"/>
    </row>
    <row r="1684" spans="1:12" x14ac:dyDescent="0.25">
      <c r="A1684" s="35"/>
      <c r="B1684" s="36"/>
      <c r="C1684" s="37"/>
      <c r="D1684" s="36"/>
      <c r="E1684" s="36"/>
      <c r="F1684" s="37"/>
      <c r="G1684" s="36"/>
      <c r="H1684" s="36"/>
      <c r="I1684" s="171"/>
      <c r="J1684" s="38"/>
      <c r="K1684" s="28"/>
      <c r="L1684" s="28"/>
    </row>
    <row r="1685" spans="1:12" x14ac:dyDescent="0.25">
      <c r="A1685" s="35"/>
      <c r="B1685" s="36"/>
      <c r="C1685" s="37"/>
      <c r="D1685" s="36"/>
      <c r="E1685" s="36"/>
      <c r="F1685" s="37"/>
      <c r="G1685" s="36"/>
      <c r="H1685" s="36"/>
      <c r="I1685" s="171"/>
      <c r="J1685" s="38"/>
      <c r="K1685" s="28"/>
      <c r="L1685" s="28"/>
    </row>
    <row r="1686" spans="1:12" x14ac:dyDescent="0.25">
      <c r="A1686" s="35"/>
      <c r="B1686" s="36"/>
      <c r="C1686" s="37"/>
      <c r="D1686" s="36"/>
      <c r="E1686" s="36"/>
      <c r="F1686" s="37"/>
      <c r="G1686" s="36"/>
      <c r="H1686" s="36"/>
      <c r="I1686" s="171"/>
      <c r="J1686" s="38"/>
      <c r="K1686" s="28"/>
      <c r="L1686" s="28"/>
    </row>
    <row r="1687" spans="1:12" x14ac:dyDescent="0.25">
      <c r="A1687" s="35"/>
      <c r="B1687" s="36"/>
      <c r="C1687" s="37"/>
      <c r="D1687" s="36"/>
      <c r="E1687" s="36"/>
      <c r="F1687" s="37"/>
      <c r="G1687" s="36"/>
      <c r="H1687" s="36"/>
      <c r="I1687" s="171"/>
      <c r="J1687" s="38"/>
      <c r="K1687" s="28"/>
      <c r="L1687" s="28"/>
    </row>
    <row r="1688" spans="1:12" x14ac:dyDescent="0.25">
      <c r="A1688" s="35"/>
      <c r="B1688" s="36"/>
      <c r="C1688" s="37"/>
      <c r="D1688" s="36"/>
      <c r="E1688" s="36"/>
      <c r="F1688" s="37"/>
      <c r="G1688" s="36"/>
      <c r="H1688" s="36"/>
      <c r="I1688" s="171"/>
      <c r="J1688" s="38"/>
      <c r="K1688" s="28"/>
      <c r="L1688" s="28"/>
    </row>
    <row r="1689" spans="1:12" x14ac:dyDescent="0.25">
      <c r="A1689" s="35"/>
      <c r="B1689" s="36"/>
      <c r="C1689" s="37"/>
      <c r="D1689" s="36"/>
      <c r="E1689" s="36"/>
      <c r="F1689" s="37"/>
      <c r="G1689" s="36"/>
      <c r="H1689" s="36"/>
      <c r="I1689" s="171"/>
      <c r="J1689" s="38"/>
      <c r="K1689" s="28"/>
      <c r="L1689" s="28"/>
    </row>
    <row r="1690" spans="1:12" x14ac:dyDescent="0.25">
      <c r="A1690" s="35"/>
      <c r="B1690" s="36"/>
      <c r="C1690" s="37"/>
      <c r="D1690" s="36"/>
      <c r="E1690" s="36"/>
      <c r="F1690" s="37"/>
      <c r="G1690" s="36"/>
      <c r="H1690" s="36"/>
      <c r="I1690" s="171"/>
      <c r="J1690" s="38"/>
      <c r="K1690" s="28"/>
      <c r="L1690" s="28"/>
    </row>
    <row r="1691" spans="1:12" x14ac:dyDescent="0.25">
      <c r="A1691" s="35"/>
      <c r="B1691" s="36"/>
      <c r="C1691" s="37"/>
      <c r="D1691" s="36"/>
      <c r="E1691" s="36"/>
      <c r="F1691" s="37"/>
      <c r="G1691" s="36"/>
      <c r="H1691" s="36"/>
      <c r="I1691" s="171"/>
      <c r="J1691" s="38"/>
      <c r="K1691" s="28"/>
      <c r="L1691" s="28"/>
    </row>
    <row r="1692" spans="1:12" x14ac:dyDescent="0.25">
      <c r="A1692" s="35"/>
      <c r="B1692" s="36"/>
      <c r="C1692" s="37"/>
      <c r="D1692" s="36"/>
      <c r="E1692" s="36"/>
      <c r="F1692" s="37"/>
      <c r="G1692" s="36"/>
      <c r="H1692" s="36"/>
      <c r="I1692" s="171"/>
      <c r="J1692" s="38"/>
      <c r="K1692" s="28"/>
      <c r="L1692" s="28"/>
    </row>
    <row r="1693" spans="1:12" x14ac:dyDescent="0.25">
      <c r="A1693" s="35"/>
      <c r="B1693" s="36"/>
      <c r="C1693" s="37"/>
      <c r="D1693" s="36"/>
      <c r="E1693" s="36"/>
      <c r="F1693" s="37"/>
      <c r="G1693" s="36"/>
      <c r="H1693" s="36"/>
      <c r="I1693" s="171"/>
      <c r="J1693" s="38"/>
      <c r="K1693" s="28"/>
      <c r="L1693" s="28"/>
    </row>
    <row r="1694" spans="1:12" x14ac:dyDescent="0.25">
      <c r="A1694" s="35"/>
      <c r="B1694" s="36"/>
      <c r="C1694" s="37"/>
      <c r="D1694" s="36"/>
      <c r="E1694" s="36"/>
      <c r="F1694" s="37"/>
      <c r="G1694" s="36"/>
      <c r="H1694" s="36"/>
      <c r="I1694" s="171"/>
      <c r="J1694" s="38"/>
      <c r="K1694" s="28"/>
      <c r="L1694" s="28"/>
    </row>
    <row r="1695" spans="1:12" x14ac:dyDescent="0.25">
      <c r="A1695" s="35"/>
      <c r="B1695" s="36"/>
      <c r="C1695" s="37"/>
      <c r="D1695" s="36"/>
      <c r="E1695" s="36"/>
      <c r="F1695" s="37"/>
      <c r="G1695" s="36"/>
      <c r="H1695" s="36"/>
      <c r="I1695" s="171"/>
      <c r="J1695" s="38"/>
      <c r="K1695" s="28"/>
      <c r="L1695" s="28"/>
    </row>
    <row r="1696" spans="1:12" x14ac:dyDescent="0.25">
      <c r="A1696" s="35"/>
      <c r="B1696" s="36"/>
      <c r="C1696" s="37"/>
      <c r="D1696" s="36"/>
      <c r="E1696" s="36"/>
      <c r="F1696" s="37"/>
      <c r="G1696" s="36"/>
      <c r="H1696" s="36"/>
      <c r="I1696" s="171"/>
      <c r="J1696" s="38"/>
      <c r="K1696" s="28"/>
      <c r="L1696" s="28"/>
    </row>
    <row r="1697" spans="1:12" x14ac:dyDescent="0.25">
      <c r="A1697" s="35"/>
      <c r="B1697" s="36"/>
      <c r="C1697" s="37"/>
      <c r="D1697" s="36"/>
      <c r="E1697" s="36"/>
      <c r="F1697" s="37"/>
      <c r="G1697" s="36"/>
      <c r="H1697" s="36"/>
      <c r="I1697" s="171"/>
      <c r="J1697" s="38"/>
      <c r="K1697" s="28"/>
      <c r="L1697" s="28"/>
    </row>
    <row r="1698" spans="1:12" x14ac:dyDescent="0.25">
      <c r="A1698" s="35"/>
      <c r="B1698" s="36"/>
      <c r="C1698" s="37"/>
      <c r="D1698" s="36"/>
      <c r="E1698" s="36"/>
      <c r="F1698" s="37"/>
      <c r="G1698" s="36"/>
      <c r="H1698" s="36"/>
      <c r="I1698" s="171"/>
      <c r="J1698" s="38"/>
      <c r="K1698" s="28"/>
      <c r="L1698" s="28"/>
    </row>
    <row r="1699" spans="1:12" x14ac:dyDescent="0.25">
      <c r="A1699" s="35"/>
      <c r="B1699" s="36"/>
      <c r="C1699" s="37"/>
      <c r="D1699" s="36"/>
      <c r="E1699" s="36"/>
      <c r="F1699" s="37"/>
      <c r="G1699" s="36"/>
      <c r="H1699" s="36"/>
      <c r="I1699" s="171"/>
      <c r="J1699" s="38"/>
      <c r="K1699" s="28"/>
      <c r="L1699" s="28"/>
    </row>
    <row r="1700" spans="1:12" x14ac:dyDescent="0.25">
      <c r="A1700" s="35"/>
      <c r="B1700" s="36"/>
      <c r="C1700" s="37"/>
      <c r="D1700" s="36"/>
      <c r="E1700" s="36"/>
      <c r="F1700" s="37"/>
      <c r="G1700" s="36"/>
      <c r="H1700" s="36"/>
      <c r="I1700" s="171"/>
      <c r="J1700" s="38"/>
      <c r="K1700" s="28"/>
      <c r="L1700" s="28"/>
    </row>
    <row r="1701" spans="1:12" x14ac:dyDescent="0.25">
      <c r="A1701" s="35"/>
      <c r="B1701" s="36"/>
      <c r="C1701" s="37"/>
      <c r="D1701" s="36"/>
      <c r="E1701" s="36"/>
      <c r="F1701" s="37"/>
      <c r="G1701" s="36"/>
      <c r="H1701" s="36"/>
      <c r="I1701" s="171"/>
      <c r="J1701" s="38"/>
      <c r="K1701" s="28"/>
      <c r="L1701" s="28"/>
    </row>
    <row r="1702" spans="1:12" x14ac:dyDescent="0.25">
      <c r="A1702" s="35"/>
      <c r="B1702" s="36"/>
      <c r="C1702" s="37"/>
      <c r="D1702" s="36"/>
      <c r="E1702" s="36"/>
      <c r="F1702" s="37"/>
      <c r="G1702" s="36"/>
      <c r="H1702" s="36"/>
      <c r="I1702" s="171"/>
      <c r="J1702" s="38"/>
      <c r="K1702" s="28"/>
      <c r="L1702" s="28"/>
    </row>
    <row r="1703" spans="1:12" x14ac:dyDescent="0.25">
      <c r="A1703" s="35"/>
      <c r="B1703" s="36"/>
      <c r="C1703" s="37"/>
      <c r="D1703" s="36"/>
      <c r="E1703" s="36"/>
      <c r="F1703" s="37"/>
      <c r="G1703" s="36"/>
      <c r="H1703" s="36"/>
      <c r="I1703" s="171"/>
      <c r="J1703" s="38"/>
      <c r="K1703" s="28"/>
      <c r="L1703" s="28"/>
    </row>
    <row r="1704" spans="1:12" x14ac:dyDescent="0.25">
      <c r="A1704" s="35"/>
      <c r="B1704" s="36"/>
      <c r="C1704" s="37"/>
      <c r="D1704" s="36"/>
      <c r="E1704" s="36"/>
      <c r="F1704" s="37"/>
      <c r="G1704" s="36"/>
      <c r="H1704" s="36"/>
      <c r="I1704" s="171"/>
      <c r="J1704" s="38"/>
      <c r="K1704" s="28"/>
      <c r="L1704" s="28"/>
    </row>
    <row r="1705" spans="1:12" x14ac:dyDescent="0.25">
      <c r="A1705" s="35"/>
      <c r="B1705" s="36"/>
      <c r="C1705" s="37"/>
      <c r="D1705" s="36"/>
      <c r="E1705" s="36"/>
      <c r="F1705" s="37"/>
      <c r="G1705" s="36"/>
      <c r="H1705" s="36"/>
      <c r="I1705" s="171"/>
      <c r="J1705" s="38"/>
      <c r="K1705" s="28"/>
      <c r="L1705" s="28"/>
    </row>
    <row r="1706" spans="1:12" x14ac:dyDescent="0.25">
      <c r="A1706" s="35"/>
      <c r="B1706" s="36"/>
      <c r="C1706" s="37"/>
      <c r="D1706" s="36"/>
      <c r="E1706" s="36"/>
      <c r="F1706" s="37"/>
      <c r="G1706" s="36"/>
      <c r="H1706" s="36"/>
      <c r="I1706" s="171"/>
      <c r="J1706" s="38"/>
      <c r="K1706" s="28"/>
      <c r="L1706" s="28"/>
    </row>
    <row r="1707" spans="1:12" x14ac:dyDescent="0.25">
      <c r="A1707" s="35"/>
      <c r="B1707" s="36"/>
      <c r="C1707" s="37"/>
      <c r="D1707" s="36"/>
      <c r="E1707" s="36"/>
      <c r="F1707" s="37"/>
      <c r="G1707" s="36"/>
      <c r="H1707" s="36"/>
      <c r="I1707" s="171"/>
      <c r="J1707" s="38"/>
      <c r="K1707" s="28"/>
      <c r="L1707" s="28"/>
    </row>
    <row r="1708" spans="1:12" x14ac:dyDescent="0.25">
      <c r="A1708" s="35"/>
      <c r="B1708" s="36"/>
      <c r="C1708" s="37"/>
      <c r="D1708" s="36"/>
      <c r="E1708" s="36"/>
      <c r="F1708" s="37"/>
      <c r="G1708" s="36"/>
      <c r="H1708" s="36"/>
      <c r="I1708" s="171"/>
      <c r="J1708" s="38"/>
      <c r="K1708" s="28"/>
      <c r="L1708" s="28"/>
    </row>
    <row r="1709" spans="1:12" x14ac:dyDescent="0.25">
      <c r="A1709" s="35"/>
      <c r="B1709" s="36"/>
      <c r="C1709" s="37"/>
      <c r="D1709" s="36"/>
      <c r="E1709" s="36"/>
      <c r="F1709" s="37"/>
      <c r="G1709" s="36"/>
      <c r="H1709" s="36"/>
      <c r="I1709" s="171"/>
      <c r="J1709" s="38"/>
      <c r="K1709" s="28"/>
      <c r="L1709" s="28"/>
    </row>
    <row r="1710" spans="1:12" x14ac:dyDescent="0.25">
      <c r="A1710" s="35"/>
      <c r="B1710" s="36"/>
      <c r="C1710" s="37"/>
      <c r="D1710" s="36"/>
      <c r="E1710" s="36"/>
      <c r="F1710" s="37"/>
      <c r="G1710" s="36"/>
      <c r="H1710" s="36"/>
      <c r="I1710" s="171"/>
      <c r="J1710" s="38"/>
      <c r="K1710" s="28"/>
      <c r="L1710" s="28"/>
    </row>
    <row r="1711" spans="1:12" x14ac:dyDescent="0.25">
      <c r="A1711" s="35"/>
      <c r="B1711" s="36"/>
      <c r="C1711" s="37"/>
      <c r="D1711" s="36"/>
      <c r="E1711" s="36"/>
      <c r="F1711" s="37"/>
      <c r="G1711" s="36"/>
      <c r="H1711" s="36"/>
      <c r="I1711" s="171"/>
      <c r="J1711" s="38"/>
      <c r="K1711" s="28"/>
      <c r="L1711" s="28"/>
    </row>
    <row r="1712" spans="1:12" x14ac:dyDescent="0.25">
      <c r="A1712" s="35"/>
      <c r="B1712" s="36"/>
      <c r="C1712" s="37"/>
      <c r="D1712" s="36"/>
      <c r="E1712" s="36"/>
      <c r="F1712" s="37"/>
      <c r="G1712" s="36"/>
      <c r="H1712" s="36"/>
      <c r="I1712" s="171"/>
      <c r="J1712" s="38"/>
      <c r="K1712" s="28"/>
      <c r="L1712" s="28"/>
    </row>
    <row r="1713" spans="1:12" x14ac:dyDescent="0.25">
      <c r="A1713" s="35"/>
      <c r="B1713" s="36"/>
      <c r="C1713" s="37"/>
      <c r="D1713" s="36"/>
      <c r="E1713" s="36"/>
      <c r="F1713" s="37"/>
      <c r="G1713" s="36"/>
      <c r="H1713" s="36"/>
      <c r="I1713" s="171"/>
      <c r="J1713" s="38"/>
      <c r="K1713" s="28"/>
      <c r="L1713" s="28"/>
    </row>
    <row r="1714" spans="1:12" x14ac:dyDescent="0.25">
      <c r="A1714" s="35"/>
      <c r="B1714" s="36"/>
      <c r="C1714" s="37"/>
      <c r="D1714" s="36"/>
      <c r="E1714" s="36"/>
      <c r="F1714" s="37"/>
      <c r="G1714" s="36"/>
      <c r="H1714" s="36"/>
      <c r="I1714" s="171"/>
      <c r="J1714" s="38"/>
      <c r="K1714" s="28"/>
      <c r="L1714" s="28"/>
    </row>
    <row r="1715" spans="1:12" x14ac:dyDescent="0.25">
      <c r="A1715" s="35"/>
      <c r="B1715" s="36"/>
      <c r="C1715" s="37"/>
      <c r="D1715" s="36"/>
      <c r="E1715" s="36"/>
      <c r="F1715" s="37"/>
      <c r="G1715" s="36"/>
      <c r="H1715" s="36"/>
      <c r="I1715" s="171"/>
      <c r="J1715" s="38"/>
      <c r="K1715" s="28"/>
      <c r="L1715" s="28"/>
    </row>
    <row r="1716" spans="1:12" x14ac:dyDescent="0.25">
      <c r="A1716" s="35"/>
      <c r="B1716" s="36"/>
      <c r="C1716" s="37"/>
      <c r="D1716" s="36"/>
      <c r="E1716" s="36"/>
      <c r="F1716" s="37"/>
      <c r="G1716" s="36"/>
      <c r="H1716" s="36"/>
      <c r="I1716" s="171"/>
      <c r="J1716" s="38"/>
      <c r="K1716" s="28"/>
      <c r="L1716" s="28"/>
    </row>
    <row r="1717" spans="1:12" x14ac:dyDescent="0.25">
      <c r="A1717" s="35"/>
      <c r="B1717" s="36"/>
      <c r="C1717" s="37"/>
      <c r="D1717" s="36"/>
      <c r="E1717" s="36"/>
      <c r="F1717" s="37"/>
      <c r="G1717" s="36"/>
      <c r="H1717" s="36"/>
      <c r="I1717" s="171"/>
      <c r="J1717" s="38"/>
      <c r="K1717" s="28"/>
      <c r="L1717" s="28"/>
    </row>
    <row r="1718" spans="1:12" x14ac:dyDescent="0.25">
      <c r="A1718" s="35"/>
      <c r="B1718" s="36"/>
      <c r="C1718" s="37"/>
      <c r="D1718" s="36"/>
      <c r="E1718" s="36"/>
      <c r="F1718" s="37"/>
      <c r="G1718" s="36"/>
      <c r="H1718" s="36"/>
      <c r="I1718" s="171"/>
      <c r="J1718" s="38"/>
      <c r="K1718" s="28"/>
      <c r="L1718" s="28"/>
    </row>
    <row r="1719" spans="1:12" x14ac:dyDescent="0.25">
      <c r="A1719" s="35"/>
      <c r="B1719" s="36"/>
      <c r="C1719" s="37"/>
      <c r="D1719" s="36"/>
      <c r="E1719" s="36"/>
      <c r="F1719" s="37"/>
      <c r="G1719" s="36"/>
      <c r="H1719" s="36"/>
      <c r="I1719" s="171"/>
      <c r="J1719" s="38"/>
      <c r="K1719" s="28"/>
      <c r="L1719" s="28"/>
    </row>
    <row r="1720" spans="1:12" x14ac:dyDescent="0.25">
      <c r="A1720" s="35"/>
      <c r="B1720" s="36"/>
      <c r="C1720" s="37"/>
      <c r="D1720" s="36"/>
      <c r="E1720" s="36"/>
      <c r="F1720" s="37"/>
      <c r="G1720" s="36"/>
      <c r="H1720" s="36"/>
      <c r="I1720" s="171"/>
      <c r="J1720" s="38"/>
      <c r="K1720" s="28"/>
      <c r="L1720" s="28"/>
    </row>
    <row r="1721" spans="1:12" x14ac:dyDescent="0.25">
      <c r="A1721" s="35"/>
      <c r="B1721" s="36"/>
      <c r="C1721" s="37"/>
      <c r="D1721" s="36"/>
      <c r="E1721" s="36"/>
      <c r="F1721" s="37"/>
      <c r="G1721" s="36"/>
      <c r="H1721" s="36"/>
      <c r="I1721" s="171"/>
      <c r="J1721" s="38"/>
      <c r="K1721" s="28"/>
      <c r="L1721" s="28"/>
    </row>
    <row r="1722" spans="1:12" x14ac:dyDescent="0.25">
      <c r="A1722" s="35"/>
      <c r="B1722" s="36"/>
      <c r="C1722" s="37"/>
      <c r="D1722" s="36"/>
      <c r="E1722" s="36"/>
      <c r="F1722" s="37"/>
      <c r="G1722" s="36"/>
      <c r="H1722" s="36"/>
      <c r="I1722" s="171"/>
      <c r="J1722" s="38"/>
      <c r="K1722" s="28"/>
      <c r="L1722" s="28"/>
    </row>
    <row r="1723" spans="1:12" x14ac:dyDescent="0.25">
      <c r="A1723" s="35"/>
      <c r="B1723" s="36"/>
      <c r="C1723" s="37"/>
      <c r="D1723" s="36"/>
      <c r="E1723" s="36"/>
      <c r="F1723" s="37"/>
      <c r="G1723" s="36"/>
      <c r="H1723" s="36"/>
      <c r="I1723" s="171"/>
      <c r="J1723" s="38"/>
      <c r="K1723" s="28"/>
      <c r="L1723" s="28"/>
    </row>
    <row r="1724" spans="1:12" x14ac:dyDescent="0.25">
      <c r="A1724" s="35"/>
      <c r="B1724" s="36"/>
      <c r="C1724" s="37"/>
      <c r="D1724" s="36"/>
      <c r="E1724" s="36"/>
      <c r="F1724" s="37"/>
      <c r="G1724" s="36"/>
      <c r="H1724" s="36"/>
      <c r="I1724" s="171"/>
      <c r="J1724" s="38"/>
      <c r="K1724" s="28"/>
      <c r="L1724" s="28"/>
    </row>
    <row r="1725" spans="1:12" x14ac:dyDescent="0.25">
      <c r="A1725" s="35"/>
      <c r="B1725" s="36"/>
      <c r="C1725" s="37"/>
      <c r="D1725" s="36"/>
      <c r="E1725" s="36"/>
      <c r="F1725" s="37"/>
      <c r="G1725" s="36"/>
      <c r="H1725" s="36"/>
      <c r="I1725" s="171"/>
      <c r="J1725" s="38"/>
      <c r="K1725" s="28"/>
      <c r="L1725" s="28"/>
    </row>
    <row r="1726" spans="1:12" x14ac:dyDescent="0.25">
      <c r="A1726" s="35"/>
      <c r="B1726" s="36"/>
      <c r="C1726" s="37"/>
      <c r="D1726" s="36"/>
      <c r="E1726" s="36"/>
      <c r="F1726" s="37"/>
      <c r="G1726" s="36"/>
      <c r="H1726" s="36"/>
      <c r="I1726" s="171"/>
      <c r="J1726" s="38"/>
      <c r="K1726" s="28"/>
      <c r="L1726" s="28"/>
    </row>
    <row r="1727" spans="1:12" x14ac:dyDescent="0.25">
      <c r="A1727" s="35"/>
      <c r="B1727" s="36"/>
      <c r="C1727" s="37"/>
      <c r="D1727" s="36"/>
      <c r="E1727" s="36"/>
      <c r="F1727" s="37"/>
      <c r="G1727" s="36"/>
      <c r="H1727" s="36"/>
      <c r="I1727" s="171"/>
      <c r="J1727" s="38"/>
      <c r="K1727" s="28"/>
      <c r="L1727" s="28"/>
    </row>
    <row r="1728" spans="1:12" x14ac:dyDescent="0.25">
      <c r="A1728" s="35"/>
      <c r="B1728" s="36"/>
      <c r="C1728" s="37"/>
      <c r="D1728" s="36"/>
      <c r="E1728" s="36"/>
      <c r="F1728" s="37"/>
      <c r="G1728" s="36"/>
      <c r="H1728" s="36"/>
      <c r="I1728" s="171"/>
      <c r="J1728" s="38"/>
      <c r="K1728" s="28"/>
      <c r="L1728" s="28"/>
    </row>
    <row r="1729" spans="1:12" x14ac:dyDescent="0.25">
      <c r="A1729" s="35"/>
      <c r="B1729" s="36"/>
      <c r="C1729" s="37"/>
      <c r="D1729" s="36"/>
      <c r="E1729" s="36"/>
      <c r="F1729" s="37"/>
      <c r="G1729" s="36"/>
      <c r="H1729" s="36"/>
      <c r="I1729" s="171"/>
      <c r="J1729" s="38"/>
      <c r="K1729" s="28"/>
      <c r="L1729" s="28"/>
    </row>
    <row r="1730" spans="1:12" x14ac:dyDescent="0.25">
      <c r="A1730" s="35"/>
      <c r="B1730" s="36"/>
      <c r="C1730" s="37"/>
      <c r="D1730" s="36"/>
      <c r="E1730" s="36"/>
      <c r="F1730" s="37"/>
      <c r="G1730" s="36"/>
      <c r="H1730" s="36"/>
      <c r="I1730" s="171"/>
      <c r="J1730" s="38"/>
      <c r="K1730" s="28"/>
      <c r="L1730" s="28"/>
    </row>
    <row r="1731" spans="1:12" x14ac:dyDescent="0.25">
      <c r="A1731" s="35"/>
      <c r="B1731" s="36"/>
      <c r="C1731" s="37"/>
      <c r="D1731" s="36"/>
      <c r="E1731" s="36"/>
      <c r="F1731" s="37"/>
      <c r="G1731" s="36"/>
      <c r="H1731" s="36"/>
      <c r="I1731" s="171"/>
      <c r="J1731" s="38"/>
      <c r="K1731" s="28"/>
      <c r="L1731" s="28"/>
    </row>
    <row r="1732" spans="1:12" x14ac:dyDescent="0.25">
      <c r="A1732" s="35"/>
      <c r="B1732" s="36"/>
      <c r="C1732" s="37"/>
      <c r="D1732" s="36"/>
      <c r="E1732" s="36"/>
      <c r="F1732" s="37"/>
      <c r="G1732" s="36"/>
      <c r="H1732" s="36"/>
      <c r="I1732" s="171"/>
      <c r="J1732" s="38"/>
      <c r="K1732" s="28"/>
      <c r="L1732" s="28"/>
    </row>
    <row r="1733" spans="1:12" x14ac:dyDescent="0.25">
      <c r="A1733" s="35"/>
      <c r="B1733" s="36"/>
      <c r="C1733" s="37"/>
      <c r="D1733" s="36"/>
      <c r="E1733" s="36"/>
      <c r="F1733" s="37"/>
      <c r="G1733" s="36"/>
      <c r="H1733" s="36"/>
      <c r="I1733" s="171"/>
      <c r="J1733" s="38"/>
      <c r="K1733" s="28"/>
      <c r="L1733" s="28"/>
    </row>
    <row r="1734" spans="1:12" x14ac:dyDescent="0.25">
      <c r="A1734" s="35"/>
      <c r="B1734" s="36"/>
      <c r="C1734" s="37"/>
      <c r="D1734" s="36"/>
      <c r="E1734" s="36"/>
      <c r="F1734" s="37"/>
      <c r="G1734" s="36"/>
      <c r="H1734" s="36"/>
      <c r="I1734" s="171"/>
      <c r="J1734" s="38"/>
      <c r="K1734" s="28"/>
      <c r="L1734" s="28"/>
    </row>
    <row r="1735" spans="1:12" x14ac:dyDescent="0.25">
      <c r="A1735" s="35"/>
      <c r="B1735" s="36"/>
      <c r="C1735" s="37"/>
      <c r="D1735" s="36"/>
      <c r="E1735" s="36"/>
      <c r="F1735" s="37"/>
      <c r="G1735" s="36"/>
      <c r="H1735" s="36"/>
      <c r="I1735" s="171"/>
      <c r="J1735" s="38"/>
      <c r="K1735" s="28"/>
      <c r="L1735" s="28"/>
    </row>
    <row r="1736" spans="1:12" x14ac:dyDescent="0.25">
      <c r="A1736" s="35"/>
      <c r="B1736" s="36"/>
      <c r="C1736" s="37"/>
      <c r="D1736" s="36"/>
      <c r="E1736" s="36"/>
      <c r="F1736" s="37"/>
      <c r="G1736" s="36"/>
      <c r="H1736" s="36"/>
      <c r="I1736" s="171"/>
      <c r="J1736" s="38"/>
      <c r="K1736" s="28"/>
      <c r="L1736" s="28"/>
    </row>
    <row r="1737" spans="1:12" x14ac:dyDescent="0.25">
      <c r="A1737" s="35"/>
      <c r="B1737" s="36"/>
      <c r="C1737" s="37"/>
      <c r="D1737" s="36"/>
      <c r="E1737" s="36"/>
      <c r="F1737" s="37"/>
      <c r="G1737" s="36"/>
      <c r="H1737" s="36"/>
      <c r="I1737" s="171"/>
      <c r="J1737" s="38"/>
      <c r="K1737" s="28"/>
      <c r="L1737" s="28"/>
    </row>
    <row r="1738" spans="1:12" x14ac:dyDescent="0.25">
      <c r="A1738" s="35"/>
      <c r="B1738" s="36"/>
      <c r="C1738" s="37"/>
      <c r="D1738" s="36"/>
      <c r="E1738" s="36"/>
      <c r="F1738" s="37"/>
      <c r="G1738" s="36"/>
      <c r="H1738" s="36"/>
      <c r="I1738" s="171"/>
      <c r="J1738" s="38"/>
      <c r="K1738" s="28"/>
      <c r="L1738" s="28"/>
    </row>
    <row r="1739" spans="1:12" x14ac:dyDescent="0.25">
      <c r="A1739" s="35"/>
      <c r="B1739" s="36"/>
      <c r="C1739" s="37"/>
      <c r="D1739" s="36"/>
      <c r="E1739" s="36"/>
      <c r="F1739" s="37"/>
      <c r="G1739" s="36"/>
      <c r="H1739" s="36"/>
      <c r="I1739" s="171"/>
      <c r="J1739" s="38"/>
      <c r="K1739" s="28"/>
      <c r="L1739" s="28"/>
    </row>
    <row r="1740" spans="1:12" x14ac:dyDescent="0.25">
      <c r="A1740" s="35"/>
      <c r="B1740" s="36"/>
      <c r="C1740" s="37"/>
      <c r="D1740" s="36"/>
      <c r="E1740" s="36"/>
      <c r="F1740" s="37"/>
      <c r="G1740" s="36"/>
      <c r="H1740" s="36"/>
      <c r="I1740" s="171"/>
      <c r="J1740" s="38"/>
      <c r="K1740" s="28"/>
      <c r="L1740" s="28"/>
    </row>
    <row r="1741" spans="1:12" x14ac:dyDescent="0.25">
      <c r="A1741" s="35"/>
      <c r="B1741" s="36"/>
      <c r="C1741" s="37"/>
      <c r="D1741" s="36"/>
      <c r="E1741" s="36"/>
      <c r="F1741" s="37"/>
      <c r="G1741" s="36"/>
      <c r="H1741" s="36"/>
      <c r="I1741" s="171"/>
      <c r="J1741" s="38"/>
      <c r="K1741" s="28"/>
      <c r="L1741" s="28"/>
    </row>
    <row r="1742" spans="1:12" x14ac:dyDescent="0.25">
      <c r="A1742" s="35"/>
      <c r="B1742" s="36"/>
      <c r="C1742" s="37"/>
      <c r="D1742" s="36"/>
      <c r="E1742" s="36"/>
      <c r="F1742" s="37"/>
      <c r="G1742" s="36"/>
      <c r="H1742" s="36"/>
      <c r="I1742" s="171"/>
      <c r="J1742" s="38"/>
      <c r="K1742" s="28"/>
      <c r="L1742" s="28"/>
    </row>
    <row r="1743" spans="1:12" x14ac:dyDescent="0.25">
      <c r="A1743" s="35"/>
      <c r="B1743" s="36"/>
      <c r="C1743" s="37"/>
      <c r="D1743" s="36"/>
      <c r="E1743" s="36"/>
      <c r="F1743" s="37"/>
      <c r="G1743" s="36"/>
      <c r="H1743" s="36"/>
      <c r="I1743" s="171"/>
      <c r="J1743" s="38"/>
      <c r="K1743" s="28"/>
      <c r="L1743" s="28"/>
    </row>
    <row r="1744" spans="1:12" x14ac:dyDescent="0.25">
      <c r="A1744" s="35"/>
      <c r="B1744" s="36"/>
      <c r="C1744" s="37"/>
      <c r="D1744" s="36"/>
      <c r="E1744" s="36"/>
      <c r="F1744" s="37"/>
      <c r="G1744" s="36"/>
      <c r="H1744" s="36"/>
      <c r="I1744" s="171"/>
      <c r="J1744" s="38"/>
      <c r="K1744" s="28"/>
      <c r="L1744" s="28"/>
    </row>
    <row r="1745" spans="1:12" x14ac:dyDescent="0.25">
      <c r="A1745" s="35"/>
      <c r="B1745" s="36"/>
      <c r="C1745" s="37"/>
      <c r="D1745" s="36"/>
      <c r="E1745" s="36"/>
      <c r="F1745" s="37"/>
      <c r="G1745" s="36"/>
      <c r="H1745" s="36"/>
      <c r="I1745" s="171"/>
      <c r="J1745" s="38"/>
      <c r="K1745" s="28"/>
      <c r="L1745" s="28"/>
    </row>
    <row r="1746" spans="1:12" x14ac:dyDescent="0.25">
      <c r="A1746" s="35"/>
      <c r="B1746" s="36"/>
      <c r="C1746" s="37"/>
      <c r="D1746" s="36"/>
      <c r="E1746" s="36"/>
      <c r="F1746" s="37"/>
      <c r="G1746" s="36"/>
      <c r="H1746" s="36"/>
      <c r="I1746" s="171"/>
      <c r="J1746" s="38"/>
      <c r="K1746" s="28"/>
      <c r="L1746" s="28"/>
    </row>
    <row r="1747" spans="1:12" x14ac:dyDescent="0.25">
      <c r="A1747" s="35"/>
      <c r="B1747" s="36"/>
      <c r="C1747" s="37"/>
      <c r="D1747" s="36"/>
      <c r="E1747" s="36"/>
      <c r="F1747" s="37"/>
      <c r="G1747" s="36"/>
      <c r="H1747" s="36"/>
      <c r="I1747" s="171"/>
      <c r="J1747" s="38"/>
      <c r="K1747" s="28"/>
      <c r="L1747" s="28"/>
    </row>
    <row r="1748" spans="1:12" x14ac:dyDescent="0.25">
      <c r="A1748" s="35"/>
      <c r="B1748" s="36"/>
      <c r="C1748" s="37"/>
      <c r="D1748" s="36"/>
      <c r="E1748" s="36"/>
      <c r="F1748" s="37"/>
      <c r="G1748" s="36"/>
      <c r="H1748" s="36"/>
      <c r="I1748" s="171"/>
      <c r="J1748" s="38"/>
      <c r="K1748" s="28"/>
      <c r="L1748" s="28"/>
    </row>
    <row r="1749" spans="1:12" x14ac:dyDescent="0.25">
      <c r="A1749" s="35"/>
      <c r="B1749" s="36"/>
      <c r="C1749" s="37"/>
      <c r="D1749" s="36"/>
      <c r="E1749" s="36"/>
      <c r="F1749" s="37"/>
      <c r="G1749" s="36"/>
      <c r="H1749" s="36"/>
      <c r="I1749" s="171"/>
      <c r="J1749" s="38"/>
      <c r="K1749" s="28"/>
      <c r="L1749" s="28"/>
    </row>
    <row r="1750" spans="1:12" x14ac:dyDescent="0.25">
      <c r="A1750" s="35"/>
      <c r="B1750" s="36"/>
      <c r="C1750" s="37"/>
      <c r="D1750" s="36"/>
      <c r="E1750" s="36"/>
      <c r="F1750" s="37"/>
      <c r="G1750" s="36"/>
      <c r="H1750" s="36"/>
      <c r="I1750" s="171"/>
      <c r="J1750" s="38"/>
      <c r="K1750" s="28"/>
      <c r="L1750" s="28"/>
    </row>
    <row r="1751" spans="1:12" x14ac:dyDescent="0.25">
      <c r="A1751" s="35"/>
      <c r="B1751" s="36"/>
      <c r="C1751" s="37"/>
      <c r="D1751" s="36"/>
      <c r="E1751" s="36"/>
      <c r="F1751" s="37"/>
      <c r="G1751" s="36"/>
      <c r="H1751" s="36"/>
      <c r="I1751" s="171"/>
      <c r="J1751" s="38"/>
      <c r="K1751" s="28"/>
      <c r="L1751" s="28"/>
    </row>
    <row r="1752" spans="1:12" x14ac:dyDescent="0.25">
      <c r="A1752" s="35"/>
      <c r="B1752" s="36"/>
      <c r="C1752" s="37"/>
      <c r="D1752" s="36"/>
      <c r="E1752" s="36"/>
      <c r="F1752" s="37"/>
      <c r="G1752" s="36"/>
      <c r="H1752" s="36"/>
      <c r="I1752" s="171"/>
      <c r="J1752" s="38"/>
      <c r="K1752" s="28"/>
      <c r="L1752" s="28"/>
    </row>
    <row r="1753" spans="1:12" x14ac:dyDescent="0.25">
      <c r="A1753" s="35"/>
      <c r="B1753" s="36"/>
      <c r="C1753" s="37"/>
      <c r="D1753" s="36"/>
      <c r="E1753" s="36"/>
      <c r="F1753" s="37"/>
      <c r="G1753" s="36"/>
      <c r="H1753" s="36"/>
      <c r="I1753" s="171"/>
      <c r="J1753" s="38"/>
      <c r="K1753" s="28"/>
      <c r="L1753" s="28"/>
    </row>
    <row r="1754" spans="1:12" x14ac:dyDescent="0.25">
      <c r="A1754" s="35"/>
      <c r="B1754" s="36"/>
      <c r="C1754" s="37"/>
      <c r="D1754" s="36"/>
      <c r="E1754" s="36"/>
      <c r="F1754" s="37"/>
      <c r="G1754" s="36"/>
      <c r="H1754" s="36"/>
      <c r="I1754" s="171"/>
      <c r="J1754" s="38"/>
      <c r="K1754" s="28"/>
      <c r="L1754" s="28"/>
    </row>
    <row r="1755" spans="1:12" x14ac:dyDescent="0.25">
      <c r="A1755" s="35"/>
      <c r="B1755" s="36"/>
      <c r="C1755" s="37"/>
      <c r="D1755" s="36"/>
      <c r="E1755" s="36"/>
      <c r="F1755" s="37"/>
      <c r="G1755" s="36"/>
      <c r="H1755" s="36"/>
      <c r="I1755" s="171"/>
      <c r="J1755" s="38"/>
      <c r="K1755" s="28"/>
      <c r="L1755" s="28"/>
    </row>
    <row r="1756" spans="1:12" x14ac:dyDescent="0.25">
      <c r="A1756" s="35"/>
      <c r="B1756" s="36"/>
      <c r="C1756" s="37"/>
      <c r="D1756" s="36"/>
      <c r="E1756" s="36"/>
      <c r="F1756" s="37"/>
      <c r="G1756" s="36"/>
      <c r="H1756" s="36"/>
      <c r="I1756" s="171"/>
      <c r="J1756" s="38"/>
      <c r="K1756" s="28"/>
      <c r="L1756" s="28"/>
    </row>
    <row r="1757" spans="1:12" x14ac:dyDescent="0.25">
      <c r="A1757" s="35"/>
      <c r="B1757" s="36"/>
      <c r="C1757" s="37"/>
      <c r="D1757" s="36"/>
      <c r="E1757" s="36"/>
      <c r="F1757" s="37"/>
      <c r="G1757" s="36"/>
      <c r="H1757" s="36"/>
      <c r="I1757" s="171"/>
      <c r="J1757" s="38"/>
      <c r="K1757" s="28"/>
      <c r="L1757" s="28"/>
    </row>
    <row r="1758" spans="1:12" x14ac:dyDescent="0.25">
      <c r="A1758" s="35"/>
      <c r="B1758" s="36"/>
      <c r="C1758" s="37"/>
      <c r="D1758" s="36"/>
      <c r="E1758" s="36"/>
      <c r="F1758" s="37"/>
      <c r="G1758" s="36"/>
      <c r="H1758" s="36"/>
      <c r="I1758" s="171"/>
      <c r="J1758" s="38"/>
      <c r="K1758" s="28"/>
      <c r="L1758" s="28"/>
    </row>
    <row r="1759" spans="1:12" x14ac:dyDescent="0.25">
      <c r="A1759" s="35"/>
      <c r="B1759" s="36"/>
      <c r="C1759" s="37"/>
      <c r="D1759" s="36"/>
      <c r="E1759" s="36"/>
      <c r="F1759" s="37"/>
      <c r="G1759" s="36"/>
      <c r="H1759" s="36"/>
      <c r="I1759" s="171"/>
      <c r="J1759" s="38"/>
      <c r="K1759" s="28"/>
      <c r="L1759" s="28"/>
    </row>
    <row r="1760" spans="1:12" x14ac:dyDescent="0.25">
      <c r="A1760" s="35"/>
      <c r="B1760" s="36"/>
      <c r="C1760" s="37"/>
      <c r="D1760" s="36"/>
      <c r="E1760" s="36"/>
      <c r="F1760" s="37"/>
      <c r="G1760" s="36"/>
      <c r="H1760" s="36"/>
      <c r="I1760" s="171"/>
      <c r="J1760" s="38"/>
      <c r="K1760" s="28"/>
      <c r="L1760" s="28"/>
    </row>
    <row r="1761" spans="1:12" x14ac:dyDescent="0.25">
      <c r="A1761" s="35"/>
      <c r="B1761" s="36"/>
      <c r="C1761" s="37"/>
      <c r="D1761" s="36"/>
      <c r="E1761" s="36"/>
      <c r="F1761" s="37"/>
      <c r="G1761" s="36"/>
      <c r="H1761" s="36"/>
      <c r="I1761" s="171"/>
      <c r="J1761" s="38"/>
      <c r="K1761" s="28"/>
      <c r="L1761" s="28"/>
    </row>
    <row r="1762" spans="1:12" x14ac:dyDescent="0.25">
      <c r="A1762" s="35"/>
      <c r="B1762" s="36"/>
      <c r="C1762" s="37"/>
      <c r="D1762" s="36"/>
      <c r="E1762" s="36"/>
      <c r="F1762" s="37"/>
      <c r="G1762" s="36"/>
      <c r="H1762" s="36"/>
      <c r="I1762" s="171"/>
      <c r="J1762" s="38"/>
      <c r="K1762" s="28"/>
      <c r="L1762" s="28"/>
    </row>
    <row r="1763" spans="1:12" x14ac:dyDescent="0.25">
      <c r="A1763" s="35"/>
      <c r="B1763" s="36"/>
      <c r="C1763" s="37"/>
      <c r="D1763" s="36"/>
      <c r="E1763" s="36"/>
      <c r="F1763" s="37"/>
      <c r="G1763" s="36"/>
      <c r="H1763" s="36"/>
      <c r="I1763" s="171"/>
      <c r="J1763" s="38"/>
      <c r="K1763" s="28"/>
      <c r="L1763" s="28"/>
    </row>
    <row r="1764" spans="1:12" x14ac:dyDescent="0.25">
      <c r="A1764" s="35"/>
      <c r="B1764" s="36"/>
      <c r="C1764" s="37"/>
      <c r="D1764" s="36"/>
      <c r="E1764" s="36"/>
      <c r="F1764" s="37"/>
      <c r="G1764" s="36"/>
      <c r="H1764" s="36"/>
      <c r="I1764" s="171"/>
      <c r="J1764" s="38"/>
      <c r="K1764" s="28"/>
      <c r="L1764" s="28"/>
    </row>
    <row r="1765" spans="1:12" x14ac:dyDescent="0.25">
      <c r="A1765" s="35"/>
      <c r="B1765" s="36"/>
      <c r="C1765" s="37"/>
      <c r="D1765" s="36"/>
      <c r="E1765" s="36"/>
      <c r="F1765" s="37"/>
      <c r="G1765" s="36"/>
      <c r="H1765" s="36"/>
      <c r="I1765" s="171"/>
      <c r="J1765" s="38"/>
      <c r="K1765" s="28"/>
      <c r="L1765" s="28"/>
    </row>
    <row r="1766" spans="1:12" x14ac:dyDescent="0.25">
      <c r="A1766" s="35"/>
      <c r="B1766" s="36"/>
      <c r="C1766" s="37"/>
      <c r="D1766" s="36"/>
      <c r="E1766" s="36"/>
      <c r="F1766" s="37"/>
      <c r="G1766" s="36"/>
      <c r="H1766" s="36"/>
      <c r="I1766" s="171"/>
      <c r="J1766" s="38"/>
      <c r="K1766" s="28"/>
      <c r="L1766" s="28"/>
    </row>
    <row r="1767" spans="1:12" x14ac:dyDescent="0.25">
      <c r="A1767" s="35"/>
      <c r="B1767" s="36"/>
      <c r="C1767" s="37"/>
      <c r="D1767" s="36"/>
      <c r="E1767" s="36"/>
      <c r="F1767" s="37"/>
      <c r="G1767" s="36"/>
      <c r="H1767" s="36"/>
      <c r="I1767" s="171"/>
      <c r="J1767" s="38"/>
      <c r="K1767" s="28"/>
      <c r="L1767" s="28"/>
    </row>
    <row r="1768" spans="1:12" x14ac:dyDescent="0.25">
      <c r="A1768" s="35"/>
      <c r="B1768" s="36"/>
      <c r="C1768" s="37"/>
      <c r="D1768" s="36"/>
      <c r="E1768" s="36"/>
      <c r="F1768" s="37"/>
      <c r="G1768" s="36"/>
      <c r="H1768" s="36"/>
      <c r="I1768" s="171"/>
      <c r="J1768" s="38"/>
      <c r="K1768" s="28"/>
      <c r="L1768" s="28"/>
    </row>
    <row r="1769" spans="1:12" x14ac:dyDescent="0.25">
      <c r="A1769" s="35"/>
      <c r="B1769" s="36"/>
      <c r="C1769" s="37"/>
      <c r="D1769" s="36"/>
      <c r="E1769" s="36"/>
      <c r="F1769" s="37"/>
      <c r="G1769" s="36"/>
      <c r="H1769" s="36"/>
      <c r="I1769" s="171"/>
      <c r="J1769" s="38"/>
      <c r="K1769" s="28"/>
      <c r="L1769" s="28"/>
    </row>
    <row r="1770" spans="1:12" x14ac:dyDescent="0.25">
      <c r="A1770" s="35"/>
      <c r="B1770" s="36"/>
      <c r="C1770" s="37"/>
      <c r="D1770" s="36"/>
      <c r="E1770" s="36"/>
      <c r="F1770" s="37"/>
      <c r="G1770" s="36"/>
      <c r="H1770" s="36"/>
      <c r="I1770" s="171"/>
      <c r="J1770" s="38"/>
      <c r="K1770" s="28"/>
      <c r="L1770" s="28"/>
    </row>
    <row r="1771" spans="1:12" x14ac:dyDescent="0.25">
      <c r="A1771" s="35"/>
      <c r="B1771" s="36"/>
      <c r="C1771" s="37"/>
      <c r="D1771" s="36"/>
      <c r="E1771" s="36"/>
      <c r="F1771" s="37"/>
      <c r="G1771" s="36"/>
      <c r="H1771" s="36"/>
      <c r="I1771" s="171"/>
      <c r="J1771" s="38"/>
      <c r="K1771" s="28"/>
      <c r="L1771" s="28"/>
    </row>
    <row r="1772" spans="1:12" x14ac:dyDescent="0.25">
      <c r="A1772" s="35"/>
      <c r="B1772" s="36"/>
      <c r="C1772" s="37"/>
      <c r="D1772" s="36"/>
      <c r="E1772" s="36"/>
      <c r="F1772" s="37"/>
      <c r="G1772" s="36"/>
      <c r="H1772" s="36"/>
      <c r="I1772" s="171"/>
      <c r="J1772" s="38"/>
      <c r="K1772" s="28"/>
      <c r="L1772" s="28"/>
    </row>
    <row r="1773" spans="1:12" x14ac:dyDescent="0.25">
      <c r="A1773" s="35"/>
      <c r="B1773" s="36"/>
      <c r="C1773" s="37"/>
      <c r="D1773" s="36"/>
      <c r="E1773" s="36"/>
      <c r="F1773" s="37"/>
      <c r="G1773" s="36"/>
      <c r="H1773" s="36"/>
      <c r="I1773" s="171"/>
      <c r="J1773" s="38"/>
      <c r="K1773" s="28"/>
      <c r="L1773" s="28"/>
    </row>
    <row r="1774" spans="1:12" x14ac:dyDescent="0.25">
      <c r="A1774" s="35"/>
      <c r="B1774" s="36"/>
      <c r="C1774" s="37"/>
      <c r="D1774" s="36"/>
      <c r="E1774" s="36"/>
      <c r="F1774" s="37"/>
      <c r="G1774" s="36"/>
      <c r="H1774" s="36"/>
      <c r="I1774" s="171"/>
      <c r="J1774" s="38"/>
      <c r="K1774" s="28"/>
      <c r="L1774" s="28"/>
    </row>
    <row r="1775" spans="1:12" x14ac:dyDescent="0.25">
      <c r="A1775" s="35"/>
      <c r="B1775" s="36"/>
      <c r="C1775" s="37"/>
      <c r="D1775" s="36"/>
      <c r="E1775" s="36"/>
      <c r="F1775" s="37"/>
      <c r="G1775" s="36"/>
      <c r="H1775" s="36"/>
      <c r="I1775" s="171"/>
      <c r="J1775" s="38"/>
      <c r="K1775" s="28"/>
      <c r="L1775" s="28"/>
    </row>
    <row r="1776" spans="1:12" x14ac:dyDescent="0.25">
      <c r="A1776" s="35"/>
      <c r="B1776" s="36"/>
      <c r="C1776" s="37"/>
      <c r="D1776" s="36"/>
      <c r="E1776" s="36"/>
      <c r="F1776" s="37"/>
      <c r="G1776" s="36"/>
      <c r="H1776" s="36"/>
      <c r="I1776" s="171"/>
      <c r="J1776" s="38"/>
      <c r="K1776" s="28"/>
      <c r="L1776" s="28"/>
    </row>
    <row r="1777" spans="1:12" x14ac:dyDescent="0.25">
      <c r="A1777" s="35"/>
      <c r="B1777" s="36"/>
      <c r="C1777" s="37"/>
      <c r="D1777" s="36"/>
      <c r="E1777" s="36"/>
      <c r="F1777" s="37"/>
      <c r="G1777" s="36"/>
      <c r="H1777" s="36"/>
      <c r="I1777" s="171"/>
      <c r="J1777" s="38"/>
      <c r="K1777" s="28"/>
      <c r="L1777" s="28"/>
    </row>
    <row r="1778" spans="1:12" x14ac:dyDescent="0.25">
      <c r="A1778" s="35"/>
      <c r="B1778" s="36"/>
      <c r="C1778" s="37"/>
      <c r="D1778" s="36"/>
      <c r="E1778" s="36"/>
      <c r="F1778" s="37"/>
      <c r="G1778" s="36"/>
      <c r="H1778" s="36"/>
      <c r="I1778" s="171"/>
      <c r="J1778" s="38"/>
      <c r="K1778" s="28"/>
      <c r="L1778" s="28"/>
    </row>
    <row r="1779" spans="1:12" x14ac:dyDescent="0.25">
      <c r="A1779" s="35"/>
      <c r="B1779" s="36"/>
      <c r="C1779" s="37"/>
      <c r="D1779" s="36"/>
      <c r="E1779" s="36"/>
      <c r="F1779" s="37"/>
      <c r="G1779" s="36"/>
      <c r="H1779" s="36"/>
      <c r="I1779" s="171"/>
      <c r="J1779" s="38"/>
      <c r="K1779" s="28"/>
      <c r="L1779" s="28"/>
    </row>
    <row r="1780" spans="1:12" x14ac:dyDescent="0.25">
      <c r="A1780" s="35"/>
      <c r="B1780" s="36"/>
      <c r="C1780" s="37"/>
      <c r="D1780" s="36"/>
      <c r="E1780" s="36"/>
      <c r="F1780" s="37"/>
      <c r="G1780" s="36"/>
      <c r="H1780" s="36"/>
      <c r="I1780" s="171"/>
      <c r="J1780" s="38"/>
      <c r="K1780" s="28"/>
      <c r="L1780" s="28"/>
    </row>
    <row r="1781" spans="1:12" x14ac:dyDescent="0.25">
      <c r="A1781" s="35"/>
      <c r="B1781" s="36"/>
      <c r="C1781" s="37"/>
      <c r="D1781" s="36"/>
      <c r="E1781" s="36"/>
      <c r="F1781" s="37"/>
      <c r="G1781" s="36"/>
      <c r="H1781" s="36"/>
      <c r="I1781" s="171"/>
      <c r="J1781" s="38"/>
      <c r="K1781" s="28"/>
      <c r="L1781" s="28"/>
    </row>
    <row r="1782" spans="1:12" x14ac:dyDescent="0.25">
      <c r="A1782" s="35"/>
      <c r="B1782" s="36"/>
      <c r="C1782" s="37"/>
      <c r="D1782" s="36"/>
      <c r="E1782" s="36"/>
      <c r="F1782" s="37"/>
      <c r="G1782" s="36"/>
      <c r="H1782" s="36"/>
      <c r="I1782" s="171"/>
      <c r="J1782" s="38"/>
      <c r="K1782" s="28"/>
      <c r="L1782" s="28"/>
    </row>
    <row r="1783" spans="1:12" x14ac:dyDescent="0.25">
      <c r="A1783" s="35"/>
      <c r="B1783" s="36"/>
      <c r="C1783" s="37"/>
      <c r="D1783" s="36"/>
      <c r="E1783" s="36"/>
      <c r="F1783" s="37"/>
      <c r="G1783" s="36"/>
      <c r="H1783" s="36"/>
      <c r="I1783" s="171"/>
      <c r="J1783" s="38"/>
      <c r="K1783" s="28"/>
      <c r="L1783" s="28"/>
    </row>
    <row r="1784" spans="1:12" x14ac:dyDescent="0.25">
      <c r="A1784" s="35"/>
      <c r="B1784" s="36"/>
      <c r="C1784" s="37"/>
      <c r="D1784" s="36"/>
      <c r="E1784" s="36"/>
      <c r="F1784" s="37"/>
      <c r="G1784" s="36"/>
      <c r="H1784" s="36"/>
      <c r="I1784" s="171"/>
      <c r="J1784" s="38"/>
      <c r="K1784" s="28"/>
      <c r="L1784" s="28"/>
    </row>
    <row r="1785" spans="1:12" x14ac:dyDescent="0.25">
      <c r="A1785" s="35"/>
      <c r="B1785" s="36"/>
      <c r="C1785" s="37"/>
      <c r="D1785" s="36"/>
      <c r="E1785" s="36"/>
      <c r="F1785" s="37"/>
      <c r="G1785" s="36"/>
      <c r="H1785" s="36"/>
      <c r="I1785" s="171"/>
      <c r="J1785" s="38"/>
      <c r="K1785" s="28"/>
      <c r="L1785" s="28"/>
    </row>
    <row r="1786" spans="1:12" x14ac:dyDescent="0.25">
      <c r="A1786" s="35"/>
      <c r="B1786" s="36"/>
      <c r="C1786" s="37"/>
      <c r="D1786" s="36"/>
      <c r="E1786" s="36"/>
      <c r="F1786" s="37"/>
      <c r="G1786" s="36"/>
      <c r="H1786" s="36"/>
      <c r="I1786" s="171"/>
      <c r="J1786" s="38"/>
      <c r="K1786" s="28"/>
      <c r="L1786" s="28"/>
    </row>
    <row r="1787" spans="1:12" x14ac:dyDescent="0.25">
      <c r="A1787" s="35"/>
      <c r="B1787" s="36"/>
      <c r="C1787" s="37"/>
      <c r="D1787" s="36"/>
      <c r="E1787" s="36"/>
      <c r="F1787" s="37"/>
      <c r="G1787" s="36"/>
      <c r="H1787" s="36"/>
      <c r="I1787" s="171"/>
      <c r="J1787" s="38"/>
      <c r="K1787" s="28"/>
      <c r="L1787" s="28"/>
    </row>
    <row r="1788" spans="1:12" x14ac:dyDescent="0.25">
      <c r="A1788" s="35"/>
      <c r="B1788" s="36"/>
      <c r="C1788" s="37"/>
      <c r="D1788" s="36"/>
      <c r="E1788" s="36"/>
      <c r="F1788" s="37"/>
      <c r="G1788" s="36"/>
      <c r="H1788" s="36"/>
      <c r="I1788" s="171"/>
      <c r="J1788" s="38"/>
      <c r="K1788" s="28"/>
      <c r="L1788" s="28"/>
    </row>
    <row r="1789" spans="1:12" x14ac:dyDescent="0.25">
      <c r="A1789" s="35"/>
      <c r="B1789" s="36"/>
      <c r="C1789" s="37"/>
      <c r="D1789" s="36"/>
      <c r="E1789" s="36"/>
      <c r="F1789" s="37"/>
      <c r="G1789" s="36"/>
      <c r="H1789" s="36"/>
      <c r="I1789" s="171"/>
      <c r="J1789" s="38"/>
      <c r="K1789" s="28"/>
      <c r="L1789" s="28"/>
    </row>
    <row r="1790" spans="1:12" x14ac:dyDescent="0.25">
      <c r="A1790" s="35"/>
      <c r="B1790" s="36"/>
      <c r="C1790" s="37"/>
      <c r="D1790" s="36"/>
      <c r="E1790" s="36"/>
      <c r="F1790" s="37"/>
      <c r="G1790" s="36"/>
      <c r="H1790" s="36"/>
      <c r="I1790" s="171"/>
      <c r="J1790" s="38"/>
      <c r="K1790" s="28"/>
      <c r="L1790" s="28"/>
    </row>
    <row r="1791" spans="1:12" x14ac:dyDescent="0.25">
      <c r="A1791" s="35"/>
      <c r="B1791" s="36"/>
      <c r="C1791" s="37"/>
      <c r="D1791" s="36"/>
      <c r="E1791" s="36"/>
      <c r="F1791" s="37"/>
      <c r="G1791" s="36"/>
      <c r="H1791" s="36"/>
      <c r="I1791" s="171"/>
      <c r="J1791" s="38"/>
      <c r="K1791" s="28"/>
      <c r="L1791" s="28"/>
    </row>
    <row r="1792" spans="1:12" x14ac:dyDescent="0.25">
      <c r="A1792" s="35"/>
      <c r="B1792" s="36"/>
      <c r="C1792" s="37"/>
      <c r="D1792" s="36"/>
      <c r="E1792" s="36"/>
      <c r="F1792" s="37"/>
      <c r="G1792" s="36"/>
      <c r="H1792" s="36"/>
      <c r="I1792" s="171"/>
      <c r="J1792" s="38"/>
      <c r="K1792" s="28"/>
      <c r="L1792" s="28"/>
    </row>
    <row r="1793" spans="1:12" x14ac:dyDescent="0.25">
      <c r="A1793" s="35"/>
      <c r="B1793" s="36"/>
      <c r="C1793" s="37"/>
      <c r="D1793" s="36"/>
      <c r="E1793" s="36"/>
      <c r="F1793" s="37"/>
      <c r="G1793" s="36"/>
      <c r="H1793" s="36"/>
      <c r="I1793" s="171"/>
      <c r="J1793" s="38"/>
      <c r="K1793" s="28"/>
      <c r="L1793" s="28"/>
    </row>
    <row r="1794" spans="1:12" x14ac:dyDescent="0.25">
      <c r="A1794" s="35"/>
      <c r="B1794" s="36"/>
      <c r="C1794" s="37"/>
      <c r="D1794" s="36"/>
      <c r="E1794" s="36"/>
      <c r="F1794" s="37"/>
      <c r="G1794" s="36"/>
      <c r="H1794" s="36"/>
      <c r="I1794" s="171"/>
      <c r="J1794" s="38"/>
      <c r="K1794" s="28"/>
      <c r="L1794" s="28"/>
    </row>
    <row r="1795" spans="1:12" x14ac:dyDescent="0.25">
      <c r="A1795" s="35"/>
      <c r="B1795" s="36"/>
      <c r="C1795" s="37"/>
      <c r="D1795" s="36"/>
      <c r="E1795" s="36"/>
      <c r="F1795" s="37"/>
      <c r="G1795" s="36"/>
      <c r="H1795" s="36"/>
      <c r="I1795" s="171"/>
      <c r="J1795" s="38"/>
      <c r="K1795" s="28"/>
      <c r="L1795" s="28"/>
    </row>
    <row r="1796" spans="1:12" x14ac:dyDescent="0.25">
      <c r="A1796" s="35"/>
      <c r="B1796" s="36"/>
      <c r="C1796" s="37"/>
      <c r="D1796" s="36"/>
      <c r="E1796" s="36"/>
      <c r="F1796" s="37"/>
      <c r="G1796" s="36"/>
      <c r="H1796" s="36"/>
      <c r="I1796" s="171"/>
      <c r="J1796" s="38"/>
      <c r="K1796" s="28"/>
      <c r="L1796" s="28"/>
    </row>
    <row r="1797" spans="1:12" x14ac:dyDescent="0.25">
      <c r="A1797" s="35"/>
      <c r="B1797" s="36"/>
      <c r="C1797" s="37"/>
      <c r="D1797" s="36"/>
      <c r="E1797" s="36"/>
      <c r="F1797" s="37"/>
      <c r="G1797" s="36"/>
      <c r="H1797" s="36"/>
      <c r="I1797" s="171"/>
      <c r="J1797" s="38"/>
      <c r="K1797" s="28"/>
      <c r="L1797" s="28"/>
    </row>
    <row r="1798" spans="1:12" x14ac:dyDescent="0.25">
      <c r="A1798" s="35"/>
      <c r="B1798" s="36"/>
      <c r="C1798" s="37"/>
      <c r="D1798" s="36"/>
      <c r="E1798" s="36"/>
      <c r="F1798" s="37"/>
      <c r="G1798" s="36"/>
      <c r="H1798" s="36"/>
      <c r="I1798" s="171"/>
      <c r="J1798" s="38"/>
      <c r="K1798" s="28"/>
      <c r="L1798" s="28"/>
    </row>
    <row r="1799" spans="1:12" x14ac:dyDescent="0.25">
      <c r="A1799" s="35"/>
      <c r="B1799" s="36"/>
      <c r="C1799" s="37"/>
      <c r="D1799" s="36"/>
      <c r="E1799" s="36"/>
      <c r="F1799" s="37"/>
      <c r="G1799" s="36"/>
      <c r="H1799" s="36"/>
      <c r="I1799" s="171"/>
      <c r="J1799" s="38"/>
      <c r="K1799" s="28"/>
      <c r="L1799" s="28"/>
    </row>
    <row r="1800" spans="1:12" x14ac:dyDescent="0.25">
      <c r="A1800" s="35"/>
      <c r="B1800" s="36"/>
      <c r="C1800" s="37"/>
      <c r="D1800" s="36"/>
      <c r="E1800" s="36"/>
      <c r="F1800" s="37"/>
      <c r="G1800" s="36"/>
      <c r="H1800" s="36"/>
      <c r="I1800" s="171"/>
      <c r="J1800" s="38"/>
      <c r="K1800" s="28"/>
      <c r="L1800" s="28"/>
    </row>
    <row r="1801" spans="1:12" x14ac:dyDescent="0.25">
      <c r="A1801" s="35"/>
      <c r="B1801" s="36"/>
      <c r="C1801" s="37"/>
      <c r="D1801" s="36"/>
      <c r="E1801" s="36"/>
      <c r="F1801" s="37"/>
      <c r="G1801" s="36"/>
      <c r="H1801" s="36"/>
      <c r="I1801" s="171"/>
      <c r="J1801" s="38"/>
      <c r="K1801" s="28"/>
      <c r="L1801" s="28"/>
    </row>
    <row r="1802" spans="1:12" x14ac:dyDescent="0.25">
      <c r="A1802" s="35"/>
      <c r="B1802" s="36"/>
      <c r="C1802" s="37"/>
      <c r="D1802" s="36"/>
      <c r="E1802" s="36"/>
      <c r="F1802" s="37"/>
      <c r="G1802" s="36"/>
      <c r="H1802" s="36"/>
      <c r="I1802" s="171"/>
      <c r="J1802" s="38"/>
      <c r="K1802" s="28"/>
      <c r="L1802" s="28"/>
    </row>
    <row r="1803" spans="1:12" x14ac:dyDescent="0.25">
      <c r="A1803" s="35"/>
      <c r="B1803" s="36"/>
      <c r="C1803" s="37"/>
      <c r="D1803" s="36"/>
      <c r="E1803" s="36"/>
      <c r="F1803" s="37"/>
      <c r="G1803" s="36"/>
      <c r="H1803" s="36"/>
      <c r="I1803" s="171"/>
      <c r="J1803" s="38"/>
      <c r="K1803" s="28"/>
      <c r="L1803" s="28"/>
    </row>
    <row r="1804" spans="1:12" x14ac:dyDescent="0.25">
      <c r="A1804" s="35"/>
      <c r="B1804" s="36"/>
      <c r="C1804" s="37"/>
      <c r="D1804" s="36"/>
      <c r="E1804" s="36"/>
      <c r="F1804" s="37"/>
      <c r="G1804" s="36"/>
      <c r="H1804" s="36"/>
      <c r="I1804" s="171"/>
      <c r="J1804" s="38"/>
      <c r="K1804" s="28"/>
      <c r="L1804" s="28"/>
    </row>
    <row r="1805" spans="1:12" x14ac:dyDescent="0.25">
      <c r="A1805" s="35"/>
      <c r="B1805" s="36"/>
      <c r="C1805" s="37"/>
      <c r="D1805" s="36"/>
      <c r="E1805" s="36"/>
      <c r="F1805" s="37"/>
      <c r="G1805" s="36"/>
      <c r="H1805" s="36"/>
      <c r="I1805" s="171"/>
      <c r="J1805" s="38"/>
      <c r="K1805" s="28"/>
      <c r="L1805" s="28"/>
    </row>
    <row r="1806" spans="1:12" x14ac:dyDescent="0.25">
      <c r="A1806" s="35"/>
      <c r="B1806" s="36"/>
      <c r="C1806" s="37"/>
      <c r="D1806" s="36"/>
      <c r="E1806" s="36"/>
      <c r="F1806" s="37"/>
      <c r="G1806" s="36"/>
      <c r="H1806" s="36"/>
      <c r="I1806" s="171"/>
      <c r="J1806" s="38"/>
      <c r="K1806" s="28"/>
      <c r="L1806" s="28"/>
    </row>
    <row r="1807" spans="1:12" x14ac:dyDescent="0.25">
      <c r="A1807" s="35"/>
      <c r="B1807" s="36"/>
      <c r="C1807" s="37"/>
      <c r="D1807" s="36"/>
      <c r="E1807" s="36"/>
      <c r="F1807" s="37"/>
      <c r="G1807" s="36"/>
      <c r="H1807" s="36"/>
      <c r="I1807" s="171"/>
      <c r="J1807" s="38"/>
      <c r="K1807" s="28"/>
      <c r="L1807" s="28"/>
    </row>
    <row r="1808" spans="1:12" x14ac:dyDescent="0.25">
      <c r="A1808" s="35"/>
      <c r="B1808" s="36"/>
      <c r="C1808" s="37"/>
      <c r="D1808" s="36"/>
      <c r="E1808" s="36"/>
      <c r="F1808" s="37"/>
      <c r="G1808" s="36"/>
      <c r="H1808" s="36"/>
      <c r="I1808" s="171"/>
      <c r="J1808" s="38"/>
      <c r="K1808" s="28"/>
      <c r="L1808" s="28"/>
    </row>
    <row r="1809" spans="1:12" x14ac:dyDescent="0.25">
      <c r="A1809" s="35"/>
      <c r="B1809" s="36"/>
      <c r="C1809" s="37"/>
      <c r="D1809" s="36"/>
      <c r="E1809" s="36"/>
      <c r="F1809" s="37"/>
      <c r="G1809" s="36"/>
      <c r="H1809" s="36"/>
      <c r="I1809" s="171"/>
      <c r="J1809" s="38"/>
      <c r="K1809" s="28"/>
      <c r="L1809" s="28"/>
    </row>
    <row r="1810" spans="1:12" x14ac:dyDescent="0.25">
      <c r="A1810" s="35"/>
      <c r="B1810" s="36"/>
      <c r="C1810" s="37"/>
      <c r="D1810" s="36"/>
      <c r="E1810" s="36"/>
      <c r="F1810" s="37"/>
      <c r="G1810" s="36"/>
      <c r="H1810" s="36"/>
      <c r="I1810" s="171"/>
      <c r="J1810" s="38"/>
      <c r="K1810" s="28"/>
      <c r="L1810" s="28"/>
    </row>
    <row r="1811" spans="1:12" x14ac:dyDescent="0.25">
      <c r="A1811" s="35"/>
      <c r="B1811" s="36"/>
      <c r="C1811" s="37"/>
      <c r="D1811" s="36"/>
      <c r="E1811" s="36"/>
      <c r="F1811" s="37"/>
      <c r="G1811" s="36"/>
      <c r="H1811" s="36"/>
      <c r="I1811" s="171"/>
      <c r="J1811" s="38"/>
      <c r="K1811" s="28"/>
      <c r="L1811" s="28"/>
    </row>
    <row r="1812" spans="1:12" x14ac:dyDescent="0.25">
      <c r="A1812" s="35"/>
      <c r="B1812" s="36"/>
      <c r="C1812" s="37"/>
      <c r="D1812" s="36"/>
      <c r="E1812" s="36"/>
      <c r="F1812" s="37"/>
      <c r="G1812" s="36"/>
      <c r="H1812" s="36"/>
      <c r="I1812" s="171"/>
      <c r="J1812" s="38"/>
      <c r="K1812" s="28"/>
      <c r="L1812" s="28"/>
    </row>
    <row r="1813" spans="1:12" x14ac:dyDescent="0.25">
      <c r="A1813" s="35"/>
      <c r="B1813" s="36"/>
      <c r="C1813" s="37"/>
      <c r="D1813" s="36"/>
      <c r="E1813" s="36"/>
      <c r="F1813" s="37"/>
      <c r="G1813" s="36"/>
      <c r="H1813" s="36"/>
      <c r="I1813" s="171"/>
      <c r="J1813" s="38"/>
      <c r="K1813" s="28"/>
      <c r="L1813" s="28"/>
    </row>
    <row r="1814" spans="1:12" x14ac:dyDescent="0.25">
      <c r="A1814" s="35"/>
      <c r="B1814" s="36"/>
      <c r="C1814" s="37"/>
      <c r="D1814" s="36"/>
      <c r="E1814" s="36"/>
      <c r="F1814" s="37"/>
      <c r="G1814" s="36"/>
      <c r="H1814" s="36"/>
      <c r="I1814" s="171"/>
      <c r="J1814" s="38"/>
      <c r="K1814" s="28"/>
      <c r="L1814" s="28"/>
    </row>
    <row r="1815" spans="1:12" x14ac:dyDescent="0.25">
      <c r="A1815" s="35"/>
      <c r="B1815" s="36"/>
      <c r="C1815" s="37"/>
      <c r="D1815" s="36"/>
      <c r="E1815" s="36"/>
      <c r="F1815" s="37"/>
      <c r="G1815" s="36"/>
      <c r="H1815" s="36"/>
      <c r="I1815" s="171"/>
      <c r="J1815" s="38"/>
      <c r="K1815" s="28"/>
      <c r="L1815" s="28"/>
    </row>
    <row r="1816" spans="1:12" x14ac:dyDescent="0.25">
      <c r="A1816" s="35"/>
      <c r="B1816" s="36"/>
      <c r="C1816" s="37"/>
      <c r="D1816" s="36"/>
      <c r="E1816" s="36"/>
      <c r="F1816" s="37"/>
      <c r="G1816" s="36"/>
      <c r="H1816" s="36"/>
      <c r="I1816" s="171"/>
      <c r="J1816" s="38"/>
      <c r="K1816" s="28"/>
      <c r="L1816" s="28"/>
    </row>
    <row r="1817" spans="1:12" x14ac:dyDescent="0.25">
      <c r="A1817" s="35"/>
      <c r="B1817" s="36"/>
      <c r="C1817" s="37"/>
      <c r="D1817" s="36"/>
      <c r="E1817" s="36"/>
      <c r="F1817" s="37"/>
      <c r="G1817" s="36"/>
      <c r="H1817" s="36"/>
      <c r="I1817" s="171"/>
      <c r="J1817" s="38"/>
      <c r="K1817" s="28"/>
      <c r="L1817" s="28"/>
    </row>
    <row r="1818" spans="1:12" x14ac:dyDescent="0.25">
      <c r="A1818" s="35"/>
      <c r="B1818" s="36"/>
      <c r="C1818" s="37"/>
      <c r="D1818" s="36"/>
      <c r="E1818" s="36"/>
      <c r="F1818" s="37"/>
      <c r="G1818" s="36"/>
      <c r="H1818" s="36"/>
      <c r="I1818" s="171"/>
      <c r="J1818" s="38"/>
      <c r="K1818" s="28"/>
      <c r="L1818" s="28"/>
    </row>
    <row r="1819" spans="1:12" x14ac:dyDescent="0.25">
      <c r="A1819" s="35"/>
      <c r="B1819" s="36"/>
      <c r="C1819" s="37"/>
      <c r="D1819" s="36"/>
      <c r="E1819" s="36"/>
      <c r="F1819" s="37"/>
      <c r="G1819" s="36"/>
      <c r="H1819" s="36"/>
      <c r="I1819" s="171"/>
      <c r="J1819" s="38"/>
      <c r="K1819" s="28"/>
      <c r="L1819" s="28"/>
    </row>
    <row r="1820" spans="1:12" x14ac:dyDescent="0.25">
      <c r="A1820" s="35"/>
      <c r="B1820" s="36"/>
      <c r="C1820" s="37"/>
      <c r="D1820" s="36"/>
      <c r="E1820" s="36"/>
      <c r="F1820" s="37"/>
      <c r="G1820" s="36"/>
      <c r="H1820" s="36"/>
      <c r="I1820" s="171"/>
      <c r="J1820" s="38"/>
      <c r="K1820" s="28"/>
      <c r="L1820" s="28"/>
    </row>
    <row r="1821" spans="1:12" x14ac:dyDescent="0.25">
      <c r="A1821" s="35"/>
      <c r="B1821" s="36"/>
      <c r="C1821" s="37"/>
      <c r="D1821" s="36"/>
      <c r="E1821" s="36"/>
      <c r="F1821" s="37"/>
      <c r="G1821" s="36"/>
      <c r="H1821" s="36"/>
      <c r="I1821" s="171"/>
      <c r="J1821" s="38"/>
      <c r="K1821" s="28"/>
      <c r="L1821" s="28"/>
    </row>
    <row r="1822" spans="1:12" x14ac:dyDescent="0.25">
      <c r="A1822" s="35"/>
      <c r="B1822" s="36"/>
      <c r="C1822" s="37"/>
      <c r="D1822" s="36"/>
      <c r="E1822" s="36"/>
      <c r="F1822" s="37"/>
      <c r="G1822" s="36"/>
      <c r="H1822" s="36"/>
      <c r="I1822" s="171"/>
      <c r="J1822" s="38"/>
      <c r="K1822" s="28"/>
      <c r="L1822" s="28"/>
    </row>
    <row r="1823" spans="1:12" x14ac:dyDescent="0.25">
      <c r="A1823" s="35"/>
      <c r="B1823" s="36"/>
      <c r="C1823" s="37"/>
      <c r="D1823" s="36"/>
      <c r="E1823" s="36"/>
      <c r="F1823" s="37"/>
      <c r="G1823" s="36"/>
      <c r="H1823" s="36"/>
      <c r="I1823" s="171"/>
      <c r="J1823" s="38"/>
      <c r="K1823" s="28"/>
      <c r="L1823" s="28"/>
    </row>
    <row r="1824" spans="1:12" x14ac:dyDescent="0.25">
      <c r="A1824" s="35"/>
      <c r="B1824" s="36"/>
      <c r="C1824" s="37"/>
      <c r="D1824" s="36"/>
      <c r="E1824" s="36"/>
      <c r="F1824" s="37"/>
      <c r="G1824" s="36"/>
      <c r="H1824" s="36"/>
      <c r="I1824" s="171"/>
      <c r="J1824" s="38"/>
      <c r="K1824" s="28"/>
      <c r="L1824" s="28"/>
    </row>
    <row r="1825" spans="1:12" x14ac:dyDescent="0.25">
      <c r="A1825" s="35"/>
      <c r="B1825" s="36"/>
      <c r="C1825" s="37"/>
      <c r="D1825" s="36"/>
      <c r="E1825" s="36"/>
      <c r="F1825" s="37"/>
      <c r="G1825" s="36"/>
      <c r="H1825" s="36"/>
      <c r="I1825" s="171"/>
      <c r="J1825" s="38"/>
      <c r="K1825" s="28"/>
      <c r="L1825" s="28"/>
    </row>
    <row r="1826" spans="1:12" x14ac:dyDescent="0.25">
      <c r="A1826" s="35"/>
      <c r="B1826" s="36"/>
      <c r="C1826" s="37"/>
      <c r="D1826" s="36"/>
      <c r="E1826" s="36"/>
      <c r="F1826" s="37"/>
      <c r="G1826" s="36"/>
      <c r="H1826" s="36"/>
      <c r="I1826" s="171"/>
      <c r="J1826" s="38"/>
      <c r="K1826" s="28"/>
      <c r="L1826" s="28"/>
    </row>
    <row r="1827" spans="1:12" x14ac:dyDescent="0.25">
      <c r="A1827" s="35"/>
      <c r="B1827" s="36"/>
      <c r="C1827" s="37"/>
      <c r="D1827" s="36"/>
      <c r="E1827" s="36"/>
      <c r="F1827" s="37"/>
      <c r="G1827" s="36"/>
      <c r="H1827" s="36"/>
      <c r="I1827" s="171"/>
      <c r="J1827" s="38"/>
      <c r="K1827" s="28"/>
      <c r="L1827" s="28"/>
    </row>
    <row r="1828" spans="1:12" x14ac:dyDescent="0.25">
      <c r="A1828" s="35"/>
      <c r="B1828" s="36"/>
      <c r="C1828" s="37"/>
      <c r="D1828" s="36"/>
      <c r="E1828" s="36"/>
      <c r="F1828" s="37"/>
      <c r="G1828" s="36"/>
      <c r="H1828" s="36"/>
      <c r="I1828" s="171"/>
      <c r="J1828" s="38"/>
      <c r="K1828" s="28"/>
      <c r="L1828" s="28"/>
    </row>
    <row r="1829" spans="1:12" x14ac:dyDescent="0.25">
      <c r="A1829" s="35"/>
      <c r="B1829" s="36"/>
      <c r="C1829" s="37"/>
      <c r="D1829" s="36"/>
      <c r="E1829" s="36"/>
      <c r="F1829" s="37"/>
      <c r="G1829" s="36"/>
      <c r="H1829" s="36"/>
      <c r="I1829" s="171"/>
      <c r="J1829" s="38"/>
      <c r="K1829" s="28"/>
      <c r="L1829" s="28"/>
    </row>
    <row r="1830" spans="1:12" x14ac:dyDescent="0.25">
      <c r="A1830" s="35"/>
      <c r="B1830" s="36"/>
      <c r="C1830" s="37"/>
      <c r="D1830" s="36"/>
      <c r="E1830" s="36"/>
      <c r="F1830" s="37"/>
      <c r="G1830" s="36"/>
      <c r="H1830" s="36"/>
      <c r="I1830" s="171"/>
      <c r="J1830" s="38"/>
      <c r="K1830" s="28"/>
      <c r="L1830" s="28"/>
    </row>
    <row r="1831" spans="1:12" x14ac:dyDescent="0.25">
      <c r="A1831" s="35"/>
      <c r="B1831" s="36"/>
      <c r="C1831" s="37"/>
      <c r="D1831" s="36"/>
      <c r="E1831" s="36"/>
      <c r="F1831" s="37"/>
      <c r="G1831" s="36"/>
      <c r="H1831" s="36"/>
      <c r="I1831" s="171"/>
      <c r="J1831" s="38"/>
      <c r="K1831" s="28"/>
      <c r="L1831" s="28"/>
    </row>
    <row r="1832" spans="1:12" x14ac:dyDescent="0.25">
      <c r="A1832" s="35"/>
      <c r="B1832" s="36"/>
      <c r="C1832" s="37"/>
      <c r="D1832" s="36"/>
      <c r="E1832" s="36"/>
      <c r="F1832" s="37"/>
      <c r="G1832" s="36"/>
      <c r="H1832" s="36"/>
      <c r="I1832" s="171"/>
      <c r="J1832" s="38"/>
      <c r="K1832" s="28"/>
      <c r="L1832" s="28"/>
    </row>
    <row r="1833" spans="1:12" x14ac:dyDescent="0.25">
      <c r="A1833" s="35"/>
      <c r="B1833" s="36"/>
      <c r="C1833" s="37"/>
      <c r="D1833" s="36"/>
      <c r="E1833" s="36"/>
      <c r="F1833" s="37"/>
      <c r="G1833" s="36"/>
      <c r="H1833" s="36"/>
      <c r="I1833" s="171"/>
      <c r="J1833" s="38"/>
      <c r="K1833" s="28"/>
      <c r="L1833" s="28"/>
    </row>
    <row r="1834" spans="1:12" x14ac:dyDescent="0.25">
      <c r="A1834" s="35"/>
      <c r="B1834" s="36"/>
      <c r="C1834" s="37"/>
      <c r="D1834" s="36"/>
      <c r="E1834" s="36"/>
      <c r="F1834" s="37"/>
      <c r="G1834" s="36"/>
      <c r="H1834" s="36"/>
      <c r="I1834" s="171"/>
      <c r="J1834" s="38"/>
      <c r="K1834" s="28"/>
      <c r="L1834" s="28"/>
    </row>
    <row r="1835" spans="1:12" x14ac:dyDescent="0.25">
      <c r="A1835" s="35"/>
      <c r="B1835" s="36"/>
      <c r="C1835" s="37"/>
      <c r="D1835" s="36"/>
      <c r="E1835" s="36"/>
      <c r="F1835" s="37"/>
      <c r="G1835" s="36"/>
      <c r="H1835" s="36"/>
      <c r="I1835" s="171"/>
      <c r="J1835" s="38"/>
      <c r="K1835" s="28"/>
      <c r="L1835" s="28"/>
    </row>
    <row r="1836" spans="1:12" x14ac:dyDescent="0.25">
      <c r="A1836" s="35"/>
      <c r="B1836" s="36"/>
      <c r="C1836" s="37"/>
      <c r="D1836" s="36"/>
      <c r="E1836" s="36"/>
      <c r="F1836" s="37"/>
      <c r="G1836" s="36"/>
      <c r="H1836" s="36"/>
      <c r="I1836" s="171"/>
      <c r="J1836" s="38"/>
      <c r="K1836" s="28"/>
      <c r="L1836" s="28"/>
    </row>
    <row r="1837" spans="1:12" x14ac:dyDescent="0.25">
      <c r="A1837" s="35"/>
      <c r="B1837" s="36"/>
      <c r="C1837" s="37"/>
      <c r="D1837" s="36"/>
      <c r="E1837" s="36"/>
      <c r="F1837" s="37"/>
      <c r="G1837" s="36"/>
      <c r="H1837" s="36"/>
      <c r="I1837" s="171"/>
      <c r="J1837" s="38"/>
      <c r="K1837" s="28"/>
      <c r="L1837" s="28"/>
    </row>
    <row r="1838" spans="1:12" x14ac:dyDescent="0.25">
      <c r="A1838" s="35"/>
      <c r="B1838" s="36"/>
      <c r="C1838" s="37"/>
      <c r="D1838" s="36"/>
      <c r="E1838" s="36"/>
      <c r="F1838" s="37"/>
      <c r="G1838" s="36"/>
      <c r="H1838" s="36"/>
      <c r="I1838" s="171"/>
      <c r="J1838" s="38"/>
      <c r="K1838" s="28"/>
      <c r="L1838" s="28"/>
    </row>
    <row r="1839" spans="1:12" x14ac:dyDescent="0.25">
      <c r="A1839" s="35"/>
      <c r="B1839" s="36"/>
      <c r="C1839" s="37"/>
      <c r="D1839" s="36"/>
      <c r="E1839" s="36"/>
      <c r="F1839" s="37"/>
      <c r="G1839" s="36"/>
      <c r="H1839" s="36"/>
      <c r="I1839" s="171"/>
      <c r="J1839" s="38"/>
      <c r="K1839" s="28"/>
      <c r="L1839" s="28"/>
    </row>
    <row r="1840" spans="1:12" x14ac:dyDescent="0.25">
      <c r="A1840" s="35"/>
      <c r="B1840" s="36"/>
      <c r="C1840" s="37"/>
      <c r="D1840" s="36"/>
      <c r="E1840" s="36"/>
      <c r="F1840" s="37"/>
      <c r="G1840" s="36"/>
      <c r="H1840" s="36"/>
      <c r="I1840" s="171"/>
      <c r="J1840" s="38"/>
      <c r="K1840" s="28"/>
      <c r="L1840" s="28"/>
    </row>
    <row r="1841" spans="1:12" x14ac:dyDescent="0.25">
      <c r="A1841" s="35"/>
      <c r="B1841" s="36"/>
      <c r="C1841" s="37"/>
      <c r="D1841" s="36"/>
      <c r="E1841" s="36"/>
      <c r="F1841" s="37"/>
      <c r="G1841" s="36"/>
      <c r="H1841" s="36"/>
      <c r="I1841" s="171"/>
      <c r="J1841" s="38"/>
      <c r="K1841" s="28"/>
      <c r="L1841" s="28"/>
    </row>
    <row r="1842" spans="1:12" x14ac:dyDescent="0.25">
      <c r="A1842" s="35"/>
      <c r="B1842" s="36"/>
      <c r="C1842" s="37"/>
      <c r="D1842" s="36"/>
      <c r="E1842" s="36"/>
      <c r="F1842" s="37"/>
      <c r="G1842" s="36"/>
      <c r="H1842" s="36"/>
      <c r="I1842" s="171"/>
      <c r="J1842" s="38"/>
      <c r="K1842" s="28"/>
      <c r="L1842" s="28"/>
    </row>
    <row r="1843" spans="1:12" x14ac:dyDescent="0.25">
      <c r="A1843" s="35"/>
      <c r="B1843" s="36"/>
      <c r="C1843" s="37"/>
      <c r="D1843" s="36"/>
      <c r="E1843" s="36"/>
      <c r="F1843" s="37"/>
      <c r="G1843" s="36"/>
      <c r="H1843" s="36"/>
      <c r="I1843" s="171"/>
      <c r="J1843" s="38"/>
      <c r="K1843" s="28"/>
      <c r="L1843" s="28"/>
    </row>
    <row r="1844" spans="1:12" x14ac:dyDescent="0.25">
      <c r="A1844" s="35"/>
      <c r="B1844" s="36"/>
      <c r="C1844" s="37"/>
      <c r="D1844" s="36"/>
      <c r="E1844" s="36"/>
      <c r="F1844" s="37"/>
      <c r="G1844" s="36"/>
      <c r="H1844" s="36"/>
      <c r="I1844" s="171"/>
      <c r="J1844" s="38"/>
      <c r="K1844" s="28"/>
      <c r="L1844" s="28"/>
    </row>
    <row r="1845" spans="1:12" x14ac:dyDescent="0.25">
      <c r="A1845" s="35"/>
      <c r="B1845" s="36"/>
      <c r="C1845" s="37"/>
      <c r="D1845" s="36"/>
      <c r="E1845" s="36"/>
      <c r="F1845" s="37"/>
      <c r="G1845" s="36"/>
      <c r="H1845" s="36"/>
      <c r="I1845" s="171"/>
      <c r="J1845" s="38"/>
      <c r="K1845" s="28"/>
      <c r="L1845" s="28"/>
    </row>
    <row r="1846" spans="1:12" x14ac:dyDescent="0.25">
      <c r="A1846" s="35"/>
      <c r="B1846" s="36"/>
      <c r="C1846" s="37"/>
      <c r="D1846" s="36"/>
      <c r="E1846" s="36"/>
      <c r="F1846" s="37"/>
      <c r="G1846" s="36"/>
      <c r="H1846" s="36"/>
      <c r="I1846" s="171"/>
      <c r="J1846" s="38"/>
      <c r="K1846" s="28"/>
      <c r="L1846" s="28"/>
    </row>
    <row r="1847" spans="1:12" x14ac:dyDescent="0.25">
      <c r="A1847" s="35"/>
      <c r="B1847" s="36"/>
      <c r="C1847" s="37"/>
      <c r="D1847" s="36"/>
      <c r="E1847" s="36"/>
      <c r="F1847" s="37"/>
      <c r="G1847" s="36"/>
      <c r="H1847" s="36"/>
      <c r="I1847" s="171"/>
      <c r="J1847" s="38"/>
      <c r="K1847" s="28"/>
      <c r="L1847" s="28"/>
    </row>
    <row r="1848" spans="1:12" x14ac:dyDescent="0.25">
      <c r="A1848" s="35"/>
      <c r="B1848" s="36"/>
      <c r="C1848" s="37"/>
      <c r="D1848" s="36"/>
      <c r="E1848" s="36"/>
      <c r="F1848" s="37"/>
      <c r="G1848" s="36"/>
      <c r="H1848" s="36"/>
      <c r="I1848" s="171"/>
      <c r="J1848" s="38"/>
      <c r="K1848" s="28"/>
      <c r="L1848" s="28"/>
    </row>
    <row r="1849" spans="1:12" x14ac:dyDescent="0.25">
      <c r="A1849" s="35"/>
      <c r="B1849" s="36"/>
      <c r="C1849" s="37"/>
      <c r="D1849" s="36"/>
      <c r="E1849" s="36"/>
      <c r="F1849" s="37"/>
      <c r="G1849" s="36"/>
      <c r="H1849" s="36"/>
      <c r="I1849" s="171"/>
      <c r="J1849" s="38"/>
      <c r="K1849" s="28"/>
      <c r="L1849" s="28"/>
    </row>
    <row r="1850" spans="1:12" x14ac:dyDescent="0.25">
      <c r="A1850" s="35"/>
      <c r="B1850" s="36"/>
      <c r="C1850" s="37"/>
      <c r="D1850" s="36"/>
      <c r="E1850" s="36"/>
      <c r="F1850" s="37"/>
      <c r="G1850" s="36"/>
      <c r="H1850" s="36"/>
      <c r="I1850" s="171"/>
      <c r="J1850" s="38"/>
      <c r="K1850" s="28"/>
      <c r="L1850" s="28"/>
    </row>
    <row r="1851" spans="1:12" x14ac:dyDescent="0.25">
      <c r="A1851" s="35"/>
      <c r="B1851" s="36"/>
      <c r="C1851" s="37"/>
      <c r="D1851" s="36"/>
      <c r="E1851" s="36"/>
      <c r="F1851" s="37"/>
      <c r="G1851" s="36"/>
      <c r="H1851" s="36"/>
      <c r="I1851" s="171"/>
      <c r="J1851" s="38"/>
      <c r="K1851" s="28"/>
      <c r="L1851" s="28"/>
    </row>
    <row r="1852" spans="1:12" x14ac:dyDescent="0.25">
      <c r="A1852" s="35"/>
      <c r="B1852" s="36"/>
      <c r="C1852" s="37"/>
      <c r="D1852" s="36"/>
      <c r="E1852" s="36"/>
      <c r="F1852" s="37"/>
      <c r="G1852" s="36"/>
      <c r="H1852" s="36"/>
      <c r="I1852" s="171"/>
      <c r="J1852" s="38"/>
      <c r="K1852" s="28"/>
      <c r="L1852" s="28"/>
    </row>
    <row r="1853" spans="1:12" x14ac:dyDescent="0.25">
      <c r="A1853" s="35"/>
      <c r="B1853" s="36"/>
      <c r="C1853" s="37"/>
      <c r="D1853" s="36"/>
      <c r="E1853" s="36"/>
      <c r="F1853" s="37"/>
      <c r="G1853" s="36"/>
      <c r="H1853" s="36"/>
      <c r="I1853" s="171"/>
      <c r="J1853" s="38"/>
      <c r="K1853" s="28"/>
      <c r="L1853" s="28"/>
    </row>
    <row r="1854" spans="1:12" x14ac:dyDescent="0.25">
      <c r="A1854" s="35"/>
      <c r="B1854" s="36"/>
      <c r="C1854" s="37"/>
      <c r="D1854" s="36"/>
      <c r="E1854" s="36"/>
      <c r="F1854" s="37"/>
      <c r="G1854" s="36"/>
      <c r="H1854" s="36"/>
      <c r="I1854" s="171"/>
      <c r="J1854" s="38"/>
      <c r="K1854" s="28"/>
      <c r="L1854" s="28"/>
    </row>
    <row r="1855" spans="1:12" x14ac:dyDescent="0.25">
      <c r="A1855" s="35"/>
      <c r="B1855" s="36"/>
      <c r="C1855" s="37"/>
      <c r="D1855" s="36"/>
      <c r="E1855" s="36"/>
      <c r="F1855" s="37"/>
      <c r="G1855" s="36"/>
      <c r="H1855" s="36"/>
      <c r="I1855" s="171"/>
      <c r="J1855" s="38"/>
      <c r="K1855" s="28"/>
      <c r="L1855" s="28"/>
    </row>
    <row r="1856" spans="1:12" x14ac:dyDescent="0.25">
      <c r="A1856" s="35"/>
      <c r="B1856" s="36"/>
      <c r="C1856" s="37"/>
      <c r="D1856" s="36"/>
      <c r="E1856" s="36"/>
      <c r="F1856" s="37"/>
      <c r="G1856" s="36"/>
      <c r="H1856" s="36"/>
      <c r="I1856" s="171"/>
      <c r="J1856" s="38"/>
      <c r="K1856" s="28"/>
      <c r="L1856" s="28"/>
    </row>
    <row r="1857" spans="1:12" x14ac:dyDescent="0.25">
      <c r="A1857" s="35"/>
      <c r="B1857" s="36"/>
      <c r="C1857" s="37"/>
      <c r="D1857" s="36"/>
      <c r="E1857" s="36"/>
      <c r="F1857" s="37"/>
      <c r="G1857" s="36"/>
      <c r="H1857" s="36"/>
      <c r="I1857" s="171"/>
      <c r="J1857" s="38"/>
      <c r="K1857" s="28"/>
      <c r="L1857" s="28"/>
    </row>
    <row r="1858" spans="1:12" x14ac:dyDescent="0.25">
      <c r="A1858" s="35"/>
      <c r="B1858" s="36"/>
      <c r="C1858" s="37"/>
      <c r="D1858" s="36"/>
      <c r="E1858" s="36"/>
      <c r="F1858" s="37"/>
      <c r="G1858" s="36"/>
      <c r="H1858" s="36"/>
      <c r="I1858" s="171"/>
      <c r="J1858" s="38"/>
      <c r="K1858" s="28"/>
      <c r="L1858" s="28"/>
    </row>
    <row r="1859" spans="1:12" x14ac:dyDescent="0.25">
      <c r="A1859" s="35"/>
      <c r="B1859" s="36"/>
      <c r="C1859" s="37"/>
      <c r="D1859" s="36"/>
      <c r="E1859" s="36"/>
      <c r="F1859" s="37"/>
      <c r="G1859" s="36"/>
      <c r="H1859" s="36"/>
      <c r="I1859" s="171"/>
      <c r="J1859" s="38"/>
      <c r="K1859" s="28"/>
      <c r="L1859" s="28"/>
    </row>
    <row r="1860" spans="1:12" x14ac:dyDescent="0.25">
      <c r="A1860" s="35"/>
      <c r="B1860" s="36"/>
      <c r="C1860" s="37"/>
      <c r="D1860" s="36"/>
      <c r="E1860" s="36"/>
      <c r="F1860" s="37"/>
      <c r="G1860" s="36"/>
      <c r="H1860" s="36"/>
      <c r="I1860" s="171"/>
      <c r="J1860" s="38"/>
      <c r="K1860" s="28"/>
      <c r="L1860" s="28"/>
    </row>
    <row r="1861" spans="1:12" x14ac:dyDescent="0.25">
      <c r="A1861" s="35"/>
      <c r="B1861" s="36"/>
      <c r="C1861" s="37"/>
      <c r="D1861" s="36"/>
      <c r="E1861" s="36"/>
      <c r="F1861" s="37"/>
      <c r="G1861" s="36"/>
      <c r="H1861" s="36"/>
      <c r="I1861" s="171"/>
      <c r="J1861" s="38"/>
      <c r="K1861" s="28"/>
      <c r="L1861" s="28"/>
    </row>
    <row r="1862" spans="1:12" x14ac:dyDescent="0.25">
      <c r="A1862" s="35"/>
      <c r="B1862" s="36"/>
      <c r="C1862" s="37"/>
      <c r="D1862" s="36"/>
      <c r="E1862" s="36"/>
      <c r="F1862" s="37"/>
      <c r="G1862" s="36"/>
      <c r="H1862" s="36"/>
      <c r="I1862" s="171"/>
      <c r="J1862" s="38"/>
      <c r="K1862" s="28"/>
      <c r="L1862" s="28"/>
    </row>
    <row r="1863" spans="1:12" x14ac:dyDescent="0.25">
      <c r="A1863" s="35"/>
      <c r="B1863" s="36"/>
      <c r="C1863" s="37"/>
      <c r="D1863" s="36"/>
      <c r="E1863" s="36"/>
      <c r="F1863" s="37"/>
      <c r="G1863" s="36"/>
      <c r="H1863" s="36"/>
      <c r="I1863" s="171"/>
      <c r="J1863" s="38"/>
      <c r="K1863" s="28"/>
      <c r="L1863" s="28"/>
    </row>
    <row r="1864" spans="1:12" x14ac:dyDescent="0.25">
      <c r="A1864" s="35"/>
      <c r="B1864" s="36"/>
      <c r="C1864" s="37"/>
      <c r="D1864" s="36"/>
      <c r="E1864" s="36"/>
      <c r="F1864" s="37"/>
      <c r="G1864" s="36"/>
      <c r="H1864" s="36"/>
      <c r="I1864" s="171"/>
      <c r="J1864" s="38"/>
      <c r="K1864" s="28"/>
      <c r="L1864" s="28"/>
    </row>
    <row r="1865" spans="1:12" x14ac:dyDescent="0.25">
      <c r="A1865" s="35"/>
      <c r="B1865" s="36"/>
      <c r="C1865" s="37"/>
      <c r="D1865" s="36"/>
      <c r="E1865" s="36"/>
      <c r="F1865" s="37"/>
      <c r="G1865" s="36"/>
      <c r="H1865" s="36"/>
      <c r="I1865" s="171"/>
      <c r="J1865" s="38"/>
      <c r="K1865" s="28"/>
      <c r="L1865" s="28"/>
    </row>
    <row r="1866" spans="1:12" x14ac:dyDescent="0.25">
      <c r="A1866" s="35"/>
      <c r="B1866" s="36"/>
      <c r="C1866" s="37"/>
      <c r="D1866" s="36"/>
      <c r="E1866" s="36"/>
      <c r="F1866" s="37"/>
      <c r="G1866" s="36"/>
      <c r="H1866" s="36"/>
      <c r="I1866" s="171"/>
      <c r="J1866" s="38"/>
      <c r="K1866" s="28"/>
      <c r="L1866" s="28"/>
    </row>
    <row r="1867" spans="1:12" x14ac:dyDescent="0.25">
      <c r="A1867" s="35"/>
      <c r="B1867" s="36"/>
      <c r="C1867" s="37"/>
      <c r="D1867" s="36"/>
      <c r="E1867" s="36"/>
      <c r="F1867" s="37"/>
      <c r="G1867" s="36"/>
      <c r="H1867" s="36"/>
      <c r="I1867" s="171"/>
      <c r="J1867" s="38"/>
      <c r="K1867" s="28"/>
      <c r="L1867" s="28"/>
    </row>
    <row r="1868" spans="1:12" x14ac:dyDescent="0.25">
      <c r="A1868" s="35"/>
      <c r="B1868" s="36"/>
      <c r="C1868" s="37"/>
      <c r="D1868" s="36"/>
      <c r="E1868" s="36"/>
      <c r="F1868" s="37"/>
      <c r="G1868" s="36"/>
      <c r="H1868" s="36"/>
      <c r="I1868" s="171"/>
      <c r="J1868" s="38"/>
      <c r="K1868" s="28"/>
      <c r="L1868" s="28"/>
    </row>
    <row r="1869" spans="1:12" x14ac:dyDescent="0.25">
      <c r="A1869" s="35"/>
      <c r="B1869" s="36"/>
      <c r="C1869" s="37"/>
      <c r="D1869" s="36"/>
      <c r="E1869" s="36"/>
      <c r="F1869" s="37"/>
      <c r="G1869" s="36"/>
      <c r="H1869" s="36"/>
      <c r="I1869" s="171"/>
      <c r="J1869" s="38"/>
      <c r="K1869" s="28"/>
      <c r="L1869" s="28"/>
    </row>
    <row r="1870" spans="1:12" x14ac:dyDescent="0.25">
      <c r="A1870" s="35"/>
      <c r="B1870" s="36"/>
      <c r="C1870" s="37"/>
      <c r="D1870" s="36"/>
      <c r="E1870" s="36"/>
      <c r="F1870" s="37"/>
      <c r="G1870" s="36"/>
      <c r="H1870" s="36"/>
      <c r="I1870" s="171"/>
      <c r="J1870" s="38"/>
      <c r="K1870" s="28"/>
      <c r="L1870" s="28"/>
    </row>
    <row r="1871" spans="1:12" x14ac:dyDescent="0.25">
      <c r="A1871" s="35"/>
      <c r="B1871" s="36"/>
      <c r="C1871" s="37"/>
      <c r="D1871" s="36"/>
      <c r="E1871" s="36"/>
      <c r="F1871" s="37"/>
      <c r="G1871" s="36"/>
      <c r="H1871" s="36"/>
      <c r="I1871" s="171"/>
      <c r="J1871" s="38"/>
      <c r="K1871" s="28"/>
      <c r="L1871" s="28"/>
    </row>
    <row r="1872" spans="1:12" x14ac:dyDescent="0.25">
      <c r="A1872" s="35"/>
      <c r="B1872" s="36"/>
      <c r="C1872" s="37"/>
      <c r="D1872" s="36"/>
      <c r="E1872" s="36"/>
      <c r="F1872" s="37"/>
      <c r="G1872" s="36"/>
      <c r="H1872" s="36"/>
      <c r="I1872" s="171"/>
      <c r="J1872" s="38"/>
      <c r="K1872" s="28"/>
      <c r="L1872" s="28"/>
    </row>
    <row r="1873" spans="1:12" x14ac:dyDescent="0.25">
      <c r="A1873" s="35"/>
      <c r="B1873" s="36"/>
      <c r="C1873" s="37"/>
      <c r="D1873" s="36"/>
      <c r="E1873" s="36"/>
      <c r="F1873" s="37"/>
      <c r="G1873" s="36"/>
      <c r="H1873" s="36"/>
      <c r="I1873" s="171"/>
      <c r="J1873" s="38"/>
      <c r="K1873" s="28"/>
      <c r="L1873" s="28"/>
    </row>
    <row r="1874" spans="1:12" x14ac:dyDescent="0.25">
      <c r="A1874" s="35"/>
      <c r="B1874" s="36"/>
      <c r="C1874" s="37"/>
      <c r="D1874" s="36"/>
      <c r="E1874" s="36"/>
      <c r="F1874" s="37"/>
      <c r="G1874" s="36"/>
      <c r="H1874" s="36"/>
      <c r="I1874" s="171"/>
      <c r="J1874" s="38"/>
      <c r="K1874" s="28"/>
      <c r="L1874" s="28"/>
    </row>
    <row r="1875" spans="1:12" x14ac:dyDescent="0.25">
      <c r="A1875" s="35"/>
      <c r="B1875" s="36"/>
      <c r="C1875" s="37"/>
      <c r="D1875" s="36"/>
      <c r="E1875" s="36"/>
      <c r="F1875" s="37"/>
      <c r="G1875" s="36"/>
      <c r="H1875" s="36"/>
      <c r="I1875" s="171"/>
      <c r="J1875" s="38"/>
      <c r="K1875" s="28"/>
      <c r="L1875" s="28"/>
    </row>
    <row r="1876" spans="1:12" x14ac:dyDescent="0.25">
      <c r="A1876" s="35"/>
      <c r="B1876" s="36"/>
      <c r="C1876" s="37"/>
      <c r="D1876" s="36"/>
      <c r="E1876" s="36"/>
      <c r="F1876" s="37"/>
      <c r="G1876" s="36"/>
      <c r="H1876" s="36"/>
      <c r="I1876" s="171"/>
      <c r="J1876" s="38"/>
      <c r="K1876" s="28"/>
      <c r="L1876" s="28"/>
    </row>
    <row r="1877" spans="1:12" x14ac:dyDescent="0.25">
      <c r="A1877" s="35"/>
      <c r="B1877" s="36"/>
      <c r="C1877" s="37"/>
      <c r="D1877" s="36"/>
      <c r="E1877" s="36"/>
      <c r="F1877" s="37"/>
      <c r="G1877" s="36"/>
      <c r="H1877" s="36"/>
      <c r="I1877" s="171"/>
      <c r="J1877" s="38"/>
      <c r="K1877" s="28"/>
      <c r="L1877" s="28"/>
    </row>
    <row r="1878" spans="1:12" x14ac:dyDescent="0.25">
      <c r="A1878" s="35"/>
      <c r="B1878" s="36"/>
      <c r="C1878" s="37"/>
      <c r="D1878" s="36"/>
      <c r="E1878" s="36"/>
      <c r="F1878" s="37"/>
      <c r="G1878" s="36"/>
      <c r="H1878" s="36"/>
      <c r="I1878" s="171"/>
      <c r="J1878" s="38"/>
      <c r="K1878" s="28"/>
      <c r="L1878" s="28"/>
    </row>
    <row r="1879" spans="1:12" x14ac:dyDescent="0.25">
      <c r="A1879" s="35"/>
      <c r="B1879" s="36"/>
      <c r="C1879" s="37"/>
      <c r="D1879" s="36"/>
      <c r="E1879" s="36"/>
      <c r="F1879" s="37"/>
      <c r="G1879" s="36"/>
      <c r="H1879" s="36"/>
      <c r="I1879" s="171"/>
      <c r="J1879" s="38"/>
      <c r="K1879" s="28"/>
      <c r="L1879" s="28"/>
    </row>
    <row r="1880" spans="1:12" x14ac:dyDescent="0.25">
      <c r="A1880" s="35"/>
      <c r="B1880" s="36"/>
      <c r="C1880" s="37"/>
      <c r="D1880" s="36"/>
      <c r="E1880" s="36"/>
      <c r="F1880" s="37"/>
      <c r="G1880" s="36"/>
      <c r="H1880" s="36"/>
      <c r="I1880" s="171"/>
      <c r="J1880" s="38"/>
      <c r="K1880" s="28"/>
      <c r="L1880" s="28"/>
    </row>
    <row r="1881" spans="1:12" x14ac:dyDescent="0.25">
      <c r="A1881" s="35"/>
      <c r="B1881" s="36"/>
      <c r="C1881" s="37"/>
      <c r="D1881" s="36"/>
      <c r="E1881" s="36"/>
      <c r="F1881" s="37"/>
      <c r="G1881" s="36"/>
      <c r="H1881" s="36"/>
      <c r="I1881" s="171"/>
      <c r="J1881" s="38"/>
      <c r="K1881" s="28"/>
      <c r="L1881" s="28"/>
    </row>
    <row r="1882" spans="1:12" x14ac:dyDescent="0.25">
      <c r="A1882" s="35"/>
      <c r="B1882" s="36"/>
      <c r="C1882" s="37"/>
      <c r="D1882" s="36"/>
      <c r="E1882" s="36"/>
      <c r="F1882" s="37"/>
      <c r="G1882" s="36"/>
      <c r="H1882" s="36"/>
      <c r="I1882" s="171"/>
      <c r="J1882" s="38"/>
      <c r="K1882" s="28"/>
      <c r="L1882" s="28"/>
    </row>
    <row r="1883" spans="1:12" x14ac:dyDescent="0.25">
      <c r="A1883" s="35"/>
      <c r="B1883" s="36"/>
      <c r="C1883" s="37"/>
      <c r="D1883" s="36"/>
      <c r="E1883" s="36"/>
      <c r="F1883" s="37"/>
      <c r="G1883" s="36"/>
      <c r="H1883" s="36"/>
      <c r="I1883" s="171"/>
      <c r="J1883" s="38"/>
      <c r="K1883" s="28"/>
      <c r="L1883" s="28"/>
    </row>
    <row r="1884" spans="1:12" x14ac:dyDescent="0.25">
      <c r="A1884" s="35"/>
      <c r="B1884" s="36"/>
      <c r="C1884" s="37"/>
      <c r="D1884" s="36"/>
      <c r="E1884" s="36"/>
      <c r="F1884" s="37"/>
      <c r="G1884" s="36"/>
      <c r="H1884" s="36"/>
      <c r="I1884" s="171"/>
      <c r="J1884" s="38"/>
      <c r="K1884" s="28"/>
      <c r="L1884" s="28"/>
    </row>
    <row r="1885" spans="1:12" x14ac:dyDescent="0.25">
      <c r="A1885" s="35"/>
      <c r="B1885" s="36"/>
      <c r="C1885" s="37"/>
      <c r="D1885" s="36"/>
      <c r="E1885" s="36"/>
      <c r="F1885" s="37"/>
      <c r="G1885" s="36"/>
      <c r="H1885" s="36"/>
      <c r="I1885" s="171"/>
      <c r="J1885" s="38"/>
      <c r="K1885" s="28"/>
      <c r="L1885" s="28"/>
    </row>
    <row r="1886" spans="1:12" x14ac:dyDescent="0.25">
      <c r="A1886" s="35"/>
      <c r="B1886" s="36"/>
      <c r="C1886" s="37"/>
      <c r="D1886" s="36"/>
      <c r="E1886" s="36"/>
      <c r="F1886" s="37"/>
      <c r="G1886" s="36"/>
      <c r="H1886" s="36"/>
      <c r="I1886" s="171"/>
      <c r="J1886" s="38"/>
      <c r="K1886" s="28"/>
      <c r="L1886" s="28"/>
    </row>
    <row r="1887" spans="1:12" x14ac:dyDescent="0.25">
      <c r="A1887" s="35"/>
      <c r="B1887" s="36"/>
      <c r="C1887" s="37"/>
      <c r="D1887" s="36"/>
      <c r="E1887" s="36"/>
      <c r="F1887" s="37"/>
      <c r="G1887" s="36"/>
      <c r="H1887" s="36"/>
      <c r="I1887" s="171"/>
      <c r="J1887" s="38"/>
      <c r="K1887" s="28"/>
      <c r="L1887" s="28"/>
    </row>
    <row r="1888" spans="1:12" x14ac:dyDescent="0.25">
      <c r="A1888" s="35"/>
      <c r="B1888" s="36"/>
      <c r="C1888" s="37"/>
      <c r="D1888" s="36"/>
      <c r="E1888" s="36"/>
      <c r="F1888" s="37"/>
      <c r="G1888" s="36"/>
      <c r="H1888" s="36"/>
      <c r="I1888" s="171"/>
      <c r="J1888" s="38"/>
      <c r="K1888" s="28"/>
      <c r="L1888" s="28"/>
    </row>
    <row r="1889" spans="1:12" x14ac:dyDescent="0.25">
      <c r="A1889" s="35"/>
      <c r="B1889" s="36"/>
      <c r="C1889" s="37"/>
      <c r="D1889" s="36"/>
      <c r="E1889" s="36"/>
      <c r="F1889" s="37"/>
      <c r="G1889" s="36"/>
      <c r="H1889" s="36"/>
      <c r="I1889" s="171"/>
      <c r="J1889" s="38"/>
      <c r="K1889" s="28"/>
      <c r="L1889" s="28"/>
    </row>
    <row r="1890" spans="1:12" x14ac:dyDescent="0.25">
      <c r="A1890" s="35"/>
      <c r="B1890" s="36"/>
      <c r="C1890" s="37"/>
      <c r="D1890" s="36"/>
      <c r="E1890" s="36"/>
      <c r="F1890" s="37"/>
      <c r="G1890" s="36"/>
      <c r="H1890" s="36"/>
      <c r="I1890" s="171"/>
      <c r="J1890" s="38"/>
      <c r="K1890" s="28"/>
      <c r="L1890" s="28"/>
    </row>
    <row r="1891" spans="1:12" x14ac:dyDescent="0.25">
      <c r="A1891" s="35"/>
      <c r="B1891" s="36"/>
      <c r="C1891" s="37"/>
      <c r="D1891" s="36"/>
      <c r="E1891" s="36"/>
      <c r="F1891" s="37"/>
      <c r="G1891" s="36"/>
      <c r="H1891" s="36"/>
      <c r="I1891" s="171"/>
      <c r="J1891" s="38"/>
      <c r="K1891" s="28"/>
      <c r="L1891" s="28"/>
    </row>
    <row r="1892" spans="1:12" x14ac:dyDescent="0.25">
      <c r="A1892" s="35"/>
      <c r="B1892" s="36"/>
      <c r="C1892" s="37"/>
      <c r="D1892" s="36"/>
      <c r="E1892" s="36"/>
      <c r="F1892" s="37"/>
      <c r="G1892" s="36"/>
      <c r="H1892" s="36"/>
      <c r="I1892" s="171"/>
      <c r="J1892" s="38"/>
      <c r="K1892" s="28"/>
      <c r="L1892" s="28"/>
    </row>
    <row r="1893" spans="1:12" x14ac:dyDescent="0.25">
      <c r="A1893" s="35"/>
      <c r="B1893" s="36"/>
      <c r="C1893" s="37"/>
      <c r="D1893" s="36"/>
      <c r="E1893" s="36"/>
      <c r="F1893" s="37"/>
      <c r="G1893" s="36"/>
      <c r="H1893" s="36"/>
      <c r="I1893" s="171"/>
      <c r="J1893" s="38"/>
      <c r="K1893" s="28"/>
      <c r="L1893" s="28"/>
    </row>
    <row r="1894" spans="1:12" x14ac:dyDescent="0.25">
      <c r="A1894" s="35"/>
      <c r="B1894" s="36"/>
      <c r="C1894" s="37"/>
      <c r="D1894" s="36"/>
      <c r="E1894" s="36"/>
      <c r="F1894" s="37"/>
      <c r="G1894" s="36"/>
      <c r="H1894" s="36"/>
      <c r="I1894" s="171"/>
      <c r="J1894" s="38"/>
      <c r="K1894" s="28"/>
      <c r="L1894" s="28"/>
    </row>
    <row r="1895" spans="1:12" x14ac:dyDescent="0.25">
      <c r="A1895" s="35"/>
      <c r="B1895" s="36"/>
      <c r="C1895" s="37"/>
      <c r="D1895" s="36"/>
      <c r="E1895" s="36"/>
      <c r="F1895" s="37"/>
      <c r="G1895" s="36"/>
      <c r="H1895" s="36"/>
      <c r="I1895" s="171"/>
      <c r="J1895" s="38"/>
      <c r="K1895" s="28"/>
      <c r="L1895" s="28"/>
    </row>
    <row r="1896" spans="1:12" x14ac:dyDescent="0.25">
      <c r="A1896" s="35"/>
      <c r="B1896" s="36"/>
      <c r="C1896" s="37"/>
      <c r="D1896" s="36"/>
      <c r="E1896" s="36"/>
      <c r="F1896" s="37"/>
      <c r="G1896" s="36"/>
      <c r="H1896" s="36"/>
      <c r="I1896" s="171"/>
      <c r="J1896" s="38"/>
      <c r="K1896" s="28"/>
      <c r="L1896" s="28"/>
    </row>
    <row r="1897" spans="1:12" x14ac:dyDescent="0.25">
      <c r="A1897" s="35"/>
      <c r="B1897" s="36"/>
      <c r="C1897" s="37"/>
      <c r="D1897" s="36"/>
      <c r="E1897" s="36"/>
      <c r="F1897" s="37"/>
      <c r="G1897" s="36"/>
      <c r="H1897" s="36"/>
      <c r="I1897" s="171"/>
      <c r="J1897" s="38"/>
      <c r="K1897" s="28"/>
      <c r="L1897" s="28"/>
    </row>
    <row r="1898" spans="1:12" x14ac:dyDescent="0.25">
      <c r="A1898" s="35"/>
      <c r="B1898" s="36"/>
      <c r="C1898" s="37"/>
      <c r="D1898" s="36"/>
      <c r="E1898" s="36"/>
      <c r="F1898" s="37"/>
      <c r="G1898" s="36"/>
      <c r="H1898" s="36"/>
      <c r="I1898" s="171"/>
      <c r="J1898" s="38"/>
      <c r="K1898" s="28"/>
      <c r="L1898" s="28"/>
    </row>
    <row r="1899" spans="1:12" x14ac:dyDescent="0.25">
      <c r="A1899" s="35"/>
      <c r="B1899" s="36"/>
      <c r="C1899" s="37"/>
      <c r="D1899" s="36"/>
      <c r="E1899" s="36"/>
      <c r="F1899" s="37"/>
      <c r="G1899" s="36"/>
      <c r="H1899" s="36"/>
      <c r="I1899" s="171"/>
      <c r="J1899" s="38"/>
      <c r="K1899" s="28"/>
      <c r="L1899" s="28"/>
    </row>
    <row r="1900" spans="1:12" x14ac:dyDescent="0.25">
      <c r="A1900" s="35"/>
      <c r="B1900" s="36"/>
      <c r="C1900" s="37"/>
      <c r="D1900" s="36"/>
      <c r="E1900" s="36"/>
      <c r="F1900" s="37"/>
      <c r="G1900" s="36"/>
      <c r="H1900" s="36"/>
      <c r="I1900" s="171"/>
      <c r="J1900" s="38"/>
      <c r="K1900" s="28"/>
      <c r="L1900" s="28"/>
    </row>
    <row r="1901" spans="1:12" x14ac:dyDescent="0.25">
      <c r="A1901" s="35"/>
      <c r="B1901" s="36"/>
      <c r="C1901" s="37"/>
      <c r="D1901" s="36"/>
      <c r="E1901" s="36"/>
      <c r="F1901" s="37"/>
      <c r="G1901" s="36"/>
      <c r="H1901" s="36"/>
      <c r="I1901" s="171"/>
      <c r="J1901" s="38"/>
      <c r="K1901" s="28"/>
      <c r="L1901" s="28"/>
    </row>
    <row r="1902" spans="1:12" x14ac:dyDescent="0.25">
      <c r="A1902" s="35"/>
      <c r="B1902" s="36"/>
      <c r="C1902" s="37"/>
      <c r="D1902" s="36"/>
      <c r="E1902" s="36"/>
      <c r="F1902" s="37"/>
      <c r="G1902" s="36"/>
      <c r="H1902" s="36"/>
      <c r="I1902" s="171"/>
      <c r="J1902" s="38"/>
      <c r="K1902" s="28"/>
      <c r="L1902" s="28"/>
    </row>
    <row r="1903" spans="1:12" x14ac:dyDescent="0.25">
      <c r="A1903" s="35"/>
      <c r="B1903" s="36"/>
      <c r="C1903" s="37"/>
      <c r="D1903" s="36"/>
      <c r="E1903" s="36"/>
      <c r="F1903" s="37"/>
      <c r="G1903" s="36"/>
      <c r="H1903" s="36"/>
      <c r="I1903" s="171"/>
      <c r="J1903" s="38"/>
      <c r="K1903" s="28"/>
      <c r="L1903" s="28"/>
    </row>
    <row r="1904" spans="1:12" x14ac:dyDescent="0.25">
      <c r="A1904" s="35"/>
      <c r="B1904" s="36"/>
      <c r="C1904" s="37"/>
      <c r="D1904" s="36"/>
      <c r="E1904" s="36"/>
      <c r="F1904" s="37"/>
      <c r="G1904" s="36"/>
      <c r="H1904" s="36"/>
      <c r="I1904" s="171"/>
      <c r="J1904" s="38"/>
      <c r="K1904" s="28"/>
      <c r="L1904" s="28"/>
    </row>
    <row r="1905" spans="1:12" x14ac:dyDescent="0.25">
      <c r="A1905" s="35"/>
      <c r="B1905" s="36"/>
      <c r="C1905" s="37"/>
      <c r="D1905" s="36"/>
      <c r="E1905" s="36"/>
      <c r="F1905" s="37"/>
      <c r="G1905" s="36"/>
      <c r="H1905" s="36"/>
      <c r="I1905" s="171"/>
      <c r="J1905" s="38"/>
      <c r="K1905" s="28"/>
      <c r="L1905" s="28"/>
    </row>
    <row r="1906" spans="1:12" x14ac:dyDescent="0.25">
      <c r="A1906" s="35"/>
      <c r="B1906" s="36"/>
      <c r="C1906" s="37"/>
      <c r="D1906" s="36"/>
      <c r="E1906" s="36"/>
      <c r="F1906" s="37"/>
      <c r="G1906" s="36"/>
      <c r="H1906" s="36"/>
      <c r="I1906" s="171"/>
      <c r="J1906" s="38"/>
      <c r="K1906" s="28"/>
      <c r="L1906" s="28"/>
    </row>
    <row r="1907" spans="1:12" x14ac:dyDescent="0.25">
      <c r="A1907" s="35"/>
      <c r="B1907" s="36"/>
      <c r="C1907" s="37"/>
      <c r="D1907" s="36"/>
      <c r="E1907" s="36"/>
      <c r="F1907" s="37"/>
      <c r="G1907" s="36"/>
      <c r="H1907" s="36"/>
      <c r="I1907" s="171"/>
      <c r="J1907" s="38"/>
      <c r="K1907" s="28"/>
      <c r="L1907" s="28"/>
    </row>
    <row r="1908" spans="1:12" x14ac:dyDescent="0.25">
      <c r="A1908" s="35"/>
      <c r="B1908" s="36"/>
      <c r="C1908" s="37"/>
      <c r="D1908" s="36"/>
      <c r="E1908" s="36"/>
      <c r="F1908" s="37"/>
      <c r="G1908" s="36"/>
      <c r="H1908" s="36"/>
      <c r="I1908" s="171"/>
      <c r="J1908" s="38"/>
      <c r="K1908" s="28"/>
      <c r="L1908" s="28"/>
    </row>
    <row r="1909" spans="1:12" x14ac:dyDescent="0.25">
      <c r="A1909" s="35"/>
      <c r="B1909" s="36"/>
      <c r="C1909" s="37"/>
      <c r="D1909" s="36"/>
      <c r="E1909" s="36"/>
      <c r="F1909" s="37"/>
      <c r="G1909" s="36"/>
      <c r="H1909" s="36"/>
      <c r="I1909" s="171"/>
      <c r="J1909" s="38"/>
      <c r="K1909" s="28"/>
      <c r="L1909" s="28"/>
    </row>
    <row r="1910" spans="1:12" x14ac:dyDescent="0.25">
      <c r="A1910" s="35"/>
      <c r="B1910" s="36"/>
      <c r="C1910" s="37"/>
      <c r="D1910" s="36"/>
      <c r="E1910" s="36"/>
      <c r="F1910" s="37"/>
      <c r="G1910" s="36"/>
      <c r="H1910" s="36"/>
      <c r="I1910" s="171"/>
      <c r="J1910" s="38"/>
      <c r="K1910" s="28"/>
      <c r="L1910" s="28"/>
    </row>
    <row r="1911" spans="1:12" x14ac:dyDescent="0.25">
      <c r="A1911" s="35"/>
      <c r="B1911" s="36"/>
      <c r="C1911" s="37"/>
      <c r="D1911" s="36"/>
      <c r="E1911" s="36"/>
      <c r="F1911" s="37"/>
      <c r="G1911" s="36"/>
      <c r="H1911" s="36"/>
      <c r="I1911" s="171"/>
      <c r="J1911" s="38"/>
      <c r="K1911" s="28"/>
      <c r="L1911" s="28"/>
    </row>
    <row r="1912" spans="1:12" x14ac:dyDescent="0.25">
      <c r="A1912" s="35"/>
      <c r="B1912" s="36"/>
      <c r="C1912" s="37"/>
      <c r="D1912" s="36"/>
      <c r="E1912" s="36"/>
      <c r="F1912" s="37"/>
      <c r="G1912" s="36"/>
      <c r="H1912" s="36"/>
      <c r="I1912" s="171"/>
      <c r="J1912" s="38"/>
      <c r="K1912" s="28"/>
      <c r="L1912" s="28"/>
    </row>
    <row r="1913" spans="1:12" x14ac:dyDescent="0.25">
      <c r="A1913" s="35"/>
      <c r="B1913" s="36"/>
      <c r="C1913" s="37"/>
      <c r="D1913" s="36"/>
      <c r="E1913" s="36"/>
      <c r="F1913" s="37"/>
      <c r="G1913" s="36"/>
      <c r="H1913" s="36"/>
      <c r="I1913" s="171"/>
      <c r="J1913" s="38"/>
      <c r="K1913" s="28"/>
      <c r="L1913" s="28"/>
    </row>
    <row r="1914" spans="1:12" x14ac:dyDescent="0.25">
      <c r="A1914" s="35"/>
      <c r="B1914" s="36"/>
      <c r="C1914" s="37"/>
      <c r="D1914" s="36"/>
      <c r="E1914" s="36"/>
      <c r="F1914" s="37"/>
      <c r="G1914" s="36"/>
      <c r="H1914" s="36"/>
      <c r="I1914" s="171"/>
      <c r="J1914" s="38"/>
      <c r="K1914" s="28"/>
      <c r="L1914" s="28"/>
    </row>
    <row r="1915" spans="1:12" x14ac:dyDescent="0.25">
      <c r="A1915" s="35"/>
      <c r="B1915" s="36"/>
      <c r="C1915" s="37"/>
      <c r="D1915" s="36"/>
      <c r="E1915" s="36"/>
      <c r="F1915" s="37"/>
      <c r="G1915" s="36"/>
      <c r="H1915" s="36"/>
      <c r="I1915" s="171"/>
      <c r="J1915" s="38"/>
      <c r="K1915" s="28"/>
      <c r="L1915" s="28"/>
    </row>
    <row r="1916" spans="1:12" x14ac:dyDescent="0.25">
      <c r="A1916" s="35"/>
      <c r="B1916" s="36"/>
      <c r="C1916" s="37"/>
      <c r="D1916" s="36"/>
      <c r="E1916" s="36"/>
      <c r="F1916" s="37"/>
      <c r="G1916" s="36"/>
      <c r="H1916" s="36"/>
      <c r="I1916" s="171"/>
      <c r="J1916" s="38"/>
      <c r="K1916" s="28"/>
      <c r="L1916" s="28"/>
    </row>
    <row r="1917" spans="1:12" x14ac:dyDescent="0.25">
      <c r="A1917" s="35"/>
      <c r="B1917" s="36"/>
      <c r="C1917" s="37"/>
      <c r="D1917" s="36"/>
      <c r="E1917" s="36"/>
      <c r="F1917" s="37"/>
      <c r="G1917" s="36"/>
      <c r="H1917" s="36"/>
      <c r="I1917" s="171"/>
      <c r="J1917" s="38"/>
      <c r="K1917" s="28"/>
      <c r="L1917" s="28"/>
    </row>
    <row r="1918" spans="1:12" x14ac:dyDescent="0.25">
      <c r="A1918" s="35"/>
      <c r="B1918" s="36"/>
      <c r="C1918" s="37"/>
      <c r="D1918" s="36"/>
      <c r="E1918" s="36"/>
      <c r="F1918" s="37"/>
      <c r="G1918" s="36"/>
      <c r="H1918" s="36"/>
      <c r="I1918" s="171"/>
      <c r="J1918" s="38"/>
      <c r="K1918" s="28"/>
      <c r="L1918" s="28"/>
    </row>
    <row r="1919" spans="1:12" x14ac:dyDescent="0.25">
      <c r="A1919" s="35"/>
      <c r="B1919" s="36"/>
      <c r="C1919" s="37"/>
      <c r="D1919" s="36"/>
      <c r="E1919" s="36"/>
      <c r="F1919" s="37"/>
      <c r="G1919" s="36"/>
      <c r="H1919" s="36"/>
      <c r="I1919" s="171"/>
      <c r="J1919" s="38"/>
      <c r="K1919" s="28"/>
      <c r="L1919" s="28"/>
    </row>
    <row r="1920" spans="1:12" x14ac:dyDescent="0.25">
      <c r="A1920" s="35"/>
      <c r="B1920" s="36"/>
      <c r="C1920" s="37"/>
      <c r="D1920" s="36"/>
      <c r="E1920" s="36"/>
      <c r="F1920" s="37"/>
      <c r="G1920" s="36"/>
      <c r="H1920" s="36"/>
      <c r="I1920" s="171"/>
      <c r="J1920" s="38"/>
      <c r="K1920" s="28"/>
      <c r="L1920" s="28"/>
    </row>
    <row r="1921" spans="1:12" x14ac:dyDescent="0.25">
      <c r="A1921" s="35"/>
      <c r="B1921" s="36"/>
      <c r="C1921" s="37"/>
      <c r="D1921" s="36"/>
      <c r="E1921" s="36"/>
      <c r="F1921" s="37"/>
      <c r="G1921" s="36"/>
      <c r="H1921" s="36"/>
      <c r="I1921" s="171"/>
      <c r="J1921" s="38"/>
      <c r="K1921" s="28"/>
      <c r="L1921" s="28"/>
    </row>
    <row r="1922" spans="1:12" x14ac:dyDescent="0.25">
      <c r="A1922" s="35"/>
      <c r="B1922" s="36"/>
      <c r="C1922" s="37"/>
      <c r="D1922" s="36"/>
      <c r="E1922" s="36"/>
      <c r="F1922" s="37"/>
      <c r="G1922" s="36"/>
      <c r="H1922" s="36"/>
      <c r="I1922" s="171"/>
      <c r="J1922" s="38"/>
      <c r="K1922" s="28"/>
      <c r="L1922" s="28"/>
    </row>
    <row r="1923" spans="1:12" x14ac:dyDescent="0.25">
      <c r="A1923" s="35"/>
      <c r="B1923" s="36"/>
      <c r="C1923" s="37"/>
      <c r="D1923" s="36"/>
      <c r="E1923" s="36"/>
      <c r="F1923" s="37"/>
      <c r="G1923" s="36"/>
      <c r="H1923" s="36"/>
      <c r="I1923" s="171"/>
      <c r="J1923" s="38"/>
      <c r="K1923" s="28"/>
      <c r="L1923" s="28"/>
    </row>
    <row r="1924" spans="1:12" x14ac:dyDescent="0.25">
      <c r="A1924" s="35"/>
      <c r="B1924" s="36"/>
      <c r="C1924" s="37"/>
      <c r="D1924" s="36"/>
      <c r="E1924" s="36"/>
      <c r="F1924" s="37"/>
      <c r="G1924" s="36"/>
      <c r="H1924" s="36"/>
      <c r="I1924" s="171"/>
      <c r="J1924" s="38"/>
      <c r="K1924" s="28"/>
      <c r="L1924" s="28"/>
    </row>
    <row r="1925" spans="1:12" x14ac:dyDescent="0.25">
      <c r="A1925" s="35"/>
      <c r="B1925" s="36"/>
      <c r="C1925" s="37"/>
      <c r="D1925" s="36"/>
      <c r="E1925" s="36"/>
      <c r="F1925" s="37"/>
      <c r="G1925" s="36"/>
      <c r="H1925" s="36"/>
      <c r="I1925" s="171"/>
      <c r="J1925" s="38"/>
      <c r="K1925" s="28"/>
      <c r="L1925" s="28"/>
    </row>
    <row r="1926" spans="1:12" x14ac:dyDescent="0.25">
      <c r="A1926" s="35"/>
      <c r="B1926" s="36"/>
      <c r="C1926" s="37"/>
      <c r="D1926" s="36"/>
      <c r="E1926" s="36"/>
      <c r="F1926" s="37"/>
      <c r="G1926" s="36"/>
      <c r="H1926" s="36"/>
      <c r="I1926" s="171"/>
      <c r="J1926" s="38"/>
      <c r="K1926" s="28"/>
      <c r="L1926" s="28"/>
    </row>
    <row r="1927" spans="1:12" x14ac:dyDescent="0.25">
      <c r="A1927" s="35"/>
      <c r="B1927" s="36"/>
      <c r="C1927" s="37"/>
      <c r="D1927" s="36"/>
      <c r="E1927" s="36"/>
      <c r="F1927" s="37"/>
      <c r="G1927" s="36"/>
      <c r="H1927" s="36"/>
      <c r="I1927" s="171"/>
      <c r="J1927" s="38"/>
      <c r="K1927" s="28"/>
      <c r="L1927" s="28"/>
    </row>
    <row r="1928" spans="1:12" x14ac:dyDescent="0.25">
      <c r="A1928" s="35"/>
      <c r="B1928" s="36"/>
      <c r="C1928" s="37"/>
      <c r="D1928" s="36"/>
      <c r="E1928" s="36"/>
      <c r="F1928" s="37"/>
      <c r="G1928" s="36"/>
      <c r="H1928" s="36"/>
      <c r="I1928" s="171"/>
      <c r="J1928" s="38"/>
      <c r="K1928" s="28"/>
      <c r="L1928" s="28"/>
    </row>
    <row r="1929" spans="1:12" x14ac:dyDescent="0.25">
      <c r="A1929" s="35"/>
      <c r="B1929" s="36"/>
      <c r="C1929" s="37"/>
      <c r="D1929" s="36"/>
      <c r="E1929" s="36"/>
      <c r="F1929" s="37"/>
      <c r="G1929" s="36"/>
      <c r="H1929" s="36"/>
      <c r="I1929" s="171"/>
      <c r="J1929" s="38"/>
      <c r="K1929" s="28"/>
      <c r="L1929" s="28"/>
    </row>
    <row r="1930" spans="1:12" x14ac:dyDescent="0.25">
      <c r="A1930" s="35"/>
      <c r="B1930" s="36"/>
      <c r="C1930" s="37"/>
      <c r="D1930" s="36"/>
      <c r="E1930" s="36"/>
      <c r="F1930" s="37"/>
      <c r="G1930" s="36"/>
      <c r="H1930" s="36"/>
      <c r="I1930" s="171"/>
      <c r="J1930" s="38"/>
      <c r="K1930" s="28"/>
      <c r="L1930" s="28"/>
    </row>
    <row r="1931" spans="1:12" x14ac:dyDescent="0.25">
      <c r="A1931" s="35"/>
      <c r="B1931" s="36"/>
      <c r="C1931" s="37"/>
      <c r="D1931" s="36"/>
      <c r="E1931" s="36"/>
      <c r="F1931" s="37"/>
      <c r="G1931" s="36"/>
      <c r="H1931" s="36"/>
      <c r="I1931" s="171"/>
      <c r="J1931" s="38"/>
      <c r="K1931" s="28"/>
      <c r="L1931" s="28"/>
    </row>
    <row r="1932" spans="1:12" x14ac:dyDescent="0.25">
      <c r="A1932" s="35"/>
      <c r="B1932" s="36"/>
      <c r="C1932" s="37"/>
      <c r="D1932" s="36"/>
      <c r="E1932" s="36"/>
      <c r="F1932" s="37"/>
      <c r="G1932" s="36"/>
      <c r="H1932" s="36"/>
      <c r="I1932" s="171"/>
      <c r="J1932" s="38"/>
      <c r="K1932" s="28"/>
      <c r="L1932" s="28"/>
    </row>
    <row r="1933" spans="1:12" x14ac:dyDescent="0.25">
      <c r="A1933" s="35"/>
      <c r="B1933" s="36"/>
      <c r="C1933" s="37"/>
      <c r="D1933" s="36"/>
      <c r="E1933" s="36"/>
      <c r="F1933" s="37"/>
      <c r="G1933" s="36"/>
      <c r="H1933" s="36"/>
      <c r="I1933" s="171"/>
      <c r="J1933" s="38"/>
      <c r="K1933" s="28"/>
      <c r="L1933" s="28"/>
    </row>
    <row r="1934" spans="1:12" x14ac:dyDescent="0.25">
      <c r="A1934" s="35"/>
      <c r="B1934" s="36"/>
      <c r="C1934" s="37"/>
      <c r="D1934" s="36"/>
      <c r="E1934" s="36"/>
      <c r="F1934" s="37"/>
      <c r="G1934" s="36"/>
      <c r="H1934" s="36"/>
      <c r="I1934" s="171"/>
      <c r="J1934" s="38"/>
      <c r="K1934" s="28"/>
      <c r="L1934" s="28"/>
    </row>
    <row r="1935" spans="1:12" x14ac:dyDescent="0.25">
      <c r="A1935" s="35"/>
      <c r="B1935" s="36"/>
      <c r="C1935" s="37"/>
      <c r="D1935" s="36"/>
      <c r="E1935" s="36"/>
      <c r="F1935" s="37"/>
      <c r="G1935" s="36"/>
      <c r="H1935" s="36"/>
      <c r="I1935" s="171"/>
      <c r="J1935" s="38"/>
      <c r="K1935" s="28"/>
      <c r="L1935" s="28"/>
    </row>
    <row r="1936" spans="1:12" x14ac:dyDescent="0.25">
      <c r="A1936" s="35"/>
      <c r="B1936" s="36"/>
      <c r="C1936" s="37"/>
      <c r="D1936" s="36"/>
      <c r="E1936" s="36"/>
      <c r="F1936" s="37"/>
      <c r="G1936" s="36"/>
      <c r="H1936" s="36"/>
      <c r="I1936" s="171"/>
      <c r="J1936" s="38"/>
      <c r="K1936" s="28"/>
      <c r="L1936" s="28"/>
    </row>
    <row r="1937" spans="1:12" x14ac:dyDescent="0.25">
      <c r="A1937" s="35"/>
      <c r="B1937" s="36"/>
      <c r="C1937" s="37"/>
      <c r="D1937" s="36"/>
      <c r="E1937" s="36"/>
      <c r="F1937" s="37"/>
      <c r="G1937" s="36"/>
      <c r="H1937" s="36"/>
      <c r="I1937" s="171"/>
      <c r="J1937" s="38"/>
      <c r="K1937" s="28"/>
      <c r="L1937" s="28"/>
    </row>
    <row r="1938" spans="1:12" x14ac:dyDescent="0.25">
      <c r="A1938" s="35"/>
      <c r="B1938" s="36"/>
      <c r="C1938" s="37"/>
      <c r="D1938" s="36"/>
      <c r="E1938" s="36"/>
      <c r="F1938" s="37"/>
      <c r="G1938" s="36"/>
      <c r="H1938" s="36"/>
      <c r="I1938" s="171"/>
      <c r="J1938" s="38"/>
      <c r="K1938" s="28"/>
      <c r="L1938" s="28"/>
    </row>
    <row r="1939" spans="1:12" x14ac:dyDescent="0.25">
      <c r="A1939" s="35"/>
      <c r="B1939" s="36"/>
      <c r="C1939" s="37"/>
      <c r="D1939" s="36"/>
      <c r="E1939" s="36"/>
      <c r="F1939" s="37"/>
      <c r="G1939" s="36"/>
      <c r="H1939" s="36"/>
      <c r="I1939" s="171"/>
      <c r="J1939" s="38"/>
      <c r="K1939" s="28"/>
      <c r="L1939" s="28"/>
    </row>
    <row r="1940" spans="1:12" x14ac:dyDescent="0.25">
      <c r="A1940" s="35"/>
      <c r="B1940" s="36"/>
      <c r="C1940" s="37"/>
      <c r="D1940" s="36"/>
      <c r="E1940" s="36"/>
      <c r="F1940" s="37"/>
      <c r="G1940" s="36"/>
      <c r="H1940" s="36"/>
      <c r="I1940" s="171"/>
      <c r="J1940" s="38"/>
      <c r="K1940" s="28"/>
      <c r="L1940" s="28"/>
    </row>
    <row r="1941" spans="1:12" x14ac:dyDescent="0.25">
      <c r="A1941" s="35"/>
      <c r="B1941" s="36"/>
      <c r="C1941" s="37"/>
      <c r="D1941" s="36"/>
      <c r="E1941" s="36"/>
      <c r="F1941" s="37"/>
      <c r="G1941" s="36"/>
      <c r="H1941" s="36"/>
      <c r="I1941" s="171"/>
      <c r="J1941" s="38"/>
      <c r="K1941" s="28"/>
      <c r="L1941" s="28"/>
    </row>
    <row r="1942" spans="1:12" x14ac:dyDescent="0.25">
      <c r="A1942" s="35"/>
      <c r="B1942" s="36"/>
      <c r="C1942" s="37"/>
      <c r="D1942" s="36"/>
      <c r="E1942" s="36"/>
      <c r="F1942" s="37"/>
      <c r="G1942" s="36"/>
      <c r="H1942" s="36"/>
      <c r="I1942" s="171"/>
      <c r="J1942" s="38"/>
      <c r="K1942" s="28"/>
      <c r="L1942" s="28"/>
    </row>
    <row r="1943" spans="1:12" x14ac:dyDescent="0.25">
      <c r="A1943" s="35"/>
      <c r="B1943" s="36"/>
      <c r="C1943" s="37"/>
      <c r="D1943" s="36"/>
      <c r="E1943" s="36"/>
      <c r="F1943" s="37"/>
      <c r="G1943" s="36"/>
      <c r="H1943" s="36"/>
      <c r="I1943" s="171"/>
      <c r="J1943" s="38"/>
      <c r="K1943" s="28"/>
      <c r="L1943" s="28"/>
    </row>
    <row r="1944" spans="1:12" x14ac:dyDescent="0.25">
      <c r="A1944" s="35"/>
      <c r="B1944" s="36"/>
      <c r="C1944" s="37"/>
      <c r="D1944" s="36"/>
      <c r="E1944" s="36"/>
      <c r="F1944" s="37"/>
      <c r="G1944" s="36"/>
      <c r="H1944" s="36"/>
      <c r="I1944" s="171"/>
      <c r="J1944" s="38"/>
      <c r="K1944" s="28"/>
      <c r="L1944" s="28"/>
    </row>
    <row r="1945" spans="1:12" x14ac:dyDescent="0.25">
      <c r="A1945" s="35"/>
      <c r="B1945" s="36"/>
      <c r="C1945" s="37"/>
      <c r="D1945" s="36"/>
      <c r="E1945" s="36"/>
      <c r="F1945" s="37"/>
      <c r="G1945" s="36"/>
      <c r="H1945" s="36"/>
      <c r="I1945" s="171"/>
      <c r="J1945" s="38"/>
      <c r="K1945" s="28"/>
      <c r="L1945" s="28"/>
    </row>
    <row r="1946" spans="1:12" x14ac:dyDescent="0.25">
      <c r="A1946" s="35"/>
      <c r="B1946" s="36"/>
      <c r="C1946" s="37"/>
      <c r="D1946" s="36"/>
      <c r="E1946" s="36"/>
      <c r="F1946" s="37"/>
      <c r="G1946" s="36"/>
      <c r="H1946" s="36"/>
      <c r="I1946" s="171"/>
      <c r="J1946" s="38"/>
      <c r="K1946" s="28"/>
      <c r="L1946" s="28"/>
    </row>
    <row r="1947" spans="1:12" x14ac:dyDescent="0.25">
      <c r="A1947" s="35"/>
      <c r="B1947" s="36"/>
      <c r="C1947" s="37"/>
      <c r="D1947" s="36"/>
      <c r="E1947" s="36"/>
      <c r="F1947" s="37"/>
      <c r="G1947" s="36"/>
      <c r="H1947" s="36"/>
      <c r="I1947" s="171"/>
      <c r="J1947" s="38"/>
      <c r="K1947" s="28"/>
      <c r="L1947" s="28"/>
    </row>
    <row r="1948" spans="1:12" x14ac:dyDescent="0.25">
      <c r="A1948" s="35"/>
      <c r="B1948" s="36"/>
      <c r="C1948" s="37"/>
      <c r="D1948" s="36"/>
      <c r="E1948" s="36"/>
      <c r="F1948" s="37"/>
      <c r="G1948" s="36"/>
      <c r="H1948" s="36"/>
      <c r="I1948" s="171"/>
      <c r="J1948" s="38"/>
      <c r="K1948" s="28"/>
      <c r="L1948" s="28"/>
    </row>
    <row r="1949" spans="1:12" x14ac:dyDescent="0.25">
      <c r="A1949" s="35"/>
      <c r="B1949" s="36"/>
      <c r="C1949" s="37"/>
      <c r="D1949" s="36"/>
      <c r="E1949" s="36"/>
      <c r="F1949" s="37"/>
      <c r="G1949" s="36"/>
      <c r="H1949" s="36"/>
      <c r="I1949" s="171"/>
      <c r="J1949" s="38"/>
      <c r="K1949" s="28"/>
      <c r="L1949" s="28"/>
    </row>
    <row r="1950" spans="1:12" x14ac:dyDescent="0.25">
      <c r="A1950" s="35"/>
      <c r="B1950" s="36"/>
      <c r="C1950" s="37"/>
      <c r="D1950" s="36"/>
      <c r="E1950" s="36"/>
      <c r="F1950" s="37"/>
      <c r="G1950" s="36"/>
      <c r="H1950" s="36"/>
      <c r="I1950" s="171"/>
      <c r="J1950" s="38"/>
      <c r="K1950" s="28"/>
      <c r="L1950" s="28"/>
    </row>
    <row r="1951" spans="1:12" x14ac:dyDescent="0.25">
      <c r="A1951" s="35"/>
      <c r="B1951" s="36"/>
      <c r="C1951" s="37"/>
      <c r="D1951" s="36"/>
      <c r="E1951" s="36"/>
      <c r="F1951" s="37"/>
      <c r="G1951" s="36"/>
      <c r="H1951" s="36"/>
      <c r="I1951" s="171"/>
      <c r="J1951" s="38"/>
      <c r="K1951" s="28"/>
      <c r="L1951" s="28"/>
    </row>
    <row r="1952" spans="1:12" x14ac:dyDescent="0.25">
      <c r="A1952" s="35"/>
      <c r="B1952" s="36"/>
      <c r="C1952" s="37"/>
      <c r="D1952" s="36"/>
      <c r="E1952" s="36"/>
      <c r="F1952" s="37"/>
      <c r="G1952" s="36"/>
      <c r="H1952" s="36"/>
      <c r="I1952" s="171"/>
      <c r="J1952" s="38"/>
      <c r="K1952" s="28"/>
      <c r="L1952" s="28"/>
    </row>
    <row r="1953" spans="1:12" x14ac:dyDescent="0.25">
      <c r="A1953" s="35"/>
      <c r="B1953" s="36"/>
      <c r="C1953" s="37"/>
      <c r="D1953" s="36"/>
      <c r="E1953" s="36"/>
      <c r="F1953" s="37"/>
      <c r="G1953" s="36"/>
      <c r="H1953" s="36"/>
      <c r="I1953" s="171"/>
      <c r="J1953" s="38"/>
      <c r="K1953" s="28"/>
      <c r="L1953" s="28"/>
    </row>
    <row r="1954" spans="1:12" x14ac:dyDescent="0.25">
      <c r="A1954" s="35"/>
      <c r="B1954" s="36"/>
      <c r="C1954" s="37"/>
      <c r="D1954" s="36"/>
      <c r="E1954" s="36"/>
      <c r="F1954" s="37"/>
      <c r="G1954" s="36"/>
      <c r="H1954" s="36"/>
      <c r="I1954" s="171"/>
      <c r="J1954" s="38"/>
      <c r="K1954" s="28"/>
      <c r="L1954" s="28"/>
    </row>
    <row r="1955" spans="1:12" x14ac:dyDescent="0.25">
      <c r="A1955" s="35"/>
      <c r="B1955" s="36"/>
      <c r="C1955" s="37"/>
      <c r="D1955" s="36"/>
      <c r="E1955" s="36"/>
      <c r="F1955" s="37"/>
      <c r="G1955" s="36"/>
      <c r="H1955" s="36"/>
      <c r="I1955" s="171"/>
      <c r="J1955" s="38"/>
      <c r="K1955" s="28"/>
      <c r="L1955" s="28"/>
    </row>
    <row r="1956" spans="1:12" x14ac:dyDescent="0.25">
      <c r="A1956" s="35"/>
      <c r="B1956" s="36"/>
      <c r="C1956" s="37"/>
      <c r="D1956" s="36"/>
      <c r="E1956" s="36"/>
      <c r="F1956" s="37"/>
      <c r="G1956" s="36"/>
      <c r="H1956" s="36"/>
      <c r="I1956" s="171"/>
      <c r="J1956" s="38"/>
      <c r="K1956" s="28"/>
      <c r="L1956" s="28"/>
    </row>
    <row r="1957" spans="1:12" x14ac:dyDescent="0.25">
      <c r="A1957" s="35"/>
      <c r="B1957" s="36"/>
      <c r="C1957" s="37"/>
      <c r="D1957" s="36"/>
      <c r="E1957" s="36"/>
      <c r="F1957" s="37"/>
      <c r="G1957" s="36"/>
      <c r="H1957" s="36"/>
      <c r="I1957" s="171"/>
      <c r="J1957" s="38"/>
      <c r="K1957" s="28"/>
      <c r="L1957" s="28"/>
    </row>
    <row r="1958" spans="1:12" x14ac:dyDescent="0.25">
      <c r="A1958" s="35"/>
      <c r="B1958" s="36"/>
      <c r="C1958" s="37"/>
      <c r="D1958" s="36"/>
      <c r="E1958" s="36"/>
      <c r="F1958" s="37"/>
      <c r="G1958" s="36"/>
      <c r="H1958" s="36"/>
      <c r="I1958" s="171"/>
      <c r="J1958" s="38"/>
      <c r="K1958" s="28"/>
      <c r="L1958" s="28"/>
    </row>
    <row r="1959" spans="1:12" x14ac:dyDescent="0.25">
      <c r="A1959" s="35"/>
      <c r="B1959" s="36"/>
      <c r="C1959" s="37"/>
      <c r="D1959" s="36"/>
      <c r="E1959" s="36"/>
      <c r="F1959" s="37"/>
      <c r="G1959" s="36"/>
      <c r="H1959" s="36"/>
      <c r="I1959" s="171"/>
      <c r="J1959" s="38"/>
      <c r="K1959" s="28"/>
      <c r="L1959" s="28"/>
    </row>
    <row r="1960" spans="1:12" x14ac:dyDescent="0.25">
      <c r="A1960" s="35"/>
      <c r="B1960" s="36"/>
      <c r="C1960" s="37"/>
      <c r="D1960" s="36"/>
      <c r="E1960" s="36"/>
      <c r="F1960" s="37"/>
      <c r="G1960" s="36"/>
      <c r="H1960" s="36"/>
      <c r="I1960" s="171"/>
      <c r="J1960" s="38"/>
      <c r="K1960" s="28"/>
      <c r="L1960" s="28"/>
    </row>
    <row r="1961" spans="1:12" x14ac:dyDescent="0.25">
      <c r="A1961" s="35"/>
      <c r="B1961" s="36"/>
      <c r="C1961" s="37"/>
      <c r="D1961" s="36"/>
      <c r="E1961" s="36"/>
      <c r="F1961" s="37"/>
      <c r="G1961" s="36"/>
      <c r="H1961" s="36"/>
      <c r="I1961" s="171"/>
      <c r="J1961" s="38"/>
      <c r="K1961" s="28"/>
      <c r="L1961" s="28"/>
    </row>
    <row r="1962" spans="1:12" x14ac:dyDescent="0.25">
      <c r="A1962" s="35"/>
      <c r="B1962" s="36"/>
      <c r="C1962" s="37"/>
      <c r="D1962" s="36"/>
      <c r="E1962" s="36"/>
      <c r="F1962" s="37"/>
      <c r="G1962" s="36"/>
      <c r="H1962" s="36"/>
      <c r="I1962" s="171"/>
      <c r="J1962" s="38"/>
      <c r="K1962" s="28"/>
      <c r="L1962" s="28"/>
    </row>
    <row r="1963" spans="1:12" x14ac:dyDescent="0.25">
      <c r="A1963" s="35"/>
      <c r="B1963" s="36"/>
      <c r="C1963" s="37"/>
      <c r="D1963" s="36"/>
      <c r="E1963" s="36"/>
      <c r="F1963" s="37"/>
      <c r="G1963" s="36"/>
      <c r="H1963" s="36"/>
      <c r="I1963" s="171"/>
      <c r="J1963" s="38"/>
      <c r="K1963" s="28"/>
      <c r="L1963" s="28"/>
    </row>
    <row r="1964" spans="1:12" x14ac:dyDescent="0.25">
      <c r="A1964" s="35"/>
      <c r="B1964" s="36"/>
      <c r="C1964" s="37"/>
      <c r="D1964" s="36"/>
      <c r="E1964" s="36"/>
      <c r="F1964" s="37"/>
      <c r="G1964" s="36"/>
      <c r="H1964" s="36"/>
      <c r="I1964" s="171"/>
      <c r="J1964" s="38"/>
      <c r="K1964" s="28"/>
      <c r="L1964" s="28"/>
    </row>
    <row r="1965" spans="1:12" x14ac:dyDescent="0.25">
      <c r="A1965" s="35"/>
      <c r="B1965" s="36"/>
      <c r="C1965" s="37"/>
      <c r="D1965" s="36"/>
      <c r="E1965" s="36"/>
      <c r="F1965" s="37"/>
      <c r="G1965" s="36"/>
      <c r="H1965" s="36"/>
      <c r="I1965" s="171"/>
      <c r="J1965" s="38"/>
      <c r="K1965" s="28"/>
      <c r="L1965" s="28"/>
    </row>
    <row r="1966" spans="1:12" x14ac:dyDescent="0.25">
      <c r="A1966" s="35"/>
      <c r="B1966" s="36"/>
      <c r="C1966" s="37"/>
      <c r="D1966" s="36"/>
      <c r="E1966" s="36"/>
      <c r="F1966" s="37"/>
      <c r="G1966" s="36"/>
      <c r="H1966" s="36"/>
      <c r="I1966" s="171"/>
      <c r="J1966" s="38"/>
      <c r="K1966" s="28"/>
      <c r="L1966" s="28"/>
    </row>
    <row r="1967" spans="1:12" x14ac:dyDescent="0.25">
      <c r="A1967" s="35"/>
      <c r="B1967" s="36"/>
      <c r="C1967" s="37"/>
      <c r="D1967" s="36"/>
      <c r="E1967" s="36"/>
      <c r="F1967" s="37"/>
      <c r="G1967" s="36"/>
      <c r="H1967" s="36"/>
      <c r="I1967" s="171"/>
      <c r="J1967" s="38"/>
      <c r="K1967" s="28"/>
      <c r="L1967" s="28"/>
    </row>
    <row r="1968" spans="1:12" x14ac:dyDescent="0.25">
      <c r="A1968" s="35"/>
      <c r="B1968" s="36"/>
      <c r="C1968" s="37"/>
      <c r="D1968" s="36"/>
      <c r="E1968" s="36"/>
      <c r="F1968" s="37"/>
      <c r="G1968" s="36"/>
      <c r="H1968" s="36"/>
      <c r="I1968" s="171"/>
      <c r="J1968" s="38"/>
      <c r="K1968" s="28"/>
      <c r="L1968" s="28"/>
    </row>
    <row r="1969" spans="1:12" ht="15.75" thickBot="1" x14ac:dyDescent="0.3">
      <c r="A1969" s="45"/>
      <c r="B1969" s="46"/>
      <c r="C1969" s="47"/>
      <c r="D1969" s="46"/>
      <c r="E1969" s="46"/>
      <c r="F1969" s="47"/>
      <c r="G1969" s="46"/>
      <c r="H1969" s="46"/>
      <c r="I1969" s="173"/>
      <c r="J1969" s="48"/>
      <c r="K1969" s="28"/>
      <c r="L1969" s="28"/>
    </row>
    <row r="1970" spans="1:12" x14ac:dyDescent="0.25">
      <c r="A1970" s="28"/>
      <c r="B1970" s="28"/>
      <c r="C1970" s="49"/>
      <c r="D1970" s="49"/>
      <c r="E1970" s="50"/>
      <c r="F1970" s="51"/>
      <c r="G1970" s="51"/>
      <c r="H1970" s="49"/>
      <c r="I1970" s="174"/>
      <c r="J1970" s="28"/>
      <c r="K1970" s="28"/>
      <c r="L1970" s="28"/>
    </row>
    <row r="1971" spans="1:12" x14ac:dyDescent="0.25">
      <c r="A1971" s="28"/>
      <c r="B1971" s="28"/>
      <c r="C1971" s="49"/>
      <c r="D1971" s="49"/>
      <c r="E1971" s="50"/>
      <c r="F1971" s="51"/>
      <c r="G1971" s="51"/>
      <c r="H1971" s="49"/>
      <c r="I1971" s="174"/>
      <c r="J1971" s="28"/>
      <c r="K1971" s="28"/>
      <c r="L1971" s="28"/>
    </row>
    <row r="1972" spans="1:12" x14ac:dyDescent="0.25">
      <c r="A1972" s="28"/>
      <c r="B1972" s="28"/>
      <c r="C1972" s="49"/>
      <c r="D1972" s="49"/>
      <c r="E1972" s="50"/>
      <c r="F1972" s="51"/>
      <c r="G1972" s="51"/>
      <c r="H1972" s="49"/>
      <c r="I1972" s="174"/>
      <c r="J1972" s="28"/>
      <c r="K1972" s="28"/>
      <c r="L1972" s="28"/>
    </row>
    <row r="1973" spans="1:12" x14ac:dyDescent="0.25">
      <c r="A1973" s="28"/>
      <c r="B1973" s="28"/>
      <c r="C1973" s="49"/>
      <c r="D1973" s="49"/>
      <c r="E1973" s="50"/>
      <c r="F1973" s="51"/>
      <c r="G1973" s="51"/>
      <c r="H1973" s="49"/>
      <c r="I1973" s="174"/>
      <c r="J1973" s="28"/>
      <c r="K1973" s="28"/>
      <c r="L1973" s="28"/>
    </row>
    <row r="1974" spans="1:12" x14ac:dyDescent="0.25">
      <c r="A1974" s="28"/>
      <c r="B1974" s="28"/>
      <c r="C1974" s="49"/>
      <c r="D1974" s="49"/>
      <c r="E1974" s="50"/>
      <c r="F1974" s="51"/>
      <c r="G1974" s="51"/>
      <c r="H1974" s="49"/>
      <c r="I1974" s="174"/>
      <c r="J1974" s="28"/>
      <c r="K1974" s="28"/>
      <c r="L1974" s="28"/>
    </row>
    <row r="1975" spans="1:12" x14ac:dyDescent="0.25">
      <c r="A1975" s="28"/>
      <c r="B1975" s="28"/>
      <c r="C1975" s="49"/>
      <c r="D1975" s="49"/>
      <c r="E1975" s="50"/>
      <c r="F1975" s="51"/>
      <c r="G1975" s="51"/>
      <c r="H1975" s="49"/>
      <c r="I1975" s="174"/>
      <c r="J1975" s="28"/>
      <c r="K1975" s="28"/>
      <c r="L1975" s="28"/>
    </row>
    <row r="1976" spans="1:12" x14ac:dyDescent="0.25">
      <c r="A1976" s="28"/>
      <c r="B1976" s="28"/>
      <c r="C1976" s="49"/>
      <c r="D1976" s="49"/>
      <c r="E1976" s="50"/>
      <c r="F1976" s="51"/>
      <c r="G1976" s="51"/>
      <c r="H1976" s="49"/>
      <c r="I1976" s="174"/>
      <c r="J1976" s="28"/>
      <c r="K1976" s="28"/>
      <c r="L1976" s="28"/>
    </row>
    <row r="1977" spans="1:12" x14ac:dyDescent="0.25">
      <c r="A1977" s="28"/>
      <c r="B1977" s="28"/>
      <c r="C1977" s="49"/>
      <c r="D1977" s="49"/>
      <c r="E1977" s="50"/>
      <c r="F1977" s="51"/>
      <c r="G1977" s="51"/>
      <c r="H1977" s="49"/>
      <c r="I1977" s="174"/>
      <c r="J1977" s="28"/>
      <c r="K1977" s="28"/>
      <c r="L1977" s="28"/>
    </row>
    <row r="1978" spans="1:12" x14ac:dyDescent="0.25">
      <c r="A1978" s="28"/>
      <c r="B1978" s="28"/>
      <c r="C1978" s="49"/>
      <c r="D1978" s="49"/>
      <c r="E1978" s="50"/>
      <c r="F1978" s="51"/>
      <c r="G1978" s="51"/>
      <c r="H1978" s="49"/>
      <c r="I1978" s="174"/>
      <c r="J1978" s="28"/>
      <c r="K1978" s="28"/>
      <c r="L1978" s="28"/>
    </row>
    <row r="1979" spans="1:12" x14ac:dyDescent="0.25">
      <c r="A1979" s="28"/>
      <c r="B1979" s="28"/>
      <c r="C1979" s="49"/>
      <c r="D1979" s="49"/>
      <c r="E1979" s="50"/>
      <c r="F1979" s="51"/>
      <c r="G1979" s="51"/>
      <c r="H1979" s="49"/>
      <c r="I1979" s="174"/>
      <c r="J1979" s="28"/>
      <c r="K1979" s="28"/>
      <c r="L1979" s="28"/>
    </row>
    <row r="1980" spans="1:12" x14ac:dyDescent="0.25">
      <c r="A1980" s="28"/>
      <c r="B1980" s="28"/>
      <c r="C1980" s="49"/>
      <c r="D1980" s="49"/>
      <c r="E1980" s="50"/>
      <c r="F1980" s="51"/>
      <c r="G1980" s="51"/>
      <c r="H1980" s="49"/>
      <c r="I1980" s="174"/>
      <c r="J1980" s="28"/>
      <c r="K1980" s="28"/>
      <c r="L1980" s="28"/>
    </row>
    <row r="1981" spans="1:12" x14ac:dyDescent="0.25">
      <c r="A1981" s="28"/>
      <c r="B1981" s="28"/>
      <c r="C1981" s="49"/>
      <c r="D1981" s="49"/>
      <c r="E1981" s="50"/>
      <c r="F1981" s="51"/>
      <c r="G1981" s="51"/>
      <c r="H1981" s="49"/>
      <c r="I1981" s="174"/>
      <c r="J1981" s="28"/>
      <c r="K1981" s="28"/>
      <c r="L1981" s="28"/>
    </row>
    <row r="1982" spans="1:12" x14ac:dyDescent="0.25">
      <c r="A1982" s="28"/>
      <c r="B1982" s="28"/>
      <c r="C1982" s="49"/>
      <c r="D1982" s="49"/>
      <c r="E1982" s="50"/>
      <c r="F1982" s="51"/>
      <c r="G1982" s="51"/>
      <c r="H1982" s="49"/>
      <c r="I1982" s="174"/>
      <c r="J1982" s="28"/>
      <c r="K1982" s="28"/>
      <c r="L1982" s="28"/>
    </row>
    <row r="1983" spans="1:12" x14ac:dyDescent="0.25">
      <c r="A1983" s="28"/>
      <c r="B1983" s="28"/>
      <c r="C1983" s="49"/>
      <c r="D1983" s="49"/>
      <c r="E1983" s="50"/>
      <c r="F1983" s="51"/>
      <c r="G1983" s="51"/>
      <c r="H1983" s="49"/>
      <c r="I1983" s="174"/>
      <c r="J1983" s="28"/>
      <c r="K1983" s="28"/>
      <c r="L1983" s="28"/>
    </row>
    <row r="1984" spans="1:12" x14ac:dyDescent="0.25">
      <c r="A1984" s="28"/>
      <c r="B1984" s="28"/>
      <c r="C1984" s="49"/>
      <c r="D1984" s="49"/>
      <c r="E1984" s="50"/>
      <c r="F1984" s="51"/>
      <c r="G1984" s="51"/>
      <c r="H1984" s="49"/>
      <c r="I1984" s="174"/>
      <c r="J1984" s="28"/>
      <c r="K1984" s="28"/>
      <c r="L1984" s="28"/>
    </row>
    <row r="1985" spans="1:12" x14ac:dyDescent="0.25">
      <c r="A1985" s="28"/>
      <c r="B1985" s="28"/>
      <c r="C1985" s="49"/>
      <c r="D1985" s="49"/>
      <c r="E1985" s="50"/>
      <c r="F1985" s="51"/>
      <c r="G1985" s="51"/>
      <c r="H1985" s="49"/>
      <c r="I1985" s="174"/>
      <c r="J1985" s="28"/>
      <c r="K1985" s="28"/>
      <c r="L1985" s="28"/>
    </row>
  </sheetData>
  <protectedRanges>
    <protectedRange sqref="A5:J5 I9:J9 E7:J8 D6:XFD6 B12:C27 A6:C8" name="Rango1"/>
    <protectedRange sqref="D12:J26 I28 D27:I27 A12:A27" name="Rango1_1"/>
    <protectedRange sqref="A89:J89 A91:J92 A90:H90 J90 A94:J94 A93:H93 J93 A96:J96 A95:H95 J95 A99:J1969 A97:H98 J97:J98" name="Rango1_2"/>
    <protectedRange sqref="J27:J28 H75:H76 A79:H82 A35:A41 I75:J82 A83:J87 I39:I41 D28:H28 A28:A30 D29:J30 D75:F76 A75:C78 D77:H78 A71:H74 J71:J74 I35:I37 J35:J41 D35:H41 A42:J70 A31:J34" name="Rango1_3"/>
    <protectedRange sqref="A9:H9 A88 A10:J11 D7:D8 B28:C30 B35:C41" name="Rango1_6"/>
    <protectedRange sqref="I90" name="Rango1_4"/>
    <protectedRange sqref="I93" name="Rango1_5"/>
    <protectedRange sqref="I95" name="Rango1_7"/>
    <protectedRange sqref="I98" name="Rango1_8"/>
    <protectedRange sqref="I97" name="Rango1_9"/>
    <protectedRange sqref="G75:G76" name="Rango1_11"/>
    <protectedRange sqref="I74" name="Rango1_3_1"/>
    <protectedRange sqref="K72" name="Rango1_10"/>
    <protectedRange sqref="I71:I73" name="Rango1_3_2"/>
  </protectedRanges>
  <autoFilter ref="A4:XFC87"/>
  <mergeCells count="2">
    <mergeCell ref="A1:J1"/>
    <mergeCell ref="A2:J2"/>
  </mergeCells>
  <dataValidations count="3">
    <dataValidation type="decimal" operator="greaterThanOrEqual" allowBlank="1" showInputMessage="1" showErrorMessage="1" sqref="I96 I91:I92 I94 I99:I1969 I89 I39:I87 I5:I37">
      <formula1>0</formula1>
    </dataValidation>
    <dataValidation type="list" operator="greaterThanOrEqual" allowBlank="1" showInputMessage="1" showErrorMessage="1" sqref="K6:XFD6 A5:A1969">
      <formula1>DIME</formula1>
    </dataValidation>
    <dataValidation type="list" allowBlank="1" showInputMessage="1" showErrorMessage="1" sqref="D89:D1969 D5:D14 D18:D87">
      <formula1>INDIRECT(A5)</formula1>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'C:\yquirozv\Desktop\POAI 2018Y SEGUIMIENTO\COAI Y PAS 2018\[COAI Y PAS 2018 SSSA 2.xlsm]DIMYCOMP'!#REF!</xm:f>
          </x14:formula1>
          <xm:sqref>J89:J1969 J5:J33 J70:J87 J67:J68 J35:J62 J64:J65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44"/>
  <sheetViews>
    <sheetView showGridLines="0" topLeftCell="A7" zoomScale="85" zoomScaleNormal="85" workbookViewId="0">
      <selection activeCell="D43" sqref="D43"/>
    </sheetView>
  </sheetViews>
  <sheetFormatPr baseColWidth="10" defaultRowHeight="15" customHeight="1" x14ac:dyDescent="0.25"/>
  <cols>
    <col min="1" max="1" width="8.7109375" style="1" bestFit="1" customWidth="1"/>
    <col min="2" max="2" width="37.28515625" style="1" bestFit="1" customWidth="1"/>
    <col min="3" max="3" width="8.7109375" bestFit="1" customWidth="1"/>
    <col min="4" max="4" width="95.28515625" bestFit="1" customWidth="1"/>
  </cols>
  <sheetData>
    <row r="1" spans="1:4" ht="15" customHeight="1" x14ac:dyDescent="0.25">
      <c r="A1" s="3" t="s">
        <v>66</v>
      </c>
      <c r="B1" s="3" t="s">
        <v>158</v>
      </c>
      <c r="C1" s="3" t="s">
        <v>66</v>
      </c>
      <c r="D1" s="3" t="s">
        <v>157</v>
      </c>
    </row>
    <row r="2" spans="1:4" ht="15" customHeight="1" x14ac:dyDescent="0.25">
      <c r="A2" s="4">
        <v>1</v>
      </c>
      <c r="B2" s="13" t="s">
        <v>154</v>
      </c>
      <c r="C2" s="4">
        <v>1</v>
      </c>
      <c r="D2" s="9" t="s">
        <v>67</v>
      </c>
    </row>
    <row r="3" spans="1:4" ht="15" customHeight="1" x14ac:dyDescent="0.25">
      <c r="A3" s="4">
        <v>1</v>
      </c>
      <c r="B3" s="13" t="s">
        <v>154</v>
      </c>
      <c r="C3" s="4">
        <v>2</v>
      </c>
      <c r="D3" s="9" t="s">
        <v>68</v>
      </c>
    </row>
    <row r="4" spans="1:4" ht="15" customHeight="1" x14ac:dyDescent="0.25">
      <c r="A4" s="4">
        <v>1</v>
      </c>
      <c r="B4" s="13" t="s">
        <v>154</v>
      </c>
      <c r="C4" s="4">
        <v>3</v>
      </c>
      <c r="D4" s="9" t="s">
        <v>69</v>
      </c>
    </row>
    <row r="5" spans="1:4" ht="15" customHeight="1" x14ac:dyDescent="0.25">
      <c r="A5" s="4">
        <v>1</v>
      </c>
      <c r="B5" s="13" t="s">
        <v>154</v>
      </c>
      <c r="C5" s="4">
        <v>4</v>
      </c>
      <c r="D5" s="9" t="s">
        <v>70</v>
      </c>
    </row>
    <row r="6" spans="1:4" ht="15" customHeight="1" x14ac:dyDescent="0.25">
      <c r="A6" s="4">
        <v>1</v>
      </c>
      <c r="B6" s="13" t="s">
        <v>154</v>
      </c>
      <c r="C6" s="4">
        <v>5</v>
      </c>
      <c r="D6" s="9" t="s">
        <v>71</v>
      </c>
    </row>
    <row r="7" spans="1:4" ht="15" customHeight="1" x14ac:dyDescent="0.25">
      <c r="A7" s="4">
        <v>1</v>
      </c>
      <c r="B7" s="13" t="s">
        <v>154</v>
      </c>
      <c r="C7" s="4">
        <v>6</v>
      </c>
      <c r="D7" s="9" t="s">
        <v>72</v>
      </c>
    </row>
    <row r="8" spans="1:4" ht="15" customHeight="1" x14ac:dyDescent="0.25">
      <c r="A8" s="4">
        <v>1</v>
      </c>
      <c r="B8" s="13" t="s">
        <v>154</v>
      </c>
      <c r="C8" s="4">
        <v>7</v>
      </c>
      <c r="D8" s="9" t="s">
        <v>73</v>
      </c>
    </row>
    <row r="9" spans="1:4" ht="15" customHeight="1" x14ac:dyDescent="0.25">
      <c r="A9" s="4">
        <v>1</v>
      </c>
      <c r="B9" s="13" t="s">
        <v>154</v>
      </c>
      <c r="C9" s="4">
        <v>8</v>
      </c>
      <c r="D9" s="9" t="s">
        <v>74</v>
      </c>
    </row>
    <row r="10" spans="1:4" ht="15" customHeight="1" x14ac:dyDescent="0.25">
      <c r="A10" s="4">
        <v>1</v>
      </c>
      <c r="B10" s="13" t="s">
        <v>154</v>
      </c>
      <c r="C10" s="4">
        <v>9</v>
      </c>
      <c r="D10" s="9" t="s">
        <v>75</v>
      </c>
    </row>
    <row r="11" spans="1:4" ht="15" customHeight="1" x14ac:dyDescent="0.25">
      <c r="A11" s="4">
        <v>1</v>
      </c>
      <c r="B11" s="13" t="s">
        <v>154</v>
      </c>
      <c r="C11" s="4">
        <v>10</v>
      </c>
      <c r="D11" s="9" t="s">
        <v>76</v>
      </c>
    </row>
    <row r="12" spans="1:4" ht="15" customHeight="1" x14ac:dyDescent="0.25">
      <c r="A12" s="4">
        <v>1</v>
      </c>
      <c r="B12" s="13" t="s">
        <v>154</v>
      </c>
      <c r="C12" s="4">
        <v>11</v>
      </c>
      <c r="D12" s="9" t="s">
        <v>77</v>
      </c>
    </row>
    <row r="13" spans="1:4" ht="15" customHeight="1" x14ac:dyDescent="0.25">
      <c r="A13" s="4">
        <v>1</v>
      </c>
      <c r="B13" s="13" t="s">
        <v>154</v>
      </c>
      <c r="C13" s="4">
        <v>12</v>
      </c>
      <c r="D13" s="9" t="s">
        <v>78</v>
      </c>
    </row>
    <row r="14" spans="1:4" ht="15" customHeight="1" x14ac:dyDescent="0.25">
      <c r="A14" s="4">
        <v>1</v>
      </c>
      <c r="B14" s="13" t="s">
        <v>154</v>
      </c>
      <c r="C14" s="4">
        <v>13</v>
      </c>
      <c r="D14" s="9" t="s">
        <v>79</v>
      </c>
    </row>
    <row r="15" spans="1:4" ht="15" customHeight="1" x14ac:dyDescent="0.25">
      <c r="A15" s="4">
        <v>1</v>
      </c>
      <c r="B15" s="13" t="s">
        <v>154</v>
      </c>
      <c r="C15" s="4">
        <v>14</v>
      </c>
      <c r="D15" s="9" t="s">
        <v>80</v>
      </c>
    </row>
    <row r="16" spans="1:4" ht="15" customHeight="1" x14ac:dyDescent="0.25">
      <c r="A16" s="4">
        <v>1</v>
      </c>
      <c r="B16" s="13" t="s">
        <v>154</v>
      </c>
      <c r="C16" s="4">
        <v>15</v>
      </c>
      <c r="D16" s="9" t="s">
        <v>81</v>
      </c>
    </row>
    <row r="17" spans="1:4" ht="15" customHeight="1" x14ac:dyDescent="0.25">
      <c r="A17" s="4">
        <v>2</v>
      </c>
      <c r="B17" s="13" t="s">
        <v>155</v>
      </c>
      <c r="C17" s="4">
        <v>16</v>
      </c>
      <c r="D17" s="9" t="s">
        <v>67</v>
      </c>
    </row>
    <row r="18" spans="1:4" ht="15" customHeight="1" x14ac:dyDescent="0.25">
      <c r="A18" s="4">
        <v>2</v>
      </c>
      <c r="B18" s="13" t="s">
        <v>155</v>
      </c>
      <c r="C18" s="4">
        <v>17</v>
      </c>
      <c r="D18" s="9" t="s">
        <v>68</v>
      </c>
    </row>
    <row r="19" spans="1:4" ht="15" customHeight="1" x14ac:dyDescent="0.25">
      <c r="A19" s="4">
        <v>2</v>
      </c>
      <c r="B19" s="13" t="s">
        <v>155</v>
      </c>
      <c r="C19" s="4">
        <v>18</v>
      </c>
      <c r="D19" s="9" t="s">
        <v>69</v>
      </c>
    </row>
    <row r="20" spans="1:4" ht="15" customHeight="1" x14ac:dyDescent="0.25">
      <c r="A20" s="4">
        <v>2</v>
      </c>
      <c r="B20" s="13" t="s">
        <v>155</v>
      </c>
      <c r="C20" s="4">
        <v>19</v>
      </c>
      <c r="D20" s="9" t="s">
        <v>70</v>
      </c>
    </row>
    <row r="21" spans="1:4" ht="15" customHeight="1" x14ac:dyDescent="0.25">
      <c r="A21" s="4">
        <v>2</v>
      </c>
      <c r="B21" s="13" t="s">
        <v>155</v>
      </c>
      <c r="C21" s="4">
        <v>20</v>
      </c>
      <c r="D21" s="9" t="s">
        <v>71</v>
      </c>
    </row>
    <row r="22" spans="1:4" ht="15" customHeight="1" x14ac:dyDescent="0.25">
      <c r="A22" s="4">
        <v>2</v>
      </c>
      <c r="B22" s="13" t="s">
        <v>155</v>
      </c>
      <c r="C22" s="4">
        <v>21</v>
      </c>
      <c r="D22" s="9" t="s">
        <v>72</v>
      </c>
    </row>
    <row r="23" spans="1:4" ht="15" customHeight="1" x14ac:dyDescent="0.25">
      <c r="A23" s="4">
        <v>2</v>
      </c>
      <c r="B23" s="13" t="s">
        <v>155</v>
      </c>
      <c r="C23" s="4">
        <v>22</v>
      </c>
      <c r="D23" s="9" t="s">
        <v>73</v>
      </c>
    </row>
    <row r="24" spans="1:4" ht="15" customHeight="1" x14ac:dyDescent="0.25">
      <c r="A24" s="4">
        <v>2</v>
      </c>
      <c r="B24" s="13" t="s">
        <v>155</v>
      </c>
      <c r="C24" s="4">
        <v>23</v>
      </c>
      <c r="D24" s="9" t="s">
        <v>74</v>
      </c>
    </row>
    <row r="25" spans="1:4" ht="15" customHeight="1" x14ac:dyDescent="0.25">
      <c r="A25" s="4">
        <v>2</v>
      </c>
      <c r="B25" s="13" t="s">
        <v>155</v>
      </c>
      <c r="C25" s="4">
        <v>24</v>
      </c>
      <c r="D25" s="9" t="s">
        <v>75</v>
      </c>
    </row>
    <row r="26" spans="1:4" ht="15" customHeight="1" x14ac:dyDescent="0.25">
      <c r="A26" s="4">
        <v>2</v>
      </c>
      <c r="B26" s="13" t="s">
        <v>155</v>
      </c>
      <c r="C26" s="4">
        <v>25</v>
      </c>
      <c r="D26" s="9" t="s">
        <v>76</v>
      </c>
    </row>
    <row r="27" spans="1:4" ht="15" customHeight="1" x14ac:dyDescent="0.25">
      <c r="A27" s="4">
        <v>2</v>
      </c>
      <c r="B27" s="13" t="s">
        <v>155</v>
      </c>
      <c r="C27" s="4">
        <v>26</v>
      </c>
      <c r="D27" s="9" t="s">
        <v>77</v>
      </c>
    </row>
    <row r="28" spans="1:4" ht="15" customHeight="1" x14ac:dyDescent="0.25">
      <c r="A28" s="4">
        <v>2</v>
      </c>
      <c r="B28" s="13" t="s">
        <v>155</v>
      </c>
      <c r="C28" s="4">
        <v>27</v>
      </c>
      <c r="D28" s="9" t="s">
        <v>78</v>
      </c>
    </row>
    <row r="29" spans="1:4" ht="15" customHeight="1" x14ac:dyDescent="0.25">
      <c r="A29" s="4">
        <v>2</v>
      </c>
      <c r="B29" s="13" t="s">
        <v>155</v>
      </c>
      <c r="C29" s="4">
        <v>28</v>
      </c>
      <c r="D29" s="9" t="s">
        <v>79</v>
      </c>
    </row>
    <row r="30" spans="1:4" ht="15" customHeight="1" x14ac:dyDescent="0.25">
      <c r="A30" s="4">
        <v>2</v>
      </c>
      <c r="B30" s="13" t="s">
        <v>155</v>
      </c>
      <c r="C30" s="4">
        <v>29</v>
      </c>
      <c r="D30" s="9" t="s">
        <v>80</v>
      </c>
    </row>
    <row r="31" spans="1:4" ht="15" customHeight="1" x14ac:dyDescent="0.25">
      <c r="A31" s="4">
        <v>2</v>
      </c>
      <c r="B31" s="13" t="s">
        <v>155</v>
      </c>
      <c r="C31" s="4">
        <v>30</v>
      </c>
      <c r="D31" s="9" t="s">
        <v>81</v>
      </c>
    </row>
    <row r="32" spans="1:4" ht="15" customHeight="1" x14ac:dyDescent="0.25">
      <c r="A32" s="4">
        <v>3</v>
      </c>
      <c r="B32" s="13" t="s">
        <v>156</v>
      </c>
      <c r="C32" s="4">
        <v>31</v>
      </c>
      <c r="D32" s="9" t="s">
        <v>82</v>
      </c>
    </row>
    <row r="33" spans="1:4" ht="15" customHeight="1" x14ac:dyDescent="0.25">
      <c r="A33" s="4">
        <v>3</v>
      </c>
      <c r="B33" s="13" t="s">
        <v>156</v>
      </c>
      <c r="C33" s="4">
        <v>32</v>
      </c>
      <c r="D33" s="9" t="s">
        <v>83</v>
      </c>
    </row>
    <row r="34" spans="1:4" ht="15" customHeight="1" x14ac:dyDescent="0.25">
      <c r="A34" s="4">
        <v>3</v>
      </c>
      <c r="B34" s="13" t="s">
        <v>156</v>
      </c>
      <c r="C34" s="4">
        <v>33</v>
      </c>
      <c r="D34" s="9" t="s">
        <v>84</v>
      </c>
    </row>
    <row r="35" spans="1:4" ht="15" customHeight="1" x14ac:dyDescent="0.25">
      <c r="A35" s="4">
        <v>3</v>
      </c>
      <c r="B35" s="13" t="s">
        <v>156</v>
      </c>
      <c r="C35" s="4">
        <v>34</v>
      </c>
      <c r="D35" s="9" t="s">
        <v>85</v>
      </c>
    </row>
    <row r="36" spans="1:4" ht="15" customHeight="1" x14ac:dyDescent="0.25">
      <c r="A36" s="4">
        <v>3</v>
      </c>
      <c r="B36" s="13" t="s">
        <v>156</v>
      </c>
      <c r="C36" s="4">
        <v>35</v>
      </c>
      <c r="D36" s="9" t="s">
        <v>86</v>
      </c>
    </row>
    <row r="37" spans="1:4" ht="15" customHeight="1" x14ac:dyDescent="0.25">
      <c r="A37" s="4">
        <v>3</v>
      </c>
      <c r="B37" s="13" t="s">
        <v>156</v>
      </c>
      <c r="C37" s="4">
        <v>36</v>
      </c>
      <c r="D37" s="9" t="s">
        <v>87</v>
      </c>
    </row>
    <row r="38" spans="1:4" ht="15" customHeight="1" x14ac:dyDescent="0.25">
      <c r="A38" s="4">
        <v>3</v>
      </c>
      <c r="B38" s="13" t="s">
        <v>156</v>
      </c>
      <c r="C38" s="4">
        <v>37</v>
      </c>
      <c r="D38" s="9" t="s">
        <v>88</v>
      </c>
    </row>
    <row r="39" spans="1:4" ht="15" customHeight="1" x14ac:dyDescent="0.25">
      <c r="A39" s="4">
        <v>3</v>
      </c>
      <c r="B39" s="13" t="s">
        <v>156</v>
      </c>
      <c r="C39" s="4">
        <v>38</v>
      </c>
      <c r="D39" s="9" t="s">
        <v>89</v>
      </c>
    </row>
    <row r="40" spans="1:4" ht="15" customHeight="1" x14ac:dyDescent="0.25">
      <c r="A40" s="4">
        <v>3</v>
      </c>
      <c r="B40" s="13" t="s">
        <v>156</v>
      </c>
      <c r="C40" s="4">
        <v>39</v>
      </c>
      <c r="D40" s="9" t="s">
        <v>90</v>
      </c>
    </row>
    <row r="41" spans="1:4" ht="15" customHeight="1" x14ac:dyDescent="0.25">
      <c r="A41" s="4">
        <v>3</v>
      </c>
      <c r="B41" s="13" t="s">
        <v>156</v>
      </c>
      <c r="C41" s="4">
        <v>40</v>
      </c>
      <c r="D41" s="9" t="s">
        <v>91</v>
      </c>
    </row>
    <row r="42" spans="1:4" ht="15" customHeight="1" x14ac:dyDescent="0.25">
      <c r="A42" s="4">
        <v>3</v>
      </c>
      <c r="B42" s="13" t="s">
        <v>156</v>
      </c>
      <c r="C42" s="4">
        <v>41</v>
      </c>
      <c r="D42" s="9" t="s">
        <v>92</v>
      </c>
    </row>
    <row r="43" spans="1:4" ht="15" customHeight="1" x14ac:dyDescent="0.25">
      <c r="A43" s="4">
        <v>3</v>
      </c>
      <c r="B43" s="13" t="s">
        <v>156</v>
      </c>
      <c r="C43" s="4">
        <v>42</v>
      </c>
      <c r="D43" s="9" t="s">
        <v>93</v>
      </c>
    </row>
    <row r="44" spans="1:4" ht="15" customHeight="1" x14ac:dyDescent="0.25">
      <c r="A44" s="4">
        <v>3</v>
      </c>
      <c r="B44" s="13" t="s">
        <v>156</v>
      </c>
      <c r="C44" s="4">
        <v>43</v>
      </c>
      <c r="D44" s="9" t="s">
        <v>94</v>
      </c>
    </row>
  </sheetData>
  <sheetProtection algorithmName="SHA-512" hashValue="GR8GpFbtfgQUnnnsLVitXwHZI9dNiuvLkvRU+D/SFyAr4lsv0fP62IRhjkuit2L0g/vXOcOIC1iagaMlTFg0oQ==" saltValue="osHjorFCrlUq0tN89PaEH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26"/>
  <sheetViews>
    <sheetView showGridLines="0" zoomScale="85" zoomScaleNormal="85" workbookViewId="0">
      <selection activeCell="D23" sqref="D23"/>
    </sheetView>
  </sheetViews>
  <sheetFormatPr baseColWidth="10" defaultRowHeight="15" customHeight="1" x14ac:dyDescent="0.25"/>
  <cols>
    <col min="1" max="1" width="8.28515625" bestFit="1" customWidth="1"/>
    <col min="2" max="2" width="76.42578125" customWidth="1"/>
    <col min="3" max="3" width="8.28515625" bestFit="1" customWidth="1"/>
    <col min="4" max="4" width="95.42578125" bestFit="1" customWidth="1"/>
  </cols>
  <sheetData>
    <row r="1" spans="1:4" ht="15" customHeight="1" x14ac:dyDescent="0.25">
      <c r="A1" s="3" t="s">
        <v>30</v>
      </c>
      <c r="B1" s="3" t="s">
        <v>152</v>
      </c>
      <c r="C1" s="3" t="s">
        <v>30</v>
      </c>
      <c r="D1" s="3" t="s">
        <v>153</v>
      </c>
    </row>
    <row r="2" spans="1:4" ht="15" customHeight="1" x14ac:dyDescent="0.25">
      <c r="A2" s="4">
        <v>1</v>
      </c>
      <c r="B2" s="5" t="s">
        <v>31</v>
      </c>
      <c r="C2" s="7">
        <v>1</v>
      </c>
      <c r="D2" s="8" t="s">
        <v>41</v>
      </c>
    </row>
    <row r="3" spans="1:4" ht="15" customHeight="1" x14ac:dyDescent="0.25">
      <c r="A3" s="4">
        <v>2</v>
      </c>
      <c r="B3" s="5" t="s">
        <v>32</v>
      </c>
      <c r="C3" s="7">
        <v>2</v>
      </c>
      <c r="D3" s="8" t="s">
        <v>42</v>
      </c>
    </row>
    <row r="4" spans="1:4" ht="15" customHeight="1" x14ac:dyDescent="0.25">
      <c r="A4" s="4">
        <v>3</v>
      </c>
      <c r="B4" s="5" t="s">
        <v>33</v>
      </c>
      <c r="C4" s="7">
        <v>3</v>
      </c>
      <c r="D4" s="8" t="s">
        <v>43</v>
      </c>
    </row>
    <row r="5" spans="1:4" ht="15" customHeight="1" x14ac:dyDescent="0.25">
      <c r="A5" s="4">
        <v>4</v>
      </c>
      <c r="B5" s="6" t="s">
        <v>34</v>
      </c>
      <c r="C5" s="7">
        <v>4</v>
      </c>
      <c r="D5" s="8" t="s">
        <v>44</v>
      </c>
    </row>
    <row r="6" spans="1:4" ht="15" customHeight="1" x14ac:dyDescent="0.25">
      <c r="A6" s="4">
        <v>5</v>
      </c>
      <c r="B6" s="6" t="s">
        <v>35</v>
      </c>
      <c r="C6" s="7">
        <v>5</v>
      </c>
      <c r="D6" s="8" t="s">
        <v>45</v>
      </c>
    </row>
    <row r="7" spans="1:4" ht="15" customHeight="1" x14ac:dyDescent="0.25">
      <c r="A7" s="4">
        <v>6</v>
      </c>
      <c r="B7" s="6" t="s">
        <v>36</v>
      </c>
      <c r="C7" s="7">
        <v>6</v>
      </c>
      <c r="D7" s="8" t="s">
        <v>46</v>
      </c>
    </row>
    <row r="8" spans="1:4" ht="15" customHeight="1" x14ac:dyDescent="0.25">
      <c r="A8" s="4">
        <v>7</v>
      </c>
      <c r="B8" s="6" t="s">
        <v>37</v>
      </c>
      <c r="C8" s="7">
        <v>7</v>
      </c>
      <c r="D8" s="8" t="s">
        <v>47</v>
      </c>
    </row>
    <row r="9" spans="1:4" ht="15" customHeight="1" x14ac:dyDescent="0.25">
      <c r="A9" s="4">
        <v>8</v>
      </c>
      <c r="B9" s="6" t="s">
        <v>38</v>
      </c>
      <c r="C9" s="7">
        <v>8</v>
      </c>
      <c r="D9" s="8" t="s">
        <v>48</v>
      </c>
    </row>
    <row r="10" spans="1:4" ht="15" customHeight="1" x14ac:dyDescent="0.25">
      <c r="A10" s="4">
        <v>9</v>
      </c>
      <c r="B10" s="6" t="s">
        <v>39</v>
      </c>
      <c r="C10" s="7">
        <v>9</v>
      </c>
      <c r="D10" s="8" t="s">
        <v>49</v>
      </c>
    </row>
    <row r="11" spans="1:4" ht="15" customHeight="1" x14ac:dyDescent="0.25">
      <c r="A11" s="4">
        <v>10</v>
      </c>
      <c r="B11" s="6" t="s">
        <v>40</v>
      </c>
      <c r="C11" s="7">
        <v>10</v>
      </c>
      <c r="D11" s="8" t="s">
        <v>50</v>
      </c>
    </row>
    <row r="12" spans="1:4" ht="15" customHeight="1" x14ac:dyDescent="0.25">
      <c r="C12" s="7">
        <v>11</v>
      </c>
      <c r="D12" s="8" t="s">
        <v>51</v>
      </c>
    </row>
    <row r="13" spans="1:4" ht="15" customHeight="1" x14ac:dyDescent="0.25">
      <c r="C13" s="7">
        <v>12</v>
      </c>
      <c r="D13" s="8" t="s">
        <v>52</v>
      </c>
    </row>
    <row r="14" spans="1:4" ht="15" customHeight="1" x14ac:dyDescent="0.25">
      <c r="C14" s="7">
        <v>13</v>
      </c>
      <c r="D14" s="8" t="s">
        <v>53</v>
      </c>
    </row>
    <row r="15" spans="1:4" ht="15" customHeight="1" x14ac:dyDescent="0.25">
      <c r="C15" s="7">
        <v>14</v>
      </c>
      <c r="D15" s="8" t="s">
        <v>54</v>
      </c>
    </row>
    <row r="16" spans="1:4" ht="15" customHeight="1" x14ac:dyDescent="0.25">
      <c r="C16" s="7">
        <v>15</v>
      </c>
      <c r="D16" s="8" t="s">
        <v>55</v>
      </c>
    </row>
    <row r="17" spans="3:4" ht="15" customHeight="1" x14ac:dyDescent="0.25">
      <c r="C17" s="7">
        <v>16</v>
      </c>
      <c r="D17" s="8" t="s">
        <v>56</v>
      </c>
    </row>
    <row r="18" spans="3:4" ht="15" customHeight="1" x14ac:dyDescent="0.25">
      <c r="C18" s="7">
        <v>17</v>
      </c>
      <c r="D18" s="8" t="s">
        <v>57</v>
      </c>
    </row>
    <row r="19" spans="3:4" ht="15" customHeight="1" x14ac:dyDescent="0.25">
      <c r="C19" s="7">
        <v>18</v>
      </c>
      <c r="D19" s="8" t="s">
        <v>58</v>
      </c>
    </row>
    <row r="20" spans="3:4" ht="15" customHeight="1" x14ac:dyDescent="0.25">
      <c r="C20" s="7">
        <v>19</v>
      </c>
      <c r="D20" s="8" t="s">
        <v>59</v>
      </c>
    </row>
    <row r="21" spans="3:4" ht="15" customHeight="1" x14ac:dyDescent="0.25">
      <c r="C21" s="7">
        <v>20</v>
      </c>
      <c r="D21" s="8" t="s">
        <v>60</v>
      </c>
    </row>
    <row r="22" spans="3:4" ht="15" customHeight="1" x14ac:dyDescent="0.25">
      <c r="C22" s="7">
        <v>21</v>
      </c>
      <c r="D22" s="8" t="s">
        <v>61</v>
      </c>
    </row>
    <row r="23" spans="3:4" ht="15" customHeight="1" x14ac:dyDescent="0.25">
      <c r="C23" s="7">
        <v>22</v>
      </c>
      <c r="D23" s="8" t="s">
        <v>62</v>
      </c>
    </row>
    <row r="24" spans="3:4" ht="15" customHeight="1" x14ac:dyDescent="0.25">
      <c r="C24" s="7">
        <v>23</v>
      </c>
      <c r="D24" s="8" t="s">
        <v>63</v>
      </c>
    </row>
    <row r="25" spans="3:4" ht="15" customHeight="1" x14ac:dyDescent="0.25">
      <c r="C25" s="7">
        <v>24</v>
      </c>
      <c r="D25" s="8" t="s">
        <v>64</v>
      </c>
    </row>
    <row r="26" spans="3:4" ht="15" customHeight="1" x14ac:dyDescent="0.25">
      <c r="C26" s="7">
        <v>25</v>
      </c>
      <c r="D26" s="8" t="s">
        <v>65</v>
      </c>
    </row>
  </sheetData>
  <sheetProtection algorithmName="SHA-512" hashValue="XESespSy8FyZ396ufiwOzxks2fAZCyRrQdTQ9hsqWOfmc/dLi6JX9mi8EE/8mfQSz/y1fU2nOfqlqAk+ABKe9g==" saltValue="OkHsbARV6qiU86r1gyXvi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49"/>
  <sheetViews>
    <sheetView showGridLines="0" topLeftCell="A28" zoomScale="95" zoomScaleNormal="95" workbookViewId="0">
      <selection activeCell="D42" sqref="D42"/>
    </sheetView>
  </sheetViews>
  <sheetFormatPr baseColWidth="10" defaultRowHeight="15" customHeight="1" x14ac:dyDescent="0.25"/>
  <cols>
    <col min="1" max="1" width="11.140625" style="1" bestFit="1" customWidth="1"/>
    <col min="2" max="2" width="97.42578125" style="1" customWidth="1"/>
    <col min="3" max="3" width="11.7109375" bestFit="1" customWidth="1"/>
    <col min="4" max="4" width="155.28515625" customWidth="1"/>
  </cols>
  <sheetData>
    <row r="1" spans="1:4" s="2" customFormat="1" ht="27.75" customHeight="1" x14ac:dyDescent="0.25">
      <c r="A1" s="10" t="s">
        <v>30</v>
      </c>
      <c r="B1" s="10" t="s">
        <v>95</v>
      </c>
      <c r="C1" s="10" t="s">
        <v>66</v>
      </c>
      <c r="D1" s="10" t="s">
        <v>103</v>
      </c>
    </row>
    <row r="2" spans="1:4" ht="15" customHeight="1" x14ac:dyDescent="0.25">
      <c r="A2" s="11">
        <v>1</v>
      </c>
      <c r="B2" s="12" t="s">
        <v>96</v>
      </c>
      <c r="C2" s="11">
        <v>1</v>
      </c>
      <c r="D2" s="12" t="s">
        <v>104</v>
      </c>
    </row>
    <row r="3" spans="1:4" ht="15" customHeight="1" x14ac:dyDescent="0.25">
      <c r="A3" s="11">
        <v>1</v>
      </c>
      <c r="B3" s="12" t="s">
        <v>96</v>
      </c>
      <c r="C3" s="11">
        <v>2</v>
      </c>
      <c r="D3" s="12" t="s">
        <v>105</v>
      </c>
    </row>
    <row r="4" spans="1:4" ht="15" customHeight="1" x14ac:dyDescent="0.25">
      <c r="A4" s="11">
        <v>1</v>
      </c>
      <c r="B4" s="12" t="s">
        <v>96</v>
      </c>
      <c r="C4" s="11">
        <v>3</v>
      </c>
      <c r="D4" s="12" t="s">
        <v>106</v>
      </c>
    </row>
    <row r="5" spans="1:4" ht="15" customHeight="1" x14ac:dyDescent="0.25">
      <c r="A5" s="11">
        <v>1</v>
      </c>
      <c r="B5" s="12" t="s">
        <v>96</v>
      </c>
      <c r="C5" s="11">
        <v>4</v>
      </c>
      <c r="D5" s="12" t="s">
        <v>107</v>
      </c>
    </row>
    <row r="6" spans="1:4" ht="15" customHeight="1" x14ac:dyDescent="0.25">
      <c r="A6" s="11">
        <v>1</v>
      </c>
      <c r="B6" s="12" t="s">
        <v>96</v>
      </c>
      <c r="C6" s="11">
        <v>5</v>
      </c>
      <c r="D6" s="12" t="s">
        <v>108</v>
      </c>
    </row>
    <row r="7" spans="1:4" ht="15" customHeight="1" x14ac:dyDescent="0.25">
      <c r="A7" s="11">
        <v>2</v>
      </c>
      <c r="B7" s="12" t="s">
        <v>97</v>
      </c>
      <c r="C7" s="11">
        <v>6</v>
      </c>
      <c r="D7" s="12" t="s">
        <v>109</v>
      </c>
    </row>
    <row r="8" spans="1:4" ht="15" customHeight="1" x14ac:dyDescent="0.25">
      <c r="A8" s="11">
        <v>2</v>
      </c>
      <c r="B8" s="12" t="s">
        <v>97</v>
      </c>
      <c r="C8" s="11">
        <v>7</v>
      </c>
      <c r="D8" s="12" t="s">
        <v>110</v>
      </c>
    </row>
    <row r="9" spans="1:4" ht="15" customHeight="1" x14ac:dyDescent="0.25">
      <c r="A9" s="11">
        <v>2</v>
      </c>
      <c r="B9" s="12" t="s">
        <v>97</v>
      </c>
      <c r="C9" s="11">
        <v>8</v>
      </c>
      <c r="D9" s="12" t="s">
        <v>111</v>
      </c>
    </row>
    <row r="10" spans="1:4" ht="15" customHeight="1" x14ac:dyDescent="0.25">
      <c r="A10" s="11">
        <v>2</v>
      </c>
      <c r="B10" s="12" t="s">
        <v>97</v>
      </c>
      <c r="C10" s="11">
        <v>9</v>
      </c>
      <c r="D10" s="12" t="s">
        <v>112</v>
      </c>
    </row>
    <row r="11" spans="1:4" ht="15" customHeight="1" x14ac:dyDescent="0.25">
      <c r="A11" s="11">
        <v>2</v>
      </c>
      <c r="B11" s="12" t="s">
        <v>97</v>
      </c>
      <c r="C11" s="11">
        <v>10</v>
      </c>
      <c r="D11" s="12" t="s">
        <v>113</v>
      </c>
    </row>
    <row r="12" spans="1:4" ht="15" customHeight="1" x14ac:dyDescent="0.25">
      <c r="A12" s="11">
        <v>2</v>
      </c>
      <c r="B12" s="12" t="s">
        <v>97</v>
      </c>
      <c r="C12" s="11">
        <v>11</v>
      </c>
      <c r="D12" s="12" t="s">
        <v>114</v>
      </c>
    </row>
    <row r="13" spans="1:4" ht="15" customHeight="1" x14ac:dyDescent="0.25">
      <c r="A13" s="11">
        <v>3</v>
      </c>
      <c r="B13" s="12" t="s">
        <v>98</v>
      </c>
      <c r="C13" s="11">
        <v>12</v>
      </c>
      <c r="D13" s="12" t="s">
        <v>115</v>
      </c>
    </row>
    <row r="14" spans="1:4" ht="15" customHeight="1" x14ac:dyDescent="0.25">
      <c r="A14" s="11">
        <v>3</v>
      </c>
      <c r="B14" s="12" t="s">
        <v>98</v>
      </c>
      <c r="C14" s="11">
        <v>13</v>
      </c>
      <c r="D14" s="12" t="s">
        <v>116</v>
      </c>
    </row>
    <row r="15" spans="1:4" ht="15" customHeight="1" x14ac:dyDescent="0.25">
      <c r="A15" s="11">
        <v>3</v>
      </c>
      <c r="B15" s="12" t="s">
        <v>98</v>
      </c>
      <c r="C15" s="11">
        <v>14</v>
      </c>
      <c r="D15" s="12" t="s">
        <v>117</v>
      </c>
    </row>
    <row r="16" spans="1:4" ht="15" customHeight="1" x14ac:dyDescent="0.25">
      <c r="A16" s="11">
        <v>3</v>
      </c>
      <c r="B16" s="12" t="s">
        <v>98</v>
      </c>
      <c r="C16" s="11">
        <v>15</v>
      </c>
      <c r="D16" s="12" t="s">
        <v>118</v>
      </c>
    </row>
    <row r="17" spans="1:4" ht="15" customHeight="1" x14ac:dyDescent="0.25">
      <c r="A17" s="11">
        <v>3</v>
      </c>
      <c r="B17" s="12" t="s">
        <v>98</v>
      </c>
      <c r="C17" s="11">
        <v>16</v>
      </c>
      <c r="D17" s="12" t="s">
        <v>119</v>
      </c>
    </row>
    <row r="18" spans="1:4" ht="15" customHeight="1" x14ac:dyDescent="0.25">
      <c r="A18" s="11">
        <v>3</v>
      </c>
      <c r="B18" s="12" t="s">
        <v>98</v>
      </c>
      <c r="C18" s="11">
        <v>17</v>
      </c>
      <c r="D18" s="12" t="s">
        <v>120</v>
      </c>
    </row>
    <row r="19" spans="1:4" ht="15" customHeight="1" x14ac:dyDescent="0.25">
      <c r="A19" s="11">
        <v>3</v>
      </c>
      <c r="B19" s="12" t="s">
        <v>98</v>
      </c>
      <c r="C19" s="11">
        <v>18</v>
      </c>
      <c r="D19" s="12" t="s">
        <v>121</v>
      </c>
    </row>
    <row r="20" spans="1:4" ht="15" customHeight="1" x14ac:dyDescent="0.25">
      <c r="A20" s="11">
        <v>3</v>
      </c>
      <c r="B20" s="12" t="s">
        <v>98</v>
      </c>
      <c r="C20" s="11">
        <v>19</v>
      </c>
      <c r="D20" s="12" t="s">
        <v>122</v>
      </c>
    </row>
    <row r="21" spans="1:4" ht="15" customHeight="1" x14ac:dyDescent="0.25">
      <c r="A21" s="11">
        <v>4</v>
      </c>
      <c r="B21" s="12" t="s">
        <v>99</v>
      </c>
      <c r="C21" s="11">
        <v>20</v>
      </c>
      <c r="D21" s="12" t="s">
        <v>123</v>
      </c>
    </row>
    <row r="22" spans="1:4" ht="15" customHeight="1" x14ac:dyDescent="0.25">
      <c r="A22" s="11">
        <v>4</v>
      </c>
      <c r="B22" s="12" t="s">
        <v>99</v>
      </c>
      <c r="C22" s="11">
        <v>21</v>
      </c>
      <c r="D22" s="12" t="s">
        <v>124</v>
      </c>
    </row>
    <row r="23" spans="1:4" ht="15" customHeight="1" x14ac:dyDescent="0.25">
      <c r="A23" s="11">
        <v>4</v>
      </c>
      <c r="B23" s="12" t="s">
        <v>99</v>
      </c>
      <c r="C23" s="11">
        <v>22</v>
      </c>
      <c r="D23" s="12" t="s">
        <v>125</v>
      </c>
    </row>
    <row r="24" spans="1:4" ht="15" customHeight="1" x14ac:dyDescent="0.25">
      <c r="A24" s="11">
        <v>4</v>
      </c>
      <c r="B24" s="12" t="s">
        <v>99</v>
      </c>
      <c r="C24" s="11">
        <v>23</v>
      </c>
      <c r="D24" s="12" t="s">
        <v>126</v>
      </c>
    </row>
    <row r="25" spans="1:4" ht="15" customHeight="1" x14ac:dyDescent="0.25">
      <c r="A25" s="11">
        <v>4</v>
      </c>
      <c r="B25" s="12" t="s">
        <v>99</v>
      </c>
      <c r="C25" s="11">
        <v>24</v>
      </c>
      <c r="D25" s="12" t="s">
        <v>127</v>
      </c>
    </row>
    <row r="26" spans="1:4" ht="15" customHeight="1" x14ac:dyDescent="0.25">
      <c r="A26" s="11">
        <v>4</v>
      </c>
      <c r="B26" s="12" t="s">
        <v>99</v>
      </c>
      <c r="C26" s="11">
        <v>25</v>
      </c>
      <c r="D26" s="12" t="s">
        <v>128</v>
      </c>
    </row>
    <row r="27" spans="1:4" ht="15" customHeight="1" x14ac:dyDescent="0.25">
      <c r="A27" s="11">
        <v>4</v>
      </c>
      <c r="B27" s="12" t="s">
        <v>99</v>
      </c>
      <c r="C27" s="11">
        <v>26</v>
      </c>
      <c r="D27" s="12" t="s">
        <v>129</v>
      </c>
    </row>
    <row r="28" spans="1:4" ht="15" customHeight="1" x14ac:dyDescent="0.25">
      <c r="A28" s="11">
        <v>4</v>
      </c>
      <c r="B28" s="12" t="s">
        <v>99</v>
      </c>
      <c r="C28" s="11">
        <v>27</v>
      </c>
      <c r="D28" s="12" t="s">
        <v>130</v>
      </c>
    </row>
    <row r="29" spans="1:4" ht="15" customHeight="1" x14ac:dyDescent="0.25">
      <c r="A29" s="11">
        <v>4</v>
      </c>
      <c r="B29" s="12" t="s">
        <v>99</v>
      </c>
      <c r="C29" s="11">
        <v>28</v>
      </c>
      <c r="D29" s="12" t="s">
        <v>131</v>
      </c>
    </row>
    <row r="30" spans="1:4" ht="15" customHeight="1" x14ac:dyDescent="0.25">
      <c r="A30" s="11">
        <v>4</v>
      </c>
      <c r="B30" s="12" t="s">
        <v>99</v>
      </c>
      <c r="C30" s="11">
        <v>29</v>
      </c>
      <c r="D30" s="12" t="s">
        <v>132</v>
      </c>
    </row>
    <row r="31" spans="1:4" ht="15" customHeight="1" x14ac:dyDescent="0.25">
      <c r="A31" s="11">
        <v>4</v>
      </c>
      <c r="B31" s="12" t="s">
        <v>99</v>
      </c>
      <c r="C31" s="11">
        <v>30</v>
      </c>
      <c r="D31" s="12" t="s">
        <v>133</v>
      </c>
    </row>
    <row r="32" spans="1:4" ht="15" customHeight="1" x14ac:dyDescent="0.25">
      <c r="A32" s="11">
        <v>5</v>
      </c>
      <c r="B32" s="12" t="s">
        <v>100</v>
      </c>
      <c r="C32" s="11">
        <v>31</v>
      </c>
      <c r="D32" s="12" t="s">
        <v>134</v>
      </c>
    </row>
    <row r="33" spans="1:4" ht="15" customHeight="1" x14ac:dyDescent="0.25">
      <c r="A33" s="11">
        <v>5</v>
      </c>
      <c r="B33" s="12" t="s">
        <v>100</v>
      </c>
      <c r="C33" s="11">
        <v>32</v>
      </c>
      <c r="D33" s="12" t="s">
        <v>135</v>
      </c>
    </row>
    <row r="34" spans="1:4" ht="15" customHeight="1" x14ac:dyDescent="0.25">
      <c r="A34" s="11">
        <v>5</v>
      </c>
      <c r="B34" s="12" t="s">
        <v>100</v>
      </c>
      <c r="C34" s="11">
        <v>33</v>
      </c>
      <c r="D34" s="12" t="s">
        <v>136</v>
      </c>
    </row>
    <row r="35" spans="1:4" ht="15" customHeight="1" x14ac:dyDescent="0.25">
      <c r="A35" s="11">
        <v>6</v>
      </c>
      <c r="B35" s="12" t="s">
        <v>101</v>
      </c>
      <c r="C35" s="11">
        <v>34</v>
      </c>
      <c r="D35" s="12" t="s">
        <v>137</v>
      </c>
    </row>
    <row r="36" spans="1:4" ht="15" customHeight="1" x14ac:dyDescent="0.25">
      <c r="A36" s="11">
        <v>6</v>
      </c>
      <c r="B36" s="12" t="s">
        <v>101</v>
      </c>
      <c r="C36" s="11">
        <v>35</v>
      </c>
      <c r="D36" s="12" t="s">
        <v>138</v>
      </c>
    </row>
    <row r="37" spans="1:4" ht="15" customHeight="1" x14ac:dyDescent="0.25">
      <c r="A37" s="11">
        <v>6</v>
      </c>
      <c r="B37" s="12" t="s">
        <v>101</v>
      </c>
      <c r="C37" s="11">
        <v>36</v>
      </c>
      <c r="D37" s="12" t="s">
        <v>139</v>
      </c>
    </row>
    <row r="38" spans="1:4" ht="15" customHeight="1" x14ac:dyDescent="0.25">
      <c r="A38" s="11">
        <v>6</v>
      </c>
      <c r="B38" s="12" t="s">
        <v>101</v>
      </c>
      <c r="C38" s="11">
        <v>37</v>
      </c>
      <c r="D38" s="12" t="s">
        <v>140</v>
      </c>
    </row>
    <row r="39" spans="1:4" ht="15" customHeight="1" x14ac:dyDescent="0.25">
      <c r="A39" s="11">
        <v>7</v>
      </c>
      <c r="B39" s="12" t="s">
        <v>102</v>
      </c>
      <c r="C39" s="11">
        <v>38</v>
      </c>
      <c r="D39" s="12" t="s">
        <v>141</v>
      </c>
    </row>
    <row r="40" spans="1:4" ht="15" customHeight="1" x14ac:dyDescent="0.25">
      <c r="A40" s="11">
        <v>7</v>
      </c>
      <c r="B40" s="12" t="s">
        <v>102</v>
      </c>
      <c r="C40" s="11">
        <v>39</v>
      </c>
      <c r="D40" s="12" t="s">
        <v>142</v>
      </c>
    </row>
    <row r="41" spans="1:4" ht="15" customHeight="1" x14ac:dyDescent="0.25">
      <c r="A41" s="11">
        <v>7</v>
      </c>
      <c r="B41" s="12" t="s">
        <v>102</v>
      </c>
      <c r="C41" s="11">
        <v>40</v>
      </c>
      <c r="D41" s="12" t="s">
        <v>143</v>
      </c>
    </row>
    <row r="42" spans="1:4" ht="15" customHeight="1" x14ac:dyDescent="0.25">
      <c r="A42" s="11">
        <v>7</v>
      </c>
      <c r="B42" s="12" t="s">
        <v>102</v>
      </c>
      <c r="C42" s="11">
        <v>41</v>
      </c>
      <c r="D42" s="12" t="s">
        <v>144</v>
      </c>
    </row>
    <row r="43" spans="1:4" ht="15" customHeight="1" x14ac:dyDescent="0.25">
      <c r="A43" s="11">
        <v>7</v>
      </c>
      <c r="B43" s="12" t="s">
        <v>102</v>
      </c>
      <c r="C43" s="11">
        <v>42</v>
      </c>
      <c r="D43" s="12" t="s">
        <v>145</v>
      </c>
    </row>
    <row r="44" spans="1:4" ht="15" customHeight="1" x14ac:dyDescent="0.25">
      <c r="A44" s="11">
        <v>7</v>
      </c>
      <c r="B44" s="12" t="s">
        <v>102</v>
      </c>
      <c r="C44" s="11">
        <v>43</v>
      </c>
      <c r="D44" s="12" t="s">
        <v>146</v>
      </c>
    </row>
    <row r="45" spans="1:4" ht="15" customHeight="1" x14ac:dyDescent="0.25">
      <c r="A45" s="11">
        <v>7</v>
      </c>
      <c r="B45" s="12" t="s">
        <v>102</v>
      </c>
      <c r="C45" s="11">
        <v>44</v>
      </c>
      <c r="D45" s="12" t="s">
        <v>147</v>
      </c>
    </row>
    <row r="46" spans="1:4" ht="15" customHeight="1" x14ac:dyDescent="0.25">
      <c r="A46" s="11">
        <v>7</v>
      </c>
      <c r="B46" s="12" t="s">
        <v>102</v>
      </c>
      <c r="C46" s="11">
        <v>45</v>
      </c>
      <c r="D46" s="12" t="s">
        <v>148</v>
      </c>
    </row>
    <row r="47" spans="1:4" ht="15" customHeight="1" x14ac:dyDescent="0.25">
      <c r="A47" s="11">
        <v>7</v>
      </c>
      <c r="B47" s="12" t="s">
        <v>102</v>
      </c>
      <c r="C47" s="11">
        <v>46</v>
      </c>
      <c r="D47" s="12" t="s">
        <v>149</v>
      </c>
    </row>
    <row r="48" spans="1:4" ht="15" customHeight="1" x14ac:dyDescent="0.25">
      <c r="A48" s="11">
        <v>7</v>
      </c>
      <c r="B48" s="12" t="s">
        <v>102</v>
      </c>
      <c r="C48" s="11">
        <v>47</v>
      </c>
      <c r="D48" s="12" t="s">
        <v>150</v>
      </c>
    </row>
    <row r="49" spans="1:4" ht="15" customHeight="1" x14ac:dyDescent="0.25">
      <c r="A49" s="11">
        <v>7</v>
      </c>
      <c r="B49" s="12" t="s">
        <v>102</v>
      </c>
      <c r="C49" s="11">
        <v>48</v>
      </c>
      <c r="D49" s="12" t="s">
        <v>151</v>
      </c>
    </row>
  </sheetData>
  <sheetProtection algorithmName="SHA-512" hashValue="Y0qwGNE4boSEgGanag75l63hWxjB0RWubG6xcsRhaEMre/4SYdBiyecRbar8JAjZQ8zePmKlEaqtojTA5cocDg==" saltValue="LxddCFpJFhQaIiltsSfFr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R377"/>
  <sheetViews>
    <sheetView tabSelected="1" topLeftCell="E312" zoomScale="75" zoomScaleNormal="75" workbookViewId="0">
      <selection activeCell="F2" sqref="F1:F1048576"/>
    </sheetView>
  </sheetViews>
  <sheetFormatPr baseColWidth="10" defaultColWidth="9.140625" defaultRowHeight="15" x14ac:dyDescent="0.25"/>
  <cols>
    <col min="1" max="1" width="29.140625" style="272" customWidth="1"/>
    <col min="2" max="3" width="19" style="272" customWidth="1"/>
    <col min="4" max="5" width="27" style="272" customWidth="1"/>
    <col min="6" max="6" width="28.28515625" style="735" customWidth="1"/>
    <col min="7" max="7" width="28" style="272" customWidth="1"/>
    <col min="8" max="8" width="32.42578125" style="272" customWidth="1"/>
    <col min="9" max="9" width="32.85546875" style="272" customWidth="1"/>
    <col min="10" max="10" width="20.7109375" style="272" customWidth="1"/>
    <col min="11" max="11" width="18.140625" style="272" customWidth="1"/>
    <col min="12" max="12" width="21.5703125" style="272" customWidth="1"/>
    <col min="13" max="13" width="18.28515625" style="272" customWidth="1"/>
    <col min="14" max="19" width="24" style="272" customWidth="1"/>
    <col min="20" max="20" width="12.7109375" style="272" customWidth="1"/>
    <col min="21" max="21" width="13" style="272" customWidth="1"/>
    <col min="22" max="22" width="10.5703125" style="272" customWidth="1"/>
    <col min="23" max="23" width="9.28515625" style="272" customWidth="1"/>
    <col min="24" max="24" width="8.7109375" style="272" customWidth="1"/>
    <col min="25" max="25" width="9" style="272" customWidth="1"/>
    <col min="26" max="26" width="27.85546875" style="272" customWidth="1"/>
    <col min="27" max="27" width="22.7109375" style="272" customWidth="1"/>
    <col min="28" max="28" width="13.140625" style="272" customWidth="1"/>
    <col min="29" max="29" width="23.28515625" style="272" customWidth="1"/>
    <col min="30" max="30" width="12.5703125" style="273" customWidth="1"/>
    <col min="31" max="31" width="13.28515625" style="273" customWidth="1"/>
    <col min="32" max="32" width="13.42578125" style="273" customWidth="1"/>
    <col min="33" max="33" width="14.140625" style="273" customWidth="1"/>
    <col min="34" max="34" width="20" style="274" customWidth="1"/>
    <col min="35" max="36" width="21.140625" style="274" customWidth="1"/>
    <col min="37" max="37" width="21.42578125" style="274" customWidth="1"/>
    <col min="38" max="38" width="19.7109375" style="274" customWidth="1"/>
    <col min="39" max="39" width="25.28515625" style="274" customWidth="1"/>
    <col min="40" max="40" width="19.28515625" style="274" customWidth="1"/>
    <col min="41" max="41" width="18.5703125" style="274" customWidth="1"/>
    <col min="42" max="42" width="19" style="272" customWidth="1"/>
    <col min="43" max="43" width="23.7109375" style="272" customWidth="1"/>
    <col min="44" max="44" width="19.140625" style="272" customWidth="1"/>
    <col min="45" max="16384" width="9.140625" style="272"/>
  </cols>
  <sheetData>
    <row r="1" spans="1:41" x14ac:dyDescent="0.25">
      <c r="A1" s="936" t="s">
        <v>0</v>
      </c>
      <c r="B1" s="937" t="s">
        <v>0</v>
      </c>
      <c r="C1" s="271"/>
      <c r="D1" s="271"/>
      <c r="E1" s="728"/>
      <c r="F1" s="734"/>
      <c r="G1" s="940"/>
      <c r="H1" s="940"/>
      <c r="I1" s="940"/>
      <c r="J1" s="940"/>
      <c r="K1" s="940"/>
      <c r="L1" s="940"/>
      <c r="M1" s="940"/>
      <c r="N1" s="940"/>
      <c r="O1" s="940"/>
      <c r="P1" s="940"/>
      <c r="Q1" s="940"/>
      <c r="R1" s="940"/>
      <c r="S1" s="940"/>
      <c r="T1" s="940"/>
      <c r="U1" s="940"/>
    </row>
    <row r="2" spans="1:41" x14ac:dyDescent="0.25">
      <c r="A2" s="936" t="s">
        <v>1</v>
      </c>
      <c r="B2" s="937" t="s">
        <v>1</v>
      </c>
      <c r="C2" s="271"/>
      <c r="D2" s="271"/>
      <c r="E2" s="728"/>
      <c r="F2" s="734"/>
      <c r="G2" s="942"/>
      <c r="H2" s="942"/>
      <c r="I2" s="942"/>
      <c r="J2" s="942"/>
      <c r="K2" s="942"/>
      <c r="L2" s="942"/>
      <c r="M2" s="942"/>
      <c r="N2" s="942"/>
      <c r="O2" s="942"/>
      <c r="P2" s="942"/>
      <c r="Q2" s="942"/>
      <c r="R2" s="942"/>
      <c r="S2" s="942"/>
      <c r="T2" s="942"/>
      <c r="U2" s="942"/>
    </row>
    <row r="3" spans="1:41" ht="15" customHeight="1" x14ac:dyDescent="0.25">
      <c r="A3" s="936" t="s">
        <v>2</v>
      </c>
      <c r="B3" s="937" t="s">
        <v>2</v>
      </c>
      <c r="C3" s="271"/>
      <c r="D3" s="275" t="s">
        <v>3</v>
      </c>
      <c r="E3" s="730"/>
      <c r="F3" s="734"/>
      <c r="G3" s="275"/>
      <c r="H3" s="275"/>
      <c r="I3" s="275"/>
      <c r="J3" s="275"/>
      <c r="K3" s="275"/>
      <c r="L3" s="275"/>
      <c r="M3" s="275"/>
      <c r="N3" s="275"/>
      <c r="O3" s="275"/>
      <c r="P3" s="275"/>
      <c r="Q3" s="275"/>
      <c r="R3" s="275"/>
      <c r="S3" s="275"/>
      <c r="T3" s="275"/>
      <c r="U3" s="275"/>
    </row>
    <row r="4" spans="1:41" ht="15" customHeight="1" x14ac:dyDescent="0.25">
      <c r="A4" s="936" t="s">
        <v>4</v>
      </c>
      <c r="B4" s="937" t="s">
        <v>4</v>
      </c>
      <c r="C4" s="271"/>
      <c r="D4" s="275" t="s">
        <v>5</v>
      </c>
      <c r="E4" s="730"/>
      <c r="F4" s="734"/>
      <c r="G4" s="275"/>
      <c r="H4" s="275"/>
      <c r="I4" s="275"/>
      <c r="J4" s="275"/>
      <c r="K4" s="275"/>
      <c r="L4" s="275"/>
      <c r="M4" s="275"/>
      <c r="N4" s="275"/>
      <c r="O4" s="275"/>
      <c r="P4" s="275"/>
      <c r="Q4" s="275"/>
      <c r="R4" s="275"/>
      <c r="S4" s="275"/>
      <c r="T4" s="275"/>
      <c r="U4" s="275"/>
    </row>
    <row r="5" spans="1:41" ht="15" customHeight="1" thickBot="1" x14ac:dyDescent="0.3">
      <c r="A5" s="936" t="s">
        <v>6</v>
      </c>
      <c r="B5" s="937" t="s">
        <v>6</v>
      </c>
      <c r="C5" s="271"/>
      <c r="D5" s="275" t="s">
        <v>7</v>
      </c>
      <c r="E5" s="730"/>
      <c r="F5" s="734"/>
      <c r="G5" s="275"/>
      <c r="H5" s="275"/>
      <c r="I5" s="275"/>
      <c r="J5" s="275"/>
      <c r="K5" s="275"/>
      <c r="L5" s="275"/>
      <c r="M5" s="275"/>
      <c r="N5" s="275"/>
      <c r="O5" s="275"/>
      <c r="P5" s="275"/>
      <c r="Q5" s="275"/>
      <c r="R5" s="275"/>
      <c r="S5" s="275"/>
      <c r="T5" s="275"/>
      <c r="U5" s="275"/>
    </row>
    <row r="6" spans="1:41" ht="15" hidden="1" customHeight="1" x14ac:dyDescent="0.25">
      <c r="A6" s="276" t="s">
        <v>29</v>
      </c>
      <c r="B6" s="277"/>
      <c r="C6" s="277"/>
      <c r="D6" s="278"/>
      <c r="E6" s="278"/>
      <c r="F6" s="277"/>
      <c r="G6" s="278"/>
      <c r="H6" s="278"/>
      <c r="I6" s="278"/>
      <c r="J6" s="278"/>
      <c r="K6" s="278"/>
      <c r="L6" s="278"/>
      <c r="M6" s="278"/>
      <c r="N6" s="278"/>
      <c r="O6" s="278"/>
      <c r="P6" s="278"/>
      <c r="Q6" s="278"/>
      <c r="R6" s="278"/>
      <c r="S6" s="278"/>
      <c r="T6" s="278"/>
      <c r="U6" s="278"/>
    </row>
    <row r="7" spans="1:41" ht="15" hidden="1" customHeight="1" x14ac:dyDescent="0.25">
      <c r="A7" s="276" t="s">
        <v>26</v>
      </c>
      <c r="B7" s="279"/>
      <c r="C7" s="279"/>
      <c r="D7" s="278"/>
      <c r="E7" s="278"/>
      <c r="F7" s="279"/>
      <c r="G7" s="278"/>
      <c r="H7" s="278"/>
      <c r="I7" s="278"/>
      <c r="J7" s="278"/>
      <c r="K7" s="278"/>
      <c r="L7" s="278"/>
      <c r="M7" s="278"/>
      <c r="N7" s="278"/>
      <c r="O7" s="278"/>
      <c r="P7" s="278"/>
      <c r="Q7" s="278"/>
      <c r="R7" s="278"/>
      <c r="S7" s="278"/>
      <c r="T7" s="278"/>
      <c r="U7" s="278"/>
    </row>
    <row r="8" spans="1:41" ht="50.25" hidden="1" customHeight="1" x14ac:dyDescent="0.25">
      <c r="A8" s="940" t="s">
        <v>27</v>
      </c>
      <c r="B8" s="940"/>
      <c r="C8" s="940"/>
      <c r="D8" s="940"/>
      <c r="E8" s="940"/>
      <c r="F8" s="940"/>
      <c r="G8" s="940"/>
      <c r="H8" s="280"/>
      <c r="I8" s="280"/>
      <c r="J8" s="280"/>
      <c r="K8" s="280"/>
    </row>
    <row r="9" spans="1:41" s="282" customFormat="1" ht="18" hidden="1" customHeight="1" x14ac:dyDescent="0.25">
      <c r="A9" s="938" t="s">
        <v>0</v>
      </c>
      <c r="B9" s="938" t="s">
        <v>0</v>
      </c>
      <c r="C9" s="281"/>
      <c r="D9" s="939"/>
      <c r="E9" s="939"/>
      <c r="F9" s="939"/>
      <c r="G9" s="939"/>
      <c r="H9" s="939"/>
      <c r="I9" s="939"/>
      <c r="J9" s="939"/>
      <c r="K9" s="939"/>
      <c r="O9" s="283"/>
      <c r="Q9" s="283"/>
      <c r="S9" s="283"/>
      <c r="U9" s="283"/>
      <c r="X9" s="284"/>
      <c r="Y9" s="284"/>
      <c r="Z9" s="284"/>
      <c r="AA9" s="284"/>
      <c r="AB9" s="284"/>
      <c r="AC9" s="284"/>
      <c r="AD9" s="285"/>
      <c r="AE9" s="285"/>
      <c r="AF9" s="285"/>
      <c r="AG9" s="285"/>
      <c r="AH9" s="286"/>
      <c r="AI9" s="286"/>
      <c r="AJ9" s="286"/>
      <c r="AK9" s="286"/>
      <c r="AL9" s="286"/>
      <c r="AM9" s="286"/>
      <c r="AN9" s="286"/>
      <c r="AO9" s="286"/>
    </row>
    <row r="10" spans="1:41" s="282" customFormat="1" ht="18" hidden="1" customHeight="1" x14ac:dyDescent="0.25">
      <c r="A10" s="938" t="s">
        <v>1</v>
      </c>
      <c r="B10" s="938" t="s">
        <v>1</v>
      </c>
      <c r="C10" s="281"/>
      <c r="D10" s="941"/>
      <c r="E10" s="941"/>
      <c r="F10" s="941"/>
      <c r="G10" s="941"/>
      <c r="H10" s="941"/>
      <c r="I10" s="941"/>
      <c r="J10" s="941"/>
      <c r="K10" s="941"/>
      <c r="O10" s="283"/>
      <c r="Q10" s="283"/>
      <c r="S10" s="283"/>
      <c r="U10" s="283"/>
      <c r="X10" s="284"/>
      <c r="Y10" s="284"/>
      <c r="Z10" s="284"/>
      <c r="AA10" s="284"/>
      <c r="AB10" s="284"/>
      <c r="AC10" s="284"/>
      <c r="AD10" s="285"/>
      <c r="AE10" s="285"/>
      <c r="AF10" s="285"/>
      <c r="AG10" s="285"/>
      <c r="AH10" s="286"/>
      <c r="AI10" s="286"/>
      <c r="AJ10" s="286"/>
      <c r="AK10" s="286"/>
      <c r="AL10" s="286"/>
      <c r="AM10" s="286"/>
      <c r="AN10" s="286"/>
      <c r="AO10" s="286"/>
    </row>
    <row r="11" spans="1:41" s="282" customFormat="1" ht="18" hidden="1" customHeight="1" x14ac:dyDescent="0.25">
      <c r="A11" s="938" t="s">
        <v>2</v>
      </c>
      <c r="B11" s="938" t="s">
        <v>2</v>
      </c>
      <c r="C11" s="281"/>
      <c r="D11" s="287" t="s">
        <v>3</v>
      </c>
      <c r="E11" s="729"/>
      <c r="F11" s="287"/>
      <c r="G11" s="287"/>
      <c r="H11" s="287"/>
      <c r="I11" s="287"/>
      <c r="J11" s="287"/>
      <c r="K11" s="287"/>
      <c r="O11" s="283"/>
      <c r="Q11" s="283"/>
      <c r="S11" s="283"/>
      <c r="U11" s="283"/>
      <c r="X11" s="284"/>
      <c r="Y11" s="284"/>
      <c r="Z11" s="284"/>
      <c r="AA11" s="284"/>
      <c r="AB11" s="284"/>
      <c r="AC11" s="284"/>
      <c r="AD11" s="285"/>
      <c r="AE11" s="285"/>
      <c r="AF11" s="285"/>
      <c r="AG11" s="285"/>
      <c r="AH11" s="286"/>
      <c r="AI11" s="286"/>
      <c r="AJ11" s="286"/>
      <c r="AK11" s="286"/>
      <c r="AL11" s="286"/>
      <c r="AM11" s="286"/>
      <c r="AN11" s="286"/>
      <c r="AO11" s="286"/>
    </row>
    <row r="12" spans="1:41" s="282" customFormat="1" ht="18" hidden="1" customHeight="1" x14ac:dyDescent="0.25">
      <c r="A12" s="938" t="s">
        <v>4</v>
      </c>
      <c r="B12" s="938" t="s">
        <v>4</v>
      </c>
      <c r="C12" s="281"/>
      <c r="D12" s="287" t="s">
        <v>5</v>
      </c>
      <c r="E12" s="729"/>
      <c r="F12" s="287"/>
      <c r="G12" s="287"/>
      <c r="H12" s="287"/>
      <c r="I12" s="287"/>
      <c r="J12" s="287"/>
      <c r="K12" s="287"/>
      <c r="O12" s="283"/>
      <c r="Q12" s="283"/>
      <c r="S12" s="283"/>
      <c r="U12" s="283"/>
      <c r="X12" s="284"/>
      <c r="Y12" s="284"/>
      <c r="Z12" s="284"/>
      <c r="AA12" s="284"/>
      <c r="AB12" s="284"/>
      <c r="AC12" s="284"/>
      <c r="AD12" s="285"/>
      <c r="AE12" s="285"/>
      <c r="AF12" s="285"/>
      <c r="AG12" s="285"/>
      <c r="AH12" s="286"/>
      <c r="AI12" s="286"/>
      <c r="AJ12" s="286"/>
      <c r="AK12" s="286"/>
      <c r="AL12" s="286"/>
      <c r="AM12" s="286"/>
      <c r="AN12" s="286"/>
      <c r="AO12" s="286"/>
    </row>
    <row r="13" spans="1:41" s="282" customFormat="1" ht="18" hidden="1" customHeight="1" x14ac:dyDescent="0.25">
      <c r="A13" s="938" t="s">
        <v>6</v>
      </c>
      <c r="B13" s="938" t="s">
        <v>6</v>
      </c>
      <c r="C13" s="281"/>
      <c r="D13" s="287" t="s">
        <v>7</v>
      </c>
      <c r="E13" s="729"/>
      <c r="F13" s="287"/>
      <c r="G13" s="287"/>
      <c r="H13" s="287"/>
      <c r="I13" s="287"/>
      <c r="J13" s="287"/>
      <c r="K13" s="287"/>
      <c r="O13" s="283"/>
      <c r="Q13" s="283"/>
      <c r="S13" s="283"/>
      <c r="U13" s="283"/>
      <c r="X13" s="284"/>
      <c r="Y13" s="284"/>
      <c r="Z13" s="284"/>
      <c r="AA13" s="284"/>
      <c r="AB13" s="284"/>
      <c r="AC13" s="284"/>
      <c r="AD13" s="273"/>
      <c r="AE13" s="285"/>
      <c r="AF13" s="285"/>
      <c r="AG13" s="285"/>
      <c r="AH13" s="286"/>
      <c r="AI13" s="286"/>
      <c r="AJ13" s="286"/>
      <c r="AK13" s="286"/>
      <c r="AL13" s="286"/>
      <c r="AM13" s="286"/>
      <c r="AN13" s="286"/>
      <c r="AO13" s="286"/>
    </row>
    <row r="14" spans="1:41" s="282" customFormat="1" ht="15" hidden="1" customHeight="1" x14ac:dyDescent="0.25">
      <c r="A14" s="288" t="s">
        <v>566</v>
      </c>
      <c r="B14" s="289"/>
      <c r="C14" s="289"/>
      <c r="D14" s="290"/>
      <c r="E14" s="290"/>
      <c r="F14" s="290"/>
      <c r="G14" s="290"/>
      <c r="H14" s="290"/>
      <c r="I14" s="290"/>
      <c r="J14" s="290"/>
      <c r="K14" s="290"/>
      <c r="O14" s="283"/>
      <c r="Q14" s="283" t="s">
        <v>567</v>
      </c>
      <c r="S14" s="283"/>
      <c r="U14" s="283"/>
      <c r="X14" s="284"/>
      <c r="Y14" s="284"/>
      <c r="Z14" s="284"/>
      <c r="AA14" s="284"/>
      <c r="AB14" s="284"/>
      <c r="AC14" s="284"/>
      <c r="AD14" s="273"/>
      <c r="AE14" s="285"/>
      <c r="AF14" s="285"/>
      <c r="AG14" s="285"/>
      <c r="AH14" s="286"/>
      <c r="AI14" s="286"/>
      <c r="AJ14" s="286"/>
      <c r="AK14" s="286"/>
      <c r="AL14" s="286"/>
      <c r="AM14" s="286"/>
      <c r="AN14" s="286"/>
      <c r="AO14" s="286"/>
    </row>
    <row r="15" spans="1:41" s="282" customFormat="1" ht="15.75" hidden="1" thickBot="1" x14ac:dyDescent="0.3">
      <c r="A15" s="291" t="s">
        <v>26</v>
      </c>
      <c r="B15" s="292"/>
      <c r="C15" s="292"/>
      <c r="D15" s="290"/>
      <c r="E15" s="290"/>
      <c r="F15" s="290"/>
      <c r="G15" s="290"/>
      <c r="H15" s="290"/>
      <c r="I15" s="290"/>
      <c r="J15" s="290"/>
      <c r="K15" s="290"/>
      <c r="O15" s="283"/>
      <c r="Q15" s="283"/>
      <c r="S15" s="283"/>
      <c r="U15" s="283"/>
      <c r="X15" s="284"/>
      <c r="Y15" s="284"/>
      <c r="Z15" s="284"/>
      <c r="AA15" s="284"/>
      <c r="AB15" s="284"/>
      <c r="AC15" s="284"/>
      <c r="AD15" s="273"/>
      <c r="AE15" s="285"/>
      <c r="AF15" s="285"/>
      <c r="AG15" s="285"/>
      <c r="AH15" s="286"/>
      <c r="AI15" s="286"/>
      <c r="AJ15" s="286"/>
      <c r="AK15" s="286"/>
      <c r="AL15" s="286"/>
      <c r="AM15" s="286"/>
      <c r="AN15" s="286"/>
      <c r="AO15" s="286"/>
    </row>
    <row r="16" spans="1:41" s="282" customFormat="1" ht="45.75" hidden="1" customHeight="1" x14ac:dyDescent="0.25">
      <c r="A16" s="939" t="s">
        <v>27</v>
      </c>
      <c r="B16" s="939"/>
      <c r="C16" s="939"/>
      <c r="D16" s="939"/>
      <c r="E16" s="939"/>
      <c r="F16" s="939"/>
      <c r="G16" s="293"/>
      <c r="H16" s="293"/>
      <c r="I16" s="293"/>
      <c r="J16" s="293"/>
      <c r="K16" s="293"/>
      <c r="L16" s="293"/>
      <c r="M16" s="293"/>
      <c r="N16" s="293"/>
      <c r="O16" s="294"/>
      <c r="P16" s="293"/>
      <c r="Q16" s="294" t="s">
        <v>568</v>
      </c>
      <c r="R16" s="293"/>
      <c r="S16" s="294"/>
      <c r="T16" s="293"/>
      <c r="U16" s="294"/>
      <c r="V16" s="293"/>
      <c r="W16" s="293"/>
      <c r="X16" s="295"/>
      <c r="Y16" s="295"/>
      <c r="Z16" s="295"/>
      <c r="AA16" s="295"/>
      <c r="AB16" s="295"/>
      <c r="AC16" s="295"/>
      <c r="AD16" s="273"/>
      <c r="AE16" s="295"/>
      <c r="AF16" s="295"/>
      <c r="AG16" s="295"/>
      <c r="AH16" s="296"/>
      <c r="AI16" s="286"/>
      <c r="AJ16" s="286"/>
      <c r="AK16" s="286"/>
      <c r="AL16" s="286"/>
      <c r="AM16" s="286"/>
      <c r="AN16" s="286"/>
      <c r="AO16" s="286"/>
    </row>
    <row r="17" spans="1:44" ht="30" hidden="1" customHeight="1" x14ac:dyDescent="0.25">
      <c r="A17" s="297" t="s">
        <v>444</v>
      </c>
      <c r="F17" s="272"/>
    </row>
    <row r="18" spans="1:44" ht="27.75" customHeight="1" thickBot="1" x14ac:dyDescent="0.3">
      <c r="P18" s="943" t="s">
        <v>561</v>
      </c>
      <c r="Q18" s="944"/>
      <c r="R18" s="944"/>
      <c r="S18" s="945"/>
      <c r="T18" s="298"/>
      <c r="U18" s="298"/>
    </row>
    <row r="19" spans="1:44" s="310" customFormat="1" ht="55.5" customHeight="1" x14ac:dyDescent="0.25">
      <c r="A19" s="299" t="s">
        <v>8</v>
      </c>
      <c r="B19" s="299" t="s">
        <v>9</v>
      </c>
      <c r="C19" s="300" t="s">
        <v>10</v>
      </c>
      <c r="D19" s="299" t="s">
        <v>28</v>
      </c>
      <c r="E19" s="299" t="s">
        <v>1247</v>
      </c>
      <c r="F19" s="301" t="s">
        <v>169</v>
      </c>
      <c r="G19" s="302" t="s">
        <v>569</v>
      </c>
      <c r="H19" s="302" t="s">
        <v>554</v>
      </c>
      <c r="I19" s="302" t="s">
        <v>555</v>
      </c>
      <c r="J19" s="303" t="s">
        <v>11</v>
      </c>
      <c r="K19" s="302" t="s">
        <v>556</v>
      </c>
      <c r="L19" s="299" t="s">
        <v>439</v>
      </c>
      <c r="M19" s="299" t="s">
        <v>12</v>
      </c>
      <c r="N19" s="299" t="s">
        <v>18</v>
      </c>
      <c r="O19" s="299" t="s">
        <v>19</v>
      </c>
      <c r="P19" s="303" t="s">
        <v>557</v>
      </c>
      <c r="Q19" s="303" t="s">
        <v>558</v>
      </c>
      <c r="R19" s="303" t="s">
        <v>559</v>
      </c>
      <c r="S19" s="303" t="s">
        <v>560</v>
      </c>
      <c r="T19" s="299" t="s">
        <v>13</v>
      </c>
      <c r="U19" s="299" t="s">
        <v>441</v>
      </c>
      <c r="V19" s="299" t="s">
        <v>14</v>
      </c>
      <c r="W19" s="299" t="s">
        <v>15</v>
      </c>
      <c r="X19" s="299" t="s">
        <v>16</v>
      </c>
      <c r="Y19" s="299" t="s">
        <v>17</v>
      </c>
      <c r="Z19" s="303" t="s">
        <v>562</v>
      </c>
      <c r="AA19" s="107" t="s">
        <v>22</v>
      </c>
      <c r="AB19" s="299" t="s">
        <v>20</v>
      </c>
      <c r="AC19" s="299" t="s">
        <v>21</v>
      </c>
      <c r="AD19" s="304" t="s">
        <v>875</v>
      </c>
      <c r="AE19" s="305" t="s">
        <v>876</v>
      </c>
      <c r="AF19" s="305" t="s">
        <v>877</v>
      </c>
      <c r="AG19" s="305" t="s">
        <v>878</v>
      </c>
      <c r="AH19" s="306" t="s">
        <v>879</v>
      </c>
      <c r="AI19" s="306" t="s">
        <v>880</v>
      </c>
      <c r="AJ19" s="306" t="s">
        <v>881</v>
      </c>
      <c r="AK19" s="306" t="s">
        <v>882</v>
      </c>
      <c r="AL19" s="307" t="s">
        <v>883</v>
      </c>
      <c r="AM19" s="308" t="s">
        <v>884</v>
      </c>
      <c r="AN19" s="306" t="s">
        <v>885</v>
      </c>
      <c r="AO19" s="306" t="s">
        <v>886</v>
      </c>
      <c r="AP19" s="305" t="s">
        <v>887</v>
      </c>
      <c r="AQ19" s="309" t="s">
        <v>888</v>
      </c>
    </row>
    <row r="20" spans="1:44" ht="105" customHeight="1" x14ac:dyDescent="0.25">
      <c r="A20" s="221" t="s">
        <v>889</v>
      </c>
      <c r="B20" s="211" t="s">
        <v>159</v>
      </c>
      <c r="C20" s="230" t="s">
        <v>844</v>
      </c>
      <c r="D20" s="211" t="s">
        <v>1007</v>
      </c>
      <c r="E20" s="726" t="s">
        <v>1248</v>
      </c>
      <c r="F20" s="229" t="s">
        <v>179</v>
      </c>
      <c r="G20" s="211" t="s">
        <v>1008</v>
      </c>
      <c r="H20" s="211" t="s">
        <v>1011</v>
      </c>
      <c r="I20" s="211" t="s">
        <v>1009</v>
      </c>
      <c r="J20" s="211" t="s">
        <v>1012</v>
      </c>
      <c r="K20" s="249" t="s">
        <v>1056</v>
      </c>
      <c r="L20" s="112">
        <v>1406325839</v>
      </c>
      <c r="M20" s="875" t="s">
        <v>668</v>
      </c>
      <c r="N20" s="539" t="s">
        <v>1169</v>
      </c>
      <c r="O20" s="539" t="s">
        <v>571</v>
      </c>
      <c r="P20" s="539"/>
      <c r="Q20" s="539"/>
      <c r="R20" s="539"/>
      <c r="S20" s="539"/>
      <c r="T20" s="540" t="s">
        <v>166</v>
      </c>
      <c r="U20" s="540">
        <v>5202</v>
      </c>
      <c r="V20" s="846">
        <v>1621</v>
      </c>
      <c r="W20" s="846">
        <v>1621</v>
      </c>
      <c r="X20" s="846">
        <v>1621</v>
      </c>
      <c r="Y20" s="846">
        <v>1623</v>
      </c>
      <c r="Z20" s="541" t="s">
        <v>570</v>
      </c>
      <c r="AA20" s="538">
        <v>1406325839</v>
      </c>
      <c r="AB20" s="775" t="s">
        <v>867</v>
      </c>
      <c r="AC20" s="542" t="s">
        <v>868</v>
      </c>
      <c r="AD20" s="791">
        <v>854</v>
      </c>
      <c r="AE20" s="791">
        <v>1118</v>
      </c>
      <c r="AF20" s="791">
        <v>1171</v>
      </c>
      <c r="AG20" s="543">
        <v>1275</v>
      </c>
      <c r="AH20" s="536">
        <f t="shared" ref="AH20:AH84" si="0">AI20+AJ20+AK20+AL20</f>
        <v>1328503833</v>
      </c>
      <c r="AI20" s="536">
        <v>0</v>
      </c>
      <c r="AJ20" s="536">
        <v>261800000</v>
      </c>
      <c r="AK20" s="536">
        <f>261800000-AJ20</f>
        <v>0</v>
      </c>
      <c r="AL20" s="536">
        <f>1328503833-AJ20</f>
        <v>1066703833</v>
      </c>
      <c r="AM20" s="536">
        <f>AN20+AO20+AP20+AQ20</f>
        <v>1328503833</v>
      </c>
      <c r="AN20" s="536">
        <v>0</v>
      </c>
      <c r="AO20" s="536">
        <v>0</v>
      </c>
      <c r="AP20" s="544"/>
      <c r="AQ20" s="824">
        <v>1328503833</v>
      </c>
    </row>
    <row r="21" spans="1:44" ht="105" customHeight="1" x14ac:dyDescent="0.25">
      <c r="A21" s="221" t="s">
        <v>889</v>
      </c>
      <c r="B21" s="211" t="s">
        <v>159</v>
      </c>
      <c r="C21" s="230" t="s">
        <v>844</v>
      </c>
      <c r="D21" s="211" t="s">
        <v>1007</v>
      </c>
      <c r="E21" s="726" t="s">
        <v>1248</v>
      </c>
      <c r="F21" s="229" t="s">
        <v>179</v>
      </c>
      <c r="G21" s="211" t="s">
        <v>1008</v>
      </c>
      <c r="H21" s="211" t="s">
        <v>1010</v>
      </c>
      <c r="I21" s="211" t="s">
        <v>1009</v>
      </c>
      <c r="J21" s="211" t="s">
        <v>1012</v>
      </c>
      <c r="K21" s="249" t="s">
        <v>1056</v>
      </c>
      <c r="L21" s="112">
        <v>624204205</v>
      </c>
      <c r="M21" s="539" t="s">
        <v>160</v>
      </c>
      <c r="N21" s="539" t="s">
        <v>1169</v>
      </c>
      <c r="O21" s="539" t="s">
        <v>1170</v>
      </c>
      <c r="P21" s="539"/>
      <c r="Q21" s="539"/>
      <c r="R21" s="539"/>
      <c r="S21" s="539"/>
      <c r="T21" s="540" t="s">
        <v>166</v>
      </c>
      <c r="U21" s="540">
        <v>6588</v>
      </c>
      <c r="V21" s="846">
        <v>1835</v>
      </c>
      <c r="W21" s="846">
        <v>1835</v>
      </c>
      <c r="X21" s="846">
        <v>1835</v>
      </c>
      <c r="Y21" s="846">
        <v>1835</v>
      </c>
      <c r="Z21" s="541" t="s">
        <v>570</v>
      </c>
      <c r="AA21" s="538">
        <v>624204205</v>
      </c>
      <c r="AB21" s="775" t="s">
        <v>867</v>
      </c>
      <c r="AC21" s="542" t="s">
        <v>868</v>
      </c>
      <c r="AD21" s="791">
        <v>1432</v>
      </c>
      <c r="AE21" s="791">
        <v>1482</v>
      </c>
      <c r="AF21" s="791">
        <v>1643</v>
      </c>
      <c r="AG21" s="543">
        <v>1629</v>
      </c>
      <c r="AH21" s="536">
        <f t="shared" si="0"/>
        <v>502029119</v>
      </c>
      <c r="AI21" s="536">
        <v>0</v>
      </c>
      <c r="AJ21" s="536">
        <v>502029119</v>
      </c>
      <c r="AK21" s="536">
        <f>502029119-AJ21</f>
        <v>0</v>
      </c>
      <c r="AL21" s="536"/>
      <c r="AM21" s="536">
        <f t="shared" ref="AM21:AM85" si="1">AN21+AO21+AP21+AQ21</f>
        <v>502029119</v>
      </c>
      <c r="AN21" s="536">
        <v>0</v>
      </c>
      <c r="AO21" s="536">
        <v>0</v>
      </c>
      <c r="AP21" s="544"/>
      <c r="AQ21" s="824">
        <v>502029119</v>
      </c>
    </row>
    <row r="22" spans="1:44" ht="105" customHeight="1" x14ac:dyDescent="0.25">
      <c r="A22" s="221" t="s">
        <v>889</v>
      </c>
      <c r="B22" s="211" t="s">
        <v>159</v>
      </c>
      <c r="C22" s="230" t="s">
        <v>844</v>
      </c>
      <c r="D22" s="211" t="s">
        <v>1007</v>
      </c>
      <c r="E22" s="726" t="s">
        <v>1248</v>
      </c>
      <c r="F22" s="229" t="s">
        <v>179</v>
      </c>
      <c r="G22" s="211" t="s">
        <v>1008</v>
      </c>
      <c r="H22" s="211" t="s">
        <v>1010</v>
      </c>
      <c r="I22" s="211" t="s">
        <v>1009</v>
      </c>
      <c r="J22" s="211" t="s">
        <v>1012</v>
      </c>
      <c r="K22" s="249" t="s">
        <v>1056</v>
      </c>
      <c r="L22" s="112">
        <v>336109956</v>
      </c>
      <c r="M22" s="539" t="s">
        <v>161</v>
      </c>
      <c r="N22" s="539" t="s">
        <v>1169</v>
      </c>
      <c r="O22" s="539" t="s">
        <v>1170</v>
      </c>
      <c r="P22" s="539"/>
      <c r="Q22" s="539"/>
      <c r="R22" s="539"/>
      <c r="S22" s="539"/>
      <c r="T22" s="540" t="s">
        <v>166</v>
      </c>
      <c r="U22" s="545">
        <v>3611</v>
      </c>
      <c r="V22" s="847">
        <v>801</v>
      </c>
      <c r="W22" s="847">
        <v>801</v>
      </c>
      <c r="X22" s="847">
        <v>801</v>
      </c>
      <c r="Y22" s="847">
        <v>802</v>
      </c>
      <c r="Z22" s="541" t="s">
        <v>570</v>
      </c>
      <c r="AA22" s="538">
        <v>336109956</v>
      </c>
      <c r="AB22" s="775" t="s">
        <v>867</v>
      </c>
      <c r="AC22" s="542" t="s">
        <v>868</v>
      </c>
      <c r="AD22" s="791">
        <v>98</v>
      </c>
      <c r="AE22" s="791">
        <v>4</v>
      </c>
      <c r="AF22" s="791">
        <v>144</v>
      </c>
      <c r="AG22" s="543">
        <v>779</v>
      </c>
      <c r="AH22" s="536">
        <f t="shared" si="0"/>
        <v>258285042</v>
      </c>
      <c r="AI22" s="536">
        <v>0</v>
      </c>
      <c r="AJ22" s="536">
        <v>258285042</v>
      </c>
      <c r="AK22" s="536">
        <f>258285042-AJ22</f>
        <v>0</v>
      </c>
      <c r="AL22" s="536"/>
      <c r="AM22" s="536">
        <f t="shared" si="1"/>
        <v>42034630</v>
      </c>
      <c r="AN22" s="536">
        <v>0</v>
      </c>
      <c r="AO22" s="536">
        <v>0</v>
      </c>
      <c r="AP22" s="544"/>
      <c r="AQ22" s="824">
        <v>42034630</v>
      </c>
    </row>
    <row r="23" spans="1:44" ht="105" customHeight="1" x14ac:dyDescent="0.25">
      <c r="A23" s="221" t="s">
        <v>889</v>
      </c>
      <c r="B23" s="211" t="s">
        <v>159</v>
      </c>
      <c r="C23" s="230" t="s">
        <v>844</v>
      </c>
      <c r="D23" s="211" t="s">
        <v>1007</v>
      </c>
      <c r="E23" s="726" t="s">
        <v>1248</v>
      </c>
      <c r="F23" s="229" t="s">
        <v>179</v>
      </c>
      <c r="G23" s="211" t="s">
        <v>1008</v>
      </c>
      <c r="H23" s="211" t="s">
        <v>1010</v>
      </c>
      <c r="I23" s="211" t="s">
        <v>1009</v>
      </c>
      <c r="J23" s="211" t="s">
        <v>1012</v>
      </c>
      <c r="K23" s="249" t="s">
        <v>1057</v>
      </c>
      <c r="L23" s="112">
        <v>198360000</v>
      </c>
      <c r="M23" s="539" t="s">
        <v>162</v>
      </c>
      <c r="N23" s="539" t="s">
        <v>1169</v>
      </c>
      <c r="O23" s="539" t="s">
        <v>572</v>
      </c>
      <c r="P23" s="539"/>
      <c r="Q23" s="539"/>
      <c r="R23" s="539"/>
      <c r="S23" s="539"/>
      <c r="T23" s="540" t="s">
        <v>166</v>
      </c>
      <c r="U23" s="545">
        <v>180</v>
      </c>
      <c r="V23" s="540">
        <v>0</v>
      </c>
      <c r="W23" s="540">
        <v>0</v>
      </c>
      <c r="X23" s="545">
        <v>180</v>
      </c>
      <c r="Y23" s="540">
        <v>0</v>
      </c>
      <c r="Z23" s="541" t="s">
        <v>570</v>
      </c>
      <c r="AA23" s="538">
        <v>198360000</v>
      </c>
      <c r="AB23" s="775" t="s">
        <v>867</v>
      </c>
      <c r="AC23" s="542" t="s">
        <v>868</v>
      </c>
      <c r="AD23" s="543">
        <v>50</v>
      </c>
      <c r="AE23" s="543">
        <v>0</v>
      </c>
      <c r="AF23" s="543">
        <v>130</v>
      </c>
      <c r="AG23" s="543">
        <v>180</v>
      </c>
      <c r="AH23" s="536">
        <f t="shared" si="0"/>
        <v>198360000</v>
      </c>
      <c r="AI23" s="536">
        <v>0</v>
      </c>
      <c r="AJ23" s="537">
        <v>198360000</v>
      </c>
      <c r="AK23" s="536">
        <f>198360000-AJ23</f>
        <v>0</v>
      </c>
      <c r="AL23" s="536"/>
      <c r="AM23" s="536">
        <f t="shared" si="1"/>
        <v>198360000</v>
      </c>
      <c r="AN23" s="536">
        <v>0</v>
      </c>
      <c r="AO23" s="536">
        <v>0</v>
      </c>
      <c r="AP23" s="544"/>
      <c r="AQ23" s="824">
        <v>198360000</v>
      </c>
    </row>
    <row r="24" spans="1:44" ht="105" customHeight="1" x14ac:dyDescent="0.25">
      <c r="A24" s="116" t="s">
        <v>889</v>
      </c>
      <c r="B24" s="116" t="s">
        <v>159</v>
      </c>
      <c r="C24" s="366" t="s">
        <v>844</v>
      </c>
      <c r="D24" s="116" t="s">
        <v>1007</v>
      </c>
      <c r="E24" s="726" t="s">
        <v>1248</v>
      </c>
      <c r="F24" s="367" t="s">
        <v>179</v>
      </c>
      <c r="G24" s="116" t="s">
        <v>1008</v>
      </c>
      <c r="H24" s="116" t="s">
        <v>1011</v>
      </c>
      <c r="I24" s="368" t="s">
        <v>1009</v>
      </c>
      <c r="J24" s="116" t="s">
        <v>1012</v>
      </c>
      <c r="K24" s="369" t="s">
        <v>1057</v>
      </c>
      <c r="L24" s="151">
        <v>15000000</v>
      </c>
      <c r="M24" s="547" t="s">
        <v>163</v>
      </c>
      <c r="N24" s="547" t="s">
        <v>1169</v>
      </c>
      <c r="O24" s="548" t="s">
        <v>1145</v>
      </c>
      <c r="P24" s="369"/>
      <c r="Q24" s="369"/>
      <c r="R24" s="369"/>
      <c r="S24" s="369"/>
      <c r="T24" s="549" t="s">
        <v>166</v>
      </c>
      <c r="U24" s="549">
        <v>1</v>
      </c>
      <c r="V24" s="549">
        <v>1</v>
      </c>
      <c r="W24" s="549">
        <v>0</v>
      </c>
      <c r="X24" s="549">
        <v>0</v>
      </c>
      <c r="Y24" s="549">
        <v>0</v>
      </c>
      <c r="Z24" s="550" t="s">
        <v>574</v>
      </c>
      <c r="AA24" s="849">
        <v>15000000</v>
      </c>
      <c r="AB24" s="775" t="s">
        <v>190</v>
      </c>
      <c r="AC24" s="540" t="s">
        <v>575</v>
      </c>
      <c r="AD24" s="551">
        <v>1</v>
      </c>
      <c r="AE24" s="551">
        <v>0</v>
      </c>
      <c r="AF24" s="543">
        <v>0</v>
      </c>
      <c r="AG24" s="543">
        <v>0</v>
      </c>
      <c r="AH24" s="536">
        <f t="shared" si="0"/>
        <v>0</v>
      </c>
      <c r="AI24" s="536">
        <v>0</v>
      </c>
      <c r="AJ24" s="536">
        <v>0</v>
      </c>
      <c r="AK24" s="536"/>
      <c r="AL24" s="536"/>
      <c r="AM24" s="536">
        <f t="shared" si="1"/>
        <v>0</v>
      </c>
      <c r="AN24" s="536">
        <v>0</v>
      </c>
      <c r="AO24" s="536">
        <v>0</v>
      </c>
      <c r="AP24" s="544"/>
      <c r="AQ24" s="544"/>
    </row>
    <row r="25" spans="1:44" ht="105" customHeight="1" x14ac:dyDescent="0.25">
      <c r="A25" s="116" t="s">
        <v>889</v>
      </c>
      <c r="B25" s="116" t="s">
        <v>159</v>
      </c>
      <c r="C25" s="366" t="s">
        <v>844</v>
      </c>
      <c r="D25" s="116" t="s">
        <v>1007</v>
      </c>
      <c r="E25" s="726" t="s">
        <v>1248</v>
      </c>
      <c r="F25" s="367" t="s">
        <v>179</v>
      </c>
      <c r="G25" s="116" t="s">
        <v>1008</v>
      </c>
      <c r="H25" s="116" t="s">
        <v>1011</v>
      </c>
      <c r="I25" s="368" t="s">
        <v>1009</v>
      </c>
      <c r="J25" s="116" t="s">
        <v>1012</v>
      </c>
      <c r="K25" s="369" t="s">
        <v>1057</v>
      </c>
      <c r="L25" s="112">
        <v>346596000</v>
      </c>
      <c r="M25" s="547" t="s">
        <v>163</v>
      </c>
      <c r="N25" s="547" t="s">
        <v>1169</v>
      </c>
      <c r="O25" s="548" t="s">
        <v>1145</v>
      </c>
      <c r="P25" s="552"/>
      <c r="Q25" s="552"/>
      <c r="R25" s="552"/>
      <c r="S25" s="552"/>
      <c r="T25" s="549" t="s">
        <v>166</v>
      </c>
      <c r="U25" s="549">
        <v>1</v>
      </c>
      <c r="V25" s="549">
        <v>1</v>
      </c>
      <c r="W25" s="549">
        <v>0</v>
      </c>
      <c r="X25" s="549">
        <v>0</v>
      </c>
      <c r="Y25" s="549">
        <v>0</v>
      </c>
      <c r="Z25" s="541" t="s">
        <v>573</v>
      </c>
      <c r="AA25" s="538">
        <v>346596000</v>
      </c>
      <c r="AB25" s="775" t="s">
        <v>867</v>
      </c>
      <c r="AC25" s="542" t="s">
        <v>868</v>
      </c>
      <c r="AD25" s="551">
        <v>1</v>
      </c>
      <c r="AE25" s="551">
        <v>0</v>
      </c>
      <c r="AF25" s="543">
        <v>0</v>
      </c>
      <c r="AG25" s="543">
        <v>0</v>
      </c>
      <c r="AH25" s="536">
        <f>AI25+AJ25+AK25+AL25</f>
        <v>294563677</v>
      </c>
      <c r="AI25" s="537">
        <v>63926019</v>
      </c>
      <c r="AJ25" s="537">
        <f>92867268-AI25</f>
        <v>28941249</v>
      </c>
      <c r="AK25" s="536">
        <f>346596000-AJ25-AI25-52032323</f>
        <v>201696409</v>
      </c>
      <c r="AL25" s="536">
        <f>294563677-AK25-AJ25-AI25</f>
        <v>0</v>
      </c>
      <c r="AM25" s="536">
        <f t="shared" si="1"/>
        <v>258973677</v>
      </c>
      <c r="AN25" s="537">
        <v>26966493</v>
      </c>
      <c r="AO25" s="537">
        <f>92867268-AN25</f>
        <v>65900775</v>
      </c>
      <c r="AP25" s="553">
        <f>141878679-AO25-AN25</f>
        <v>49011411</v>
      </c>
      <c r="AQ25" s="823">
        <f>258973677-AP25-AO25-AN25</f>
        <v>117094998</v>
      </c>
    </row>
    <row r="26" spans="1:44" ht="105" customHeight="1" x14ac:dyDescent="0.25">
      <c r="A26" s="221" t="s">
        <v>889</v>
      </c>
      <c r="B26" s="211" t="s">
        <v>159</v>
      </c>
      <c r="C26" s="230" t="s">
        <v>844</v>
      </c>
      <c r="D26" s="211" t="s">
        <v>1007</v>
      </c>
      <c r="E26" s="726" t="s">
        <v>1248</v>
      </c>
      <c r="F26" s="234" t="s">
        <v>179</v>
      </c>
      <c r="G26" s="211" t="s">
        <v>1008</v>
      </c>
      <c r="H26" s="211" t="s">
        <v>1010</v>
      </c>
      <c r="I26" s="211" t="s">
        <v>1009</v>
      </c>
      <c r="J26" s="211" t="s">
        <v>1012</v>
      </c>
      <c r="K26" s="249" t="s">
        <v>1057</v>
      </c>
      <c r="L26" s="775">
        <v>0</v>
      </c>
      <c r="M26" s="539" t="s">
        <v>164</v>
      </c>
      <c r="N26" s="539" t="s">
        <v>1171</v>
      </c>
      <c r="O26" s="539" t="s">
        <v>773</v>
      </c>
      <c r="P26" s="539" t="s">
        <v>1172</v>
      </c>
      <c r="Q26" s="539" t="s">
        <v>1173</v>
      </c>
      <c r="R26" s="539" t="s">
        <v>1174</v>
      </c>
      <c r="S26" s="539"/>
      <c r="T26" s="540" t="s">
        <v>166</v>
      </c>
      <c r="U26" s="540">
        <v>1</v>
      </c>
      <c r="V26" s="540">
        <v>0</v>
      </c>
      <c r="W26" s="540">
        <v>0</v>
      </c>
      <c r="X26" s="540">
        <v>0</v>
      </c>
      <c r="Y26" s="540">
        <v>1</v>
      </c>
      <c r="Z26" s="540"/>
      <c r="AA26" s="539">
        <v>0</v>
      </c>
      <c r="AB26" s="775"/>
      <c r="AC26" s="540"/>
      <c r="AD26" s="543">
        <v>0</v>
      </c>
      <c r="AE26" s="543">
        <v>0</v>
      </c>
      <c r="AF26" s="543">
        <v>0</v>
      </c>
      <c r="AG26" s="543">
        <v>0</v>
      </c>
      <c r="AH26" s="536">
        <f t="shared" si="0"/>
        <v>0</v>
      </c>
      <c r="AI26" s="536">
        <v>0</v>
      </c>
      <c r="AJ26" s="536">
        <v>0</v>
      </c>
      <c r="AK26" s="536"/>
      <c r="AL26" s="536"/>
      <c r="AM26" s="536">
        <f t="shared" si="1"/>
        <v>0</v>
      </c>
      <c r="AN26" s="536">
        <v>0</v>
      </c>
      <c r="AO26" s="536">
        <v>0</v>
      </c>
      <c r="AP26" s="544"/>
      <c r="AQ26" s="544"/>
    </row>
    <row r="27" spans="1:44" ht="105" customHeight="1" x14ac:dyDescent="0.25">
      <c r="A27" s="221" t="s">
        <v>889</v>
      </c>
      <c r="B27" s="211" t="s">
        <v>159</v>
      </c>
      <c r="C27" s="230" t="s">
        <v>844</v>
      </c>
      <c r="D27" s="211" t="s">
        <v>1007</v>
      </c>
      <c r="E27" s="726" t="s">
        <v>1248</v>
      </c>
      <c r="F27" s="229" t="s">
        <v>179</v>
      </c>
      <c r="G27" s="211" t="s">
        <v>1008</v>
      </c>
      <c r="H27" s="211" t="s">
        <v>1011</v>
      </c>
      <c r="I27" s="211" t="s">
        <v>1009</v>
      </c>
      <c r="J27" s="211" t="s">
        <v>1012</v>
      </c>
      <c r="K27" s="249" t="s">
        <v>1057</v>
      </c>
      <c r="L27" s="112">
        <v>320000000</v>
      </c>
      <c r="M27" s="539" t="s">
        <v>445</v>
      </c>
      <c r="N27" s="539" t="s">
        <v>156</v>
      </c>
      <c r="O27" s="539" t="s">
        <v>571</v>
      </c>
      <c r="P27" s="539"/>
      <c r="Q27" s="539"/>
      <c r="R27" s="539"/>
      <c r="S27" s="539"/>
      <c r="T27" s="540" t="s">
        <v>166</v>
      </c>
      <c r="U27" s="545">
        <v>11</v>
      </c>
      <c r="V27" s="546">
        <v>2</v>
      </c>
      <c r="W27" s="546">
        <v>3</v>
      </c>
      <c r="X27" s="546">
        <v>3</v>
      </c>
      <c r="Y27" s="546">
        <v>3</v>
      </c>
      <c r="Z27" s="541" t="s">
        <v>890</v>
      </c>
      <c r="AA27" s="538">
        <v>320000000</v>
      </c>
      <c r="AB27" s="775" t="s">
        <v>867</v>
      </c>
      <c r="AC27" s="542" t="s">
        <v>868</v>
      </c>
      <c r="AD27" s="543">
        <v>2</v>
      </c>
      <c r="AE27" s="543">
        <v>3</v>
      </c>
      <c r="AF27" s="543">
        <v>3</v>
      </c>
      <c r="AG27" s="543">
        <v>3</v>
      </c>
      <c r="AH27" s="536">
        <f t="shared" si="0"/>
        <v>320000000</v>
      </c>
      <c r="AI27" s="536">
        <v>320000000</v>
      </c>
      <c r="AJ27" s="537"/>
      <c r="AK27" s="536">
        <v>0</v>
      </c>
      <c r="AL27" s="536"/>
      <c r="AM27" s="536">
        <f t="shared" si="1"/>
        <v>320000000</v>
      </c>
      <c r="AN27" s="536">
        <v>94696430</v>
      </c>
      <c r="AO27" s="537">
        <f>171692094-AN27</f>
        <v>76995664</v>
      </c>
      <c r="AP27" s="553">
        <f>291002356-AN27-AO27</f>
        <v>119310262</v>
      </c>
      <c r="AQ27" s="651">
        <f>320000000-AP27-AO27-AN27</f>
        <v>28997644</v>
      </c>
      <c r="AR27" s="312"/>
    </row>
    <row r="28" spans="1:44" ht="105" customHeight="1" x14ac:dyDescent="0.25">
      <c r="A28" s="221" t="s">
        <v>889</v>
      </c>
      <c r="B28" s="211" t="s">
        <v>159</v>
      </c>
      <c r="C28" s="230" t="s">
        <v>844</v>
      </c>
      <c r="D28" s="211" t="s">
        <v>1007</v>
      </c>
      <c r="E28" s="726" t="s">
        <v>1248</v>
      </c>
      <c r="F28" s="234" t="s">
        <v>179</v>
      </c>
      <c r="G28" s="211" t="s">
        <v>1008</v>
      </c>
      <c r="H28" s="211" t="s">
        <v>1011</v>
      </c>
      <c r="I28" s="211" t="s">
        <v>1009</v>
      </c>
      <c r="J28" s="211" t="s">
        <v>1012</v>
      </c>
      <c r="K28" s="249" t="s">
        <v>1057</v>
      </c>
      <c r="L28" s="775">
        <v>0</v>
      </c>
      <c r="M28" s="539" t="s">
        <v>165</v>
      </c>
      <c r="N28" s="539" t="s">
        <v>156</v>
      </c>
      <c r="O28" s="539" t="s">
        <v>571</v>
      </c>
      <c r="P28" s="539"/>
      <c r="Q28" s="539"/>
      <c r="R28" s="539"/>
      <c r="S28" s="539"/>
      <c r="T28" s="540" t="s">
        <v>166</v>
      </c>
      <c r="U28" s="545">
        <v>2521</v>
      </c>
      <c r="V28" s="847">
        <v>577</v>
      </c>
      <c r="W28" s="847">
        <v>577</v>
      </c>
      <c r="X28" s="847">
        <v>577</v>
      </c>
      <c r="Y28" s="847">
        <v>577</v>
      </c>
      <c r="Z28" s="546"/>
      <c r="AA28" s="539">
        <v>0</v>
      </c>
      <c r="AB28" s="775"/>
      <c r="AC28" s="540"/>
      <c r="AD28" s="791">
        <v>290</v>
      </c>
      <c r="AE28" s="791">
        <v>420</v>
      </c>
      <c r="AF28" s="791">
        <v>253</v>
      </c>
      <c r="AG28" s="543">
        <v>602</v>
      </c>
      <c r="AH28" s="536">
        <f t="shared" si="0"/>
        <v>0</v>
      </c>
      <c r="AI28" s="536">
        <v>0</v>
      </c>
      <c r="AJ28" s="536">
        <v>0</v>
      </c>
      <c r="AK28" s="536"/>
      <c r="AL28" s="536"/>
      <c r="AM28" s="536">
        <f t="shared" si="1"/>
        <v>0</v>
      </c>
      <c r="AN28" s="536">
        <v>0</v>
      </c>
      <c r="AO28" s="536">
        <v>0</v>
      </c>
      <c r="AP28" s="544"/>
      <c r="AQ28" s="544"/>
    </row>
    <row r="29" spans="1:44" ht="105" customHeight="1" x14ac:dyDescent="0.25">
      <c r="A29" s="221" t="s">
        <v>889</v>
      </c>
      <c r="B29" s="211" t="s">
        <v>159</v>
      </c>
      <c r="C29" s="230" t="s">
        <v>844</v>
      </c>
      <c r="D29" s="211" t="s">
        <v>1013</v>
      </c>
      <c r="E29" s="726" t="s">
        <v>1248</v>
      </c>
      <c r="F29" s="446" t="s">
        <v>170</v>
      </c>
      <c r="G29" s="239" t="s">
        <v>1014</v>
      </c>
      <c r="H29" s="211" t="s">
        <v>1016</v>
      </c>
      <c r="I29" s="239" t="s">
        <v>1017</v>
      </c>
      <c r="J29" s="211" t="s">
        <v>1018</v>
      </c>
      <c r="K29" s="250" t="s">
        <v>1058</v>
      </c>
      <c r="L29" s="124">
        <v>34000000</v>
      </c>
      <c r="M29" s="555" t="s">
        <v>172</v>
      </c>
      <c r="N29" s="556" t="s">
        <v>156</v>
      </c>
      <c r="O29" s="539" t="s">
        <v>571</v>
      </c>
      <c r="P29" s="555"/>
      <c r="Q29" s="555"/>
      <c r="R29" s="555"/>
      <c r="S29" s="555"/>
      <c r="T29" s="540" t="s">
        <v>166</v>
      </c>
      <c r="U29" s="545">
        <v>525</v>
      </c>
      <c r="V29" s="545">
        <v>130</v>
      </c>
      <c r="W29" s="545">
        <v>132</v>
      </c>
      <c r="X29" s="545">
        <v>132</v>
      </c>
      <c r="Y29" s="545">
        <v>131</v>
      </c>
      <c r="Z29" s="557" t="s">
        <v>576</v>
      </c>
      <c r="AA29" s="124">
        <v>34000000</v>
      </c>
      <c r="AB29" s="775" t="s">
        <v>867</v>
      </c>
      <c r="AC29" s="542" t="s">
        <v>868</v>
      </c>
      <c r="AD29" s="534">
        <v>123</v>
      </c>
      <c r="AE29" s="534">
        <v>112</v>
      </c>
      <c r="AF29" s="534">
        <v>159</v>
      </c>
      <c r="AG29" s="543">
        <v>131</v>
      </c>
      <c r="AH29" s="536">
        <f t="shared" si="0"/>
        <v>34000000</v>
      </c>
      <c r="AI29" s="536">
        <v>0</v>
      </c>
      <c r="AJ29" s="558">
        <v>34000000</v>
      </c>
      <c r="AK29" s="536">
        <v>0</v>
      </c>
      <c r="AL29" s="536"/>
      <c r="AM29" s="536">
        <f t="shared" si="1"/>
        <v>33693822</v>
      </c>
      <c r="AN29" s="536">
        <v>0</v>
      </c>
      <c r="AO29" s="536">
        <v>0</v>
      </c>
      <c r="AP29" s="536">
        <v>17000000</v>
      </c>
      <c r="AQ29" s="824">
        <v>16693822</v>
      </c>
    </row>
    <row r="30" spans="1:44" ht="105" customHeight="1" x14ac:dyDescent="0.25">
      <c r="A30" s="221" t="s">
        <v>889</v>
      </c>
      <c r="B30" s="211" t="s">
        <v>159</v>
      </c>
      <c r="C30" s="230" t="s">
        <v>844</v>
      </c>
      <c r="D30" s="211" t="s">
        <v>1013</v>
      </c>
      <c r="E30" s="726" t="s">
        <v>1248</v>
      </c>
      <c r="F30" s="125" t="s">
        <v>170</v>
      </c>
      <c r="G30" s="239" t="s">
        <v>1014</v>
      </c>
      <c r="H30" s="211" t="s">
        <v>1016</v>
      </c>
      <c r="I30" s="239" t="s">
        <v>1017</v>
      </c>
      <c r="J30" s="211" t="s">
        <v>1018</v>
      </c>
      <c r="K30" s="250" t="s">
        <v>1058</v>
      </c>
      <c r="L30" s="145">
        <v>16000000</v>
      </c>
      <c r="M30" s="555" t="s">
        <v>173</v>
      </c>
      <c r="N30" s="556" t="s">
        <v>156</v>
      </c>
      <c r="O30" s="539" t="s">
        <v>571</v>
      </c>
      <c r="P30" s="555"/>
      <c r="Q30" s="555"/>
      <c r="R30" s="555"/>
      <c r="S30" s="555"/>
      <c r="T30" s="540" t="s">
        <v>166</v>
      </c>
      <c r="U30" s="545">
        <v>8000</v>
      </c>
      <c r="V30" s="545">
        <v>2000</v>
      </c>
      <c r="W30" s="545">
        <v>2000</v>
      </c>
      <c r="X30" s="545">
        <v>2000</v>
      </c>
      <c r="Y30" s="545">
        <v>2000</v>
      </c>
      <c r="Z30" s="557" t="s">
        <v>576</v>
      </c>
      <c r="AA30" s="145">
        <v>16000000</v>
      </c>
      <c r="AB30" s="775" t="s">
        <v>867</v>
      </c>
      <c r="AC30" s="542" t="s">
        <v>868</v>
      </c>
      <c r="AD30" s="534">
        <v>0</v>
      </c>
      <c r="AE30" s="543">
        <v>0</v>
      </c>
      <c r="AF30" s="543">
        <v>0</v>
      </c>
      <c r="AG30" s="543" t="s">
        <v>1264</v>
      </c>
      <c r="AH30" s="536">
        <f t="shared" si="0"/>
        <v>14931000</v>
      </c>
      <c r="AI30" s="536">
        <v>0</v>
      </c>
      <c r="AJ30" s="536">
        <v>0</v>
      </c>
      <c r="AK30" s="536">
        <v>14931000</v>
      </c>
      <c r="AL30" s="536">
        <v>0</v>
      </c>
      <c r="AM30" s="536">
        <f t="shared" si="1"/>
        <v>13108284</v>
      </c>
      <c r="AN30" s="536">
        <v>0</v>
      </c>
      <c r="AO30" s="536">
        <v>0</v>
      </c>
      <c r="AP30" s="544"/>
      <c r="AQ30" s="824">
        <v>13108284</v>
      </c>
    </row>
    <row r="31" spans="1:44" ht="105" customHeight="1" x14ac:dyDescent="0.25">
      <c r="A31" s="221" t="s">
        <v>889</v>
      </c>
      <c r="B31" s="211" t="s">
        <v>159</v>
      </c>
      <c r="C31" s="230" t="s">
        <v>844</v>
      </c>
      <c r="D31" s="211" t="s">
        <v>1013</v>
      </c>
      <c r="E31" s="726" t="s">
        <v>1248</v>
      </c>
      <c r="F31" s="125" t="s">
        <v>170</v>
      </c>
      <c r="G31" s="239" t="s">
        <v>1014</v>
      </c>
      <c r="H31" s="211" t="s">
        <v>1016</v>
      </c>
      <c r="I31" s="239" t="s">
        <v>1017</v>
      </c>
      <c r="J31" s="211" t="s">
        <v>1018</v>
      </c>
      <c r="K31" s="250" t="s">
        <v>1058</v>
      </c>
      <c r="L31" s="145">
        <v>90000000</v>
      </c>
      <c r="M31" s="559" t="s">
        <v>174</v>
      </c>
      <c r="N31" s="556" t="s">
        <v>156</v>
      </c>
      <c r="O31" s="560" t="s">
        <v>572</v>
      </c>
      <c r="P31" s="561"/>
      <c r="Q31" s="561"/>
      <c r="R31" s="561"/>
      <c r="S31" s="561"/>
      <c r="T31" s="540" t="s">
        <v>166</v>
      </c>
      <c r="U31" s="545">
        <v>1</v>
      </c>
      <c r="V31" s="545">
        <v>0</v>
      </c>
      <c r="W31" s="545">
        <v>0</v>
      </c>
      <c r="X31" s="545">
        <v>0</v>
      </c>
      <c r="Y31" s="545">
        <v>1</v>
      </c>
      <c r="Z31" s="557" t="s">
        <v>576</v>
      </c>
      <c r="AA31" s="145">
        <v>30000000</v>
      </c>
      <c r="AB31" s="775" t="s">
        <v>867</v>
      </c>
      <c r="AC31" s="542" t="s">
        <v>868</v>
      </c>
      <c r="AD31" s="534">
        <v>0</v>
      </c>
      <c r="AE31" s="543">
        <v>0</v>
      </c>
      <c r="AF31" s="543">
        <v>0</v>
      </c>
      <c r="AG31" s="543">
        <v>1</v>
      </c>
      <c r="AH31" s="536">
        <f t="shared" si="0"/>
        <v>30000000</v>
      </c>
      <c r="AI31" s="536">
        <v>0</v>
      </c>
      <c r="AJ31" s="536">
        <v>0</v>
      </c>
      <c r="AK31" s="536">
        <v>30000000</v>
      </c>
      <c r="AL31" s="536">
        <v>0</v>
      </c>
      <c r="AM31" s="536">
        <f t="shared" si="1"/>
        <v>30000000</v>
      </c>
      <c r="AN31" s="536">
        <v>0</v>
      </c>
      <c r="AO31" s="536">
        <v>0</v>
      </c>
      <c r="AP31" s="536">
        <v>0</v>
      </c>
      <c r="AQ31" s="824">
        <v>30000000</v>
      </c>
    </row>
    <row r="32" spans="1:44" ht="105" customHeight="1" x14ac:dyDescent="0.25">
      <c r="A32" s="221" t="s">
        <v>889</v>
      </c>
      <c r="B32" s="211" t="s">
        <v>159</v>
      </c>
      <c r="C32" s="230" t="s">
        <v>844</v>
      </c>
      <c r="D32" s="211" t="s">
        <v>1013</v>
      </c>
      <c r="E32" s="726" t="s">
        <v>1248</v>
      </c>
      <c r="F32" s="125" t="s">
        <v>170</v>
      </c>
      <c r="G32" s="239" t="s">
        <v>1014</v>
      </c>
      <c r="H32" s="211" t="s">
        <v>1016</v>
      </c>
      <c r="I32" s="239" t="s">
        <v>1017</v>
      </c>
      <c r="J32" s="211" t="s">
        <v>1018</v>
      </c>
      <c r="K32" s="250" t="s">
        <v>1058</v>
      </c>
      <c r="L32" s="145">
        <v>101677000</v>
      </c>
      <c r="M32" s="559" t="s">
        <v>175</v>
      </c>
      <c r="N32" s="556" t="s">
        <v>156</v>
      </c>
      <c r="O32" s="539" t="s">
        <v>1175</v>
      </c>
      <c r="P32" s="561"/>
      <c r="Q32" s="561"/>
      <c r="R32" s="561"/>
      <c r="S32" s="561"/>
      <c r="T32" s="540" t="s">
        <v>166</v>
      </c>
      <c r="U32" s="545">
        <v>1</v>
      </c>
      <c r="V32" s="545">
        <v>0.25</v>
      </c>
      <c r="W32" s="545">
        <v>0.25</v>
      </c>
      <c r="X32" s="545">
        <v>0.25</v>
      </c>
      <c r="Y32" s="545">
        <v>0.25</v>
      </c>
      <c r="Z32" s="557" t="s">
        <v>577</v>
      </c>
      <c r="AA32" s="869">
        <v>161677000</v>
      </c>
      <c r="AB32" s="775" t="s">
        <v>867</v>
      </c>
      <c r="AC32" s="542" t="s">
        <v>868</v>
      </c>
      <c r="AD32" s="545">
        <v>0.25</v>
      </c>
      <c r="AE32" s="545">
        <v>0.25</v>
      </c>
      <c r="AF32" s="545">
        <v>0.25</v>
      </c>
      <c r="AG32" s="543">
        <v>0.25</v>
      </c>
      <c r="AH32" s="536">
        <f t="shared" si="0"/>
        <v>141331699</v>
      </c>
      <c r="AI32" s="562">
        <v>18802876</v>
      </c>
      <c r="AJ32" s="563">
        <v>21047681</v>
      </c>
      <c r="AK32" s="536">
        <f>119362125-17880983</f>
        <v>101481142</v>
      </c>
      <c r="AL32" s="536"/>
      <c r="AM32" s="536">
        <f t="shared" si="1"/>
        <v>128453017</v>
      </c>
      <c r="AN32" s="562">
        <v>16552805</v>
      </c>
      <c r="AO32" s="562">
        <v>18435802</v>
      </c>
      <c r="AP32" s="574">
        <v>30685263</v>
      </c>
      <c r="AQ32" s="824">
        <v>62779147</v>
      </c>
    </row>
    <row r="33" spans="1:43" ht="105" customHeight="1" x14ac:dyDescent="0.25">
      <c r="A33" s="221" t="s">
        <v>889</v>
      </c>
      <c r="B33" s="211" t="s">
        <v>159</v>
      </c>
      <c r="C33" s="230" t="s">
        <v>844</v>
      </c>
      <c r="D33" s="211" t="s">
        <v>1013</v>
      </c>
      <c r="E33" s="726" t="s">
        <v>1248</v>
      </c>
      <c r="F33" s="232" t="s">
        <v>170</v>
      </c>
      <c r="G33" s="239" t="s">
        <v>1014</v>
      </c>
      <c r="H33" s="211" t="s">
        <v>1016</v>
      </c>
      <c r="I33" s="239" t="s">
        <v>1017</v>
      </c>
      <c r="J33" s="211" t="s">
        <v>1018</v>
      </c>
      <c r="K33" s="250" t="s">
        <v>1058</v>
      </c>
      <c r="L33" s="146">
        <v>2000000</v>
      </c>
      <c r="M33" s="565" t="s">
        <v>176</v>
      </c>
      <c r="N33" s="556" t="s">
        <v>156</v>
      </c>
      <c r="O33" s="539" t="s">
        <v>1176</v>
      </c>
      <c r="P33" s="566"/>
      <c r="Q33" s="566"/>
      <c r="R33" s="566"/>
      <c r="S33" s="566"/>
      <c r="T33" s="540" t="s">
        <v>166</v>
      </c>
      <c r="U33" s="545">
        <v>1</v>
      </c>
      <c r="V33" s="545">
        <v>0.25</v>
      </c>
      <c r="W33" s="545">
        <v>0.25</v>
      </c>
      <c r="X33" s="545">
        <v>0.25</v>
      </c>
      <c r="Y33" s="545">
        <v>0.25</v>
      </c>
      <c r="Z33" s="557" t="s">
        <v>578</v>
      </c>
      <c r="AA33" s="870">
        <v>2000000</v>
      </c>
      <c r="AB33" s="775" t="s">
        <v>190</v>
      </c>
      <c r="AC33" s="540" t="s">
        <v>579</v>
      </c>
      <c r="AD33" s="543">
        <v>0</v>
      </c>
      <c r="AE33" s="543">
        <v>0</v>
      </c>
      <c r="AF33" s="543">
        <v>0</v>
      </c>
      <c r="AG33" s="543">
        <v>0</v>
      </c>
      <c r="AH33" s="536">
        <f t="shared" si="0"/>
        <v>0</v>
      </c>
      <c r="AI33" s="536">
        <v>0</v>
      </c>
      <c r="AJ33" s="536">
        <v>0</v>
      </c>
      <c r="AK33" s="536"/>
      <c r="AL33" s="536"/>
      <c r="AM33" s="536">
        <f t="shared" si="1"/>
        <v>0</v>
      </c>
      <c r="AN33" s="536">
        <v>0</v>
      </c>
      <c r="AO33" s="536">
        <v>0</v>
      </c>
      <c r="AP33" s="544"/>
      <c r="AQ33" s="824"/>
    </row>
    <row r="34" spans="1:43" ht="105" customHeight="1" x14ac:dyDescent="0.25">
      <c r="A34" s="116" t="s">
        <v>889</v>
      </c>
      <c r="B34" s="116" t="s">
        <v>263</v>
      </c>
      <c r="C34" s="368" t="s">
        <v>846</v>
      </c>
      <c r="D34" s="116" t="s">
        <v>916</v>
      </c>
      <c r="E34" s="726" t="s">
        <v>1248</v>
      </c>
      <c r="F34" s="367" t="s">
        <v>184</v>
      </c>
      <c r="G34" s="372" t="s">
        <v>919</v>
      </c>
      <c r="H34" s="116" t="s">
        <v>925</v>
      </c>
      <c r="I34" s="373" t="s">
        <v>932</v>
      </c>
      <c r="J34" s="368" t="s">
        <v>930</v>
      </c>
      <c r="K34" s="373" t="s">
        <v>1059</v>
      </c>
      <c r="L34" s="128">
        <v>813420000</v>
      </c>
      <c r="M34" s="876" t="s">
        <v>1265</v>
      </c>
      <c r="N34" s="843" t="s">
        <v>156</v>
      </c>
      <c r="O34" s="844" t="s">
        <v>1152</v>
      </c>
      <c r="P34" s="845"/>
      <c r="Q34" s="845"/>
      <c r="R34" s="845"/>
      <c r="S34" s="845"/>
      <c r="T34" s="815" t="s">
        <v>166</v>
      </c>
      <c r="U34" s="815">
        <v>12</v>
      </c>
      <c r="V34" s="815">
        <v>1</v>
      </c>
      <c r="W34" s="815">
        <v>0</v>
      </c>
      <c r="X34" s="815">
        <v>0</v>
      </c>
      <c r="Y34" s="815">
        <v>0</v>
      </c>
      <c r="Z34" s="572" t="s">
        <v>580</v>
      </c>
      <c r="AA34" s="128">
        <v>813420000</v>
      </c>
      <c r="AB34" s="775" t="s">
        <v>867</v>
      </c>
      <c r="AC34" s="542" t="s">
        <v>868</v>
      </c>
      <c r="AD34" s="806">
        <v>1</v>
      </c>
      <c r="AE34" s="806">
        <v>0</v>
      </c>
      <c r="AF34" s="793">
        <v>0</v>
      </c>
      <c r="AG34" s="791">
        <v>0</v>
      </c>
      <c r="AH34" s="536">
        <f t="shared" si="0"/>
        <v>812813074</v>
      </c>
      <c r="AI34" s="562">
        <v>573209294</v>
      </c>
      <c r="AJ34" s="573">
        <v>75187358</v>
      </c>
      <c r="AK34" s="574">
        <v>157545173</v>
      </c>
      <c r="AL34" s="536">
        <v>6871249</v>
      </c>
      <c r="AM34" s="536">
        <f>AN34+AO34+AP34+AQ34</f>
        <v>812813074</v>
      </c>
      <c r="AN34" s="562">
        <v>161350541</v>
      </c>
      <c r="AO34" s="573">
        <v>221995802</v>
      </c>
      <c r="AP34" s="574">
        <v>280419426</v>
      </c>
      <c r="AQ34" s="544">
        <v>149047305</v>
      </c>
    </row>
    <row r="35" spans="1:43" ht="105" customHeight="1" x14ac:dyDescent="0.25">
      <c r="A35" s="116" t="s">
        <v>889</v>
      </c>
      <c r="B35" s="116" t="s">
        <v>263</v>
      </c>
      <c r="C35" s="368" t="s">
        <v>846</v>
      </c>
      <c r="D35" s="116" t="s">
        <v>916</v>
      </c>
      <c r="E35" s="726" t="s">
        <v>1248</v>
      </c>
      <c r="F35" s="367" t="s">
        <v>184</v>
      </c>
      <c r="G35" s="372" t="s">
        <v>919</v>
      </c>
      <c r="H35" s="116" t="s">
        <v>925</v>
      </c>
      <c r="I35" s="373" t="s">
        <v>932</v>
      </c>
      <c r="J35" s="368" t="s">
        <v>930</v>
      </c>
      <c r="K35" s="373" t="s">
        <v>1059</v>
      </c>
      <c r="L35" s="128">
        <v>245363000</v>
      </c>
      <c r="M35" s="877" t="s">
        <v>180</v>
      </c>
      <c r="N35" s="568" t="s">
        <v>156</v>
      </c>
      <c r="O35" s="569" t="s">
        <v>1152</v>
      </c>
      <c r="P35" s="575"/>
      <c r="Q35" s="575"/>
      <c r="R35" s="575"/>
      <c r="S35" s="575"/>
      <c r="T35" s="571" t="s">
        <v>166</v>
      </c>
      <c r="U35" s="571">
        <v>12</v>
      </c>
      <c r="V35" s="571">
        <v>3</v>
      </c>
      <c r="W35" s="571">
        <v>3</v>
      </c>
      <c r="X35" s="571">
        <v>3</v>
      </c>
      <c r="Y35" s="571">
        <v>3</v>
      </c>
      <c r="Z35" s="572" t="s">
        <v>581</v>
      </c>
      <c r="AA35" s="128">
        <v>245363000</v>
      </c>
      <c r="AB35" s="775" t="s">
        <v>190</v>
      </c>
      <c r="AC35" s="542" t="s">
        <v>623</v>
      </c>
      <c r="AD35" s="551">
        <v>3</v>
      </c>
      <c r="AE35" s="551">
        <v>3</v>
      </c>
      <c r="AF35" s="543">
        <v>3</v>
      </c>
      <c r="AG35" s="543">
        <v>3</v>
      </c>
      <c r="AH35" s="536">
        <f t="shared" si="0"/>
        <v>233345708</v>
      </c>
      <c r="AI35" s="536">
        <v>49594481</v>
      </c>
      <c r="AJ35" s="536">
        <v>51669872</v>
      </c>
      <c r="AK35" s="576">
        <v>62427620</v>
      </c>
      <c r="AL35" s="536">
        <v>69653735</v>
      </c>
      <c r="AM35" s="536">
        <f t="shared" si="1"/>
        <v>233345708</v>
      </c>
      <c r="AN35" s="536">
        <v>44654394</v>
      </c>
      <c r="AO35" s="536">
        <v>47905002</v>
      </c>
      <c r="AP35" s="574">
        <v>69623407</v>
      </c>
      <c r="AQ35" s="544">
        <v>71162905</v>
      </c>
    </row>
    <row r="36" spans="1:43" ht="105" customHeight="1" x14ac:dyDescent="0.25">
      <c r="A36" s="221" t="s">
        <v>889</v>
      </c>
      <c r="B36" s="222" t="s">
        <v>263</v>
      </c>
      <c r="C36" s="211" t="s">
        <v>846</v>
      </c>
      <c r="D36" s="211" t="s">
        <v>916</v>
      </c>
      <c r="E36" s="726" t="s">
        <v>1248</v>
      </c>
      <c r="F36" s="114" t="s">
        <v>184</v>
      </c>
      <c r="G36" s="213" t="s">
        <v>919</v>
      </c>
      <c r="H36" s="211" t="s">
        <v>925</v>
      </c>
      <c r="I36" s="213" t="s">
        <v>932</v>
      </c>
      <c r="J36" s="211" t="s">
        <v>930</v>
      </c>
      <c r="K36" s="213" t="s">
        <v>1059</v>
      </c>
      <c r="L36" s="463">
        <v>70000000</v>
      </c>
      <c r="M36" s="559" t="s">
        <v>588</v>
      </c>
      <c r="N36" s="556" t="s">
        <v>156</v>
      </c>
      <c r="O36" s="569" t="s">
        <v>587</v>
      </c>
      <c r="P36" s="561"/>
      <c r="Q36" s="561"/>
      <c r="R36" s="561"/>
      <c r="S36" s="561"/>
      <c r="T36" s="545" t="s">
        <v>166</v>
      </c>
      <c r="U36" s="545">
        <v>1</v>
      </c>
      <c r="V36" s="545">
        <v>0</v>
      </c>
      <c r="W36" s="545">
        <v>0</v>
      </c>
      <c r="X36" s="545">
        <v>1</v>
      </c>
      <c r="Y36" s="545">
        <v>0</v>
      </c>
      <c r="Z36" s="572" t="s">
        <v>583</v>
      </c>
      <c r="AA36" s="848">
        <v>80000000</v>
      </c>
      <c r="AB36" s="775" t="s">
        <v>190</v>
      </c>
      <c r="AC36" s="540" t="s">
        <v>579</v>
      </c>
      <c r="AD36" s="543">
        <v>0</v>
      </c>
      <c r="AE36" s="543">
        <v>0</v>
      </c>
      <c r="AF36" s="543">
        <v>1</v>
      </c>
      <c r="AG36" s="543">
        <v>0</v>
      </c>
      <c r="AH36" s="536">
        <f t="shared" si="0"/>
        <v>78925000</v>
      </c>
      <c r="AI36" s="536">
        <v>0</v>
      </c>
      <c r="AJ36" s="536">
        <v>0</v>
      </c>
      <c r="AK36" s="536"/>
      <c r="AL36" s="536">
        <v>78925000</v>
      </c>
      <c r="AM36" s="536">
        <f t="shared" si="1"/>
        <v>78925000</v>
      </c>
      <c r="AN36" s="536">
        <v>0</v>
      </c>
      <c r="AO36" s="536">
        <v>0</v>
      </c>
      <c r="AP36" s="536">
        <v>0</v>
      </c>
      <c r="AQ36" s="544">
        <v>78925000</v>
      </c>
    </row>
    <row r="37" spans="1:43" ht="105" customHeight="1" x14ac:dyDescent="0.25">
      <c r="A37" s="221" t="s">
        <v>889</v>
      </c>
      <c r="B37" s="222" t="s">
        <v>263</v>
      </c>
      <c r="C37" s="211" t="s">
        <v>846</v>
      </c>
      <c r="D37" s="211" t="s">
        <v>916</v>
      </c>
      <c r="E37" s="726" t="s">
        <v>1248</v>
      </c>
      <c r="F37" s="114" t="s">
        <v>184</v>
      </c>
      <c r="G37" s="213" t="s">
        <v>919</v>
      </c>
      <c r="H37" s="211" t="s">
        <v>925</v>
      </c>
      <c r="I37" s="213" t="s">
        <v>932</v>
      </c>
      <c r="J37" s="211" t="s">
        <v>931</v>
      </c>
      <c r="K37" s="213" t="s">
        <v>1059</v>
      </c>
      <c r="L37" s="463">
        <v>1398808</v>
      </c>
      <c r="M37" s="559" t="s">
        <v>582</v>
      </c>
      <c r="N37" s="556" t="s">
        <v>156</v>
      </c>
      <c r="O37" s="561" t="s">
        <v>772</v>
      </c>
      <c r="P37" s="561"/>
      <c r="Q37" s="561"/>
      <c r="R37" s="561"/>
      <c r="S37" s="561"/>
      <c r="T37" s="545" t="s">
        <v>166</v>
      </c>
      <c r="U37" s="545">
        <v>1</v>
      </c>
      <c r="V37" s="545">
        <v>0</v>
      </c>
      <c r="W37" s="545">
        <v>0</v>
      </c>
      <c r="X37" s="545">
        <v>0</v>
      </c>
      <c r="Y37" s="545">
        <v>1</v>
      </c>
      <c r="Z37" s="572" t="s">
        <v>1227</v>
      </c>
      <c r="AA37" s="463">
        <v>1398808</v>
      </c>
      <c r="AB37" s="775" t="s">
        <v>454</v>
      </c>
      <c r="AC37" s="540" t="s">
        <v>454</v>
      </c>
      <c r="AD37" s="543">
        <v>0</v>
      </c>
      <c r="AE37" s="543">
        <v>0</v>
      </c>
      <c r="AF37" s="543">
        <v>0</v>
      </c>
      <c r="AG37" s="543">
        <v>1</v>
      </c>
      <c r="AH37" s="536">
        <f t="shared" si="0"/>
        <v>1398808</v>
      </c>
      <c r="AI37" s="536">
        <v>0</v>
      </c>
      <c r="AJ37" s="536">
        <v>0</v>
      </c>
      <c r="AK37" s="537">
        <v>1398808</v>
      </c>
      <c r="AL37" s="536">
        <v>0</v>
      </c>
      <c r="AM37" s="536">
        <f t="shared" si="1"/>
        <v>1398808</v>
      </c>
      <c r="AN37" s="536">
        <v>0</v>
      </c>
      <c r="AO37" s="536">
        <v>0</v>
      </c>
      <c r="AP37" s="544"/>
      <c r="AQ37" s="544">
        <v>1398808</v>
      </c>
    </row>
    <row r="38" spans="1:43" ht="105" customHeight="1" x14ac:dyDescent="0.25">
      <c r="A38" s="116" t="s">
        <v>889</v>
      </c>
      <c r="B38" s="368" t="s">
        <v>263</v>
      </c>
      <c r="C38" s="368" t="s">
        <v>846</v>
      </c>
      <c r="D38" s="116" t="s">
        <v>916</v>
      </c>
      <c r="E38" s="726" t="s">
        <v>1248</v>
      </c>
      <c r="F38" s="367" t="s">
        <v>184</v>
      </c>
      <c r="G38" s="372" t="s">
        <v>919</v>
      </c>
      <c r="H38" s="116" t="s">
        <v>925</v>
      </c>
      <c r="I38" s="373" t="s">
        <v>932</v>
      </c>
      <c r="J38" s="116" t="s">
        <v>931</v>
      </c>
      <c r="K38" s="373" t="s">
        <v>1059</v>
      </c>
      <c r="L38" s="145">
        <v>100000000</v>
      </c>
      <c r="M38" s="877" t="s">
        <v>182</v>
      </c>
      <c r="N38" s="568" t="s">
        <v>156</v>
      </c>
      <c r="O38" s="578" t="s">
        <v>587</v>
      </c>
      <c r="P38" s="570"/>
      <c r="Q38" s="570"/>
      <c r="R38" s="570"/>
      <c r="S38" s="570"/>
      <c r="T38" s="571" t="s">
        <v>166</v>
      </c>
      <c r="U38" s="571">
        <v>1</v>
      </c>
      <c r="V38" s="571">
        <v>0</v>
      </c>
      <c r="W38" s="571">
        <v>0</v>
      </c>
      <c r="X38" s="571">
        <v>1</v>
      </c>
      <c r="Y38" s="571">
        <v>0</v>
      </c>
      <c r="Z38" s="572" t="s">
        <v>586</v>
      </c>
      <c r="AA38" s="145">
        <v>100000000</v>
      </c>
      <c r="AB38" s="775" t="s">
        <v>867</v>
      </c>
      <c r="AC38" s="542" t="s">
        <v>868</v>
      </c>
      <c r="AD38" s="551">
        <v>0</v>
      </c>
      <c r="AE38" s="551">
        <v>0</v>
      </c>
      <c r="AF38" s="791">
        <v>1</v>
      </c>
      <c r="AG38" s="543">
        <v>0</v>
      </c>
      <c r="AH38" s="536">
        <f t="shared" si="0"/>
        <v>93234894</v>
      </c>
      <c r="AI38" s="536">
        <v>0</v>
      </c>
      <c r="AJ38" s="536">
        <v>0</v>
      </c>
      <c r="AK38" s="536">
        <v>40555200</v>
      </c>
      <c r="AL38" s="536">
        <v>52679694</v>
      </c>
      <c r="AM38" s="536">
        <f t="shared" si="1"/>
        <v>38150176</v>
      </c>
      <c r="AN38" s="536">
        <v>0</v>
      </c>
      <c r="AO38" s="536">
        <v>0</v>
      </c>
      <c r="AP38" s="544"/>
      <c r="AQ38" s="544">
        <v>38150176</v>
      </c>
    </row>
    <row r="39" spans="1:43" ht="105" customHeight="1" x14ac:dyDescent="0.25">
      <c r="A39" s="116" t="s">
        <v>889</v>
      </c>
      <c r="B39" s="368" t="s">
        <v>263</v>
      </c>
      <c r="C39" s="368" t="s">
        <v>846</v>
      </c>
      <c r="D39" s="116" t="s">
        <v>916</v>
      </c>
      <c r="E39" s="726" t="s">
        <v>1248</v>
      </c>
      <c r="F39" s="367" t="s">
        <v>184</v>
      </c>
      <c r="G39" s="372" t="s">
        <v>919</v>
      </c>
      <c r="H39" s="116" t="s">
        <v>925</v>
      </c>
      <c r="I39" s="373" t="s">
        <v>932</v>
      </c>
      <c r="J39" s="116" t="s">
        <v>931</v>
      </c>
      <c r="K39" s="373" t="s">
        <v>1059</v>
      </c>
      <c r="L39" s="145">
        <v>10000000</v>
      </c>
      <c r="M39" s="877" t="s">
        <v>182</v>
      </c>
      <c r="N39" s="568" t="s">
        <v>156</v>
      </c>
      <c r="O39" s="578" t="s">
        <v>587</v>
      </c>
      <c r="P39" s="575"/>
      <c r="Q39" s="575"/>
      <c r="R39" s="575"/>
      <c r="S39" s="575"/>
      <c r="T39" s="571" t="s">
        <v>166</v>
      </c>
      <c r="U39" s="571">
        <v>1</v>
      </c>
      <c r="V39" s="571">
        <v>0</v>
      </c>
      <c r="W39" s="571">
        <v>0</v>
      </c>
      <c r="X39" s="571">
        <v>1</v>
      </c>
      <c r="Y39" s="571">
        <v>0</v>
      </c>
      <c r="Z39" s="572" t="s">
        <v>583</v>
      </c>
      <c r="AA39" s="857">
        <v>0</v>
      </c>
      <c r="AB39" s="775" t="s">
        <v>190</v>
      </c>
      <c r="AC39" s="540" t="s">
        <v>579</v>
      </c>
      <c r="AD39" s="656">
        <v>0</v>
      </c>
      <c r="AE39" s="656">
        <v>0</v>
      </c>
      <c r="AF39" s="543">
        <v>0</v>
      </c>
      <c r="AG39" s="543">
        <v>0</v>
      </c>
      <c r="AH39" s="536">
        <f t="shared" si="0"/>
        <v>0</v>
      </c>
      <c r="AI39" s="536">
        <v>0</v>
      </c>
      <c r="AJ39" s="536">
        <v>0</v>
      </c>
      <c r="AK39" s="536">
        <v>0</v>
      </c>
      <c r="AL39" s="536"/>
      <c r="AM39" s="536">
        <f t="shared" si="1"/>
        <v>0</v>
      </c>
      <c r="AN39" s="536">
        <v>0</v>
      </c>
      <c r="AO39" s="536">
        <v>0</v>
      </c>
      <c r="AP39" s="544"/>
      <c r="AQ39" s="544"/>
    </row>
    <row r="40" spans="1:43" ht="105" customHeight="1" x14ac:dyDescent="0.25">
      <c r="A40" s="116" t="s">
        <v>889</v>
      </c>
      <c r="B40" s="116" t="s">
        <v>159</v>
      </c>
      <c r="C40" s="368" t="s">
        <v>844</v>
      </c>
      <c r="D40" s="372" t="s">
        <v>1019</v>
      </c>
      <c r="E40" s="726" t="s">
        <v>1248</v>
      </c>
      <c r="F40" s="377" t="s">
        <v>189</v>
      </c>
      <c r="G40" s="160" t="s">
        <v>1020</v>
      </c>
      <c r="H40" s="372" t="s">
        <v>1021</v>
      </c>
      <c r="I40" s="378" t="s">
        <v>1022</v>
      </c>
      <c r="J40" s="372" t="s">
        <v>1023</v>
      </c>
      <c r="K40" s="378" t="s">
        <v>1060</v>
      </c>
      <c r="L40" s="145">
        <v>70965000</v>
      </c>
      <c r="M40" s="878" t="s">
        <v>185</v>
      </c>
      <c r="N40" s="568" t="s">
        <v>156</v>
      </c>
      <c r="O40" s="579" t="s">
        <v>1145</v>
      </c>
      <c r="P40" s="580"/>
      <c r="Q40" s="580"/>
      <c r="R40" s="580"/>
      <c r="S40" s="580"/>
      <c r="T40" s="549" t="s">
        <v>166</v>
      </c>
      <c r="U40" s="571">
        <v>1</v>
      </c>
      <c r="V40" s="571">
        <v>1</v>
      </c>
      <c r="W40" s="571">
        <v>0</v>
      </c>
      <c r="X40" s="571">
        <v>0</v>
      </c>
      <c r="Y40" s="571">
        <v>0</v>
      </c>
      <c r="Z40" s="572" t="s">
        <v>589</v>
      </c>
      <c r="AA40" s="145">
        <v>70965000</v>
      </c>
      <c r="AB40" s="775" t="s">
        <v>867</v>
      </c>
      <c r="AC40" s="542" t="s">
        <v>868</v>
      </c>
      <c r="AD40" s="551">
        <v>1</v>
      </c>
      <c r="AE40" s="551">
        <v>0</v>
      </c>
      <c r="AF40" s="543">
        <v>0</v>
      </c>
      <c r="AG40" s="543">
        <v>0</v>
      </c>
      <c r="AH40" s="536">
        <f t="shared" si="0"/>
        <v>70930881</v>
      </c>
      <c r="AI40" s="536">
        <v>15351197</v>
      </c>
      <c r="AJ40" s="536">
        <f>28514161-AI40</f>
        <v>13162964</v>
      </c>
      <c r="AK40" s="536">
        <f>70930881-AJ40-AI40</f>
        <v>42416720</v>
      </c>
      <c r="AL40" s="820">
        <v>0</v>
      </c>
      <c r="AM40" s="536">
        <f t="shared" si="1"/>
        <v>60222881</v>
      </c>
      <c r="AN40" s="536">
        <v>13763123</v>
      </c>
      <c r="AO40" s="536">
        <f>25662687-AN40</f>
        <v>11899564</v>
      </c>
      <c r="AP40" s="574">
        <f>45196612-AN40-AO40</f>
        <v>19533925</v>
      </c>
      <c r="AQ40" s="536">
        <f>60222881-AN40-AO40-AP40</f>
        <v>15026269</v>
      </c>
    </row>
    <row r="41" spans="1:43" ht="105" customHeight="1" x14ac:dyDescent="0.25">
      <c r="A41" s="116" t="s">
        <v>889</v>
      </c>
      <c r="B41" s="116" t="s">
        <v>159</v>
      </c>
      <c r="C41" s="368" t="s">
        <v>844</v>
      </c>
      <c r="D41" s="372" t="s">
        <v>1019</v>
      </c>
      <c r="E41" s="726" t="s">
        <v>1248</v>
      </c>
      <c r="F41" s="377" t="s">
        <v>189</v>
      </c>
      <c r="G41" s="160" t="s">
        <v>1020</v>
      </c>
      <c r="H41" s="372" t="s">
        <v>1021</v>
      </c>
      <c r="I41" s="378" t="s">
        <v>1022</v>
      </c>
      <c r="J41" s="372" t="s">
        <v>1023</v>
      </c>
      <c r="K41" s="378" t="s">
        <v>1060</v>
      </c>
      <c r="L41" s="145">
        <v>6000000</v>
      </c>
      <c r="M41" s="878" t="s">
        <v>185</v>
      </c>
      <c r="N41" s="568" t="s">
        <v>156</v>
      </c>
      <c r="O41" s="579" t="s">
        <v>1145</v>
      </c>
      <c r="P41" s="581"/>
      <c r="Q41" s="581"/>
      <c r="R41" s="581"/>
      <c r="S41" s="581"/>
      <c r="T41" s="549" t="s">
        <v>166</v>
      </c>
      <c r="U41" s="571">
        <v>1</v>
      </c>
      <c r="V41" s="571">
        <v>1</v>
      </c>
      <c r="W41" s="571">
        <v>0</v>
      </c>
      <c r="X41" s="571">
        <v>0</v>
      </c>
      <c r="Y41" s="571">
        <v>0</v>
      </c>
      <c r="Z41" s="572" t="s">
        <v>590</v>
      </c>
      <c r="AA41" s="145">
        <v>6000000</v>
      </c>
      <c r="AB41" s="775" t="s">
        <v>190</v>
      </c>
      <c r="AC41" s="540" t="s">
        <v>579</v>
      </c>
      <c r="AD41" s="551">
        <v>1</v>
      </c>
      <c r="AE41" s="551">
        <v>0</v>
      </c>
      <c r="AF41" s="543">
        <v>0</v>
      </c>
      <c r="AG41" s="543">
        <v>0</v>
      </c>
      <c r="AH41" s="536">
        <f t="shared" si="0"/>
        <v>0</v>
      </c>
      <c r="AI41" s="536">
        <v>0</v>
      </c>
      <c r="AJ41" s="536">
        <v>0</v>
      </c>
      <c r="AK41" s="536">
        <v>0</v>
      </c>
      <c r="AL41" s="536">
        <v>0</v>
      </c>
      <c r="AM41" s="536">
        <f t="shared" si="1"/>
        <v>0</v>
      </c>
      <c r="AN41" s="536">
        <v>0</v>
      </c>
      <c r="AO41" s="536">
        <v>0</v>
      </c>
      <c r="AP41" s="536">
        <v>0</v>
      </c>
      <c r="AQ41" s="536">
        <v>0</v>
      </c>
    </row>
    <row r="42" spans="1:43" ht="105" customHeight="1" x14ac:dyDescent="0.25">
      <c r="A42" s="221" t="s">
        <v>889</v>
      </c>
      <c r="B42" s="211" t="s">
        <v>159</v>
      </c>
      <c r="C42" s="230" t="s">
        <v>844</v>
      </c>
      <c r="D42" s="211" t="s">
        <v>1019</v>
      </c>
      <c r="E42" s="726" t="s">
        <v>1248</v>
      </c>
      <c r="F42" s="446" t="s">
        <v>189</v>
      </c>
      <c r="G42" s="218" t="s">
        <v>1020</v>
      </c>
      <c r="H42" s="213" t="s">
        <v>1021</v>
      </c>
      <c r="I42" s="218" t="s">
        <v>1022</v>
      </c>
      <c r="J42" s="213" t="s">
        <v>1023</v>
      </c>
      <c r="K42" s="218" t="s">
        <v>1061</v>
      </c>
      <c r="L42" s="124">
        <v>100000000</v>
      </c>
      <c r="M42" s="879" t="s">
        <v>186</v>
      </c>
      <c r="N42" s="556" t="s">
        <v>156</v>
      </c>
      <c r="O42" s="582" t="s">
        <v>1142</v>
      </c>
      <c r="P42" s="583"/>
      <c r="Q42" s="583"/>
      <c r="R42" s="583"/>
      <c r="S42" s="583"/>
      <c r="T42" s="540" t="s">
        <v>166</v>
      </c>
      <c r="U42" s="545">
        <v>1</v>
      </c>
      <c r="V42" s="545">
        <v>0</v>
      </c>
      <c r="W42" s="545">
        <v>0</v>
      </c>
      <c r="X42" s="545">
        <v>1</v>
      </c>
      <c r="Y42" s="545">
        <v>1</v>
      </c>
      <c r="Z42" s="572" t="s">
        <v>591</v>
      </c>
      <c r="AA42" s="124">
        <v>90000000</v>
      </c>
      <c r="AB42" s="775" t="s">
        <v>867</v>
      </c>
      <c r="AC42" s="542" t="s">
        <v>868</v>
      </c>
      <c r="AD42" s="543">
        <v>1</v>
      </c>
      <c r="AE42" s="543">
        <v>0</v>
      </c>
      <c r="AF42" s="543">
        <v>0</v>
      </c>
      <c r="AG42" s="543">
        <v>0</v>
      </c>
      <c r="AH42" s="536">
        <f t="shared" si="0"/>
        <v>90000000</v>
      </c>
      <c r="AI42" s="536">
        <v>0</v>
      </c>
      <c r="AJ42" s="536">
        <v>0</v>
      </c>
      <c r="AK42" s="536"/>
      <c r="AL42" s="818">
        <v>90000000</v>
      </c>
      <c r="AM42" s="536">
        <f t="shared" si="1"/>
        <v>89904136</v>
      </c>
      <c r="AN42" s="536">
        <v>0</v>
      </c>
      <c r="AO42" s="536">
        <v>0</v>
      </c>
      <c r="AP42" s="536">
        <v>0</v>
      </c>
      <c r="AQ42" s="817">
        <v>89904136</v>
      </c>
    </row>
    <row r="43" spans="1:43" ht="105" customHeight="1" x14ac:dyDescent="0.25">
      <c r="A43" s="221" t="s">
        <v>889</v>
      </c>
      <c r="B43" s="211" t="s">
        <v>159</v>
      </c>
      <c r="C43" s="230" t="s">
        <v>844</v>
      </c>
      <c r="D43" s="211" t="s">
        <v>1019</v>
      </c>
      <c r="E43" s="726" t="s">
        <v>1248</v>
      </c>
      <c r="F43" s="446" t="s">
        <v>189</v>
      </c>
      <c r="G43" s="218" t="s">
        <v>1020</v>
      </c>
      <c r="H43" s="213" t="s">
        <v>1021</v>
      </c>
      <c r="I43" s="218" t="s">
        <v>1022</v>
      </c>
      <c r="J43" s="213" t="s">
        <v>1023</v>
      </c>
      <c r="K43" s="218" t="s">
        <v>1060</v>
      </c>
      <c r="L43" s="124">
        <v>250000000</v>
      </c>
      <c r="M43" s="228" t="s">
        <v>187</v>
      </c>
      <c r="N43" s="556" t="s">
        <v>156</v>
      </c>
      <c r="O43" s="582" t="s">
        <v>1146</v>
      </c>
      <c r="P43" s="228"/>
      <c r="Q43" s="228"/>
      <c r="R43" s="228"/>
      <c r="S43" s="228"/>
      <c r="T43" s="540" t="s">
        <v>166</v>
      </c>
      <c r="U43" s="545">
        <v>1</v>
      </c>
      <c r="V43" s="545">
        <v>0</v>
      </c>
      <c r="W43" s="545">
        <v>0</v>
      </c>
      <c r="X43" s="545">
        <v>1</v>
      </c>
      <c r="Y43" s="545">
        <v>0</v>
      </c>
      <c r="Z43" s="572" t="s">
        <v>591</v>
      </c>
      <c r="AA43" s="124">
        <v>260000000</v>
      </c>
      <c r="AB43" s="775" t="s">
        <v>867</v>
      </c>
      <c r="AC43" s="542" t="s">
        <v>868</v>
      </c>
      <c r="AD43" s="543">
        <v>1</v>
      </c>
      <c r="AE43" s="543">
        <v>0</v>
      </c>
      <c r="AF43" s="543">
        <v>0</v>
      </c>
      <c r="AG43" s="543">
        <v>0</v>
      </c>
      <c r="AH43" s="536">
        <f t="shared" si="0"/>
        <v>170000000</v>
      </c>
      <c r="AI43" s="536">
        <v>0</v>
      </c>
      <c r="AJ43" s="536">
        <v>0</v>
      </c>
      <c r="AK43" s="819">
        <v>170000000</v>
      </c>
      <c r="AL43" s="536"/>
      <c r="AM43" s="536">
        <f t="shared" si="1"/>
        <v>170000000</v>
      </c>
      <c r="AN43" s="536">
        <v>0</v>
      </c>
      <c r="AO43" s="536">
        <v>0</v>
      </c>
      <c r="AP43" s="536">
        <v>0</v>
      </c>
      <c r="AQ43" s="818">
        <v>170000000</v>
      </c>
    </row>
    <row r="44" spans="1:43" ht="105" customHeight="1" x14ac:dyDescent="0.25">
      <c r="A44" s="116" t="s">
        <v>889</v>
      </c>
      <c r="B44" s="116" t="s">
        <v>159</v>
      </c>
      <c r="C44" s="116" t="s">
        <v>844</v>
      </c>
      <c r="D44" s="116" t="s">
        <v>1024</v>
      </c>
      <c r="E44" s="726" t="s">
        <v>1248</v>
      </c>
      <c r="F44" s="367" t="s">
        <v>193</v>
      </c>
      <c r="G44" s="378" t="s">
        <v>1025</v>
      </c>
      <c r="H44" s="378" t="s">
        <v>1015</v>
      </c>
      <c r="I44" s="378" t="s">
        <v>1026</v>
      </c>
      <c r="J44" s="378" t="s">
        <v>1027</v>
      </c>
      <c r="K44" s="382" t="s">
        <v>1062</v>
      </c>
      <c r="L44" s="584">
        <v>11697822055</v>
      </c>
      <c r="M44" s="547" t="s">
        <v>194</v>
      </c>
      <c r="N44" s="547" t="s">
        <v>156</v>
      </c>
      <c r="O44" s="585" t="s">
        <v>1160</v>
      </c>
      <c r="P44" s="408"/>
      <c r="Q44" s="408"/>
      <c r="R44" s="408"/>
      <c r="S44" s="408"/>
      <c r="T44" s="549" t="s">
        <v>166</v>
      </c>
      <c r="U44" s="571">
        <v>12</v>
      </c>
      <c r="V44" s="571">
        <v>3</v>
      </c>
      <c r="W44" s="571">
        <v>3</v>
      </c>
      <c r="X44" s="571">
        <v>3</v>
      </c>
      <c r="Y44" s="571">
        <v>3</v>
      </c>
      <c r="Z44" s="586" t="s">
        <v>595</v>
      </c>
      <c r="AA44" s="584">
        <v>11697822055</v>
      </c>
      <c r="AB44" s="775" t="s">
        <v>198</v>
      </c>
      <c r="AC44" s="542" t="s">
        <v>194</v>
      </c>
      <c r="AD44" s="551">
        <v>2</v>
      </c>
      <c r="AE44" s="551">
        <v>2</v>
      </c>
      <c r="AF44" s="543">
        <v>1</v>
      </c>
      <c r="AG44" s="543">
        <v>1</v>
      </c>
      <c r="AH44" s="536">
        <f t="shared" si="0"/>
        <v>5539722179</v>
      </c>
      <c r="AI44" s="536">
        <v>0</v>
      </c>
      <c r="AJ44" s="536">
        <v>0</v>
      </c>
      <c r="AK44" s="536">
        <v>2969884968</v>
      </c>
      <c r="AL44" s="536">
        <v>2569837211</v>
      </c>
      <c r="AM44" s="536">
        <f>SUBTOTAL(9,AN44:AQ44)</f>
        <v>5386288955</v>
      </c>
      <c r="AN44" s="536" t="s">
        <v>1266</v>
      </c>
      <c r="AO44" s="536">
        <v>0</v>
      </c>
      <c r="AP44" s="536">
        <v>2754076176</v>
      </c>
      <c r="AQ44" s="536">
        <f>5386288955-AP44</f>
        <v>2632212779</v>
      </c>
    </row>
    <row r="45" spans="1:43" ht="105" customHeight="1" x14ac:dyDescent="0.25">
      <c r="A45" s="116" t="s">
        <v>889</v>
      </c>
      <c r="B45" s="116" t="s">
        <v>159</v>
      </c>
      <c r="C45" s="116" t="s">
        <v>844</v>
      </c>
      <c r="D45" s="116" t="s">
        <v>1024</v>
      </c>
      <c r="E45" s="726" t="s">
        <v>1248</v>
      </c>
      <c r="F45" s="367" t="s">
        <v>193</v>
      </c>
      <c r="G45" s="378" t="s">
        <v>1025</v>
      </c>
      <c r="H45" s="378" t="s">
        <v>1015</v>
      </c>
      <c r="I45" s="378" t="s">
        <v>1026</v>
      </c>
      <c r="J45" s="378" t="s">
        <v>1027</v>
      </c>
      <c r="K45" s="382" t="s">
        <v>1062</v>
      </c>
      <c r="L45" s="768">
        <v>6578065155</v>
      </c>
      <c r="M45" s="547" t="s">
        <v>194</v>
      </c>
      <c r="N45" s="547" t="s">
        <v>156</v>
      </c>
      <c r="O45" s="585" t="s">
        <v>1160</v>
      </c>
      <c r="P45" s="587"/>
      <c r="Q45" s="587"/>
      <c r="R45" s="587"/>
      <c r="S45" s="587"/>
      <c r="T45" s="549" t="s">
        <v>166</v>
      </c>
      <c r="U45" s="571">
        <v>12</v>
      </c>
      <c r="V45" s="571">
        <v>3</v>
      </c>
      <c r="W45" s="571">
        <v>3</v>
      </c>
      <c r="X45" s="571">
        <v>3</v>
      </c>
      <c r="Y45" s="571">
        <v>3</v>
      </c>
      <c r="Z45" s="586" t="s">
        <v>594</v>
      </c>
      <c r="AA45" s="768">
        <v>6578065155</v>
      </c>
      <c r="AB45" s="775" t="s">
        <v>198</v>
      </c>
      <c r="AC45" s="588" t="s">
        <v>194</v>
      </c>
      <c r="AD45" s="551">
        <v>2</v>
      </c>
      <c r="AE45" s="551">
        <v>2</v>
      </c>
      <c r="AF45" s="543">
        <v>1</v>
      </c>
      <c r="AG45" s="543">
        <v>1</v>
      </c>
      <c r="AH45" s="536">
        <f t="shared" si="0"/>
        <v>1946372507</v>
      </c>
      <c r="AI45" s="589">
        <v>1626371272</v>
      </c>
      <c r="AJ45" s="590">
        <f>583290542-263289307</f>
        <v>320001235</v>
      </c>
      <c r="AK45" s="536"/>
      <c r="AL45" s="536"/>
      <c r="AM45" s="536">
        <f t="shared" si="1"/>
        <v>1946372507</v>
      </c>
      <c r="AN45" s="589">
        <v>1366737760</v>
      </c>
      <c r="AO45" s="589">
        <v>516634746</v>
      </c>
      <c r="AP45" s="574">
        <v>38398710</v>
      </c>
      <c r="AQ45" s="831">
        <f>1946372507-AP45-AO45-AN45</f>
        <v>24601291</v>
      </c>
    </row>
    <row r="46" spans="1:43" ht="105" customHeight="1" x14ac:dyDescent="0.25">
      <c r="A46" s="221" t="s">
        <v>889</v>
      </c>
      <c r="B46" s="211" t="s">
        <v>159</v>
      </c>
      <c r="C46" s="230" t="s">
        <v>844</v>
      </c>
      <c r="D46" s="211" t="s">
        <v>1024</v>
      </c>
      <c r="E46" s="726" t="s">
        <v>1248</v>
      </c>
      <c r="F46" s="229" t="s">
        <v>193</v>
      </c>
      <c r="G46" s="211" t="s">
        <v>1025</v>
      </c>
      <c r="H46" s="211" t="s">
        <v>1015</v>
      </c>
      <c r="I46" s="211" t="s">
        <v>1026</v>
      </c>
      <c r="J46" s="211" t="s">
        <v>1027</v>
      </c>
      <c r="K46" s="250" t="s">
        <v>1062</v>
      </c>
      <c r="L46" s="554">
        <v>400000000</v>
      </c>
      <c r="M46" s="539" t="s">
        <v>195</v>
      </c>
      <c r="N46" s="539" t="s">
        <v>156</v>
      </c>
      <c r="O46" s="539" t="s">
        <v>585</v>
      </c>
      <c r="P46" s="539"/>
      <c r="Q46" s="539"/>
      <c r="R46" s="539"/>
      <c r="S46" s="539"/>
      <c r="T46" s="540" t="s">
        <v>166</v>
      </c>
      <c r="U46" s="545">
        <v>12</v>
      </c>
      <c r="V46" s="545">
        <v>3</v>
      </c>
      <c r="W46" s="545">
        <v>3</v>
      </c>
      <c r="X46" s="545">
        <v>3</v>
      </c>
      <c r="Y46" s="545">
        <v>3</v>
      </c>
      <c r="Z46" s="586" t="s">
        <v>601</v>
      </c>
      <c r="AA46" s="554">
        <v>400000000</v>
      </c>
      <c r="AB46" s="775" t="s">
        <v>198</v>
      </c>
      <c r="AC46" s="588" t="s">
        <v>194</v>
      </c>
      <c r="AD46" s="543">
        <v>3</v>
      </c>
      <c r="AE46" s="543">
        <v>3</v>
      </c>
      <c r="AF46" s="543">
        <v>3</v>
      </c>
      <c r="AG46" s="543">
        <v>3</v>
      </c>
      <c r="AH46" s="536">
        <f t="shared" si="0"/>
        <v>194798594</v>
      </c>
      <c r="AI46" s="536">
        <v>0</v>
      </c>
      <c r="AJ46" s="536">
        <v>0</v>
      </c>
      <c r="AK46" s="536">
        <v>194798594</v>
      </c>
      <c r="AL46" s="536"/>
      <c r="AM46" s="536">
        <f t="shared" si="1"/>
        <v>194798594</v>
      </c>
      <c r="AN46" s="536">
        <v>0</v>
      </c>
      <c r="AO46" s="536">
        <v>0</v>
      </c>
      <c r="AP46" s="544"/>
      <c r="AQ46" s="831">
        <v>194798594</v>
      </c>
    </row>
    <row r="47" spans="1:43" ht="105" customHeight="1" x14ac:dyDescent="0.25">
      <c r="A47" s="116" t="s">
        <v>889</v>
      </c>
      <c r="B47" s="116" t="s">
        <v>159</v>
      </c>
      <c r="C47" s="368" t="s">
        <v>844</v>
      </c>
      <c r="D47" s="116" t="s">
        <v>1024</v>
      </c>
      <c r="E47" s="726" t="s">
        <v>1248</v>
      </c>
      <c r="F47" s="367" t="s">
        <v>193</v>
      </c>
      <c r="G47" s="116" t="s">
        <v>1025</v>
      </c>
      <c r="H47" s="116" t="s">
        <v>1015</v>
      </c>
      <c r="I47" s="368" t="s">
        <v>1026</v>
      </c>
      <c r="J47" s="116" t="s">
        <v>1027</v>
      </c>
      <c r="K47" s="382" t="s">
        <v>1062</v>
      </c>
      <c r="L47" s="584">
        <v>1851881000</v>
      </c>
      <c r="M47" s="547" t="s">
        <v>196</v>
      </c>
      <c r="N47" s="547" t="s">
        <v>156</v>
      </c>
      <c r="O47" s="547" t="s">
        <v>1152</v>
      </c>
      <c r="P47" s="369"/>
      <c r="Q47" s="369"/>
      <c r="R47" s="369"/>
      <c r="S47" s="369"/>
      <c r="T47" s="549" t="s">
        <v>166</v>
      </c>
      <c r="U47" s="571">
        <v>922</v>
      </c>
      <c r="V47" s="571">
        <v>231</v>
      </c>
      <c r="W47" s="571">
        <v>231</v>
      </c>
      <c r="X47" s="571">
        <v>230</v>
      </c>
      <c r="Y47" s="571">
        <v>230</v>
      </c>
      <c r="Z47" s="586" t="s">
        <v>596</v>
      </c>
      <c r="AA47" s="584">
        <v>1851881000</v>
      </c>
      <c r="AB47" s="775" t="s">
        <v>867</v>
      </c>
      <c r="AC47" s="542" t="s">
        <v>868</v>
      </c>
      <c r="AD47" s="551">
        <v>433</v>
      </c>
      <c r="AE47" s="551">
        <v>177</v>
      </c>
      <c r="AF47" s="543">
        <v>359</v>
      </c>
      <c r="AG47" s="543">
        <v>190</v>
      </c>
      <c r="AH47" s="536">
        <f t="shared" si="0"/>
        <v>1723801305</v>
      </c>
      <c r="AI47" s="589">
        <v>283245464</v>
      </c>
      <c r="AJ47" s="590">
        <v>230574447</v>
      </c>
      <c r="AK47" s="536">
        <f>1338061089-128079695</f>
        <v>1209981394</v>
      </c>
      <c r="AL47" s="536"/>
      <c r="AM47" s="536">
        <f t="shared" si="1"/>
        <v>1462490305</v>
      </c>
      <c r="AN47" s="591">
        <v>256722161</v>
      </c>
      <c r="AO47" s="591">
        <v>203903699</v>
      </c>
      <c r="AP47" s="574">
        <v>277998052</v>
      </c>
      <c r="AQ47" s="832">
        <f>1462490305-AP47-AO47-AN47</f>
        <v>723866393</v>
      </c>
    </row>
    <row r="48" spans="1:43" ht="76.5" customHeight="1" x14ac:dyDescent="0.25">
      <c r="A48" s="116" t="s">
        <v>889</v>
      </c>
      <c r="B48" s="116" t="s">
        <v>159</v>
      </c>
      <c r="C48" s="368" t="s">
        <v>844</v>
      </c>
      <c r="D48" s="116" t="s">
        <v>1024</v>
      </c>
      <c r="E48" s="726" t="s">
        <v>1248</v>
      </c>
      <c r="F48" s="367" t="s">
        <v>193</v>
      </c>
      <c r="G48" s="116" t="s">
        <v>1025</v>
      </c>
      <c r="H48" s="116" t="s">
        <v>1015</v>
      </c>
      <c r="I48" s="368" t="s">
        <v>1026</v>
      </c>
      <c r="J48" s="116" t="s">
        <v>1027</v>
      </c>
      <c r="K48" s="382" t="s">
        <v>1062</v>
      </c>
      <c r="L48" s="584">
        <f>227372000-28000000</f>
        <v>199372000</v>
      </c>
      <c r="M48" s="547" t="s">
        <v>196</v>
      </c>
      <c r="N48" s="547" t="s">
        <v>156</v>
      </c>
      <c r="O48" s="547" t="s">
        <v>1152</v>
      </c>
      <c r="P48" s="592"/>
      <c r="Q48" s="592"/>
      <c r="R48" s="592"/>
      <c r="S48" s="592"/>
      <c r="T48" s="549" t="s">
        <v>166</v>
      </c>
      <c r="U48" s="571">
        <v>922</v>
      </c>
      <c r="V48" s="571">
        <v>231</v>
      </c>
      <c r="W48" s="571">
        <v>231</v>
      </c>
      <c r="X48" s="571">
        <v>230</v>
      </c>
      <c r="Y48" s="571">
        <v>230</v>
      </c>
      <c r="Z48" s="586" t="s">
        <v>597</v>
      </c>
      <c r="AA48" s="567">
        <f>227372000-28000000</f>
        <v>199372000</v>
      </c>
      <c r="AB48" s="775" t="s">
        <v>190</v>
      </c>
      <c r="AC48" s="540" t="s">
        <v>579</v>
      </c>
      <c r="AD48" s="551">
        <v>433</v>
      </c>
      <c r="AE48" s="551">
        <v>177</v>
      </c>
      <c r="AF48" s="543">
        <v>359</v>
      </c>
      <c r="AG48" s="543">
        <v>190</v>
      </c>
      <c r="AH48" s="536">
        <f t="shared" si="0"/>
        <v>199372000</v>
      </c>
      <c r="AI48" s="590">
        <v>48275057</v>
      </c>
      <c r="AJ48" s="590">
        <v>52378489</v>
      </c>
      <c r="AK48" s="589">
        <v>52279641</v>
      </c>
      <c r="AL48" s="536">
        <f>199372000-AK48-AJ48-AI48</f>
        <v>46438813</v>
      </c>
      <c r="AM48" s="536">
        <f t="shared" si="1"/>
        <v>199372000</v>
      </c>
      <c r="AN48" s="536">
        <v>42800596</v>
      </c>
      <c r="AO48" s="591">
        <v>47317715</v>
      </c>
      <c r="AP48" s="574">
        <v>61664506</v>
      </c>
      <c r="AQ48" s="831">
        <f>199372000-AP48-AO48-AN48</f>
        <v>47589183</v>
      </c>
    </row>
    <row r="49" spans="1:43" ht="55.5" customHeight="1" x14ac:dyDescent="0.25">
      <c r="A49" s="116" t="s">
        <v>889</v>
      </c>
      <c r="B49" s="116" t="s">
        <v>159</v>
      </c>
      <c r="C49" s="368" t="s">
        <v>844</v>
      </c>
      <c r="D49" s="116" t="s">
        <v>1024</v>
      </c>
      <c r="E49" s="726" t="s">
        <v>1248</v>
      </c>
      <c r="F49" s="367" t="s">
        <v>193</v>
      </c>
      <c r="G49" s="116" t="s">
        <v>1025</v>
      </c>
      <c r="H49" s="116" t="s">
        <v>1015</v>
      </c>
      <c r="I49" s="368" t="s">
        <v>1026</v>
      </c>
      <c r="J49" s="116" t="s">
        <v>1027</v>
      </c>
      <c r="K49" s="382" t="s">
        <v>1062</v>
      </c>
      <c r="L49" s="584">
        <v>18000000</v>
      </c>
      <c r="M49" s="547" t="s">
        <v>196</v>
      </c>
      <c r="N49" s="547" t="s">
        <v>156</v>
      </c>
      <c r="O49" s="547" t="s">
        <v>1152</v>
      </c>
      <c r="P49" s="592"/>
      <c r="Q49" s="592"/>
      <c r="R49" s="592"/>
      <c r="S49" s="592"/>
      <c r="T49" s="549" t="s">
        <v>166</v>
      </c>
      <c r="U49" s="571">
        <v>922</v>
      </c>
      <c r="V49" s="571">
        <v>231</v>
      </c>
      <c r="W49" s="571">
        <v>231</v>
      </c>
      <c r="X49" s="571">
        <v>230</v>
      </c>
      <c r="Y49" s="571">
        <v>230</v>
      </c>
      <c r="Z49" s="586" t="s">
        <v>598</v>
      </c>
      <c r="AA49" s="584">
        <v>18000000</v>
      </c>
      <c r="AB49" s="775" t="s">
        <v>198</v>
      </c>
      <c r="AC49" s="588" t="s">
        <v>194</v>
      </c>
      <c r="AD49" s="551">
        <v>433</v>
      </c>
      <c r="AE49" s="551">
        <v>177</v>
      </c>
      <c r="AF49" s="543">
        <v>359</v>
      </c>
      <c r="AG49" s="543">
        <v>190</v>
      </c>
      <c r="AH49" s="536">
        <f t="shared" si="0"/>
        <v>0</v>
      </c>
      <c r="AI49" s="536">
        <v>0</v>
      </c>
      <c r="AJ49" s="536">
        <v>0</v>
      </c>
      <c r="AK49" s="536">
        <v>0</v>
      </c>
      <c r="AL49" s="536">
        <v>0</v>
      </c>
      <c r="AM49" s="536">
        <f t="shared" si="1"/>
        <v>0</v>
      </c>
      <c r="AN49" s="589">
        <v>0</v>
      </c>
      <c r="AO49" s="589">
        <v>0</v>
      </c>
      <c r="AP49" s="544">
        <v>0</v>
      </c>
      <c r="AQ49" s="831">
        <v>0</v>
      </c>
    </row>
    <row r="50" spans="1:43" ht="70.5" customHeight="1" x14ac:dyDescent="0.25">
      <c r="A50" s="116" t="s">
        <v>889</v>
      </c>
      <c r="B50" s="116" t="s">
        <v>159</v>
      </c>
      <c r="C50" s="368" t="s">
        <v>844</v>
      </c>
      <c r="D50" s="116" t="s">
        <v>1024</v>
      </c>
      <c r="E50" s="726" t="s">
        <v>1248</v>
      </c>
      <c r="F50" s="367" t="s">
        <v>193</v>
      </c>
      <c r="G50" s="116" t="s">
        <v>1025</v>
      </c>
      <c r="H50" s="116" t="s">
        <v>1015</v>
      </c>
      <c r="I50" s="368" t="s">
        <v>1026</v>
      </c>
      <c r="J50" s="116" t="s">
        <v>1027</v>
      </c>
      <c r="K50" s="382" t="s">
        <v>1062</v>
      </c>
      <c r="L50" s="584">
        <v>50000000</v>
      </c>
      <c r="M50" s="547" t="s">
        <v>196</v>
      </c>
      <c r="N50" s="547" t="s">
        <v>156</v>
      </c>
      <c r="O50" s="547" t="s">
        <v>1152</v>
      </c>
      <c r="P50" s="552"/>
      <c r="Q50" s="552"/>
      <c r="R50" s="552"/>
      <c r="S50" s="552"/>
      <c r="T50" s="549" t="s">
        <v>166</v>
      </c>
      <c r="U50" s="571">
        <v>922</v>
      </c>
      <c r="V50" s="571">
        <v>231</v>
      </c>
      <c r="W50" s="571">
        <v>231</v>
      </c>
      <c r="X50" s="571">
        <v>230</v>
      </c>
      <c r="Y50" s="571">
        <v>230</v>
      </c>
      <c r="Z50" s="586" t="s">
        <v>599</v>
      </c>
      <c r="AA50" s="584">
        <v>50000000</v>
      </c>
      <c r="AB50" s="775" t="s">
        <v>190</v>
      </c>
      <c r="AC50" s="540" t="s">
        <v>579</v>
      </c>
      <c r="AD50" s="551">
        <v>433</v>
      </c>
      <c r="AE50" s="551">
        <v>177</v>
      </c>
      <c r="AF50" s="543">
        <v>359</v>
      </c>
      <c r="AG50" s="543">
        <v>190</v>
      </c>
      <c r="AH50" s="536">
        <f t="shared" si="0"/>
        <v>21013900</v>
      </c>
      <c r="AI50" s="590">
        <v>2200800</v>
      </c>
      <c r="AJ50" s="590">
        <v>603400</v>
      </c>
      <c r="AK50" s="536">
        <v>4377950</v>
      </c>
      <c r="AL50" s="536">
        <v>13831750</v>
      </c>
      <c r="AM50" s="536">
        <f t="shared" si="1"/>
        <v>21013900</v>
      </c>
      <c r="AN50" s="589">
        <v>1863776</v>
      </c>
      <c r="AO50" s="589">
        <v>835689</v>
      </c>
      <c r="AP50" s="574">
        <v>4238870</v>
      </c>
      <c r="AQ50" s="831">
        <f>21013900-AP50-AO50-AN50</f>
        <v>14075565</v>
      </c>
    </row>
    <row r="51" spans="1:43" ht="105" customHeight="1" x14ac:dyDescent="0.25">
      <c r="A51" s="221" t="s">
        <v>889</v>
      </c>
      <c r="B51" s="211" t="s">
        <v>159</v>
      </c>
      <c r="C51" s="211" t="s">
        <v>844</v>
      </c>
      <c r="D51" s="211" t="s">
        <v>1024</v>
      </c>
      <c r="E51" s="726" t="s">
        <v>1248</v>
      </c>
      <c r="F51" s="229" t="s">
        <v>193</v>
      </c>
      <c r="G51" s="211" t="s">
        <v>1025</v>
      </c>
      <c r="H51" s="211" t="s">
        <v>1015</v>
      </c>
      <c r="I51" s="212" t="s">
        <v>1026</v>
      </c>
      <c r="J51" s="211" t="s">
        <v>1027</v>
      </c>
      <c r="K51" s="250" t="s">
        <v>1062</v>
      </c>
      <c r="L51" s="554">
        <v>120000000</v>
      </c>
      <c r="M51" s="539" t="s">
        <v>197</v>
      </c>
      <c r="N51" s="539" t="s">
        <v>156</v>
      </c>
      <c r="O51" s="539" t="s">
        <v>1142</v>
      </c>
      <c r="P51" s="539"/>
      <c r="Q51" s="539"/>
      <c r="R51" s="539"/>
      <c r="S51" s="539"/>
      <c r="T51" s="540" t="s">
        <v>166</v>
      </c>
      <c r="U51" s="545">
        <v>6</v>
      </c>
      <c r="V51" s="545">
        <v>0</v>
      </c>
      <c r="W51" s="545">
        <v>0</v>
      </c>
      <c r="X51" s="545">
        <v>3</v>
      </c>
      <c r="Y51" s="545">
        <v>3</v>
      </c>
      <c r="Z51" s="586" t="s">
        <v>600</v>
      </c>
      <c r="AA51" s="554">
        <v>120000000</v>
      </c>
      <c r="AB51" s="775" t="s">
        <v>867</v>
      </c>
      <c r="AC51" s="542" t="s">
        <v>868</v>
      </c>
      <c r="AD51" s="543">
        <v>0</v>
      </c>
      <c r="AE51" s="543">
        <v>0</v>
      </c>
      <c r="AF51" s="543">
        <v>0</v>
      </c>
      <c r="AG51" s="543">
        <v>6</v>
      </c>
      <c r="AH51" s="536">
        <f t="shared" si="0"/>
        <v>120000000</v>
      </c>
      <c r="AI51" s="536">
        <v>0</v>
      </c>
      <c r="AJ51" s="536">
        <v>0</v>
      </c>
      <c r="AK51" s="536">
        <v>120000000</v>
      </c>
      <c r="AL51" s="536"/>
      <c r="AM51" s="536">
        <f t="shared" si="1"/>
        <v>107491916</v>
      </c>
      <c r="AN51" s="536">
        <v>0</v>
      </c>
      <c r="AO51" s="536">
        <v>0</v>
      </c>
      <c r="AP51" s="544"/>
      <c r="AQ51" s="831">
        <v>107491916</v>
      </c>
    </row>
    <row r="52" spans="1:43" ht="105" customHeight="1" x14ac:dyDescent="0.25">
      <c r="A52" s="116" t="s">
        <v>889</v>
      </c>
      <c r="B52" s="116" t="s">
        <v>159</v>
      </c>
      <c r="C52" s="368" t="s">
        <v>844</v>
      </c>
      <c r="D52" s="116" t="s">
        <v>1024</v>
      </c>
      <c r="E52" s="726" t="s">
        <v>1248</v>
      </c>
      <c r="F52" s="367" t="s">
        <v>193</v>
      </c>
      <c r="G52" s="116" t="s">
        <v>1025</v>
      </c>
      <c r="H52" s="116" t="s">
        <v>1015</v>
      </c>
      <c r="I52" s="368" t="s">
        <v>1026</v>
      </c>
      <c r="J52" s="116" t="s">
        <v>1027</v>
      </c>
      <c r="K52" s="382" t="s">
        <v>1062</v>
      </c>
      <c r="L52" s="591">
        <v>80000000</v>
      </c>
      <c r="M52" s="547" t="s">
        <v>447</v>
      </c>
      <c r="N52" s="547" t="s">
        <v>156</v>
      </c>
      <c r="O52" s="547" t="s">
        <v>571</v>
      </c>
      <c r="P52" s="369"/>
      <c r="Q52" s="369"/>
      <c r="R52" s="369"/>
      <c r="S52" s="369"/>
      <c r="T52" s="549" t="s">
        <v>166</v>
      </c>
      <c r="U52" s="571">
        <v>100</v>
      </c>
      <c r="V52" s="571">
        <v>0</v>
      </c>
      <c r="W52" s="571">
        <v>0</v>
      </c>
      <c r="X52" s="571">
        <v>50</v>
      </c>
      <c r="Y52" s="571">
        <v>50</v>
      </c>
      <c r="Z52" s="586" t="s">
        <v>600</v>
      </c>
      <c r="AA52" s="591">
        <v>80000000</v>
      </c>
      <c r="AB52" s="775" t="s">
        <v>867</v>
      </c>
      <c r="AC52" s="542" t="s">
        <v>868</v>
      </c>
      <c r="AD52" s="551">
        <v>0</v>
      </c>
      <c r="AE52" s="551">
        <v>0</v>
      </c>
      <c r="AF52" s="543">
        <v>0</v>
      </c>
      <c r="AG52" s="543">
        <v>170</v>
      </c>
      <c r="AH52" s="536">
        <f t="shared" si="0"/>
        <v>72947000</v>
      </c>
      <c r="AI52" s="536">
        <v>0</v>
      </c>
      <c r="AJ52" s="536">
        <v>0</v>
      </c>
      <c r="AK52" s="536"/>
      <c r="AL52" s="536">
        <v>72947000</v>
      </c>
      <c r="AM52" s="536">
        <f t="shared" si="1"/>
        <v>72947000</v>
      </c>
      <c r="AN52" s="536">
        <v>0</v>
      </c>
      <c r="AO52" s="536">
        <v>0</v>
      </c>
      <c r="AP52" s="544"/>
      <c r="AQ52" s="831">
        <v>72947000</v>
      </c>
    </row>
    <row r="53" spans="1:43" ht="105" customHeight="1" x14ac:dyDescent="0.25">
      <c r="A53" s="116" t="s">
        <v>889</v>
      </c>
      <c r="B53" s="116" t="s">
        <v>159</v>
      </c>
      <c r="C53" s="368" t="s">
        <v>844</v>
      </c>
      <c r="D53" s="116" t="s">
        <v>1024</v>
      </c>
      <c r="E53" s="726" t="s">
        <v>1248</v>
      </c>
      <c r="F53" s="367" t="s">
        <v>193</v>
      </c>
      <c r="G53" s="116" t="s">
        <v>1025</v>
      </c>
      <c r="H53" s="116" t="s">
        <v>1015</v>
      </c>
      <c r="I53" s="368" t="s">
        <v>1026</v>
      </c>
      <c r="J53" s="116" t="s">
        <v>1027</v>
      </c>
      <c r="K53" s="382" t="s">
        <v>1062</v>
      </c>
      <c r="L53" s="554">
        <v>28000000</v>
      </c>
      <c r="M53" s="547" t="s">
        <v>447</v>
      </c>
      <c r="N53" s="547" t="s">
        <v>156</v>
      </c>
      <c r="O53" s="547" t="s">
        <v>571</v>
      </c>
      <c r="P53" s="552"/>
      <c r="Q53" s="552"/>
      <c r="R53" s="552"/>
      <c r="S53" s="552"/>
      <c r="T53" s="549" t="s">
        <v>166</v>
      </c>
      <c r="U53" s="571">
        <v>100</v>
      </c>
      <c r="V53" s="571">
        <v>0</v>
      </c>
      <c r="W53" s="571">
        <v>0</v>
      </c>
      <c r="X53" s="571">
        <v>50</v>
      </c>
      <c r="Y53" s="571">
        <v>50</v>
      </c>
      <c r="Z53" s="586" t="s">
        <v>597</v>
      </c>
      <c r="AA53" s="554">
        <v>28000000</v>
      </c>
      <c r="AB53" s="775" t="s">
        <v>190</v>
      </c>
      <c r="AC53" s="594" t="s">
        <v>190</v>
      </c>
      <c r="AD53" s="551">
        <v>0</v>
      </c>
      <c r="AE53" s="551">
        <v>0</v>
      </c>
      <c r="AF53" s="543">
        <v>0</v>
      </c>
      <c r="AG53" s="543">
        <v>170</v>
      </c>
      <c r="AH53" s="536">
        <f t="shared" si="0"/>
        <v>28000000</v>
      </c>
      <c r="AI53" s="536">
        <v>5179036</v>
      </c>
      <c r="AJ53" s="536">
        <v>0</v>
      </c>
      <c r="AK53" s="536">
        <v>0</v>
      </c>
      <c r="AL53" s="536">
        <f>28000000-AI53</f>
        <v>22820964</v>
      </c>
      <c r="AM53" s="536">
        <f t="shared" si="1"/>
        <v>28000000</v>
      </c>
      <c r="AN53" s="536">
        <v>0</v>
      </c>
      <c r="AO53" s="591">
        <v>5179036</v>
      </c>
      <c r="AP53" s="593">
        <v>0</v>
      </c>
      <c r="AQ53" s="831">
        <f>28000000-AO53</f>
        <v>22820964</v>
      </c>
    </row>
    <row r="54" spans="1:43" ht="105" customHeight="1" x14ac:dyDescent="0.25">
      <c r="A54" s="221" t="s">
        <v>889</v>
      </c>
      <c r="B54" s="211" t="s">
        <v>159</v>
      </c>
      <c r="C54" s="211" t="s">
        <v>844</v>
      </c>
      <c r="D54" s="211" t="s">
        <v>1024</v>
      </c>
      <c r="E54" s="726" t="s">
        <v>1248</v>
      </c>
      <c r="F54" s="229" t="s">
        <v>193</v>
      </c>
      <c r="G54" s="211" t="s">
        <v>1025</v>
      </c>
      <c r="H54" s="211" t="s">
        <v>1015</v>
      </c>
      <c r="I54" s="211" t="s">
        <v>1026</v>
      </c>
      <c r="J54" s="211" t="s">
        <v>1027</v>
      </c>
      <c r="K54" s="250" t="s">
        <v>1062</v>
      </c>
      <c r="L54" s="554">
        <v>0</v>
      </c>
      <c r="M54" s="539" t="s">
        <v>188</v>
      </c>
      <c r="N54" s="539" t="s">
        <v>156</v>
      </c>
      <c r="O54" s="539" t="s">
        <v>572</v>
      </c>
      <c r="P54" s="539"/>
      <c r="Q54" s="539"/>
      <c r="R54" s="539"/>
      <c r="S54" s="539"/>
      <c r="T54" s="540" t="s">
        <v>166</v>
      </c>
      <c r="U54" s="545">
        <v>4</v>
      </c>
      <c r="V54" s="545">
        <v>0</v>
      </c>
      <c r="W54" s="545">
        <v>0</v>
      </c>
      <c r="X54" s="545">
        <v>2</v>
      </c>
      <c r="Y54" s="545">
        <v>2</v>
      </c>
      <c r="Z54" s="586"/>
      <c r="AA54" s="554">
        <v>0</v>
      </c>
      <c r="AB54" s="775"/>
      <c r="AC54" s="542" t="s">
        <v>868</v>
      </c>
      <c r="AD54" s="543">
        <v>0</v>
      </c>
      <c r="AE54" s="543">
        <v>0</v>
      </c>
      <c r="AF54" s="543">
        <v>0</v>
      </c>
      <c r="AG54" s="543">
        <v>0</v>
      </c>
      <c r="AH54" s="536">
        <f t="shared" si="0"/>
        <v>0</v>
      </c>
      <c r="AI54" s="536">
        <v>0</v>
      </c>
      <c r="AJ54" s="536">
        <v>0</v>
      </c>
      <c r="AK54" s="536"/>
      <c r="AL54" s="536"/>
      <c r="AM54" s="536">
        <f t="shared" si="1"/>
        <v>0</v>
      </c>
      <c r="AN54" s="536">
        <v>0</v>
      </c>
      <c r="AO54" s="536">
        <v>0</v>
      </c>
      <c r="AP54" s="544"/>
      <c r="AQ54" s="831"/>
    </row>
    <row r="55" spans="1:43" ht="105" customHeight="1" x14ac:dyDescent="0.25">
      <c r="A55" s="368" t="s">
        <v>889</v>
      </c>
      <c r="B55" s="368" t="s">
        <v>159</v>
      </c>
      <c r="C55" s="368" t="s">
        <v>844</v>
      </c>
      <c r="D55" s="368" t="s">
        <v>1028</v>
      </c>
      <c r="E55" s="726" t="s">
        <v>1248</v>
      </c>
      <c r="F55" s="377" t="s">
        <v>199</v>
      </c>
      <c r="G55" s="368" t="s">
        <v>1014</v>
      </c>
      <c r="H55" s="368" t="s">
        <v>1016</v>
      </c>
      <c r="I55" s="368" t="s">
        <v>1029</v>
      </c>
      <c r="J55" s="368" t="s">
        <v>1030</v>
      </c>
      <c r="K55" s="368" t="s">
        <v>1063</v>
      </c>
      <c r="L55" s="518">
        <v>0</v>
      </c>
      <c r="M55" s="547" t="s">
        <v>200</v>
      </c>
      <c r="N55" s="547" t="s">
        <v>156</v>
      </c>
      <c r="O55" s="595" t="s">
        <v>584</v>
      </c>
      <c r="P55" s="369"/>
      <c r="Q55" s="369"/>
      <c r="R55" s="369"/>
      <c r="S55" s="369"/>
      <c r="T55" s="549" t="s">
        <v>166</v>
      </c>
      <c r="U55" s="571">
        <v>4</v>
      </c>
      <c r="V55" s="571">
        <v>0</v>
      </c>
      <c r="W55" s="571">
        <v>1</v>
      </c>
      <c r="X55" s="571">
        <v>2</v>
      </c>
      <c r="Y55" s="571">
        <v>1</v>
      </c>
      <c r="Z55" s="596" t="s">
        <v>603</v>
      </c>
      <c r="AA55" s="518">
        <v>0</v>
      </c>
      <c r="AB55" s="775"/>
      <c r="AC55" s="542" t="s">
        <v>194</v>
      </c>
      <c r="AD55" s="551">
        <v>1</v>
      </c>
      <c r="AE55" s="551">
        <v>1</v>
      </c>
      <c r="AF55" s="543">
        <v>1</v>
      </c>
      <c r="AG55" s="543">
        <v>1</v>
      </c>
      <c r="AH55" s="536">
        <f t="shared" si="0"/>
        <v>0</v>
      </c>
      <c r="AI55" s="536">
        <v>0</v>
      </c>
      <c r="AJ55" s="536">
        <v>0</v>
      </c>
      <c r="AK55" s="536"/>
      <c r="AL55" s="536"/>
      <c r="AM55" s="536">
        <f t="shared" si="1"/>
        <v>0</v>
      </c>
      <c r="AN55" s="536">
        <v>0</v>
      </c>
      <c r="AO55" s="536">
        <v>0</v>
      </c>
      <c r="AP55" s="544"/>
      <c r="AQ55" s="544"/>
    </row>
    <row r="56" spans="1:43" ht="105" customHeight="1" x14ac:dyDescent="0.25">
      <c r="A56" s="368" t="s">
        <v>889</v>
      </c>
      <c r="B56" s="368" t="s">
        <v>159</v>
      </c>
      <c r="C56" s="368" t="s">
        <v>844</v>
      </c>
      <c r="D56" s="368" t="s">
        <v>1028</v>
      </c>
      <c r="E56" s="726" t="s">
        <v>1248</v>
      </c>
      <c r="F56" s="377" t="s">
        <v>199</v>
      </c>
      <c r="G56" s="368" t="s">
        <v>1014</v>
      </c>
      <c r="H56" s="368" t="s">
        <v>1016</v>
      </c>
      <c r="I56" s="368" t="s">
        <v>1029</v>
      </c>
      <c r="J56" s="368" t="s">
        <v>1030</v>
      </c>
      <c r="K56" s="368" t="s">
        <v>1063</v>
      </c>
      <c r="L56" s="759">
        <v>103540744</v>
      </c>
      <c r="M56" s="547" t="s">
        <v>200</v>
      </c>
      <c r="N56" s="547" t="s">
        <v>156</v>
      </c>
      <c r="O56" s="595" t="s">
        <v>584</v>
      </c>
      <c r="P56" s="369"/>
      <c r="Q56" s="552"/>
      <c r="R56" s="552"/>
      <c r="S56" s="552"/>
      <c r="T56" s="549" t="s">
        <v>166</v>
      </c>
      <c r="U56" s="571">
        <v>4</v>
      </c>
      <c r="V56" s="571">
        <v>0</v>
      </c>
      <c r="W56" s="571">
        <v>1</v>
      </c>
      <c r="X56" s="571">
        <v>2</v>
      </c>
      <c r="Y56" s="571">
        <v>1</v>
      </c>
      <c r="Z56" s="572" t="s">
        <v>602</v>
      </c>
      <c r="AA56" s="759">
        <v>103540744</v>
      </c>
      <c r="AB56" s="775" t="s">
        <v>198</v>
      </c>
      <c r="AC56" s="588" t="s">
        <v>830</v>
      </c>
      <c r="AD56" s="551">
        <v>1</v>
      </c>
      <c r="AE56" s="551">
        <v>1</v>
      </c>
      <c r="AF56" s="543">
        <v>1</v>
      </c>
      <c r="AG56" s="543">
        <v>1</v>
      </c>
      <c r="AH56" s="536">
        <f t="shared" si="0"/>
        <v>40000000</v>
      </c>
      <c r="AI56" s="597">
        <v>40000000</v>
      </c>
      <c r="AJ56" s="536">
        <v>0</v>
      </c>
      <c r="AK56" s="536">
        <v>0</v>
      </c>
      <c r="AL56" s="536"/>
      <c r="AM56" s="536">
        <f t="shared" si="1"/>
        <v>40000000</v>
      </c>
      <c r="AN56" s="536">
        <v>0</v>
      </c>
      <c r="AO56" s="536">
        <v>0</v>
      </c>
      <c r="AP56" s="536">
        <v>10000000</v>
      </c>
      <c r="AQ56" s="824">
        <v>30000000</v>
      </c>
    </row>
    <row r="57" spans="1:43" ht="105" customHeight="1" x14ac:dyDescent="0.25">
      <c r="A57" s="368" t="s">
        <v>889</v>
      </c>
      <c r="B57" s="368" t="s">
        <v>159</v>
      </c>
      <c r="C57" s="368" t="s">
        <v>844</v>
      </c>
      <c r="D57" s="368" t="s">
        <v>1028</v>
      </c>
      <c r="E57" s="726" t="s">
        <v>1248</v>
      </c>
      <c r="F57" s="377" t="s">
        <v>199</v>
      </c>
      <c r="G57" s="373" t="s">
        <v>1014</v>
      </c>
      <c r="H57" s="368" t="s">
        <v>1016</v>
      </c>
      <c r="I57" s="373" t="s">
        <v>1029</v>
      </c>
      <c r="J57" s="368" t="s">
        <v>1030</v>
      </c>
      <c r="K57" s="373" t="s">
        <v>1063</v>
      </c>
      <c r="L57" s="518">
        <v>0</v>
      </c>
      <c r="M57" s="547" t="s">
        <v>201</v>
      </c>
      <c r="N57" s="547" t="s">
        <v>156</v>
      </c>
      <c r="O57" s="547" t="s">
        <v>571</v>
      </c>
      <c r="P57" s="369"/>
      <c r="Q57" s="369"/>
      <c r="R57" s="369"/>
      <c r="S57" s="369"/>
      <c r="T57" s="549" t="s">
        <v>166</v>
      </c>
      <c r="U57" s="571">
        <v>2</v>
      </c>
      <c r="V57" s="571">
        <v>0</v>
      </c>
      <c r="W57" s="571">
        <v>0</v>
      </c>
      <c r="X57" s="571">
        <v>1</v>
      </c>
      <c r="Y57" s="549">
        <v>1</v>
      </c>
      <c r="Z57" s="572" t="s">
        <v>602</v>
      </c>
      <c r="AA57" s="825">
        <v>45557000</v>
      </c>
      <c r="AB57" s="775" t="s">
        <v>198</v>
      </c>
      <c r="AC57" s="588" t="s">
        <v>830</v>
      </c>
      <c r="AD57" s="551">
        <v>0</v>
      </c>
      <c r="AE57" s="551">
        <v>0</v>
      </c>
      <c r="AF57" s="543">
        <v>1</v>
      </c>
      <c r="AG57" s="543">
        <v>0</v>
      </c>
      <c r="AH57" s="536">
        <f t="shared" si="0"/>
        <v>45557000</v>
      </c>
      <c r="AI57" s="536">
        <v>0</v>
      </c>
      <c r="AJ57" s="536">
        <v>0</v>
      </c>
      <c r="AK57" s="536">
        <v>45557000</v>
      </c>
      <c r="AL57" s="536"/>
      <c r="AM57" s="536">
        <f t="shared" si="1"/>
        <v>45557000</v>
      </c>
      <c r="AN57" s="536">
        <v>0</v>
      </c>
      <c r="AO57" s="536">
        <v>0</v>
      </c>
      <c r="AP57" s="536"/>
      <c r="AQ57" s="824">
        <v>45557000</v>
      </c>
    </row>
    <row r="58" spans="1:43" ht="105" customHeight="1" x14ac:dyDescent="0.25">
      <c r="A58" s="368" t="s">
        <v>889</v>
      </c>
      <c r="B58" s="368" t="s">
        <v>159</v>
      </c>
      <c r="C58" s="368" t="s">
        <v>844</v>
      </c>
      <c r="D58" s="368" t="s">
        <v>1028</v>
      </c>
      <c r="E58" s="726" t="s">
        <v>1248</v>
      </c>
      <c r="F58" s="377" t="s">
        <v>199</v>
      </c>
      <c r="G58" s="373" t="s">
        <v>1014</v>
      </c>
      <c r="H58" s="368" t="s">
        <v>1016</v>
      </c>
      <c r="I58" s="373" t="s">
        <v>1029</v>
      </c>
      <c r="J58" s="368" t="s">
        <v>1030</v>
      </c>
      <c r="K58" s="373" t="s">
        <v>1063</v>
      </c>
      <c r="L58" s="754">
        <v>200000000</v>
      </c>
      <c r="M58" s="547" t="s">
        <v>201</v>
      </c>
      <c r="N58" s="547" t="s">
        <v>156</v>
      </c>
      <c r="O58" s="547" t="s">
        <v>571</v>
      </c>
      <c r="P58" s="552"/>
      <c r="Q58" s="552"/>
      <c r="R58" s="552"/>
      <c r="S58" s="552"/>
      <c r="T58" s="549" t="s">
        <v>166</v>
      </c>
      <c r="U58" s="571">
        <v>2</v>
      </c>
      <c r="V58" s="571">
        <v>0</v>
      </c>
      <c r="W58" s="571">
        <v>0</v>
      </c>
      <c r="X58" s="571">
        <v>1</v>
      </c>
      <c r="Y58" s="549">
        <v>1</v>
      </c>
      <c r="Z58" s="596" t="s">
        <v>603</v>
      </c>
      <c r="AA58" s="841">
        <v>154443000</v>
      </c>
      <c r="AB58" s="775" t="s">
        <v>198</v>
      </c>
      <c r="AC58" s="542" t="s">
        <v>194</v>
      </c>
      <c r="AD58" s="598">
        <v>0</v>
      </c>
      <c r="AE58" s="598">
        <v>0</v>
      </c>
      <c r="AF58" s="543">
        <v>1</v>
      </c>
      <c r="AG58" s="543">
        <v>0</v>
      </c>
      <c r="AH58" s="536">
        <f t="shared" si="0"/>
        <v>154443000</v>
      </c>
      <c r="AI58" s="536">
        <v>0</v>
      </c>
      <c r="AJ58" s="536">
        <v>0</v>
      </c>
      <c r="AK58" s="536">
        <v>154443000</v>
      </c>
      <c r="AL58" s="536"/>
      <c r="AM58" s="536">
        <f t="shared" si="1"/>
        <v>154443000</v>
      </c>
      <c r="AN58" s="536">
        <v>0</v>
      </c>
      <c r="AO58" s="536">
        <v>0</v>
      </c>
      <c r="AP58" s="536"/>
      <c r="AQ58" s="824">
        <v>154443000</v>
      </c>
    </row>
    <row r="59" spans="1:43" ht="105" customHeight="1" x14ac:dyDescent="0.25">
      <c r="A59" s="221" t="s">
        <v>889</v>
      </c>
      <c r="B59" s="211" t="s">
        <v>159</v>
      </c>
      <c r="C59" s="211" t="s">
        <v>844</v>
      </c>
      <c r="D59" s="211" t="s">
        <v>1028</v>
      </c>
      <c r="E59" s="726" t="s">
        <v>1248</v>
      </c>
      <c r="F59" s="258" t="s">
        <v>199</v>
      </c>
      <c r="G59" s="213" t="s">
        <v>1014</v>
      </c>
      <c r="H59" s="211" t="s">
        <v>1016</v>
      </c>
      <c r="I59" s="213" t="s">
        <v>1029</v>
      </c>
      <c r="J59" s="211" t="s">
        <v>1030</v>
      </c>
      <c r="K59" s="213" t="s">
        <v>1063</v>
      </c>
      <c r="L59" s="518">
        <v>556121726</v>
      </c>
      <c r="M59" s="539" t="s">
        <v>202</v>
      </c>
      <c r="N59" s="539" t="s">
        <v>156</v>
      </c>
      <c r="O59" s="560" t="s">
        <v>571</v>
      </c>
      <c r="P59" s="539"/>
      <c r="Q59" s="539"/>
      <c r="R59" s="539"/>
      <c r="S59" s="539"/>
      <c r="T59" s="540" t="s">
        <v>166</v>
      </c>
      <c r="U59" s="545">
        <v>1</v>
      </c>
      <c r="V59" s="545">
        <v>0</v>
      </c>
      <c r="W59" s="545">
        <v>0</v>
      </c>
      <c r="X59" s="545">
        <v>1</v>
      </c>
      <c r="Y59" s="540">
        <v>0</v>
      </c>
      <c r="Z59" s="596" t="s">
        <v>603</v>
      </c>
      <c r="AA59" s="518">
        <v>556121726</v>
      </c>
      <c r="AB59" s="775" t="s">
        <v>198</v>
      </c>
      <c r="AC59" s="542" t="s">
        <v>194</v>
      </c>
      <c r="AD59" s="543">
        <v>0</v>
      </c>
      <c r="AE59" s="543">
        <v>0</v>
      </c>
      <c r="AF59" s="791">
        <v>1</v>
      </c>
      <c r="AG59" s="543">
        <v>0</v>
      </c>
      <c r="AH59" s="536">
        <f t="shared" si="0"/>
        <v>100000000</v>
      </c>
      <c r="AI59" s="536">
        <v>0</v>
      </c>
      <c r="AJ59" s="536">
        <v>0</v>
      </c>
      <c r="AK59" s="536">
        <v>100000000</v>
      </c>
      <c r="AL59" s="536">
        <v>0</v>
      </c>
      <c r="AM59" s="536">
        <f t="shared" si="1"/>
        <v>94090387</v>
      </c>
      <c r="AN59" s="536">
        <v>0</v>
      </c>
      <c r="AO59" s="536">
        <v>0</v>
      </c>
      <c r="AP59" s="544"/>
      <c r="AQ59" s="824">
        <v>94090387</v>
      </c>
    </row>
    <row r="60" spans="1:43" ht="105" customHeight="1" x14ac:dyDescent="0.25">
      <c r="A60" s="116" t="s">
        <v>889</v>
      </c>
      <c r="B60" s="116" t="s">
        <v>159</v>
      </c>
      <c r="C60" s="368" t="s">
        <v>844</v>
      </c>
      <c r="D60" s="116" t="s">
        <v>1028</v>
      </c>
      <c r="E60" s="726" t="s">
        <v>1248</v>
      </c>
      <c r="F60" s="384" t="s">
        <v>199</v>
      </c>
      <c r="G60" s="372" t="s">
        <v>1014</v>
      </c>
      <c r="H60" s="116" t="s">
        <v>1016</v>
      </c>
      <c r="I60" s="373" t="s">
        <v>1029</v>
      </c>
      <c r="J60" s="116" t="s">
        <v>1030</v>
      </c>
      <c r="K60" s="373" t="s">
        <v>1063</v>
      </c>
      <c r="L60" s="564">
        <v>8000000</v>
      </c>
      <c r="M60" s="547" t="s">
        <v>203</v>
      </c>
      <c r="N60" s="547" t="s">
        <v>156</v>
      </c>
      <c r="O60" s="595" t="s">
        <v>572</v>
      </c>
      <c r="P60" s="369"/>
      <c r="Q60" s="369"/>
      <c r="R60" s="369"/>
      <c r="S60" s="369"/>
      <c r="T60" s="549" t="s">
        <v>166</v>
      </c>
      <c r="U60" s="571">
        <v>1</v>
      </c>
      <c r="V60" s="571">
        <v>1</v>
      </c>
      <c r="W60" s="571">
        <v>0</v>
      </c>
      <c r="X60" s="571">
        <v>0</v>
      </c>
      <c r="Y60" s="549">
        <v>0</v>
      </c>
      <c r="Z60" s="599" t="s">
        <v>607</v>
      </c>
      <c r="AA60" s="564">
        <v>8000000</v>
      </c>
      <c r="AB60" s="539" t="s">
        <v>190</v>
      </c>
      <c r="AC60" s="539" t="s">
        <v>548</v>
      </c>
      <c r="AD60" s="551">
        <v>1</v>
      </c>
      <c r="AE60" s="551">
        <v>0</v>
      </c>
      <c r="AF60" s="543">
        <v>0</v>
      </c>
      <c r="AG60" s="543">
        <v>0</v>
      </c>
      <c r="AH60" s="536">
        <f t="shared" si="0"/>
        <v>212400</v>
      </c>
      <c r="AI60" s="536">
        <v>0</v>
      </c>
      <c r="AJ60" s="597">
        <v>212400</v>
      </c>
      <c r="AK60" s="536">
        <v>0</v>
      </c>
      <c r="AL60" s="536"/>
      <c r="AM60" s="536">
        <f t="shared" si="1"/>
        <v>212400</v>
      </c>
      <c r="AN60" s="536">
        <v>0</v>
      </c>
      <c r="AO60" s="600">
        <v>177404</v>
      </c>
      <c r="AP60" s="553">
        <v>34996</v>
      </c>
      <c r="AQ60" s="824"/>
    </row>
    <row r="61" spans="1:43" ht="105" customHeight="1" x14ac:dyDescent="0.25">
      <c r="A61" s="116" t="s">
        <v>889</v>
      </c>
      <c r="B61" s="116" t="s">
        <v>159</v>
      </c>
      <c r="C61" s="368" t="s">
        <v>844</v>
      </c>
      <c r="D61" s="116" t="s">
        <v>1028</v>
      </c>
      <c r="E61" s="726" t="s">
        <v>1248</v>
      </c>
      <c r="F61" s="384" t="s">
        <v>199</v>
      </c>
      <c r="G61" s="372" t="s">
        <v>1014</v>
      </c>
      <c r="H61" s="116" t="s">
        <v>1016</v>
      </c>
      <c r="I61" s="373" t="s">
        <v>1029</v>
      </c>
      <c r="J61" s="116" t="s">
        <v>1030</v>
      </c>
      <c r="K61" s="373" t="s">
        <v>1063</v>
      </c>
      <c r="L61" s="759">
        <v>145882000</v>
      </c>
      <c r="M61" s="547" t="s">
        <v>203</v>
      </c>
      <c r="N61" s="547" t="s">
        <v>156</v>
      </c>
      <c r="O61" s="595" t="s">
        <v>572</v>
      </c>
      <c r="P61" s="552"/>
      <c r="Q61" s="552"/>
      <c r="R61" s="552"/>
      <c r="S61" s="552"/>
      <c r="T61" s="549" t="s">
        <v>166</v>
      </c>
      <c r="U61" s="571">
        <v>1</v>
      </c>
      <c r="V61" s="571">
        <v>1</v>
      </c>
      <c r="W61" s="571">
        <v>0</v>
      </c>
      <c r="X61" s="571">
        <v>0</v>
      </c>
      <c r="Y61" s="549">
        <v>0</v>
      </c>
      <c r="Z61" s="596" t="s">
        <v>604</v>
      </c>
      <c r="AA61" s="759">
        <v>145882000</v>
      </c>
      <c r="AB61" s="539" t="s">
        <v>190</v>
      </c>
      <c r="AC61" s="540" t="s">
        <v>190</v>
      </c>
      <c r="AD61" s="551">
        <v>1</v>
      </c>
      <c r="AE61" s="551">
        <v>0</v>
      </c>
      <c r="AF61" s="543">
        <v>0</v>
      </c>
      <c r="AG61" s="543">
        <v>0</v>
      </c>
      <c r="AH61" s="536">
        <f t="shared" si="0"/>
        <v>139298478</v>
      </c>
      <c r="AI61" s="600">
        <v>35921141</v>
      </c>
      <c r="AJ61" s="601">
        <v>48640551</v>
      </c>
      <c r="AK61" s="536">
        <v>51487779</v>
      </c>
      <c r="AL61" s="536">
        <v>3249007</v>
      </c>
      <c r="AM61" s="536">
        <f t="shared" si="1"/>
        <v>139298478</v>
      </c>
      <c r="AN61" s="536">
        <v>31895306</v>
      </c>
      <c r="AO61" s="601">
        <v>47135839</v>
      </c>
      <c r="AP61" s="574">
        <v>55881976</v>
      </c>
      <c r="AQ61" s="824">
        <v>4385357</v>
      </c>
    </row>
    <row r="62" spans="1:43" ht="105" customHeight="1" x14ac:dyDescent="0.25">
      <c r="A62" s="116" t="s">
        <v>889</v>
      </c>
      <c r="B62" s="116" t="s">
        <v>159</v>
      </c>
      <c r="C62" s="368" t="s">
        <v>844</v>
      </c>
      <c r="D62" s="116" t="s">
        <v>1028</v>
      </c>
      <c r="E62" s="726" t="s">
        <v>1248</v>
      </c>
      <c r="F62" s="385" t="s">
        <v>199</v>
      </c>
      <c r="G62" s="372" t="s">
        <v>1014</v>
      </c>
      <c r="H62" s="116" t="s">
        <v>1016</v>
      </c>
      <c r="I62" s="373" t="s">
        <v>1029</v>
      </c>
      <c r="J62" s="116" t="s">
        <v>1030</v>
      </c>
      <c r="K62" s="373" t="s">
        <v>1063</v>
      </c>
      <c r="L62" s="564">
        <v>472430000</v>
      </c>
      <c r="M62" s="547" t="s">
        <v>196</v>
      </c>
      <c r="N62" s="547" t="s">
        <v>156</v>
      </c>
      <c r="O62" s="595" t="s">
        <v>584</v>
      </c>
      <c r="P62" s="369"/>
      <c r="Q62" s="369"/>
      <c r="R62" s="369"/>
      <c r="S62" s="369"/>
      <c r="T62" s="549" t="s">
        <v>166</v>
      </c>
      <c r="U62" s="571">
        <v>1</v>
      </c>
      <c r="V62" s="571">
        <v>1</v>
      </c>
      <c r="W62" s="571">
        <v>0</v>
      </c>
      <c r="X62" s="571">
        <v>0</v>
      </c>
      <c r="Y62" s="549">
        <v>0</v>
      </c>
      <c r="Z62" s="596" t="s">
        <v>606</v>
      </c>
      <c r="AA62" s="564">
        <v>472430000</v>
      </c>
      <c r="AB62" s="539" t="s">
        <v>867</v>
      </c>
      <c r="AC62" s="542" t="s">
        <v>868</v>
      </c>
      <c r="AD62" s="551">
        <v>1</v>
      </c>
      <c r="AE62" s="551">
        <v>0</v>
      </c>
      <c r="AF62" s="543">
        <v>0</v>
      </c>
      <c r="AG62" s="543">
        <v>0</v>
      </c>
      <c r="AH62" s="536">
        <f t="shared" si="0"/>
        <v>421798864</v>
      </c>
      <c r="AI62" s="602">
        <v>306776473</v>
      </c>
      <c r="AJ62" s="536">
        <v>21687650</v>
      </c>
      <c r="AK62" s="536">
        <f>143965877-50631136</f>
        <v>93334741</v>
      </c>
      <c r="AL62" s="536"/>
      <c r="AM62" s="536">
        <f t="shared" si="1"/>
        <v>403201864</v>
      </c>
      <c r="AN62" s="536">
        <v>80174752</v>
      </c>
      <c r="AO62" s="536">
        <v>103582348</v>
      </c>
      <c r="AP62" s="574">
        <v>113966521</v>
      </c>
      <c r="AQ62" s="824">
        <v>105478243</v>
      </c>
    </row>
    <row r="63" spans="1:43" ht="105" customHeight="1" x14ac:dyDescent="0.25">
      <c r="A63" s="116" t="s">
        <v>889</v>
      </c>
      <c r="B63" s="116" t="s">
        <v>159</v>
      </c>
      <c r="C63" s="368" t="s">
        <v>844</v>
      </c>
      <c r="D63" s="116" t="s">
        <v>1028</v>
      </c>
      <c r="E63" s="726" t="s">
        <v>1248</v>
      </c>
      <c r="F63" s="385" t="s">
        <v>199</v>
      </c>
      <c r="G63" s="372" t="s">
        <v>1014</v>
      </c>
      <c r="H63" s="116" t="s">
        <v>1016</v>
      </c>
      <c r="I63" s="373" t="s">
        <v>1029</v>
      </c>
      <c r="J63" s="116" t="s">
        <v>1030</v>
      </c>
      <c r="K63" s="373" t="s">
        <v>1063</v>
      </c>
      <c r="L63" s="554">
        <v>12000000</v>
      </c>
      <c r="M63" s="547" t="s">
        <v>196</v>
      </c>
      <c r="N63" s="547" t="s">
        <v>156</v>
      </c>
      <c r="O63" s="595" t="s">
        <v>584</v>
      </c>
      <c r="P63" s="552"/>
      <c r="Q63" s="552"/>
      <c r="R63" s="552"/>
      <c r="S63" s="552"/>
      <c r="T63" s="549" t="s">
        <v>166</v>
      </c>
      <c r="U63" s="571">
        <v>1</v>
      </c>
      <c r="V63" s="571">
        <v>1</v>
      </c>
      <c r="W63" s="571">
        <v>0</v>
      </c>
      <c r="X63" s="571">
        <v>0</v>
      </c>
      <c r="Y63" s="549">
        <v>0</v>
      </c>
      <c r="Z63" s="554" t="s">
        <v>605</v>
      </c>
      <c r="AA63" s="554">
        <v>12000000</v>
      </c>
      <c r="AB63" s="539" t="s">
        <v>198</v>
      </c>
      <c r="AC63" s="603" t="s">
        <v>830</v>
      </c>
      <c r="AD63" s="551">
        <v>1</v>
      </c>
      <c r="AE63" s="551">
        <v>0</v>
      </c>
      <c r="AF63" s="543">
        <v>0</v>
      </c>
      <c r="AG63" s="543">
        <v>0</v>
      </c>
      <c r="AH63" s="536">
        <f t="shared" si="0"/>
        <v>0</v>
      </c>
      <c r="AI63" s="536">
        <v>0</v>
      </c>
      <c r="AJ63" s="536">
        <v>0</v>
      </c>
      <c r="AK63" s="536"/>
      <c r="AL63" s="536">
        <v>0</v>
      </c>
      <c r="AM63" s="536">
        <f t="shared" si="1"/>
        <v>0</v>
      </c>
      <c r="AN63" s="536">
        <v>0</v>
      </c>
      <c r="AO63" s="536">
        <v>0</v>
      </c>
      <c r="AP63" s="544">
        <v>0</v>
      </c>
      <c r="AQ63" s="824"/>
    </row>
    <row r="64" spans="1:43" ht="105" customHeight="1" x14ac:dyDescent="0.25">
      <c r="A64" s="368" t="s">
        <v>889</v>
      </c>
      <c r="B64" s="368" t="s">
        <v>159</v>
      </c>
      <c r="C64" s="368" t="s">
        <v>844</v>
      </c>
      <c r="D64" s="368" t="s">
        <v>1028</v>
      </c>
      <c r="E64" s="726" t="s">
        <v>1248</v>
      </c>
      <c r="F64" s="377" t="s">
        <v>199</v>
      </c>
      <c r="G64" s="373" t="s">
        <v>1014</v>
      </c>
      <c r="H64" s="368" t="s">
        <v>1016</v>
      </c>
      <c r="I64" s="373" t="s">
        <v>1029</v>
      </c>
      <c r="J64" s="413" t="s">
        <v>1031</v>
      </c>
      <c r="K64" s="373" t="s">
        <v>1063</v>
      </c>
      <c r="L64" s="604">
        <v>150000000</v>
      </c>
      <c r="M64" s="547" t="s">
        <v>204</v>
      </c>
      <c r="N64" s="369" t="s">
        <v>212</v>
      </c>
      <c r="O64" s="547" t="s">
        <v>773</v>
      </c>
      <c r="P64" s="369" t="s">
        <v>1172</v>
      </c>
      <c r="Q64" s="369" t="s">
        <v>1177</v>
      </c>
      <c r="R64" s="369" t="s">
        <v>1174</v>
      </c>
      <c r="S64" s="369" t="s">
        <v>1178</v>
      </c>
      <c r="T64" s="549" t="s">
        <v>166</v>
      </c>
      <c r="U64" s="571">
        <v>1</v>
      </c>
      <c r="V64" s="571">
        <v>0</v>
      </c>
      <c r="W64" s="571">
        <v>0</v>
      </c>
      <c r="X64" s="571">
        <v>0</v>
      </c>
      <c r="Y64" s="549">
        <v>1</v>
      </c>
      <c r="Z64" s="605" t="s">
        <v>609</v>
      </c>
      <c r="AA64" s="604">
        <v>150000000</v>
      </c>
      <c r="AB64" s="539" t="s">
        <v>867</v>
      </c>
      <c r="AC64" s="542" t="s">
        <v>868</v>
      </c>
      <c r="AD64" s="551">
        <v>0</v>
      </c>
      <c r="AE64" s="551">
        <v>0</v>
      </c>
      <c r="AF64" s="543">
        <v>0</v>
      </c>
      <c r="AG64" s="543">
        <v>1</v>
      </c>
      <c r="AH64" s="536">
        <f t="shared" si="0"/>
        <v>150000000</v>
      </c>
      <c r="AI64" s="536">
        <v>0</v>
      </c>
      <c r="AJ64" s="536">
        <v>0</v>
      </c>
      <c r="AK64" s="536">
        <v>150000000</v>
      </c>
      <c r="AL64" s="536">
        <v>0</v>
      </c>
      <c r="AM64" s="536">
        <f t="shared" si="1"/>
        <v>74335360</v>
      </c>
      <c r="AN64" s="536">
        <v>0</v>
      </c>
      <c r="AO64" s="536">
        <v>0</v>
      </c>
      <c r="AP64" s="544"/>
      <c r="AQ64" s="824">
        <v>74335360</v>
      </c>
    </row>
    <row r="65" spans="1:43" ht="105" customHeight="1" x14ac:dyDescent="0.25">
      <c r="A65" s="368" t="s">
        <v>889</v>
      </c>
      <c r="B65" s="368" t="s">
        <v>159</v>
      </c>
      <c r="C65" s="368" t="s">
        <v>844</v>
      </c>
      <c r="D65" s="368" t="s">
        <v>1028</v>
      </c>
      <c r="E65" s="726" t="s">
        <v>1248</v>
      </c>
      <c r="F65" s="377" t="s">
        <v>199</v>
      </c>
      <c r="G65" s="373" t="s">
        <v>1014</v>
      </c>
      <c r="H65" s="368" t="s">
        <v>1016</v>
      </c>
      <c r="I65" s="373" t="s">
        <v>1029</v>
      </c>
      <c r="J65" s="413" t="s">
        <v>1031</v>
      </c>
      <c r="K65" s="373" t="s">
        <v>1063</v>
      </c>
      <c r="L65" s="554">
        <v>100000000</v>
      </c>
      <c r="M65" s="547" t="s">
        <v>204</v>
      </c>
      <c r="N65" s="369" t="s">
        <v>212</v>
      </c>
      <c r="O65" s="547" t="s">
        <v>773</v>
      </c>
      <c r="P65" s="369" t="s">
        <v>1172</v>
      </c>
      <c r="Q65" s="369" t="s">
        <v>1177</v>
      </c>
      <c r="R65" s="369" t="s">
        <v>1174</v>
      </c>
      <c r="S65" s="369" t="s">
        <v>1178</v>
      </c>
      <c r="T65" s="549" t="s">
        <v>166</v>
      </c>
      <c r="U65" s="571">
        <v>1</v>
      </c>
      <c r="V65" s="571">
        <v>0</v>
      </c>
      <c r="W65" s="571">
        <v>0</v>
      </c>
      <c r="X65" s="571">
        <v>0</v>
      </c>
      <c r="Y65" s="549">
        <v>1</v>
      </c>
      <c r="Z65" s="596" t="s">
        <v>603</v>
      </c>
      <c r="AA65" s="554">
        <v>100000000</v>
      </c>
      <c r="AB65" s="775" t="s">
        <v>198</v>
      </c>
      <c r="AC65" s="542" t="s">
        <v>194</v>
      </c>
      <c r="AD65" s="551">
        <v>0</v>
      </c>
      <c r="AE65" s="551">
        <v>0</v>
      </c>
      <c r="AF65" s="543">
        <v>0</v>
      </c>
      <c r="AG65" s="543">
        <v>1</v>
      </c>
      <c r="AH65" s="536">
        <f t="shared" si="0"/>
        <v>0</v>
      </c>
      <c r="AI65" s="536">
        <v>0</v>
      </c>
      <c r="AJ65" s="536">
        <v>0</v>
      </c>
      <c r="AK65" s="536">
        <v>0</v>
      </c>
      <c r="AL65" s="536">
        <v>0</v>
      </c>
      <c r="AM65" s="536">
        <f t="shared" si="1"/>
        <v>0</v>
      </c>
      <c r="AN65" s="536">
        <v>0</v>
      </c>
      <c r="AO65" s="536">
        <v>0</v>
      </c>
      <c r="AP65" s="544">
        <v>0</v>
      </c>
      <c r="AQ65" s="824">
        <v>0</v>
      </c>
    </row>
    <row r="66" spans="1:43" ht="105" customHeight="1" x14ac:dyDescent="0.25">
      <c r="A66" s="368" t="s">
        <v>889</v>
      </c>
      <c r="B66" s="116" t="s">
        <v>842</v>
      </c>
      <c r="C66" s="368" t="s">
        <v>846</v>
      </c>
      <c r="D66" s="160" t="s">
        <v>1041</v>
      </c>
      <c r="E66" s="726" t="s">
        <v>1248</v>
      </c>
      <c r="F66" s="367" t="s">
        <v>207</v>
      </c>
      <c r="G66" s="160" t="s">
        <v>1040</v>
      </c>
      <c r="H66" s="160" t="s">
        <v>1043</v>
      </c>
      <c r="I66" s="378" t="s">
        <v>1048</v>
      </c>
      <c r="J66" s="160" t="s">
        <v>1050</v>
      </c>
      <c r="K66" s="378" t="s">
        <v>1064</v>
      </c>
      <c r="L66" s="147">
        <v>126980000</v>
      </c>
      <c r="M66" s="860" t="s">
        <v>450</v>
      </c>
      <c r="N66" s="606" t="s">
        <v>156</v>
      </c>
      <c r="O66" s="607" t="s">
        <v>572</v>
      </c>
      <c r="P66" s="608"/>
      <c r="Q66" s="608"/>
      <c r="R66" s="608"/>
      <c r="S66" s="608"/>
      <c r="T66" s="549" t="s">
        <v>166</v>
      </c>
      <c r="U66" s="571">
        <v>1</v>
      </c>
      <c r="V66" s="549">
        <v>1</v>
      </c>
      <c r="W66" s="571">
        <v>0</v>
      </c>
      <c r="X66" s="571">
        <v>0</v>
      </c>
      <c r="Y66" s="549">
        <v>0</v>
      </c>
      <c r="Z66" s="545" t="s">
        <v>611</v>
      </c>
      <c r="AA66" s="852">
        <v>221980000</v>
      </c>
      <c r="AB66" s="775" t="s">
        <v>867</v>
      </c>
      <c r="AC66" s="542" t="s">
        <v>868</v>
      </c>
      <c r="AD66" s="551">
        <v>1</v>
      </c>
      <c r="AE66" s="551">
        <v>0</v>
      </c>
      <c r="AF66" s="543">
        <v>0</v>
      </c>
      <c r="AG66" s="543">
        <v>0</v>
      </c>
      <c r="AH66" s="536">
        <f t="shared" si="0"/>
        <v>158466915</v>
      </c>
      <c r="AI66" s="609">
        <v>25010000</v>
      </c>
      <c r="AJ66" s="609">
        <f>39410034-AI66</f>
        <v>14400034</v>
      </c>
      <c r="AK66" s="536">
        <f>126980000-AJ66-AI66</f>
        <v>87569966</v>
      </c>
      <c r="AL66" s="536">
        <f>158466915-AK66-AJ66-AI66</f>
        <v>31486915</v>
      </c>
      <c r="AM66" s="536">
        <f t="shared" si="1"/>
        <v>116594467</v>
      </c>
      <c r="AN66" s="609">
        <v>25010000</v>
      </c>
      <c r="AO66" s="609">
        <f>37031249-AN66</f>
        <v>12021249</v>
      </c>
      <c r="AP66" s="577">
        <f>54000000-AO66-AN66</f>
        <v>16968751</v>
      </c>
      <c r="AQ66" s="823">
        <f>116594467-AP66-AO66-AN66</f>
        <v>62594467</v>
      </c>
    </row>
    <row r="67" spans="1:43" ht="105" customHeight="1" x14ac:dyDescent="0.25">
      <c r="A67" s="368" t="s">
        <v>889</v>
      </c>
      <c r="B67" s="116" t="s">
        <v>842</v>
      </c>
      <c r="C67" s="368" t="s">
        <v>846</v>
      </c>
      <c r="D67" s="160" t="s">
        <v>1041</v>
      </c>
      <c r="E67" s="726" t="s">
        <v>1248</v>
      </c>
      <c r="F67" s="367" t="s">
        <v>207</v>
      </c>
      <c r="G67" s="160" t="s">
        <v>1040</v>
      </c>
      <c r="H67" s="160" t="s">
        <v>1043</v>
      </c>
      <c r="I67" s="378" t="s">
        <v>1048</v>
      </c>
      <c r="J67" s="160" t="s">
        <v>1050</v>
      </c>
      <c r="K67" s="378" t="s">
        <v>1064</v>
      </c>
      <c r="L67" s="129">
        <v>5000000</v>
      </c>
      <c r="M67" s="860" t="s">
        <v>450</v>
      </c>
      <c r="N67" s="606" t="s">
        <v>156</v>
      </c>
      <c r="O67" s="607" t="s">
        <v>572</v>
      </c>
      <c r="P67" s="608"/>
      <c r="Q67" s="608"/>
      <c r="R67" s="608"/>
      <c r="S67" s="608"/>
      <c r="T67" s="549" t="s">
        <v>166</v>
      </c>
      <c r="U67" s="571">
        <v>1</v>
      </c>
      <c r="V67" s="549">
        <v>1</v>
      </c>
      <c r="W67" s="571">
        <v>0</v>
      </c>
      <c r="X67" s="571">
        <v>0</v>
      </c>
      <c r="Y67" s="549">
        <v>0</v>
      </c>
      <c r="Z67" s="545" t="s">
        <v>612</v>
      </c>
      <c r="AA67" s="599">
        <v>5000000</v>
      </c>
      <c r="AB67" s="775" t="s">
        <v>190</v>
      </c>
      <c r="AC67" s="540" t="s">
        <v>190</v>
      </c>
      <c r="AD67" s="551">
        <v>1</v>
      </c>
      <c r="AE67" s="551">
        <v>0</v>
      </c>
      <c r="AF67" s="543">
        <v>0</v>
      </c>
      <c r="AG67" s="543">
        <v>0</v>
      </c>
      <c r="AH67" s="536">
        <f t="shared" si="0"/>
        <v>598400</v>
      </c>
      <c r="AI67" s="609">
        <v>598400</v>
      </c>
      <c r="AJ67" s="536">
        <v>0</v>
      </c>
      <c r="AK67" s="536">
        <f>598400-AI67</f>
        <v>0</v>
      </c>
      <c r="AL67" s="536"/>
      <c r="AM67" s="536">
        <f t="shared" si="1"/>
        <v>598395</v>
      </c>
      <c r="AN67" s="609">
        <v>507136</v>
      </c>
      <c r="AO67" s="610">
        <f>597574-AN67</f>
        <v>90438</v>
      </c>
      <c r="AP67" s="574">
        <f>598684-AN67-AO67-289</f>
        <v>821</v>
      </c>
      <c r="AQ67" s="577">
        <f>598395-AP67-AO67-AN67</f>
        <v>0</v>
      </c>
    </row>
    <row r="68" spans="1:43" ht="105" customHeight="1" x14ac:dyDescent="0.25">
      <c r="A68" s="368" t="s">
        <v>889</v>
      </c>
      <c r="B68" s="368" t="s">
        <v>842</v>
      </c>
      <c r="C68" s="368" t="s">
        <v>846</v>
      </c>
      <c r="D68" s="378" t="s">
        <v>1041</v>
      </c>
      <c r="E68" s="726" t="s">
        <v>1248</v>
      </c>
      <c r="F68" s="389" t="s">
        <v>207</v>
      </c>
      <c r="G68" s="378" t="s">
        <v>1040</v>
      </c>
      <c r="H68" s="378" t="s">
        <v>1044</v>
      </c>
      <c r="I68" s="378" t="s">
        <v>1048</v>
      </c>
      <c r="J68" s="378" t="s">
        <v>1050</v>
      </c>
      <c r="K68" s="378" t="s">
        <v>1064</v>
      </c>
      <c r="L68" s="599">
        <v>130000000</v>
      </c>
      <c r="M68" s="860" t="s">
        <v>208</v>
      </c>
      <c r="N68" s="568" t="s">
        <v>156</v>
      </c>
      <c r="O68" s="568" t="s">
        <v>1179</v>
      </c>
      <c r="P68" s="608"/>
      <c r="Q68" s="608"/>
      <c r="R68" s="608"/>
      <c r="S68" s="608"/>
      <c r="T68" s="549" t="s">
        <v>166</v>
      </c>
      <c r="U68" s="571">
        <v>3</v>
      </c>
      <c r="V68" s="873">
        <v>0.2</v>
      </c>
      <c r="W68" s="873">
        <v>0.2</v>
      </c>
      <c r="X68" s="873">
        <v>0.2</v>
      </c>
      <c r="Y68" s="873">
        <v>0.2</v>
      </c>
      <c r="Z68" s="545" t="s">
        <v>615</v>
      </c>
      <c r="AA68" s="599">
        <v>130000000</v>
      </c>
      <c r="AB68" s="775" t="s">
        <v>190</v>
      </c>
      <c r="AC68" s="540" t="s">
        <v>190</v>
      </c>
      <c r="AD68" s="854">
        <v>0.14000000000000001</v>
      </c>
      <c r="AE68" s="854">
        <v>0.14000000000000001</v>
      </c>
      <c r="AF68" s="854">
        <v>0.14000000000000001</v>
      </c>
      <c r="AG68" s="854">
        <v>0.14000000000000001</v>
      </c>
      <c r="AH68" s="536">
        <f t="shared" si="0"/>
        <v>54445500</v>
      </c>
      <c r="AI68" s="536">
        <v>0</v>
      </c>
      <c r="AJ68" s="536">
        <v>0</v>
      </c>
      <c r="AK68" s="536"/>
      <c r="AL68" s="536">
        <v>54445500</v>
      </c>
      <c r="AM68" s="536">
        <f t="shared" si="1"/>
        <v>54445500</v>
      </c>
      <c r="AN68" s="536">
        <v>0</v>
      </c>
      <c r="AO68" s="536">
        <v>0</v>
      </c>
      <c r="AP68" s="544"/>
      <c r="AQ68" s="824">
        <v>54445500</v>
      </c>
    </row>
    <row r="69" spans="1:43" ht="105" customHeight="1" x14ac:dyDescent="0.25">
      <c r="A69" s="368" t="s">
        <v>889</v>
      </c>
      <c r="B69" s="368" t="s">
        <v>842</v>
      </c>
      <c r="C69" s="368" t="s">
        <v>846</v>
      </c>
      <c r="D69" s="378" t="s">
        <v>1041</v>
      </c>
      <c r="E69" s="726" t="s">
        <v>1248</v>
      </c>
      <c r="F69" s="389" t="s">
        <v>207</v>
      </c>
      <c r="G69" s="378" t="s">
        <v>1040</v>
      </c>
      <c r="H69" s="378" t="s">
        <v>1044</v>
      </c>
      <c r="I69" s="378" t="s">
        <v>1048</v>
      </c>
      <c r="J69" s="378" t="s">
        <v>1050</v>
      </c>
      <c r="K69" s="378" t="s">
        <v>1064</v>
      </c>
      <c r="L69" s="599">
        <v>340000000</v>
      </c>
      <c r="M69" s="860" t="s">
        <v>208</v>
      </c>
      <c r="N69" s="568" t="s">
        <v>156</v>
      </c>
      <c r="O69" s="568" t="s">
        <v>1179</v>
      </c>
      <c r="P69" s="608"/>
      <c r="Q69" s="608"/>
      <c r="R69" s="608"/>
      <c r="S69" s="608"/>
      <c r="T69" s="549" t="s">
        <v>166</v>
      </c>
      <c r="U69" s="571">
        <v>3</v>
      </c>
      <c r="V69" s="873">
        <v>0.2</v>
      </c>
      <c r="W69" s="873">
        <v>0.2</v>
      </c>
      <c r="X69" s="873">
        <v>0.2</v>
      </c>
      <c r="Y69" s="873">
        <v>0.2</v>
      </c>
      <c r="Z69" s="545" t="s">
        <v>616</v>
      </c>
      <c r="AA69" s="599">
        <v>340000000</v>
      </c>
      <c r="AB69" s="775" t="s">
        <v>867</v>
      </c>
      <c r="AC69" s="542" t="s">
        <v>868</v>
      </c>
      <c r="AD69" s="854">
        <v>0.14000000000000001</v>
      </c>
      <c r="AE69" s="854">
        <v>0.14000000000000001</v>
      </c>
      <c r="AF69" s="854">
        <v>0.14000000000000001</v>
      </c>
      <c r="AG69" s="854">
        <v>0.14000000000000001</v>
      </c>
      <c r="AH69" s="536">
        <f t="shared" si="0"/>
        <v>271573470</v>
      </c>
      <c r="AI69" s="536">
        <v>0</v>
      </c>
      <c r="AJ69" s="611">
        <v>86922750</v>
      </c>
      <c r="AK69" s="536">
        <f>86922750-AJ69</f>
        <v>0</v>
      </c>
      <c r="AL69" s="536">
        <f>271573470-AJ69</f>
        <v>184650720</v>
      </c>
      <c r="AM69" s="536">
        <f t="shared" si="1"/>
        <v>252976110</v>
      </c>
      <c r="AN69" s="536">
        <v>0</v>
      </c>
      <c r="AO69" s="536">
        <v>0</v>
      </c>
      <c r="AP69" s="536">
        <v>24498450</v>
      </c>
      <c r="AQ69" s="577">
        <f>252976110-AP69</f>
        <v>228477660</v>
      </c>
    </row>
    <row r="70" spans="1:43" ht="105" customHeight="1" x14ac:dyDescent="0.25">
      <c r="A70" s="912" t="s">
        <v>889</v>
      </c>
      <c r="B70" s="164" t="s">
        <v>842</v>
      </c>
      <c r="C70" s="211" t="s">
        <v>846</v>
      </c>
      <c r="D70" s="218" t="s">
        <v>1041</v>
      </c>
      <c r="E70" s="726" t="s">
        <v>1248</v>
      </c>
      <c r="F70" s="233" t="s">
        <v>207</v>
      </c>
      <c r="G70" s="218" t="s">
        <v>1040</v>
      </c>
      <c r="H70" s="218" t="s">
        <v>1043</v>
      </c>
      <c r="I70" s="218" t="s">
        <v>1048</v>
      </c>
      <c r="J70" s="218" t="s">
        <v>1050</v>
      </c>
      <c r="K70" s="101" t="s">
        <v>1064</v>
      </c>
      <c r="L70" s="599">
        <v>0</v>
      </c>
      <c r="M70" s="861" t="s">
        <v>209</v>
      </c>
      <c r="N70" s="556" t="s">
        <v>156</v>
      </c>
      <c r="O70" s="556" t="s">
        <v>592</v>
      </c>
      <c r="P70" s="556" t="s">
        <v>831</v>
      </c>
      <c r="Q70" s="556"/>
      <c r="R70" s="556"/>
      <c r="S70" s="556"/>
      <c r="T70" s="540" t="s">
        <v>166</v>
      </c>
      <c r="U70" s="545">
        <v>1</v>
      </c>
      <c r="V70" s="850">
        <v>0.25</v>
      </c>
      <c r="W70" s="850">
        <v>0.25</v>
      </c>
      <c r="X70" s="850">
        <v>0.25</v>
      </c>
      <c r="Y70" s="850">
        <v>0.25</v>
      </c>
      <c r="Z70" s="545" t="s">
        <v>616</v>
      </c>
      <c r="AA70" s="599">
        <v>0</v>
      </c>
      <c r="AB70" s="775" t="s">
        <v>867</v>
      </c>
      <c r="AC70" s="542" t="s">
        <v>868</v>
      </c>
      <c r="AD70" s="855">
        <v>0.25</v>
      </c>
      <c r="AE70" s="855">
        <v>0.25</v>
      </c>
      <c r="AF70" s="855">
        <v>0.25</v>
      </c>
      <c r="AG70" s="855">
        <v>0.25</v>
      </c>
      <c r="AH70" s="536">
        <f t="shared" si="0"/>
        <v>0</v>
      </c>
      <c r="AI70" s="536">
        <v>0</v>
      </c>
      <c r="AJ70" s="536">
        <v>0</v>
      </c>
      <c r="AK70" s="536"/>
      <c r="AL70" s="536"/>
      <c r="AM70" s="536">
        <f t="shared" si="1"/>
        <v>0</v>
      </c>
      <c r="AN70" s="536">
        <v>0</v>
      </c>
      <c r="AO70" s="536">
        <v>0</v>
      </c>
      <c r="AP70" s="544"/>
      <c r="AQ70" s="544"/>
    </row>
    <row r="71" spans="1:43" ht="105" customHeight="1" x14ac:dyDescent="0.25">
      <c r="A71" s="930"/>
      <c r="B71" s="164"/>
      <c r="C71" s="813"/>
      <c r="D71" s="415"/>
      <c r="E71" s="775"/>
      <c r="F71" s="233" t="s">
        <v>207</v>
      </c>
      <c r="G71" s="415"/>
      <c r="H71" s="415"/>
      <c r="I71" s="415"/>
      <c r="J71" s="415"/>
      <c r="K71" s="492"/>
      <c r="L71" s="599"/>
      <c r="M71" s="880" t="s">
        <v>449</v>
      </c>
      <c r="N71" s="814"/>
      <c r="O71" s="814"/>
      <c r="P71" s="814"/>
      <c r="Q71" s="814"/>
      <c r="R71" s="814"/>
      <c r="S71" s="814"/>
      <c r="T71" s="613"/>
      <c r="U71" s="614"/>
      <c r="V71" s="851">
        <v>0</v>
      </c>
      <c r="W71" s="851">
        <v>0</v>
      </c>
      <c r="X71" s="851">
        <v>800</v>
      </c>
      <c r="Y71" s="851">
        <v>800</v>
      </c>
      <c r="Z71" s="614" t="s">
        <v>615</v>
      </c>
      <c r="AA71" s="599">
        <v>50000000</v>
      </c>
      <c r="AB71" s="775" t="s">
        <v>190</v>
      </c>
      <c r="AC71" s="615"/>
      <c r="AD71" s="851">
        <v>0</v>
      </c>
      <c r="AE71" s="851">
        <v>0</v>
      </c>
      <c r="AF71" s="851">
        <v>800</v>
      </c>
      <c r="AG71" s="851">
        <v>800</v>
      </c>
      <c r="AH71" s="617"/>
      <c r="AI71" s="617"/>
      <c r="AJ71" s="617"/>
      <c r="AK71" s="617"/>
      <c r="AL71" s="617"/>
      <c r="AM71" s="617"/>
      <c r="AN71" s="617"/>
      <c r="AO71" s="617"/>
      <c r="AP71" s="618"/>
      <c r="AQ71" s="618"/>
    </row>
    <row r="72" spans="1:43" ht="105" customHeight="1" x14ac:dyDescent="0.25">
      <c r="A72" s="913"/>
      <c r="B72" s="164" t="s">
        <v>842</v>
      </c>
      <c r="C72" s="413" t="s">
        <v>846</v>
      </c>
      <c r="D72" s="415" t="s">
        <v>1041</v>
      </c>
      <c r="E72" s="726" t="s">
        <v>1248</v>
      </c>
      <c r="F72" s="229" t="s">
        <v>207</v>
      </c>
      <c r="G72" s="415" t="s">
        <v>1040</v>
      </c>
      <c r="H72" s="415" t="s">
        <v>1044</v>
      </c>
      <c r="I72" s="415" t="s">
        <v>1048</v>
      </c>
      <c r="J72" s="415" t="s">
        <v>1050</v>
      </c>
      <c r="K72" s="492" t="s">
        <v>1065</v>
      </c>
      <c r="L72" s="554">
        <v>2050000000</v>
      </c>
      <c r="M72" s="880" t="s">
        <v>449</v>
      </c>
      <c r="N72" s="612" t="s">
        <v>156</v>
      </c>
      <c r="O72" s="612" t="s">
        <v>587</v>
      </c>
      <c r="P72" s="612"/>
      <c r="Q72" s="612" t="s">
        <v>831</v>
      </c>
      <c r="R72" s="612"/>
      <c r="S72" s="612"/>
      <c r="T72" s="613" t="s">
        <v>166</v>
      </c>
      <c r="U72" s="614">
        <v>16000</v>
      </c>
      <c r="V72" s="614">
        <v>0</v>
      </c>
      <c r="W72" s="614">
        <v>0</v>
      </c>
      <c r="X72" s="614">
        <v>800</v>
      </c>
      <c r="Y72" s="614">
        <v>800</v>
      </c>
      <c r="Z72" s="614" t="s">
        <v>617</v>
      </c>
      <c r="AA72" s="554">
        <v>2000000000</v>
      </c>
      <c r="AB72" s="775" t="s">
        <v>190</v>
      </c>
      <c r="AC72" s="615" t="s">
        <v>623</v>
      </c>
      <c r="AD72" s="616">
        <v>0</v>
      </c>
      <c r="AE72" s="616">
        <v>0</v>
      </c>
      <c r="AF72" s="616">
        <v>0</v>
      </c>
      <c r="AG72" s="616">
        <v>10703</v>
      </c>
      <c r="AH72" s="617">
        <f t="shared" si="0"/>
        <v>1444905000</v>
      </c>
      <c r="AI72" s="617">
        <v>0</v>
      </c>
      <c r="AJ72" s="617">
        <v>0</v>
      </c>
      <c r="AK72" s="617"/>
      <c r="AL72" s="617">
        <v>1444905000</v>
      </c>
      <c r="AM72" s="617">
        <f t="shared" si="1"/>
        <v>1444905000</v>
      </c>
      <c r="AN72" s="617">
        <v>0</v>
      </c>
      <c r="AO72" s="617">
        <v>0</v>
      </c>
      <c r="AP72" s="618"/>
      <c r="AQ72" s="839">
        <v>1444905000</v>
      </c>
    </row>
    <row r="73" spans="1:43" s="311" customFormat="1" ht="105" customHeight="1" x14ac:dyDescent="0.25">
      <c r="A73" s="912" t="s">
        <v>889</v>
      </c>
      <c r="B73" s="494" t="s">
        <v>842</v>
      </c>
      <c r="C73" s="423" t="s">
        <v>846</v>
      </c>
      <c r="D73" s="421" t="s">
        <v>1041</v>
      </c>
      <c r="E73" s="726" t="s">
        <v>1248</v>
      </c>
      <c r="F73" s="233" t="s">
        <v>207</v>
      </c>
      <c r="G73" s="421" t="s">
        <v>1040</v>
      </c>
      <c r="H73" s="421" t="s">
        <v>1043</v>
      </c>
      <c r="I73" s="421" t="s">
        <v>1048</v>
      </c>
      <c r="J73" s="421" t="s">
        <v>1050</v>
      </c>
      <c r="K73" s="101" t="s">
        <v>1064</v>
      </c>
      <c r="L73" s="129">
        <v>60000000</v>
      </c>
      <c r="M73" s="861" t="s">
        <v>210</v>
      </c>
      <c r="N73" s="556" t="s">
        <v>212</v>
      </c>
      <c r="O73" s="556" t="s">
        <v>1143</v>
      </c>
      <c r="P73" s="556" t="s">
        <v>1180</v>
      </c>
      <c r="Q73" s="556" t="s">
        <v>1181</v>
      </c>
      <c r="R73" s="556" t="s">
        <v>1182</v>
      </c>
      <c r="S73" s="556" t="s">
        <v>1178</v>
      </c>
      <c r="T73" s="540" t="s">
        <v>166</v>
      </c>
      <c r="U73" s="545">
        <v>1</v>
      </c>
      <c r="V73" s="545">
        <v>0</v>
      </c>
      <c r="W73" s="545">
        <v>0</v>
      </c>
      <c r="X73" s="545">
        <v>0</v>
      </c>
      <c r="Y73" s="545">
        <v>1</v>
      </c>
      <c r="Z73" s="545" t="s">
        <v>616</v>
      </c>
      <c r="AA73" s="599">
        <v>60000000</v>
      </c>
      <c r="AB73" s="775" t="s">
        <v>867</v>
      </c>
      <c r="AC73" s="542" t="s">
        <v>868</v>
      </c>
      <c r="AD73" s="543">
        <v>0</v>
      </c>
      <c r="AE73" s="543">
        <v>0</v>
      </c>
      <c r="AF73" s="543">
        <v>1</v>
      </c>
      <c r="AG73" s="543">
        <v>0</v>
      </c>
      <c r="AH73" s="536">
        <f t="shared" si="0"/>
        <v>60000000</v>
      </c>
      <c r="AI73" s="536">
        <v>0</v>
      </c>
      <c r="AJ73" s="536">
        <v>0</v>
      </c>
      <c r="AK73" s="536">
        <v>60000000</v>
      </c>
      <c r="AL73" s="536"/>
      <c r="AM73" s="536">
        <f t="shared" si="1"/>
        <v>58585792</v>
      </c>
      <c r="AN73" s="536">
        <v>0</v>
      </c>
      <c r="AO73" s="536">
        <v>0</v>
      </c>
      <c r="AP73" s="544"/>
      <c r="AQ73" s="824">
        <v>58585792</v>
      </c>
    </row>
    <row r="74" spans="1:43" ht="105" customHeight="1" x14ac:dyDescent="0.25">
      <c r="A74" s="913"/>
      <c r="B74" s="164" t="s">
        <v>842</v>
      </c>
      <c r="C74" s="414" t="s">
        <v>846</v>
      </c>
      <c r="D74" s="416" t="s">
        <v>1041</v>
      </c>
      <c r="E74" s="726" t="s">
        <v>1248</v>
      </c>
      <c r="F74" s="233" t="s">
        <v>207</v>
      </c>
      <c r="G74" s="416" t="s">
        <v>1040</v>
      </c>
      <c r="H74" s="416" t="s">
        <v>1044</v>
      </c>
      <c r="I74" s="416" t="s">
        <v>1048</v>
      </c>
      <c r="J74" s="416" t="s">
        <v>1050</v>
      </c>
      <c r="K74" s="493" t="s">
        <v>1066</v>
      </c>
      <c r="L74" s="599">
        <v>0</v>
      </c>
      <c r="M74" s="881" t="s">
        <v>211</v>
      </c>
      <c r="N74" s="619" t="s">
        <v>1144</v>
      </c>
      <c r="O74" s="619" t="s">
        <v>592</v>
      </c>
      <c r="P74" s="619"/>
      <c r="Q74" s="619" t="s">
        <v>831</v>
      </c>
      <c r="R74" s="619"/>
      <c r="S74" s="619"/>
      <c r="T74" s="620" t="s">
        <v>166</v>
      </c>
      <c r="U74" s="621">
        <v>1</v>
      </c>
      <c r="V74" s="621">
        <v>0</v>
      </c>
      <c r="W74" s="621">
        <v>0</v>
      </c>
      <c r="X74" s="621">
        <v>1</v>
      </c>
      <c r="Y74" s="621">
        <v>0</v>
      </c>
      <c r="Z74" s="621" t="s">
        <v>616</v>
      </c>
      <c r="AA74" s="599">
        <v>0</v>
      </c>
      <c r="AB74" s="775" t="s">
        <v>867</v>
      </c>
      <c r="AC74" s="622" t="s">
        <v>868</v>
      </c>
      <c r="AD74" s="623">
        <v>0</v>
      </c>
      <c r="AE74" s="623">
        <v>0</v>
      </c>
      <c r="AF74" s="623">
        <v>1</v>
      </c>
      <c r="AG74" s="623">
        <v>0</v>
      </c>
      <c r="AH74" s="624">
        <f t="shared" si="0"/>
        <v>0</v>
      </c>
      <c r="AI74" s="624">
        <v>0</v>
      </c>
      <c r="AJ74" s="624">
        <v>0</v>
      </c>
      <c r="AK74" s="624"/>
      <c r="AL74" s="624"/>
      <c r="AM74" s="624">
        <f t="shared" si="1"/>
        <v>0</v>
      </c>
      <c r="AN74" s="624">
        <v>0</v>
      </c>
      <c r="AO74" s="624">
        <v>0</v>
      </c>
      <c r="AP74" s="625"/>
      <c r="AQ74" s="625"/>
    </row>
    <row r="75" spans="1:43" ht="105" customHeight="1" x14ac:dyDescent="0.25">
      <c r="A75" s="912" t="s">
        <v>889</v>
      </c>
      <c r="B75" s="164" t="s">
        <v>842</v>
      </c>
      <c r="C75" s="211" t="s">
        <v>846</v>
      </c>
      <c r="D75" s="218" t="s">
        <v>1041</v>
      </c>
      <c r="E75" s="726" t="s">
        <v>1248</v>
      </c>
      <c r="F75" s="259" t="s">
        <v>207</v>
      </c>
      <c r="G75" s="218" t="s">
        <v>1040</v>
      </c>
      <c r="H75" s="218" t="s">
        <v>1043</v>
      </c>
      <c r="I75" s="218" t="s">
        <v>1048</v>
      </c>
      <c r="J75" s="218" t="s">
        <v>1050</v>
      </c>
      <c r="K75" s="101" t="s">
        <v>1066</v>
      </c>
      <c r="L75" s="626">
        <v>295000000</v>
      </c>
      <c r="M75" s="861" t="s">
        <v>181</v>
      </c>
      <c r="N75" s="556" t="s">
        <v>1144</v>
      </c>
      <c r="O75" s="627" t="s">
        <v>587</v>
      </c>
      <c r="P75" s="556"/>
      <c r="Q75" s="556" t="s">
        <v>831</v>
      </c>
      <c r="R75" s="556"/>
      <c r="S75" s="556"/>
      <c r="T75" s="540" t="s">
        <v>166</v>
      </c>
      <c r="U75" s="545">
        <v>1</v>
      </c>
      <c r="V75" s="545">
        <v>1</v>
      </c>
      <c r="W75" s="545">
        <v>0</v>
      </c>
      <c r="X75" s="545">
        <v>0</v>
      </c>
      <c r="Y75" s="545">
        <v>0</v>
      </c>
      <c r="Z75" s="545" t="s">
        <v>611</v>
      </c>
      <c r="AA75" s="853">
        <v>200000000</v>
      </c>
      <c r="AB75" s="775" t="s">
        <v>867</v>
      </c>
      <c r="AC75" s="542" t="s">
        <v>868</v>
      </c>
      <c r="AD75" s="543">
        <v>1</v>
      </c>
      <c r="AE75" s="543">
        <v>0</v>
      </c>
      <c r="AF75" s="543">
        <v>0</v>
      </c>
      <c r="AG75" s="543">
        <v>0</v>
      </c>
      <c r="AH75" s="536">
        <f t="shared" si="0"/>
        <v>200000000</v>
      </c>
      <c r="AI75" s="628">
        <v>200000000</v>
      </c>
      <c r="AJ75" s="536">
        <v>0</v>
      </c>
      <c r="AK75" s="536"/>
      <c r="AL75" s="536"/>
      <c r="AM75" s="536">
        <f t="shared" si="1"/>
        <v>200000000</v>
      </c>
      <c r="AN75" s="536">
        <v>36683034</v>
      </c>
      <c r="AO75" s="611">
        <f>100000000-AN75</f>
        <v>63316966</v>
      </c>
      <c r="AP75" s="611">
        <f>183227746-AN75-AO75</f>
        <v>83227746</v>
      </c>
      <c r="AQ75" s="824">
        <f>200000000-AP75-AO75-AN75</f>
        <v>16772254</v>
      </c>
    </row>
    <row r="76" spans="1:43" ht="105" customHeight="1" x14ac:dyDescent="0.25">
      <c r="A76" s="913"/>
      <c r="B76" s="211" t="s">
        <v>159</v>
      </c>
      <c r="C76" s="211" t="s">
        <v>844</v>
      </c>
      <c r="D76" s="218" t="s">
        <v>1036</v>
      </c>
      <c r="E76" s="726" t="s">
        <v>1248</v>
      </c>
      <c r="F76" s="131" t="s">
        <v>218</v>
      </c>
      <c r="G76" s="213" t="s">
        <v>1037</v>
      </c>
      <c r="H76" s="238" t="s">
        <v>1016</v>
      </c>
      <c r="I76" s="218" t="s">
        <v>1038</v>
      </c>
      <c r="J76" s="218" t="s">
        <v>1039</v>
      </c>
      <c r="K76" s="213" t="s">
        <v>1067</v>
      </c>
      <c r="L76" s="148">
        <v>10400980000</v>
      </c>
      <c r="M76" s="228" t="s">
        <v>213</v>
      </c>
      <c r="N76" s="556" t="s">
        <v>1144</v>
      </c>
      <c r="O76" s="556" t="s">
        <v>1145</v>
      </c>
      <c r="P76" s="228"/>
      <c r="Q76" s="228"/>
      <c r="R76" s="228"/>
      <c r="S76" s="228"/>
      <c r="T76" s="540" t="s">
        <v>166</v>
      </c>
      <c r="U76" s="545">
        <v>1</v>
      </c>
      <c r="V76" s="545">
        <v>1</v>
      </c>
      <c r="W76" s="545">
        <v>0</v>
      </c>
      <c r="X76" s="545">
        <v>0</v>
      </c>
      <c r="Y76" s="545">
        <v>0</v>
      </c>
      <c r="Z76" s="629" t="s">
        <v>618</v>
      </c>
      <c r="AA76" s="148">
        <v>10400980000</v>
      </c>
      <c r="AB76" s="775" t="s">
        <v>867</v>
      </c>
      <c r="AC76" s="542" t="s">
        <v>868</v>
      </c>
      <c r="AD76" s="543">
        <v>1</v>
      </c>
      <c r="AE76" s="543">
        <v>0</v>
      </c>
      <c r="AF76" s="543">
        <v>0</v>
      </c>
      <c r="AG76" s="543">
        <v>0</v>
      </c>
      <c r="AH76" s="536">
        <f t="shared" si="0"/>
        <v>10350825981</v>
      </c>
      <c r="AI76" s="573">
        <v>2454566523</v>
      </c>
      <c r="AJ76" s="573">
        <f>4080054550-AI76</f>
        <v>1625488027</v>
      </c>
      <c r="AK76" s="536">
        <f>10399484621-AJ76-AI76-48658640</f>
        <v>6270771431</v>
      </c>
      <c r="AL76" s="536">
        <f>10350825981-AK76-AJ76-AI76</f>
        <v>0</v>
      </c>
      <c r="AM76" s="536">
        <f t="shared" si="1"/>
        <v>8621069360</v>
      </c>
      <c r="AN76" s="573">
        <v>2154753988</v>
      </c>
      <c r="AO76" s="573">
        <f>3625069564-AN76</f>
        <v>1470315576</v>
      </c>
      <c r="AP76" s="574">
        <f>5936855271-AN76-AO76</f>
        <v>2311785707</v>
      </c>
      <c r="AQ76" s="553">
        <f>8621069360-AP76-AO76-AN76</f>
        <v>2684214089</v>
      </c>
    </row>
    <row r="77" spans="1:43" ht="75.75" customHeight="1" x14ac:dyDescent="0.25">
      <c r="A77" s="368" t="s">
        <v>889</v>
      </c>
      <c r="B77" s="368" t="s">
        <v>159</v>
      </c>
      <c r="C77" s="368" t="s">
        <v>844</v>
      </c>
      <c r="D77" s="378" t="s">
        <v>1036</v>
      </c>
      <c r="E77" s="726" t="s">
        <v>1248</v>
      </c>
      <c r="F77" s="384" t="s">
        <v>218</v>
      </c>
      <c r="G77" s="373" t="s">
        <v>1037</v>
      </c>
      <c r="H77" s="238" t="s">
        <v>1016</v>
      </c>
      <c r="I77" s="378" t="s">
        <v>1038</v>
      </c>
      <c r="J77" s="378" t="s">
        <v>1039</v>
      </c>
      <c r="K77" s="373" t="s">
        <v>1068</v>
      </c>
      <c r="L77" s="128">
        <v>350000000</v>
      </c>
      <c r="M77" s="585" t="s">
        <v>214</v>
      </c>
      <c r="N77" s="568" t="s">
        <v>156</v>
      </c>
      <c r="O77" s="585" t="s">
        <v>1146</v>
      </c>
      <c r="P77" s="408"/>
      <c r="Q77" s="408" t="s">
        <v>831</v>
      </c>
      <c r="R77" s="408"/>
      <c r="S77" s="408"/>
      <c r="T77" s="549" t="s">
        <v>166</v>
      </c>
      <c r="U77" s="571">
        <v>111</v>
      </c>
      <c r="V77" s="571">
        <v>111</v>
      </c>
      <c r="W77" s="571">
        <v>0</v>
      </c>
      <c r="X77" s="571">
        <v>0</v>
      </c>
      <c r="Y77" s="571">
        <v>0</v>
      </c>
      <c r="Z77" s="629" t="s">
        <v>619</v>
      </c>
      <c r="AA77" s="128">
        <v>350000000</v>
      </c>
      <c r="AB77" s="775" t="s">
        <v>190</v>
      </c>
      <c r="AC77" s="540" t="s">
        <v>190</v>
      </c>
      <c r="AD77" s="788">
        <v>111</v>
      </c>
      <c r="AE77" s="551">
        <v>0</v>
      </c>
      <c r="AF77" s="543">
        <v>0</v>
      </c>
      <c r="AG77" s="543">
        <v>0</v>
      </c>
      <c r="AH77" s="536">
        <f t="shared" si="0"/>
        <v>332718550</v>
      </c>
      <c r="AI77" s="573">
        <v>96182400</v>
      </c>
      <c r="AJ77" s="573">
        <f>162930100-AI77</f>
        <v>66747700</v>
      </c>
      <c r="AK77" s="536">
        <f>238644800-AJ77-AI77</f>
        <v>75714700</v>
      </c>
      <c r="AL77" s="536">
        <f>332718550-AK77-AJ77-AI77</f>
        <v>94073750</v>
      </c>
      <c r="AM77" s="536">
        <f t="shared" si="1"/>
        <v>332718550</v>
      </c>
      <c r="AN77" s="573">
        <v>96182400</v>
      </c>
      <c r="AO77" s="573">
        <f>154819285-AN77</f>
        <v>58636885</v>
      </c>
      <c r="AP77" s="574">
        <f>234015198-AN77-AO77</f>
        <v>79195913</v>
      </c>
      <c r="AQ77" s="651">
        <f>332718550-AP77-AO77-AN77</f>
        <v>98703352</v>
      </c>
    </row>
    <row r="78" spans="1:43" ht="78" customHeight="1" x14ac:dyDescent="0.25">
      <c r="A78" s="368" t="s">
        <v>889</v>
      </c>
      <c r="B78" s="368" t="s">
        <v>159</v>
      </c>
      <c r="C78" s="368" t="s">
        <v>844</v>
      </c>
      <c r="D78" s="378" t="s">
        <v>1036</v>
      </c>
      <c r="E78" s="726" t="s">
        <v>1248</v>
      </c>
      <c r="F78" s="384" t="s">
        <v>218</v>
      </c>
      <c r="G78" s="373" t="s">
        <v>1037</v>
      </c>
      <c r="H78" s="238" t="s">
        <v>1016</v>
      </c>
      <c r="I78" s="378" t="s">
        <v>1038</v>
      </c>
      <c r="J78" s="378" t="s">
        <v>1039</v>
      </c>
      <c r="K78" s="373" t="s">
        <v>1068</v>
      </c>
      <c r="L78" s="128">
        <v>210000000</v>
      </c>
      <c r="M78" s="585" t="s">
        <v>214</v>
      </c>
      <c r="N78" s="568" t="s">
        <v>156</v>
      </c>
      <c r="O78" s="585" t="s">
        <v>1146</v>
      </c>
      <c r="P78" s="408"/>
      <c r="Q78" s="408" t="s">
        <v>831</v>
      </c>
      <c r="R78" s="408"/>
      <c r="S78" s="408"/>
      <c r="T78" s="549" t="s">
        <v>166</v>
      </c>
      <c r="U78" s="571">
        <v>111</v>
      </c>
      <c r="V78" s="571">
        <v>111</v>
      </c>
      <c r="W78" s="571">
        <v>0</v>
      </c>
      <c r="X78" s="571">
        <v>0</v>
      </c>
      <c r="Y78" s="571">
        <v>0</v>
      </c>
      <c r="Z78" s="629" t="s">
        <v>620</v>
      </c>
      <c r="AA78" s="128">
        <v>210000000</v>
      </c>
      <c r="AB78" s="775" t="s">
        <v>190</v>
      </c>
      <c r="AC78" s="542" t="s">
        <v>623</v>
      </c>
      <c r="AD78" s="788">
        <v>111</v>
      </c>
      <c r="AE78" s="551">
        <v>0</v>
      </c>
      <c r="AF78" s="543">
        <v>0</v>
      </c>
      <c r="AG78" s="543">
        <v>0</v>
      </c>
      <c r="AH78" s="536">
        <f t="shared" si="0"/>
        <v>119283475</v>
      </c>
      <c r="AI78" s="573">
        <v>24896700</v>
      </c>
      <c r="AJ78" s="536">
        <v>0</v>
      </c>
      <c r="AK78" s="536">
        <f>24896700-AI78</f>
        <v>0</v>
      </c>
      <c r="AL78" s="536">
        <f>119283475-AI78</f>
        <v>94386775</v>
      </c>
      <c r="AM78" s="536">
        <f t="shared" si="1"/>
        <v>119283473</v>
      </c>
      <c r="AN78" s="573">
        <v>24862519</v>
      </c>
      <c r="AO78" s="536">
        <v>0</v>
      </c>
      <c r="AP78" s="536">
        <f>24862519-AN78</f>
        <v>0</v>
      </c>
      <c r="AQ78" s="651">
        <f>119283473-AN78</f>
        <v>94420954</v>
      </c>
    </row>
    <row r="79" spans="1:43" ht="78" customHeight="1" x14ac:dyDescent="0.25">
      <c r="A79" s="368" t="s">
        <v>889</v>
      </c>
      <c r="B79" s="368" t="s">
        <v>159</v>
      </c>
      <c r="C79" s="368" t="s">
        <v>844</v>
      </c>
      <c r="D79" s="378" t="s">
        <v>1036</v>
      </c>
      <c r="E79" s="726" t="s">
        <v>1248</v>
      </c>
      <c r="F79" s="384" t="s">
        <v>218</v>
      </c>
      <c r="G79" s="373" t="s">
        <v>1037</v>
      </c>
      <c r="H79" s="238" t="s">
        <v>1016</v>
      </c>
      <c r="I79" s="378" t="s">
        <v>1038</v>
      </c>
      <c r="J79" s="378" t="s">
        <v>1039</v>
      </c>
      <c r="K79" s="373" t="s">
        <v>1068</v>
      </c>
      <c r="L79" s="128">
        <v>200000000</v>
      </c>
      <c r="M79" s="585" t="s">
        <v>214</v>
      </c>
      <c r="N79" s="568" t="s">
        <v>156</v>
      </c>
      <c r="O79" s="585" t="s">
        <v>1146</v>
      </c>
      <c r="P79" s="408"/>
      <c r="Q79" s="408" t="s">
        <v>831</v>
      </c>
      <c r="R79" s="408"/>
      <c r="S79" s="408"/>
      <c r="T79" s="549" t="s">
        <v>166</v>
      </c>
      <c r="U79" s="571">
        <v>111</v>
      </c>
      <c r="V79" s="571">
        <v>111</v>
      </c>
      <c r="W79" s="571">
        <v>0</v>
      </c>
      <c r="X79" s="571">
        <v>0</v>
      </c>
      <c r="Y79" s="571">
        <v>0</v>
      </c>
      <c r="Z79" s="629" t="s">
        <v>621</v>
      </c>
      <c r="AA79" s="128">
        <v>200000000</v>
      </c>
      <c r="AB79" s="775" t="s">
        <v>190</v>
      </c>
      <c r="AC79" s="542" t="s">
        <v>130</v>
      </c>
      <c r="AD79" s="788">
        <v>111</v>
      </c>
      <c r="AE79" s="551">
        <v>0</v>
      </c>
      <c r="AF79" s="543">
        <v>0</v>
      </c>
      <c r="AG79" s="543">
        <v>0</v>
      </c>
      <c r="AH79" s="536">
        <f t="shared" si="0"/>
        <v>200000000</v>
      </c>
      <c r="AI79" s="536">
        <v>0</v>
      </c>
      <c r="AJ79" s="536">
        <v>0</v>
      </c>
      <c r="AK79" s="536"/>
      <c r="AL79" s="536">
        <v>200000000</v>
      </c>
      <c r="AM79" s="536">
        <f t="shared" si="1"/>
        <v>200000000</v>
      </c>
      <c r="AN79" s="536">
        <v>0</v>
      </c>
      <c r="AO79" s="536">
        <v>0</v>
      </c>
      <c r="AP79" s="544"/>
      <c r="AQ79" s="833">
        <v>200000000</v>
      </c>
    </row>
    <row r="80" spans="1:43" ht="67.5" customHeight="1" x14ac:dyDescent="0.25">
      <c r="A80" s="368" t="s">
        <v>889</v>
      </c>
      <c r="B80" s="368" t="s">
        <v>159</v>
      </c>
      <c r="C80" s="368" t="s">
        <v>844</v>
      </c>
      <c r="D80" s="378" t="s">
        <v>1036</v>
      </c>
      <c r="E80" s="726" t="s">
        <v>1248</v>
      </c>
      <c r="F80" s="384" t="s">
        <v>218</v>
      </c>
      <c r="G80" s="373" t="s">
        <v>1037</v>
      </c>
      <c r="H80" s="238" t="s">
        <v>1016</v>
      </c>
      <c r="I80" s="378" t="s">
        <v>1038</v>
      </c>
      <c r="J80" s="378" t="s">
        <v>1039</v>
      </c>
      <c r="K80" s="373" t="s">
        <v>1068</v>
      </c>
      <c r="L80" s="145">
        <v>20000000</v>
      </c>
      <c r="M80" s="228" t="s">
        <v>215</v>
      </c>
      <c r="N80" s="568" t="s">
        <v>156</v>
      </c>
      <c r="O80" s="585" t="s">
        <v>1146</v>
      </c>
      <c r="P80" s="408"/>
      <c r="Q80" s="408" t="s">
        <v>831</v>
      </c>
      <c r="R80" s="408"/>
      <c r="S80" s="408"/>
      <c r="T80" s="549" t="s">
        <v>166</v>
      </c>
      <c r="U80" s="571">
        <v>111</v>
      </c>
      <c r="V80" s="815">
        <v>0</v>
      </c>
      <c r="W80" s="815">
        <v>0</v>
      </c>
      <c r="X80" s="815">
        <v>6</v>
      </c>
      <c r="Y80" s="815">
        <v>6</v>
      </c>
      <c r="Z80" s="629" t="s">
        <v>620</v>
      </c>
      <c r="AA80" s="145">
        <v>20000000</v>
      </c>
      <c r="AB80" s="775" t="s">
        <v>190</v>
      </c>
      <c r="AC80" s="542" t="s">
        <v>623</v>
      </c>
      <c r="AD80" s="788">
        <v>0</v>
      </c>
      <c r="AE80" s="812">
        <v>0</v>
      </c>
      <c r="AF80" s="791">
        <v>6</v>
      </c>
      <c r="AG80" s="543">
        <v>6</v>
      </c>
      <c r="AH80" s="536">
        <f t="shared" si="0"/>
        <v>0</v>
      </c>
      <c r="AI80" s="573">
        <v>0</v>
      </c>
      <c r="AJ80" s="536">
        <v>0</v>
      </c>
      <c r="AK80" s="536">
        <v>0</v>
      </c>
      <c r="AL80" s="536">
        <v>0</v>
      </c>
      <c r="AM80" s="536">
        <f t="shared" si="1"/>
        <v>0</v>
      </c>
      <c r="AN80" s="536">
        <v>0</v>
      </c>
      <c r="AO80" s="536">
        <v>0</v>
      </c>
      <c r="AP80" s="544">
        <v>0</v>
      </c>
      <c r="AQ80" s="544">
        <v>0</v>
      </c>
    </row>
    <row r="81" spans="1:43" ht="105" customHeight="1" x14ac:dyDescent="0.25">
      <c r="A81" s="221" t="s">
        <v>889</v>
      </c>
      <c r="B81" s="211" t="s">
        <v>159</v>
      </c>
      <c r="C81" s="211" t="s">
        <v>844</v>
      </c>
      <c r="D81" s="218" t="s">
        <v>1036</v>
      </c>
      <c r="E81" s="726" t="s">
        <v>1248</v>
      </c>
      <c r="F81" s="125" t="s">
        <v>218</v>
      </c>
      <c r="G81" s="213" t="s">
        <v>1037</v>
      </c>
      <c r="H81" s="238" t="s">
        <v>1016</v>
      </c>
      <c r="I81" s="218" t="s">
        <v>1038</v>
      </c>
      <c r="J81" s="218" t="s">
        <v>1039</v>
      </c>
      <c r="K81" s="251" t="s">
        <v>1068</v>
      </c>
      <c r="L81" s="128">
        <v>80000000</v>
      </c>
      <c r="M81" s="585" t="s">
        <v>451</v>
      </c>
      <c r="N81" s="556" t="s">
        <v>156</v>
      </c>
      <c r="O81" s="228" t="s">
        <v>571</v>
      </c>
      <c r="P81" s="228"/>
      <c r="Q81" s="228" t="s">
        <v>831</v>
      </c>
      <c r="R81" s="228"/>
      <c r="S81" s="228"/>
      <c r="T81" s="540" t="s">
        <v>166</v>
      </c>
      <c r="U81" s="545">
        <v>12</v>
      </c>
      <c r="V81" s="856">
        <v>0</v>
      </c>
      <c r="W81" s="856">
        <v>2</v>
      </c>
      <c r="X81" s="856">
        <v>3</v>
      </c>
      <c r="Y81" s="856">
        <v>1</v>
      </c>
      <c r="Z81" s="144" t="s">
        <v>624</v>
      </c>
      <c r="AA81" s="128">
        <v>80000000</v>
      </c>
      <c r="AB81" s="775" t="s">
        <v>867</v>
      </c>
      <c r="AC81" s="542" t="s">
        <v>623</v>
      </c>
      <c r="AD81" s="543">
        <v>0</v>
      </c>
      <c r="AE81" s="791">
        <v>2</v>
      </c>
      <c r="AF81" s="791">
        <v>3</v>
      </c>
      <c r="AG81" s="543">
        <v>1</v>
      </c>
      <c r="AH81" s="536">
        <f t="shared" si="0"/>
        <v>79910000</v>
      </c>
      <c r="AI81" s="536">
        <v>0</v>
      </c>
      <c r="AJ81" s="573">
        <v>79910000</v>
      </c>
      <c r="AK81" s="536"/>
      <c r="AL81" s="536"/>
      <c r="AM81" s="536">
        <f t="shared" si="1"/>
        <v>79910000</v>
      </c>
      <c r="AN81" s="536">
        <v>0</v>
      </c>
      <c r="AO81" s="536">
        <v>0</v>
      </c>
      <c r="AP81" s="544"/>
      <c r="AQ81" s="833">
        <v>79910000</v>
      </c>
    </row>
    <row r="82" spans="1:43" ht="69.75" customHeight="1" x14ac:dyDescent="0.25">
      <c r="A82" s="116" t="s">
        <v>889</v>
      </c>
      <c r="B82" s="116" t="s">
        <v>159</v>
      </c>
      <c r="C82" s="368" t="s">
        <v>844</v>
      </c>
      <c r="D82" s="160" t="s">
        <v>1036</v>
      </c>
      <c r="E82" s="726" t="s">
        <v>1248</v>
      </c>
      <c r="F82" s="377" t="s">
        <v>218</v>
      </c>
      <c r="G82" s="372" t="s">
        <v>1037</v>
      </c>
      <c r="H82" s="238" t="s">
        <v>1016</v>
      </c>
      <c r="I82" s="160" t="s">
        <v>1038</v>
      </c>
      <c r="J82" s="160" t="s">
        <v>1039</v>
      </c>
      <c r="K82" s="373" t="s">
        <v>1068</v>
      </c>
      <c r="L82" s="567">
        <v>2455411</v>
      </c>
      <c r="M82" s="585" t="s">
        <v>451</v>
      </c>
      <c r="N82" s="568" t="s">
        <v>156</v>
      </c>
      <c r="O82" s="630" t="s">
        <v>1152</v>
      </c>
      <c r="P82" s="408"/>
      <c r="Q82" s="408"/>
      <c r="R82" s="408"/>
      <c r="S82" s="408"/>
      <c r="T82" s="549" t="s">
        <v>166</v>
      </c>
      <c r="U82" s="571">
        <v>4</v>
      </c>
      <c r="V82" s="815">
        <v>0</v>
      </c>
      <c r="W82" s="815">
        <v>2</v>
      </c>
      <c r="X82" s="815">
        <v>3</v>
      </c>
      <c r="Y82" s="815">
        <v>1</v>
      </c>
      <c r="Z82" s="144" t="s">
        <v>624</v>
      </c>
      <c r="AA82" s="567">
        <v>2455411</v>
      </c>
      <c r="AB82" s="775" t="s">
        <v>867</v>
      </c>
      <c r="AC82" s="542" t="s">
        <v>868</v>
      </c>
      <c r="AD82" s="788">
        <v>0</v>
      </c>
      <c r="AE82" s="812">
        <v>2</v>
      </c>
      <c r="AF82" s="791">
        <v>3</v>
      </c>
      <c r="AG82" s="543">
        <v>1</v>
      </c>
      <c r="AH82" s="536">
        <f t="shared" si="0"/>
        <v>2425696</v>
      </c>
      <c r="AI82" s="536">
        <v>0</v>
      </c>
      <c r="AJ82" s="536"/>
      <c r="AK82" s="536">
        <f>79910000-AJ81</f>
        <v>0</v>
      </c>
      <c r="AL82" s="536">
        <f>2425696</f>
        <v>2425696</v>
      </c>
      <c r="AM82" s="536">
        <f t="shared" si="1"/>
        <v>2425696</v>
      </c>
      <c r="AN82" s="536">
        <v>0</v>
      </c>
      <c r="AO82" s="536">
        <v>0</v>
      </c>
      <c r="AP82" s="544"/>
      <c r="AQ82" s="833">
        <v>2425696</v>
      </c>
    </row>
    <row r="83" spans="1:43" ht="65.25" customHeight="1" x14ac:dyDescent="0.25">
      <c r="A83" s="116" t="s">
        <v>889</v>
      </c>
      <c r="B83" s="116" t="s">
        <v>159</v>
      </c>
      <c r="C83" s="368" t="s">
        <v>844</v>
      </c>
      <c r="D83" s="160" t="s">
        <v>1036</v>
      </c>
      <c r="E83" s="726" t="s">
        <v>1248</v>
      </c>
      <c r="F83" s="377" t="s">
        <v>218</v>
      </c>
      <c r="G83" s="372" t="s">
        <v>1037</v>
      </c>
      <c r="H83" s="238" t="s">
        <v>1016</v>
      </c>
      <c r="I83" s="160" t="s">
        <v>1038</v>
      </c>
      <c r="J83" s="160" t="s">
        <v>1039</v>
      </c>
      <c r="K83" s="373" t="s">
        <v>1068</v>
      </c>
      <c r="L83" s="128">
        <v>20000000</v>
      </c>
      <c r="M83" s="585" t="s">
        <v>451</v>
      </c>
      <c r="N83" s="568" t="s">
        <v>156</v>
      </c>
      <c r="O83" s="630" t="s">
        <v>1152</v>
      </c>
      <c r="P83" s="631"/>
      <c r="Q83" s="631"/>
      <c r="R83" s="631"/>
      <c r="S83" s="631"/>
      <c r="T83" s="549" t="s">
        <v>166</v>
      </c>
      <c r="U83" s="571">
        <v>4</v>
      </c>
      <c r="V83" s="815">
        <v>0</v>
      </c>
      <c r="W83" s="815">
        <v>2</v>
      </c>
      <c r="X83" s="815">
        <v>3</v>
      </c>
      <c r="Y83" s="815">
        <v>1</v>
      </c>
      <c r="Z83" s="144" t="s">
        <v>624</v>
      </c>
      <c r="AA83" s="128">
        <v>20000000</v>
      </c>
      <c r="AB83" s="775" t="s">
        <v>867</v>
      </c>
      <c r="AC83" s="542" t="s">
        <v>868</v>
      </c>
      <c r="AD83" s="788">
        <v>0</v>
      </c>
      <c r="AE83" s="812">
        <v>2</v>
      </c>
      <c r="AF83" s="791">
        <v>3</v>
      </c>
      <c r="AG83" s="543">
        <v>1</v>
      </c>
      <c r="AH83" s="536">
        <f t="shared" si="0"/>
        <v>1942350</v>
      </c>
      <c r="AI83" s="536">
        <v>0</v>
      </c>
      <c r="AJ83" s="536">
        <v>0</v>
      </c>
      <c r="AK83" s="536"/>
      <c r="AL83" s="536">
        <v>1942350</v>
      </c>
      <c r="AM83" s="536">
        <f t="shared" si="1"/>
        <v>1942350</v>
      </c>
      <c r="AN83" s="536">
        <v>0</v>
      </c>
      <c r="AO83" s="536">
        <v>0</v>
      </c>
      <c r="AP83" s="544"/>
      <c r="AQ83" s="833">
        <v>1942350</v>
      </c>
    </row>
    <row r="84" spans="1:43" ht="69.75" customHeight="1" x14ac:dyDescent="0.25">
      <c r="A84" s="116" t="s">
        <v>889</v>
      </c>
      <c r="B84" s="116" t="s">
        <v>159</v>
      </c>
      <c r="C84" s="368" t="s">
        <v>844</v>
      </c>
      <c r="D84" s="160" t="s">
        <v>1036</v>
      </c>
      <c r="E84" s="726" t="s">
        <v>1248</v>
      </c>
      <c r="F84" s="377" t="s">
        <v>218</v>
      </c>
      <c r="G84" s="372" t="s">
        <v>1037</v>
      </c>
      <c r="H84" s="238" t="s">
        <v>1016</v>
      </c>
      <c r="I84" s="160" t="s">
        <v>1038</v>
      </c>
      <c r="J84" s="160" t="s">
        <v>1039</v>
      </c>
      <c r="K84" s="373" t="s">
        <v>1068</v>
      </c>
      <c r="L84" s="567">
        <v>20000000</v>
      </c>
      <c r="M84" s="585" t="s">
        <v>451</v>
      </c>
      <c r="N84" s="568" t="s">
        <v>156</v>
      </c>
      <c r="O84" s="630" t="s">
        <v>1152</v>
      </c>
      <c r="P84" s="631"/>
      <c r="Q84" s="631"/>
      <c r="R84" s="631"/>
      <c r="S84" s="631"/>
      <c r="T84" s="549" t="s">
        <v>166</v>
      </c>
      <c r="U84" s="571">
        <v>4</v>
      </c>
      <c r="V84" s="815">
        <v>0</v>
      </c>
      <c r="W84" s="815">
        <v>2</v>
      </c>
      <c r="X84" s="815">
        <v>3</v>
      </c>
      <c r="Y84" s="815">
        <v>1</v>
      </c>
      <c r="Z84" s="144" t="s">
        <v>620</v>
      </c>
      <c r="AA84" s="567">
        <v>20000000</v>
      </c>
      <c r="AB84" s="775" t="s">
        <v>190</v>
      </c>
      <c r="AC84" s="542" t="s">
        <v>868</v>
      </c>
      <c r="AD84" s="788">
        <v>0</v>
      </c>
      <c r="AE84" s="812">
        <v>2</v>
      </c>
      <c r="AF84" s="791">
        <v>3</v>
      </c>
      <c r="AG84" s="543">
        <v>1</v>
      </c>
      <c r="AH84" s="536">
        <f t="shared" si="0"/>
        <v>20000000</v>
      </c>
      <c r="AI84" s="536">
        <v>0</v>
      </c>
      <c r="AJ84" s="536">
        <v>0</v>
      </c>
      <c r="AK84" s="536"/>
      <c r="AL84" s="536">
        <v>20000000</v>
      </c>
      <c r="AM84" s="536">
        <f t="shared" si="1"/>
        <v>20000000</v>
      </c>
      <c r="AN84" s="536">
        <v>0</v>
      </c>
      <c r="AO84" s="536">
        <v>0</v>
      </c>
      <c r="AP84" s="544"/>
      <c r="AQ84" s="536">
        <v>20000000</v>
      </c>
    </row>
    <row r="85" spans="1:43" ht="80.25" customHeight="1" x14ac:dyDescent="0.25">
      <c r="A85" s="116" t="s">
        <v>889</v>
      </c>
      <c r="B85" s="116" t="s">
        <v>159</v>
      </c>
      <c r="C85" s="368" t="s">
        <v>844</v>
      </c>
      <c r="D85" s="160" t="s">
        <v>1036</v>
      </c>
      <c r="E85" s="726" t="s">
        <v>1248</v>
      </c>
      <c r="F85" s="377" t="s">
        <v>218</v>
      </c>
      <c r="G85" s="372" t="s">
        <v>1037</v>
      </c>
      <c r="H85" s="238" t="s">
        <v>1016</v>
      </c>
      <c r="I85" s="160" t="s">
        <v>1038</v>
      </c>
      <c r="J85" s="160" t="s">
        <v>1039</v>
      </c>
      <c r="K85" s="373" t="s">
        <v>1068</v>
      </c>
      <c r="L85" s="128">
        <v>10000000</v>
      </c>
      <c r="M85" s="585" t="s">
        <v>451</v>
      </c>
      <c r="N85" s="568" t="s">
        <v>156</v>
      </c>
      <c r="O85" s="630" t="s">
        <v>1152</v>
      </c>
      <c r="P85" s="631"/>
      <c r="Q85" s="631"/>
      <c r="R85" s="631"/>
      <c r="S85" s="631"/>
      <c r="T85" s="549" t="s">
        <v>166</v>
      </c>
      <c r="U85" s="571">
        <v>4</v>
      </c>
      <c r="V85" s="815">
        <v>0</v>
      </c>
      <c r="W85" s="815">
        <v>2</v>
      </c>
      <c r="X85" s="815">
        <v>3</v>
      </c>
      <c r="Y85" s="815">
        <v>1</v>
      </c>
      <c r="Z85" s="144" t="s">
        <v>625</v>
      </c>
      <c r="AA85" s="128">
        <v>10000000</v>
      </c>
      <c r="AB85" s="775" t="s">
        <v>190</v>
      </c>
      <c r="AC85" s="540" t="s">
        <v>190</v>
      </c>
      <c r="AD85" s="788">
        <v>0</v>
      </c>
      <c r="AE85" s="812">
        <v>2</v>
      </c>
      <c r="AF85" s="791">
        <v>3</v>
      </c>
      <c r="AG85" s="543">
        <v>1</v>
      </c>
      <c r="AH85" s="536">
        <f t="shared" ref="AH85:AH156" si="2">AI85+AJ85+AK85+AL85</f>
        <v>10000000</v>
      </c>
      <c r="AI85" s="536">
        <v>0</v>
      </c>
      <c r="AJ85" s="536">
        <v>0</v>
      </c>
      <c r="AK85" s="536">
        <v>10000000</v>
      </c>
      <c r="AL85" s="536"/>
      <c r="AM85" s="536">
        <f t="shared" si="1"/>
        <v>10000000</v>
      </c>
      <c r="AN85" s="536">
        <v>0</v>
      </c>
      <c r="AO85" s="536">
        <v>0</v>
      </c>
      <c r="AP85" s="536">
        <v>9104606</v>
      </c>
      <c r="AQ85" s="577">
        <f>10000000-AP85</f>
        <v>895394</v>
      </c>
    </row>
    <row r="86" spans="1:43" ht="74.25" customHeight="1" x14ac:dyDescent="0.25">
      <c r="A86" s="116" t="s">
        <v>889</v>
      </c>
      <c r="B86" s="116" t="s">
        <v>159</v>
      </c>
      <c r="C86" s="368" t="s">
        <v>844</v>
      </c>
      <c r="D86" s="160" t="s">
        <v>1036</v>
      </c>
      <c r="E86" s="726" t="s">
        <v>1248</v>
      </c>
      <c r="F86" s="377" t="s">
        <v>218</v>
      </c>
      <c r="G86" s="372" t="s">
        <v>1037</v>
      </c>
      <c r="H86" s="238" t="s">
        <v>1016</v>
      </c>
      <c r="I86" s="160" t="s">
        <v>1038</v>
      </c>
      <c r="J86" s="160" t="s">
        <v>1039</v>
      </c>
      <c r="K86" s="373" t="s">
        <v>1068</v>
      </c>
      <c r="L86" s="128">
        <v>45000000</v>
      </c>
      <c r="M86" s="585" t="s">
        <v>451</v>
      </c>
      <c r="N86" s="568" t="s">
        <v>156</v>
      </c>
      <c r="O86" s="630" t="s">
        <v>1152</v>
      </c>
      <c r="P86" s="587"/>
      <c r="Q86" s="587"/>
      <c r="R86" s="587"/>
      <c r="S86" s="587"/>
      <c r="T86" s="549" t="s">
        <v>166</v>
      </c>
      <c r="U86" s="571">
        <v>4</v>
      </c>
      <c r="V86" s="815">
        <v>0</v>
      </c>
      <c r="W86" s="815">
        <v>2</v>
      </c>
      <c r="X86" s="815">
        <v>3</v>
      </c>
      <c r="Y86" s="815">
        <v>1</v>
      </c>
      <c r="Z86" s="144" t="s">
        <v>626</v>
      </c>
      <c r="AA86" s="128">
        <v>45000000</v>
      </c>
      <c r="AB86" s="775" t="s">
        <v>454</v>
      </c>
      <c r="AC86" s="540" t="s">
        <v>869</v>
      </c>
      <c r="AD86" s="788">
        <v>0</v>
      </c>
      <c r="AE86" s="812">
        <v>2</v>
      </c>
      <c r="AF86" s="791">
        <v>3</v>
      </c>
      <c r="AG86" s="543">
        <v>1</v>
      </c>
      <c r="AH86" s="536">
        <f t="shared" si="2"/>
        <v>45000000</v>
      </c>
      <c r="AI86" s="536">
        <v>0</v>
      </c>
      <c r="AJ86" s="536">
        <v>0</v>
      </c>
      <c r="AK86" s="536">
        <v>45000000</v>
      </c>
      <c r="AL86" s="536"/>
      <c r="AM86" s="536">
        <f t="shared" ref="AM86:AM161" si="3">AN86+AO86+AP86+AQ86</f>
        <v>45000000</v>
      </c>
      <c r="AN86" s="536">
        <v>0</v>
      </c>
      <c r="AO86" s="536">
        <v>0</v>
      </c>
      <c r="AP86" s="544"/>
      <c r="AQ86" s="834">
        <v>45000000</v>
      </c>
    </row>
    <row r="87" spans="1:43" ht="105" customHeight="1" x14ac:dyDescent="0.25">
      <c r="A87" s="221" t="s">
        <v>889</v>
      </c>
      <c r="B87" s="211" t="s">
        <v>159</v>
      </c>
      <c r="C87" s="211" t="s">
        <v>844</v>
      </c>
      <c r="D87" s="218" t="s">
        <v>1036</v>
      </c>
      <c r="E87" s="726" t="s">
        <v>1248</v>
      </c>
      <c r="F87" s="258" t="s">
        <v>218</v>
      </c>
      <c r="G87" s="213" t="s">
        <v>1037</v>
      </c>
      <c r="H87" s="238" t="s">
        <v>1016</v>
      </c>
      <c r="I87" s="218" t="s">
        <v>1038</v>
      </c>
      <c r="J87" s="218" t="s">
        <v>1039</v>
      </c>
      <c r="K87" s="251" t="s">
        <v>1068</v>
      </c>
      <c r="L87" s="128">
        <v>10000000</v>
      </c>
      <c r="M87" s="228" t="s">
        <v>216</v>
      </c>
      <c r="N87" s="556" t="s">
        <v>212</v>
      </c>
      <c r="O87" s="228" t="s">
        <v>772</v>
      </c>
      <c r="P87" s="228" t="s">
        <v>1183</v>
      </c>
      <c r="Q87" s="228" t="s">
        <v>1183</v>
      </c>
      <c r="R87" s="228" t="s">
        <v>1183</v>
      </c>
      <c r="S87" s="228"/>
      <c r="T87" s="540" t="s">
        <v>166</v>
      </c>
      <c r="U87" s="545">
        <v>1</v>
      </c>
      <c r="V87" s="545">
        <v>0</v>
      </c>
      <c r="W87" s="545">
        <v>0</v>
      </c>
      <c r="X87" s="545">
        <v>1</v>
      </c>
      <c r="Y87" s="545">
        <v>0</v>
      </c>
      <c r="Z87" s="629" t="s">
        <v>625</v>
      </c>
      <c r="AA87" s="128">
        <v>10000000</v>
      </c>
      <c r="AB87" s="775" t="s">
        <v>190</v>
      </c>
      <c r="AC87" s="540" t="s">
        <v>190</v>
      </c>
      <c r="AD87" s="543">
        <v>0</v>
      </c>
      <c r="AE87" s="543">
        <v>0</v>
      </c>
      <c r="AF87" s="543">
        <v>1</v>
      </c>
      <c r="AG87" s="543">
        <v>0</v>
      </c>
      <c r="AH87" s="536">
        <f t="shared" si="2"/>
        <v>10000000</v>
      </c>
      <c r="AI87" s="536">
        <v>0</v>
      </c>
      <c r="AJ87" s="536">
        <v>0</v>
      </c>
      <c r="AK87" s="536">
        <v>10000000</v>
      </c>
      <c r="AL87" s="536"/>
      <c r="AM87" s="536">
        <f t="shared" si="3"/>
        <v>10000000</v>
      </c>
      <c r="AN87" s="536">
        <v>0</v>
      </c>
      <c r="AO87" s="536">
        <v>0</v>
      </c>
      <c r="AP87" s="544"/>
      <c r="AQ87" s="833">
        <v>10000000</v>
      </c>
    </row>
    <row r="88" spans="1:43" ht="105" customHeight="1" x14ac:dyDescent="0.25">
      <c r="A88" s="221" t="s">
        <v>889</v>
      </c>
      <c r="B88" s="211" t="s">
        <v>159</v>
      </c>
      <c r="C88" s="211" t="s">
        <v>844</v>
      </c>
      <c r="D88" s="218" t="s">
        <v>1032</v>
      </c>
      <c r="E88" s="726" t="s">
        <v>1248</v>
      </c>
      <c r="F88" s="225" t="s">
        <v>218</v>
      </c>
      <c r="G88" s="213" t="s">
        <v>1014</v>
      </c>
      <c r="H88" s="218" t="s">
        <v>1034</v>
      </c>
      <c r="I88" s="213" t="s">
        <v>1033</v>
      </c>
      <c r="J88" s="218" t="s">
        <v>1035</v>
      </c>
      <c r="K88" s="213" t="s">
        <v>1069</v>
      </c>
      <c r="L88" s="117">
        <v>0</v>
      </c>
      <c r="M88" s="228" t="s">
        <v>452</v>
      </c>
      <c r="N88" s="556" t="s">
        <v>156</v>
      </c>
      <c r="O88" s="228" t="s">
        <v>592</v>
      </c>
      <c r="P88" s="228"/>
      <c r="Q88" s="228" t="s">
        <v>831</v>
      </c>
      <c r="R88" s="228"/>
      <c r="S88" s="228"/>
      <c r="T88" s="540" t="s">
        <v>166</v>
      </c>
      <c r="U88" s="545">
        <v>1</v>
      </c>
      <c r="V88" s="545">
        <v>0</v>
      </c>
      <c r="W88" s="545">
        <v>0</v>
      </c>
      <c r="X88" s="545">
        <v>0</v>
      </c>
      <c r="Y88" s="856">
        <v>0</v>
      </c>
      <c r="Z88" s="545"/>
      <c r="AA88" s="117">
        <v>0</v>
      </c>
      <c r="AB88" s="775"/>
      <c r="AC88" s="540"/>
      <c r="AD88" s="543">
        <v>0</v>
      </c>
      <c r="AE88" s="543">
        <v>0</v>
      </c>
      <c r="AF88" s="543">
        <v>0</v>
      </c>
      <c r="AG88" s="543"/>
      <c r="AH88" s="536">
        <f t="shared" si="2"/>
        <v>0</v>
      </c>
      <c r="AI88" s="536">
        <v>0</v>
      </c>
      <c r="AJ88" s="536">
        <v>0</v>
      </c>
      <c r="AK88" s="536"/>
      <c r="AL88" s="536"/>
      <c r="AM88" s="536">
        <f t="shared" si="3"/>
        <v>0</v>
      </c>
      <c r="AN88" s="536">
        <v>0</v>
      </c>
      <c r="AO88" s="536">
        <v>0</v>
      </c>
      <c r="AP88" s="544"/>
      <c r="AQ88" s="544"/>
    </row>
    <row r="89" spans="1:43" ht="105" customHeight="1" x14ac:dyDescent="0.25">
      <c r="A89" s="519" t="s">
        <v>889</v>
      </c>
      <c r="B89" s="521" t="s">
        <v>159</v>
      </c>
      <c r="C89" s="521" t="s">
        <v>844</v>
      </c>
      <c r="D89" s="520" t="s">
        <v>1032</v>
      </c>
      <c r="E89" s="726" t="s">
        <v>1248</v>
      </c>
      <c r="F89" s="225" t="s">
        <v>218</v>
      </c>
      <c r="G89" s="213"/>
      <c r="H89" s="517"/>
      <c r="I89" s="213"/>
      <c r="J89" s="520"/>
      <c r="K89" s="213"/>
      <c r="L89" s="117">
        <v>1197544589</v>
      </c>
      <c r="M89" s="228" t="s">
        <v>1242</v>
      </c>
      <c r="N89" s="556"/>
      <c r="O89" s="228"/>
      <c r="P89" s="228"/>
      <c r="Q89" s="228"/>
      <c r="R89" s="228"/>
      <c r="S89" s="228"/>
      <c r="T89" s="540"/>
      <c r="U89" s="545"/>
      <c r="V89" s="545">
        <v>0</v>
      </c>
      <c r="W89" s="545">
        <v>0</v>
      </c>
      <c r="X89" s="545">
        <v>0</v>
      </c>
      <c r="Y89" s="545">
        <v>1</v>
      </c>
      <c r="Z89" s="228" t="s">
        <v>624</v>
      </c>
      <c r="AA89" s="117">
        <v>1197544589</v>
      </c>
      <c r="AB89" s="775" t="s">
        <v>867</v>
      </c>
      <c r="AC89" s="603" t="s">
        <v>868</v>
      </c>
      <c r="AD89" s="543">
        <v>0</v>
      </c>
      <c r="AE89" s="543">
        <v>0</v>
      </c>
      <c r="AF89" s="543">
        <v>0</v>
      </c>
      <c r="AG89" s="543">
        <v>1</v>
      </c>
      <c r="AH89" s="536">
        <f t="shared" si="2"/>
        <v>284153628</v>
      </c>
      <c r="AI89" s="536">
        <v>0</v>
      </c>
      <c r="AJ89" s="536">
        <v>0</v>
      </c>
      <c r="AK89" s="536"/>
      <c r="AL89" s="536">
        <v>284153628</v>
      </c>
      <c r="AM89" s="536">
        <f t="shared" si="3"/>
        <v>170492176</v>
      </c>
      <c r="AN89" s="536">
        <v>0</v>
      </c>
      <c r="AO89" s="536">
        <v>0</v>
      </c>
      <c r="AP89" s="544"/>
      <c r="AQ89" s="835">
        <v>170492176</v>
      </c>
    </row>
    <row r="90" spans="1:43" ht="105" customHeight="1" x14ac:dyDescent="0.25">
      <c r="A90" s="221" t="s">
        <v>889</v>
      </c>
      <c r="B90" s="211" t="s">
        <v>159</v>
      </c>
      <c r="C90" s="211" t="s">
        <v>844</v>
      </c>
      <c r="D90" s="218" t="s">
        <v>1036</v>
      </c>
      <c r="E90" s="726" t="s">
        <v>1248</v>
      </c>
      <c r="F90" s="446" t="s">
        <v>218</v>
      </c>
      <c r="G90" s="213" t="s">
        <v>1037</v>
      </c>
      <c r="H90" s="240" t="s">
        <v>1016</v>
      </c>
      <c r="I90" s="218" t="s">
        <v>1038</v>
      </c>
      <c r="J90" s="218" t="s">
        <v>1039</v>
      </c>
      <c r="K90" s="251" t="s">
        <v>1068</v>
      </c>
      <c r="L90" s="124">
        <v>30000000</v>
      </c>
      <c r="M90" s="228" t="s">
        <v>217</v>
      </c>
      <c r="N90" s="556" t="s">
        <v>156</v>
      </c>
      <c r="O90" s="228" t="s">
        <v>587</v>
      </c>
      <c r="P90" s="228"/>
      <c r="Q90" s="228" t="s">
        <v>831</v>
      </c>
      <c r="R90" s="228"/>
      <c r="S90" s="228"/>
      <c r="T90" s="540" t="s">
        <v>166</v>
      </c>
      <c r="U90" s="545">
        <v>2</v>
      </c>
      <c r="V90" s="545">
        <v>0</v>
      </c>
      <c r="W90" s="545">
        <v>1</v>
      </c>
      <c r="X90" s="545">
        <v>1</v>
      </c>
      <c r="Y90" s="545">
        <v>0</v>
      </c>
      <c r="Z90" s="629" t="s">
        <v>625</v>
      </c>
      <c r="AA90" s="124">
        <v>30000000</v>
      </c>
      <c r="AB90" s="775" t="s">
        <v>190</v>
      </c>
      <c r="AC90" s="540" t="s">
        <v>190</v>
      </c>
      <c r="AD90" s="543">
        <v>0</v>
      </c>
      <c r="AE90" s="543">
        <v>0</v>
      </c>
      <c r="AF90" s="791">
        <v>2</v>
      </c>
      <c r="AG90" s="543">
        <v>0</v>
      </c>
      <c r="AH90" s="536">
        <f t="shared" si="2"/>
        <v>20000000</v>
      </c>
      <c r="AI90" s="536">
        <v>0</v>
      </c>
      <c r="AJ90" s="536">
        <v>0</v>
      </c>
      <c r="AK90" s="536">
        <v>20000000</v>
      </c>
      <c r="AL90" s="536"/>
      <c r="AM90" s="536">
        <f t="shared" si="3"/>
        <v>20000000</v>
      </c>
      <c r="AN90" s="536">
        <v>0</v>
      </c>
      <c r="AO90" s="536">
        <v>0</v>
      </c>
      <c r="AP90" s="544"/>
      <c r="AQ90" s="833">
        <v>20000000</v>
      </c>
    </row>
    <row r="91" spans="1:43" ht="105" customHeight="1" x14ac:dyDescent="0.25">
      <c r="A91" s="368" t="s">
        <v>889</v>
      </c>
      <c r="B91" s="428" t="s">
        <v>842</v>
      </c>
      <c r="C91" s="428" t="s">
        <v>846</v>
      </c>
      <c r="D91" s="160" t="s">
        <v>1041</v>
      </c>
      <c r="E91" s="726" t="s">
        <v>1248</v>
      </c>
      <c r="F91" s="390" t="s">
        <v>222</v>
      </c>
      <c r="G91" s="116" t="s">
        <v>1042</v>
      </c>
      <c r="H91" s="160" t="s">
        <v>1046</v>
      </c>
      <c r="I91" s="368" t="s">
        <v>1049</v>
      </c>
      <c r="J91" s="160" t="s">
        <v>1051</v>
      </c>
      <c r="K91" s="368" t="s">
        <v>1051</v>
      </c>
      <c r="L91" s="145">
        <v>702500000</v>
      </c>
      <c r="M91" s="585" t="s">
        <v>455</v>
      </c>
      <c r="N91" s="608" t="s">
        <v>212</v>
      </c>
      <c r="O91" s="585" t="s">
        <v>1147</v>
      </c>
      <c r="P91" s="408" t="s">
        <v>1180</v>
      </c>
      <c r="Q91" s="408" t="s">
        <v>1184</v>
      </c>
      <c r="R91" s="408" t="s">
        <v>1183</v>
      </c>
      <c r="S91" s="408"/>
      <c r="T91" s="549" t="s">
        <v>166</v>
      </c>
      <c r="U91" s="571">
        <v>124755</v>
      </c>
      <c r="V91" s="571">
        <v>31188</v>
      </c>
      <c r="W91" s="571">
        <v>31189</v>
      </c>
      <c r="X91" s="571">
        <v>31189</v>
      </c>
      <c r="Y91" s="571">
        <v>31189</v>
      </c>
      <c r="Z91" s="632" t="s">
        <v>630</v>
      </c>
      <c r="AA91" s="145">
        <v>702500000</v>
      </c>
      <c r="AB91" s="775" t="s">
        <v>454</v>
      </c>
      <c r="AC91" s="540" t="s">
        <v>631</v>
      </c>
      <c r="AD91" s="551">
        <v>27080</v>
      </c>
      <c r="AE91" s="551">
        <v>31020</v>
      </c>
      <c r="AF91" s="534">
        <v>4220</v>
      </c>
      <c r="AG91" s="821">
        <v>10216</v>
      </c>
      <c r="AH91" s="536">
        <f t="shared" si="2"/>
        <v>660860000</v>
      </c>
      <c r="AI91" s="573">
        <v>400000000</v>
      </c>
      <c r="AJ91" s="536">
        <v>0</v>
      </c>
      <c r="AK91" s="536">
        <f>400000000-AI91</f>
        <v>0</v>
      </c>
      <c r="AL91" s="818">
        <f>660860000-AI91</f>
        <v>260860000</v>
      </c>
      <c r="AM91" s="536">
        <f t="shared" si="3"/>
        <v>400000000</v>
      </c>
      <c r="AN91" s="536">
        <v>0</v>
      </c>
      <c r="AO91" s="536">
        <v>0</v>
      </c>
      <c r="AP91" s="553">
        <v>164186049</v>
      </c>
      <c r="AQ91" s="818">
        <f>400000000-AP91</f>
        <v>235813951</v>
      </c>
    </row>
    <row r="92" spans="1:43" ht="105" customHeight="1" x14ac:dyDescent="0.25">
      <c r="A92" s="368" t="s">
        <v>889</v>
      </c>
      <c r="B92" s="428" t="s">
        <v>842</v>
      </c>
      <c r="C92" s="428" t="s">
        <v>846</v>
      </c>
      <c r="D92" s="160" t="s">
        <v>1041</v>
      </c>
      <c r="E92" s="726" t="s">
        <v>1248</v>
      </c>
      <c r="F92" s="390" t="s">
        <v>222</v>
      </c>
      <c r="G92" s="116" t="s">
        <v>1042</v>
      </c>
      <c r="H92" s="160" t="s">
        <v>1046</v>
      </c>
      <c r="I92" s="368" t="s">
        <v>1049</v>
      </c>
      <c r="J92" s="160" t="s">
        <v>1051</v>
      </c>
      <c r="K92" s="368" t="s">
        <v>1051</v>
      </c>
      <c r="L92" s="145">
        <v>2000000000</v>
      </c>
      <c r="M92" s="585" t="s">
        <v>455</v>
      </c>
      <c r="N92" s="608" t="s">
        <v>212</v>
      </c>
      <c r="O92" s="585" t="s">
        <v>1147</v>
      </c>
      <c r="P92" s="408" t="s">
        <v>1180</v>
      </c>
      <c r="Q92" s="408" t="s">
        <v>1184</v>
      </c>
      <c r="R92" s="408" t="s">
        <v>1183</v>
      </c>
      <c r="S92" s="408"/>
      <c r="T92" s="549" t="s">
        <v>166</v>
      </c>
      <c r="U92" s="571">
        <v>124755</v>
      </c>
      <c r="V92" s="571">
        <v>31188</v>
      </c>
      <c r="W92" s="571">
        <v>31189</v>
      </c>
      <c r="X92" s="571">
        <v>31189</v>
      </c>
      <c r="Y92" s="571">
        <v>31189</v>
      </c>
      <c r="Z92" s="632" t="s">
        <v>629</v>
      </c>
      <c r="AA92" s="145">
        <v>2000000000</v>
      </c>
      <c r="AB92" s="775" t="s">
        <v>867</v>
      </c>
      <c r="AC92" s="542" t="s">
        <v>868</v>
      </c>
      <c r="AD92" s="551">
        <v>27080</v>
      </c>
      <c r="AE92" s="551">
        <v>31020</v>
      </c>
      <c r="AF92" s="534">
        <v>4220</v>
      </c>
      <c r="AG92" s="821">
        <v>10216</v>
      </c>
      <c r="AH92" s="536">
        <f t="shared" si="2"/>
        <v>1493437629</v>
      </c>
      <c r="AI92" s="573">
        <v>1100000000</v>
      </c>
      <c r="AJ92" s="536">
        <v>0</v>
      </c>
      <c r="AK92" s="536">
        <f>1116797629-AI92</f>
        <v>16797629</v>
      </c>
      <c r="AL92" s="822">
        <f>1493437629-AI92-AK92</f>
        <v>376640000</v>
      </c>
      <c r="AM92" s="536">
        <f t="shared" si="3"/>
        <v>1113548501</v>
      </c>
      <c r="AN92" s="536">
        <v>0</v>
      </c>
      <c r="AO92" s="573">
        <v>194141652</v>
      </c>
      <c r="AP92" s="553">
        <f>375614849-AO92</f>
        <v>181473197</v>
      </c>
      <c r="AQ92" s="651">
        <f>1113548501-AO92-AP92</f>
        <v>737933652</v>
      </c>
    </row>
    <row r="93" spans="1:43" ht="105" customHeight="1" x14ac:dyDescent="0.25">
      <c r="A93" s="368" t="s">
        <v>889</v>
      </c>
      <c r="B93" s="428" t="s">
        <v>842</v>
      </c>
      <c r="C93" s="428" t="s">
        <v>846</v>
      </c>
      <c r="D93" s="160" t="s">
        <v>1041</v>
      </c>
      <c r="E93" s="726" t="s">
        <v>1248</v>
      </c>
      <c r="F93" s="390" t="s">
        <v>222</v>
      </c>
      <c r="G93" s="116" t="s">
        <v>1040</v>
      </c>
      <c r="H93" s="160" t="s">
        <v>1047</v>
      </c>
      <c r="I93" s="368" t="s">
        <v>1049</v>
      </c>
      <c r="J93" s="160" t="s">
        <v>1051</v>
      </c>
      <c r="K93" s="368" t="s">
        <v>1051</v>
      </c>
      <c r="L93" s="124">
        <v>702500000</v>
      </c>
      <c r="M93" s="585" t="s">
        <v>633</v>
      </c>
      <c r="N93" s="568" t="s">
        <v>156</v>
      </c>
      <c r="O93" s="585" t="s">
        <v>592</v>
      </c>
      <c r="P93" s="408"/>
      <c r="Q93" s="408" t="s">
        <v>831</v>
      </c>
      <c r="R93" s="408"/>
      <c r="S93" s="408"/>
      <c r="T93" s="549" t="s">
        <v>166</v>
      </c>
      <c r="U93" s="571">
        <v>1</v>
      </c>
      <c r="V93" s="571">
        <v>0.25</v>
      </c>
      <c r="W93" s="571">
        <v>0.25</v>
      </c>
      <c r="X93" s="571">
        <v>0.25</v>
      </c>
      <c r="Y93" s="571">
        <v>0.25</v>
      </c>
      <c r="Z93" s="632" t="s">
        <v>630</v>
      </c>
      <c r="AA93" s="124">
        <v>702500000</v>
      </c>
      <c r="AB93" s="775" t="s">
        <v>454</v>
      </c>
      <c r="AC93" s="540" t="s">
        <v>632</v>
      </c>
      <c r="AD93" s="551">
        <v>0.25</v>
      </c>
      <c r="AE93" s="551">
        <v>0.25</v>
      </c>
      <c r="AF93" s="543">
        <v>0.25</v>
      </c>
      <c r="AG93" s="543">
        <v>0.25</v>
      </c>
      <c r="AH93" s="536">
        <f t="shared" si="2"/>
        <v>660860000</v>
      </c>
      <c r="AI93" s="573">
        <v>400000000</v>
      </c>
      <c r="AJ93" s="536">
        <v>0</v>
      </c>
      <c r="AK93" s="536">
        <f>400000000-AI93</f>
        <v>0</v>
      </c>
      <c r="AL93" s="818">
        <f>660860000-AI93</f>
        <v>260860000</v>
      </c>
      <c r="AM93" s="536">
        <f t="shared" si="3"/>
        <v>400000000</v>
      </c>
      <c r="AN93" s="536">
        <v>0</v>
      </c>
      <c r="AO93" s="536">
        <v>0</v>
      </c>
      <c r="AP93" s="536">
        <f>164186049</f>
        <v>164186049</v>
      </c>
      <c r="AQ93" s="818">
        <f>400000000-AP93</f>
        <v>235813951</v>
      </c>
    </row>
    <row r="94" spans="1:43" ht="105" customHeight="1" x14ac:dyDescent="0.25">
      <c r="A94" s="368" t="s">
        <v>889</v>
      </c>
      <c r="B94" s="428" t="s">
        <v>842</v>
      </c>
      <c r="C94" s="428" t="s">
        <v>846</v>
      </c>
      <c r="D94" s="160" t="s">
        <v>1041</v>
      </c>
      <c r="E94" s="726" t="s">
        <v>1248</v>
      </c>
      <c r="F94" s="390" t="s">
        <v>222</v>
      </c>
      <c r="G94" s="116" t="s">
        <v>1040</v>
      </c>
      <c r="H94" s="160" t="s">
        <v>1047</v>
      </c>
      <c r="I94" s="368" t="s">
        <v>1049</v>
      </c>
      <c r="J94" s="160" t="s">
        <v>1051</v>
      </c>
      <c r="K94" s="368" t="s">
        <v>1051</v>
      </c>
      <c r="L94" s="124">
        <v>2000000000</v>
      </c>
      <c r="M94" s="585" t="s">
        <v>633</v>
      </c>
      <c r="N94" s="568" t="s">
        <v>156</v>
      </c>
      <c r="O94" s="585" t="s">
        <v>592</v>
      </c>
      <c r="P94" s="408"/>
      <c r="Q94" s="408" t="s">
        <v>831</v>
      </c>
      <c r="R94" s="408"/>
      <c r="S94" s="408"/>
      <c r="T94" s="549" t="s">
        <v>166</v>
      </c>
      <c r="U94" s="571">
        <v>1</v>
      </c>
      <c r="V94" s="571">
        <v>0.25</v>
      </c>
      <c r="W94" s="571">
        <v>0.25</v>
      </c>
      <c r="X94" s="571">
        <v>0.25</v>
      </c>
      <c r="Y94" s="571">
        <v>0.25</v>
      </c>
      <c r="Z94" s="632" t="s">
        <v>629</v>
      </c>
      <c r="AA94" s="124">
        <v>2000000000</v>
      </c>
      <c r="AB94" s="775" t="s">
        <v>867</v>
      </c>
      <c r="AC94" s="542" t="s">
        <v>868</v>
      </c>
      <c r="AD94" s="551">
        <v>0.25</v>
      </c>
      <c r="AE94" s="551">
        <v>0.25</v>
      </c>
      <c r="AF94" s="543">
        <v>0.25</v>
      </c>
      <c r="AG94" s="543">
        <v>0.25</v>
      </c>
      <c r="AH94" s="536">
        <f t="shared" si="2"/>
        <v>1493437629</v>
      </c>
      <c r="AI94" s="573">
        <v>1100000000</v>
      </c>
      <c r="AJ94" s="536">
        <v>0</v>
      </c>
      <c r="AK94" s="536">
        <f>1116797630-AI94</f>
        <v>16797630</v>
      </c>
      <c r="AL94" s="818">
        <f>1493437629-AI94-AK94</f>
        <v>376639999</v>
      </c>
      <c r="AM94" s="536">
        <f t="shared" si="3"/>
        <v>1113548502</v>
      </c>
      <c r="AN94" s="536">
        <v>0</v>
      </c>
      <c r="AO94" s="573">
        <v>194141652</v>
      </c>
      <c r="AP94" s="553">
        <f>375614849-AO94</f>
        <v>181473197</v>
      </c>
      <c r="AQ94" s="818">
        <f>1113548502-AO94-AP94</f>
        <v>737933653</v>
      </c>
    </row>
    <row r="95" spans="1:43" ht="105" customHeight="1" x14ac:dyDescent="0.25">
      <c r="A95" s="368" t="s">
        <v>889</v>
      </c>
      <c r="B95" s="428" t="s">
        <v>842</v>
      </c>
      <c r="C95" s="368" t="s">
        <v>846</v>
      </c>
      <c r="D95" s="160" t="s">
        <v>1041</v>
      </c>
      <c r="E95" s="726" t="s">
        <v>1248</v>
      </c>
      <c r="F95" s="390" t="s">
        <v>222</v>
      </c>
      <c r="G95" s="116" t="s">
        <v>1040</v>
      </c>
      <c r="H95" s="160" t="s">
        <v>1045</v>
      </c>
      <c r="I95" s="368" t="s">
        <v>1049</v>
      </c>
      <c r="J95" s="160" t="s">
        <v>1051</v>
      </c>
      <c r="K95" s="368" t="s">
        <v>1051</v>
      </c>
      <c r="L95" s="145">
        <v>167763000</v>
      </c>
      <c r="M95" s="585" t="s">
        <v>435</v>
      </c>
      <c r="N95" s="608" t="s">
        <v>156</v>
      </c>
      <c r="O95" s="585" t="s">
        <v>1152</v>
      </c>
      <c r="P95" s="408"/>
      <c r="Q95" s="408"/>
      <c r="R95" s="408"/>
      <c r="S95" s="408"/>
      <c r="T95" s="549" t="s">
        <v>166</v>
      </c>
      <c r="U95" s="571">
        <v>1</v>
      </c>
      <c r="V95" s="571">
        <v>0.25</v>
      </c>
      <c r="W95" s="571">
        <v>0.25</v>
      </c>
      <c r="X95" s="571">
        <v>0.25</v>
      </c>
      <c r="Y95" s="571">
        <v>0.25</v>
      </c>
      <c r="Z95" s="632" t="s">
        <v>627</v>
      </c>
      <c r="AA95" s="145">
        <v>167763000</v>
      </c>
      <c r="AB95" s="775" t="s">
        <v>867</v>
      </c>
      <c r="AC95" s="542" t="s">
        <v>868</v>
      </c>
      <c r="AD95" s="551">
        <v>0.25</v>
      </c>
      <c r="AE95" s="551">
        <v>0.25</v>
      </c>
      <c r="AF95" s="543">
        <v>0.25</v>
      </c>
      <c r="AG95" s="543">
        <v>0.25</v>
      </c>
      <c r="AH95" s="536">
        <f t="shared" si="2"/>
        <v>163298940</v>
      </c>
      <c r="AI95" s="573">
        <v>37653232</v>
      </c>
      <c r="AJ95" s="573">
        <f>72380561-AI95</f>
        <v>34727329</v>
      </c>
      <c r="AK95" s="574">
        <f>163298940-AI95-AJ95</f>
        <v>90918379</v>
      </c>
      <c r="AL95" s="818">
        <v>0</v>
      </c>
      <c r="AM95" s="536">
        <f t="shared" si="3"/>
        <v>142052918</v>
      </c>
      <c r="AN95" s="573">
        <v>33920661</v>
      </c>
      <c r="AO95" s="573">
        <f>64363325-AN95</f>
        <v>30442664</v>
      </c>
      <c r="AP95" s="574">
        <f>108679538-AN95-AO95</f>
        <v>44316213</v>
      </c>
      <c r="AQ95" s="651">
        <f>142052918-AN95-AO95-AP95</f>
        <v>33373380</v>
      </c>
    </row>
    <row r="96" spans="1:43" ht="105" customHeight="1" x14ac:dyDescent="0.25">
      <c r="A96" s="368" t="s">
        <v>889</v>
      </c>
      <c r="B96" s="428" t="s">
        <v>842</v>
      </c>
      <c r="C96" s="368" t="s">
        <v>846</v>
      </c>
      <c r="D96" s="160" t="s">
        <v>1041</v>
      </c>
      <c r="E96" s="726" t="s">
        <v>1248</v>
      </c>
      <c r="F96" s="390" t="s">
        <v>222</v>
      </c>
      <c r="G96" s="116" t="s">
        <v>1040</v>
      </c>
      <c r="H96" s="160" t="s">
        <v>1045</v>
      </c>
      <c r="I96" s="368" t="s">
        <v>1049</v>
      </c>
      <c r="J96" s="160" t="s">
        <v>1051</v>
      </c>
      <c r="K96" s="368" t="s">
        <v>1051</v>
      </c>
      <c r="L96" s="145">
        <v>8000000</v>
      </c>
      <c r="M96" s="585" t="s">
        <v>435</v>
      </c>
      <c r="N96" s="608" t="s">
        <v>156</v>
      </c>
      <c r="O96" s="585" t="s">
        <v>1152</v>
      </c>
      <c r="P96" s="587"/>
      <c r="Q96" s="587"/>
      <c r="R96" s="587"/>
      <c r="S96" s="587"/>
      <c r="T96" s="549" t="s">
        <v>166</v>
      </c>
      <c r="U96" s="571">
        <v>1</v>
      </c>
      <c r="V96" s="571">
        <v>0.25</v>
      </c>
      <c r="W96" s="571">
        <v>0.25</v>
      </c>
      <c r="X96" s="571">
        <v>0.25</v>
      </c>
      <c r="Y96" s="571">
        <v>0.25</v>
      </c>
      <c r="Z96" s="632" t="s">
        <v>628</v>
      </c>
      <c r="AA96" s="145">
        <v>8000000</v>
      </c>
      <c r="AB96" s="775" t="s">
        <v>190</v>
      </c>
      <c r="AC96" s="540" t="s">
        <v>190</v>
      </c>
      <c r="AD96" s="551">
        <v>0.25</v>
      </c>
      <c r="AE96" s="551">
        <v>0.25</v>
      </c>
      <c r="AF96" s="543">
        <v>0.25</v>
      </c>
      <c r="AG96" s="543">
        <v>0.25</v>
      </c>
      <c r="AH96" s="536">
        <f t="shared" si="2"/>
        <v>0</v>
      </c>
      <c r="AI96" s="536">
        <v>0</v>
      </c>
      <c r="AJ96" s="536">
        <v>0</v>
      </c>
      <c r="AK96" s="536">
        <v>0</v>
      </c>
      <c r="AL96" s="536">
        <v>0</v>
      </c>
      <c r="AM96" s="536">
        <f t="shared" si="3"/>
        <v>0</v>
      </c>
      <c r="AN96" s="536">
        <v>0</v>
      </c>
      <c r="AO96" s="536">
        <v>0</v>
      </c>
      <c r="AP96" s="536">
        <v>0</v>
      </c>
      <c r="AQ96" s="536">
        <v>0</v>
      </c>
    </row>
    <row r="97" spans="1:43" ht="105" customHeight="1" x14ac:dyDescent="0.25">
      <c r="A97" s="116" t="s">
        <v>892</v>
      </c>
      <c r="B97" s="162" t="s">
        <v>65</v>
      </c>
      <c r="C97" s="160" t="s">
        <v>849</v>
      </c>
      <c r="D97" s="391" t="s">
        <v>977</v>
      </c>
      <c r="E97" s="731" t="s">
        <v>1251</v>
      </c>
      <c r="F97" s="377" t="s">
        <v>227</v>
      </c>
      <c r="G97" s="120" t="s">
        <v>978</v>
      </c>
      <c r="H97" s="160" t="s">
        <v>979</v>
      </c>
      <c r="I97" s="392" t="s">
        <v>980</v>
      </c>
      <c r="J97" s="160" t="s">
        <v>1127</v>
      </c>
      <c r="K97" s="392" t="s">
        <v>1070</v>
      </c>
      <c r="L97" s="538">
        <v>589604000</v>
      </c>
      <c r="M97" s="907" t="s">
        <v>1220</v>
      </c>
      <c r="N97" s="568" t="s">
        <v>156</v>
      </c>
      <c r="O97" s="547" t="s">
        <v>643</v>
      </c>
      <c r="P97" s="369"/>
      <c r="Q97" s="369" t="s">
        <v>831</v>
      </c>
      <c r="R97" s="369"/>
      <c r="S97" s="369"/>
      <c r="T97" s="549" t="s">
        <v>166</v>
      </c>
      <c r="U97" s="585">
        <v>40</v>
      </c>
      <c r="V97" s="585">
        <v>10</v>
      </c>
      <c r="W97" s="585">
        <v>10</v>
      </c>
      <c r="X97" s="585">
        <v>10</v>
      </c>
      <c r="Y97" s="585">
        <v>10</v>
      </c>
      <c r="Z97" s="633" t="s">
        <v>634</v>
      </c>
      <c r="AA97" s="538">
        <v>589604000</v>
      </c>
      <c r="AB97" s="775" t="s">
        <v>867</v>
      </c>
      <c r="AC97" s="542" t="s">
        <v>868</v>
      </c>
      <c r="AD97" s="551">
        <v>10</v>
      </c>
      <c r="AE97" s="551">
        <v>10</v>
      </c>
      <c r="AF97" s="543">
        <v>10</v>
      </c>
      <c r="AG97" s="543">
        <v>10</v>
      </c>
      <c r="AH97" s="536">
        <f t="shared" si="2"/>
        <v>516781684</v>
      </c>
      <c r="AI97" s="574">
        <v>358136109</v>
      </c>
      <c r="AJ97" s="574">
        <f>398683037-AI97</f>
        <v>40546928</v>
      </c>
      <c r="AK97" s="886">
        <f>516781684-AI97-AJ97</f>
        <v>118098647</v>
      </c>
      <c r="AL97" s="536">
        <v>0</v>
      </c>
      <c r="AM97" s="536">
        <f t="shared" si="3"/>
        <v>516781684</v>
      </c>
      <c r="AN97" s="574">
        <v>107622068</v>
      </c>
      <c r="AO97" s="574">
        <f>236873944-AN97</f>
        <v>129251876</v>
      </c>
      <c r="AP97" s="574">
        <f>386248323-AN97-AO97</f>
        <v>149374379</v>
      </c>
      <c r="AQ97" s="537">
        <f>516781684-AN97-AO97-AP97</f>
        <v>130533361</v>
      </c>
    </row>
    <row r="98" spans="1:43" ht="105" customHeight="1" x14ac:dyDescent="0.25">
      <c r="A98" s="116" t="s">
        <v>892</v>
      </c>
      <c r="B98" s="162" t="s">
        <v>65</v>
      </c>
      <c r="C98" s="160" t="s">
        <v>849</v>
      </c>
      <c r="D98" s="391" t="s">
        <v>977</v>
      </c>
      <c r="E98" s="731" t="s">
        <v>1251</v>
      </c>
      <c r="F98" s="377" t="s">
        <v>227</v>
      </c>
      <c r="G98" s="120" t="s">
        <v>978</v>
      </c>
      <c r="H98" s="160" t="s">
        <v>979</v>
      </c>
      <c r="I98" s="392" t="s">
        <v>980</v>
      </c>
      <c r="J98" s="160" t="s">
        <v>1127</v>
      </c>
      <c r="K98" s="392" t="s">
        <v>1070</v>
      </c>
      <c r="L98" s="554">
        <v>8000000</v>
      </c>
      <c r="M98" s="907" t="s">
        <v>1220</v>
      </c>
      <c r="N98" s="568" t="s">
        <v>156</v>
      </c>
      <c r="O98" s="547" t="s">
        <v>643</v>
      </c>
      <c r="P98" s="369"/>
      <c r="Q98" s="369" t="s">
        <v>831</v>
      </c>
      <c r="R98" s="369"/>
      <c r="S98" s="369"/>
      <c r="T98" s="549" t="s">
        <v>166</v>
      </c>
      <c r="U98" s="585">
        <v>40</v>
      </c>
      <c r="V98" s="585">
        <v>10</v>
      </c>
      <c r="W98" s="585">
        <v>10</v>
      </c>
      <c r="X98" s="585">
        <v>10</v>
      </c>
      <c r="Y98" s="585">
        <v>10</v>
      </c>
      <c r="Z98" s="633" t="s">
        <v>635</v>
      </c>
      <c r="AA98" s="554">
        <v>8000000</v>
      </c>
      <c r="AB98" s="775" t="s">
        <v>190</v>
      </c>
      <c r="AC98" s="540" t="s">
        <v>190</v>
      </c>
      <c r="AD98" s="551">
        <v>10</v>
      </c>
      <c r="AE98" s="551">
        <v>10</v>
      </c>
      <c r="AF98" s="543">
        <v>10</v>
      </c>
      <c r="AG98" s="543">
        <v>10</v>
      </c>
      <c r="AH98" s="536">
        <f t="shared" si="2"/>
        <v>0</v>
      </c>
      <c r="AI98" s="536">
        <v>0</v>
      </c>
      <c r="AJ98" s="536">
        <v>0</v>
      </c>
      <c r="AK98" s="536">
        <v>0</v>
      </c>
      <c r="AL98" s="536">
        <v>0</v>
      </c>
      <c r="AM98" s="536">
        <f t="shared" si="3"/>
        <v>0</v>
      </c>
      <c r="AN98" s="536">
        <v>0</v>
      </c>
      <c r="AO98" s="536">
        <v>0</v>
      </c>
      <c r="AP98" s="536">
        <v>0</v>
      </c>
      <c r="AQ98" s="544">
        <v>0</v>
      </c>
    </row>
    <row r="99" spans="1:43" ht="105" customHeight="1" x14ac:dyDescent="0.25">
      <c r="A99" s="221" t="s">
        <v>892</v>
      </c>
      <c r="B99" s="222" t="s">
        <v>65</v>
      </c>
      <c r="C99" s="218" t="s">
        <v>849</v>
      </c>
      <c r="D99" s="237" t="s">
        <v>977</v>
      </c>
      <c r="E99" s="731" t="s">
        <v>1251</v>
      </c>
      <c r="F99" s="260" t="s">
        <v>227</v>
      </c>
      <c r="G99" s="226" t="s">
        <v>978</v>
      </c>
      <c r="H99" s="218" t="s">
        <v>979</v>
      </c>
      <c r="I99" s="235" t="s">
        <v>980</v>
      </c>
      <c r="J99" s="218" t="s">
        <v>1128</v>
      </c>
      <c r="K99" s="226" t="s">
        <v>1071</v>
      </c>
      <c r="L99" s="757">
        <v>3814234832</v>
      </c>
      <c r="M99" s="908" t="s">
        <v>1221</v>
      </c>
      <c r="N99" s="228" t="s">
        <v>212</v>
      </c>
      <c r="O99" s="539" t="s">
        <v>1148</v>
      </c>
      <c r="P99" s="539" t="s">
        <v>1185</v>
      </c>
      <c r="Q99" s="539" t="s">
        <v>1186</v>
      </c>
      <c r="R99" s="539" t="s">
        <v>1183</v>
      </c>
      <c r="S99" s="539"/>
      <c r="T99" s="540" t="s">
        <v>166</v>
      </c>
      <c r="U99" s="228">
        <v>115</v>
      </c>
      <c r="V99" s="228">
        <v>0</v>
      </c>
      <c r="W99" s="228">
        <v>0</v>
      </c>
      <c r="X99" s="228">
        <v>115</v>
      </c>
      <c r="Y99" s="228">
        <v>0</v>
      </c>
      <c r="Z99" s="633" t="s">
        <v>638</v>
      </c>
      <c r="AA99" s="757">
        <v>3814234832</v>
      </c>
      <c r="AB99" s="775" t="s">
        <v>867</v>
      </c>
      <c r="AC99" s="542" t="s">
        <v>868</v>
      </c>
      <c r="AD99" s="543">
        <v>0</v>
      </c>
      <c r="AE99" s="543">
        <v>0</v>
      </c>
      <c r="AF99" s="543">
        <v>0</v>
      </c>
      <c r="AG99" s="543">
        <v>114</v>
      </c>
      <c r="AH99" s="536">
        <f t="shared" si="2"/>
        <v>3814234831</v>
      </c>
      <c r="AI99" s="536">
        <v>0</v>
      </c>
      <c r="AJ99" s="536">
        <v>0</v>
      </c>
      <c r="AK99" s="536">
        <v>0</v>
      </c>
      <c r="AL99" s="532">
        <v>3814234831</v>
      </c>
      <c r="AM99" s="536">
        <f t="shared" si="3"/>
        <v>3661645580</v>
      </c>
      <c r="AN99" s="536">
        <v>0</v>
      </c>
      <c r="AO99" s="536">
        <v>0</v>
      </c>
      <c r="AP99" s="536">
        <v>0</v>
      </c>
      <c r="AQ99" s="532">
        <v>3661645580</v>
      </c>
    </row>
    <row r="100" spans="1:43" ht="105" customHeight="1" x14ac:dyDescent="0.25">
      <c r="A100" s="236" t="s">
        <v>892</v>
      </c>
      <c r="B100" s="222" t="s">
        <v>65</v>
      </c>
      <c r="C100" s="218" t="s">
        <v>849</v>
      </c>
      <c r="D100" s="237" t="s">
        <v>977</v>
      </c>
      <c r="E100" s="731" t="s">
        <v>1251</v>
      </c>
      <c r="F100" s="131" t="s">
        <v>227</v>
      </c>
      <c r="G100" s="226" t="s">
        <v>978</v>
      </c>
      <c r="H100" s="218" t="s">
        <v>979</v>
      </c>
      <c r="I100" s="235" t="s">
        <v>980</v>
      </c>
      <c r="J100" s="218" t="s">
        <v>1129</v>
      </c>
      <c r="K100" s="226" t="s">
        <v>1072</v>
      </c>
      <c r="L100" s="757">
        <v>2100000000</v>
      </c>
      <c r="M100" s="908" t="s">
        <v>1222</v>
      </c>
      <c r="N100" s="228" t="s">
        <v>212</v>
      </c>
      <c r="O100" s="539" t="s">
        <v>772</v>
      </c>
      <c r="P100" s="539" t="s">
        <v>1180</v>
      </c>
      <c r="Q100" s="539" t="s">
        <v>1183</v>
      </c>
      <c r="R100" s="539" t="s">
        <v>1183</v>
      </c>
      <c r="S100" s="539"/>
      <c r="T100" s="540" t="s">
        <v>166</v>
      </c>
      <c r="U100" s="228">
        <v>1</v>
      </c>
      <c r="V100" s="228">
        <v>0</v>
      </c>
      <c r="W100" s="228">
        <v>0</v>
      </c>
      <c r="X100" s="228">
        <v>0</v>
      </c>
      <c r="Y100" s="228">
        <v>1</v>
      </c>
      <c r="Z100" s="634" t="s">
        <v>1240</v>
      </c>
      <c r="AA100" s="757">
        <v>2100000000</v>
      </c>
      <c r="AB100" s="775" t="s">
        <v>1237</v>
      </c>
      <c r="AC100" s="542" t="s">
        <v>868</v>
      </c>
      <c r="AD100" s="543">
        <v>8</v>
      </c>
      <c r="AE100" s="543">
        <v>0</v>
      </c>
      <c r="AF100" s="543">
        <v>0</v>
      </c>
      <c r="AG100" s="543">
        <v>1</v>
      </c>
      <c r="AH100" s="536">
        <f t="shared" si="2"/>
        <v>2100000000</v>
      </c>
      <c r="AI100" s="536">
        <v>0</v>
      </c>
      <c r="AJ100" s="536">
        <v>0</v>
      </c>
      <c r="AK100" s="536"/>
      <c r="AL100" s="532">
        <v>2100000000</v>
      </c>
      <c r="AM100" s="536">
        <f t="shared" si="3"/>
        <v>2000000000</v>
      </c>
      <c r="AN100" s="573">
        <v>0</v>
      </c>
      <c r="AO100" s="536">
        <v>0</v>
      </c>
      <c r="AP100" s="536">
        <v>0</v>
      </c>
      <c r="AQ100" s="755">
        <v>2000000000</v>
      </c>
    </row>
    <row r="101" spans="1:43" ht="105" customHeight="1" x14ac:dyDescent="0.25">
      <c r="A101" s="236"/>
      <c r="B101" s="527"/>
      <c r="C101" s="528"/>
      <c r="D101" s="237"/>
      <c r="E101" s="731" t="s">
        <v>1251</v>
      </c>
      <c r="F101" s="131" t="s">
        <v>227</v>
      </c>
      <c r="G101" s="226"/>
      <c r="H101" s="528"/>
      <c r="I101" s="235"/>
      <c r="J101" s="528"/>
      <c r="K101" s="226"/>
      <c r="L101" s="758">
        <v>338195500</v>
      </c>
      <c r="M101" s="908" t="s">
        <v>1222</v>
      </c>
      <c r="N101" s="228"/>
      <c r="O101" s="539"/>
      <c r="P101" s="539"/>
      <c r="Q101" s="539"/>
      <c r="R101" s="539"/>
      <c r="S101" s="539"/>
      <c r="T101" s="540"/>
      <c r="U101" s="228"/>
      <c r="V101" s="228">
        <v>0</v>
      </c>
      <c r="W101" s="228">
        <v>0</v>
      </c>
      <c r="X101" s="228">
        <v>0</v>
      </c>
      <c r="Y101" s="228">
        <v>1</v>
      </c>
      <c r="Z101" s="635" t="s">
        <v>634</v>
      </c>
      <c r="AA101" s="758">
        <v>338195500</v>
      </c>
      <c r="AB101" s="775" t="s">
        <v>867</v>
      </c>
      <c r="AC101" s="542"/>
      <c r="AD101" s="543">
        <v>8</v>
      </c>
      <c r="AE101" s="543">
        <v>0</v>
      </c>
      <c r="AF101" s="543">
        <v>0</v>
      </c>
      <c r="AG101" s="543">
        <v>1</v>
      </c>
      <c r="AH101" s="536">
        <f t="shared" si="2"/>
        <v>338195500</v>
      </c>
      <c r="AI101" s="536">
        <v>0</v>
      </c>
      <c r="AJ101" s="536">
        <v>0</v>
      </c>
      <c r="AK101" s="536">
        <v>14500000</v>
      </c>
      <c r="AL101" s="891">
        <v>323695500</v>
      </c>
      <c r="AM101" s="536">
        <f t="shared" si="3"/>
        <v>208717300</v>
      </c>
      <c r="AN101" s="573">
        <v>0</v>
      </c>
      <c r="AO101" s="536">
        <v>0</v>
      </c>
      <c r="AP101" s="536">
        <v>14500000</v>
      </c>
      <c r="AQ101" s="537">
        <v>194217300</v>
      </c>
    </row>
    <row r="102" spans="1:43" ht="105" customHeight="1" x14ac:dyDescent="0.25">
      <c r="A102" s="236" t="s">
        <v>892</v>
      </c>
      <c r="B102" s="504" t="s">
        <v>65</v>
      </c>
      <c r="C102" s="498" t="s">
        <v>849</v>
      </c>
      <c r="D102" s="237" t="s">
        <v>977</v>
      </c>
      <c r="E102" s="731" t="s">
        <v>1251</v>
      </c>
      <c r="F102" s="131" t="s">
        <v>227</v>
      </c>
      <c r="G102" s="226"/>
      <c r="H102" s="498"/>
      <c r="I102" s="235"/>
      <c r="J102" s="498"/>
      <c r="K102" s="226"/>
      <c r="L102" s="756">
        <v>405000000</v>
      </c>
      <c r="M102" s="908" t="s">
        <v>891</v>
      </c>
      <c r="N102" s="228"/>
      <c r="O102" s="539"/>
      <c r="P102" s="539"/>
      <c r="Q102" s="539"/>
      <c r="R102" s="539"/>
      <c r="S102" s="539"/>
      <c r="T102" s="540"/>
      <c r="U102" s="228"/>
      <c r="V102" s="228">
        <v>0</v>
      </c>
      <c r="W102" s="228">
        <v>0</v>
      </c>
      <c r="X102" s="228">
        <v>0</v>
      </c>
      <c r="Y102" s="228">
        <v>1</v>
      </c>
      <c r="Z102" s="633" t="s">
        <v>1240</v>
      </c>
      <c r="AA102" s="756">
        <v>405000000</v>
      </c>
      <c r="AB102" s="775" t="s">
        <v>1237</v>
      </c>
      <c r="AC102" s="542"/>
      <c r="AD102" s="543">
        <v>0</v>
      </c>
      <c r="AE102" s="543">
        <v>0</v>
      </c>
      <c r="AF102" s="543">
        <v>0</v>
      </c>
      <c r="AG102" s="543">
        <v>1</v>
      </c>
      <c r="AH102" s="536">
        <f t="shared" si="2"/>
        <v>405000000</v>
      </c>
      <c r="AI102" s="536">
        <v>0</v>
      </c>
      <c r="AJ102" s="536">
        <v>0</v>
      </c>
      <c r="AK102" s="536">
        <v>0</v>
      </c>
      <c r="AL102" s="755">
        <v>405000000</v>
      </c>
      <c r="AM102" s="536">
        <f t="shared" si="3"/>
        <v>404999999</v>
      </c>
      <c r="AN102" s="573">
        <v>0</v>
      </c>
      <c r="AO102" s="536">
        <v>0</v>
      </c>
      <c r="AP102" s="536">
        <v>0</v>
      </c>
      <c r="AQ102" s="755">
        <v>404999999</v>
      </c>
    </row>
    <row r="103" spans="1:43" ht="105" customHeight="1" x14ac:dyDescent="0.25">
      <c r="A103" s="236" t="s">
        <v>892</v>
      </c>
      <c r="B103" s="222" t="s">
        <v>65</v>
      </c>
      <c r="C103" s="218" t="s">
        <v>849</v>
      </c>
      <c r="D103" s="237" t="s">
        <v>977</v>
      </c>
      <c r="E103" s="731" t="s">
        <v>1251</v>
      </c>
      <c r="F103" s="131" t="s">
        <v>227</v>
      </c>
      <c r="G103" s="226" t="s">
        <v>978</v>
      </c>
      <c r="H103" s="218" t="s">
        <v>979</v>
      </c>
      <c r="I103" s="235" t="s">
        <v>980</v>
      </c>
      <c r="J103" s="218" t="s">
        <v>1128</v>
      </c>
      <c r="K103" s="226" t="s">
        <v>1126</v>
      </c>
      <c r="L103" s="755">
        <v>400000000</v>
      </c>
      <c r="M103" s="908" t="s">
        <v>891</v>
      </c>
      <c r="N103" s="556" t="s">
        <v>156</v>
      </c>
      <c r="O103" s="539" t="s">
        <v>585</v>
      </c>
      <c r="P103" s="539"/>
      <c r="Q103" s="539"/>
      <c r="R103" s="539"/>
      <c r="S103" s="539"/>
      <c r="T103" s="540" t="s">
        <v>166</v>
      </c>
      <c r="U103" s="228">
        <v>1</v>
      </c>
      <c r="V103" s="228">
        <v>0</v>
      </c>
      <c r="W103" s="228">
        <v>0</v>
      </c>
      <c r="X103" s="228">
        <v>0</v>
      </c>
      <c r="Y103" s="228">
        <v>1</v>
      </c>
      <c r="Z103" s="636" t="s">
        <v>1239</v>
      </c>
      <c r="AA103" s="755">
        <v>400000000</v>
      </c>
      <c r="AB103" s="775" t="s">
        <v>190</v>
      </c>
      <c r="AC103" s="539" t="s">
        <v>190</v>
      </c>
      <c r="AD103" s="543">
        <v>0</v>
      </c>
      <c r="AE103" s="543">
        <v>0</v>
      </c>
      <c r="AF103" s="543">
        <v>0</v>
      </c>
      <c r="AG103" s="543">
        <v>1</v>
      </c>
      <c r="AH103" s="536">
        <f t="shared" si="2"/>
        <v>400000000</v>
      </c>
      <c r="AI103" s="536">
        <v>0</v>
      </c>
      <c r="AJ103" s="536">
        <v>0</v>
      </c>
      <c r="AK103" s="536">
        <v>0</v>
      </c>
      <c r="AL103" s="755">
        <v>400000000</v>
      </c>
      <c r="AM103" s="536">
        <f t="shared" si="3"/>
        <v>400000000</v>
      </c>
      <c r="AN103" s="536">
        <v>0</v>
      </c>
      <c r="AO103" s="536">
        <v>0</v>
      </c>
      <c r="AP103" s="536">
        <v>0</v>
      </c>
      <c r="AQ103" s="755">
        <v>400000000</v>
      </c>
    </row>
    <row r="104" spans="1:43" ht="105" customHeight="1" x14ac:dyDescent="0.25">
      <c r="A104" s="221" t="s">
        <v>895</v>
      </c>
      <c r="B104" s="222" t="s">
        <v>231</v>
      </c>
      <c r="C104" s="222" t="s">
        <v>846</v>
      </c>
      <c r="D104" s="220" t="s">
        <v>970</v>
      </c>
      <c r="E104" s="731" t="s">
        <v>1251</v>
      </c>
      <c r="F104" s="229" t="s">
        <v>230</v>
      </c>
      <c r="G104" s="215" t="s">
        <v>971</v>
      </c>
      <c r="H104" s="218" t="s">
        <v>973</v>
      </c>
      <c r="I104" s="215" t="s">
        <v>976</v>
      </c>
      <c r="J104" s="218" t="s">
        <v>1130</v>
      </c>
      <c r="K104" s="226" t="s">
        <v>1073</v>
      </c>
      <c r="L104" s="124">
        <v>0</v>
      </c>
      <c r="M104" s="900" t="s">
        <v>457</v>
      </c>
      <c r="N104" s="556" t="s">
        <v>156</v>
      </c>
      <c r="O104" s="228" t="s">
        <v>572</v>
      </c>
      <c r="P104" s="228" t="s">
        <v>831</v>
      </c>
      <c r="Q104" s="228"/>
      <c r="R104" s="228"/>
      <c r="S104" s="228"/>
      <c r="T104" s="540" t="s">
        <v>166</v>
      </c>
      <c r="U104" s="545">
        <v>6</v>
      </c>
      <c r="V104" s="540">
        <v>0</v>
      </c>
      <c r="W104" s="545">
        <v>1</v>
      </c>
      <c r="X104" s="545">
        <v>3</v>
      </c>
      <c r="Y104" s="545">
        <v>2</v>
      </c>
      <c r="Z104" s="545"/>
      <c r="AA104" s="124">
        <v>0</v>
      </c>
      <c r="AB104" s="775"/>
      <c r="AC104" s="540"/>
      <c r="AD104" s="543">
        <v>0</v>
      </c>
      <c r="AE104" s="543">
        <v>0</v>
      </c>
      <c r="AF104" s="543">
        <v>0</v>
      </c>
      <c r="AG104" s="543">
        <v>5</v>
      </c>
      <c r="AH104" s="536">
        <f t="shared" si="2"/>
        <v>0</v>
      </c>
      <c r="AI104" s="536">
        <v>0</v>
      </c>
      <c r="AJ104" s="536">
        <v>0</v>
      </c>
      <c r="AK104" s="536">
        <v>0</v>
      </c>
      <c r="AL104" s="536">
        <v>0</v>
      </c>
      <c r="AM104" s="536">
        <f t="shared" si="3"/>
        <v>0</v>
      </c>
      <c r="AN104" s="536">
        <v>0</v>
      </c>
      <c r="AO104" s="536">
        <v>0</v>
      </c>
      <c r="AP104" s="536">
        <v>0</v>
      </c>
      <c r="AQ104" s="536">
        <v>0</v>
      </c>
    </row>
    <row r="105" spans="1:43" ht="105" customHeight="1" x14ac:dyDescent="0.25">
      <c r="A105" s="221" t="s">
        <v>895</v>
      </c>
      <c r="B105" s="222" t="s">
        <v>231</v>
      </c>
      <c r="C105" s="222" t="s">
        <v>846</v>
      </c>
      <c r="D105" s="218" t="s">
        <v>970</v>
      </c>
      <c r="E105" s="731" t="s">
        <v>1251</v>
      </c>
      <c r="F105" s="229" t="s">
        <v>230</v>
      </c>
      <c r="G105" s="215" t="s">
        <v>971</v>
      </c>
      <c r="H105" s="218" t="s">
        <v>975</v>
      </c>
      <c r="I105" s="215" t="s">
        <v>976</v>
      </c>
      <c r="J105" s="218" t="s">
        <v>1130</v>
      </c>
      <c r="K105" s="226" t="s">
        <v>1073</v>
      </c>
      <c r="L105" s="124">
        <v>0</v>
      </c>
      <c r="M105" s="900" t="s">
        <v>458</v>
      </c>
      <c r="N105" s="556" t="s">
        <v>156</v>
      </c>
      <c r="O105" s="228" t="s">
        <v>571</v>
      </c>
      <c r="P105" s="228" t="s">
        <v>831</v>
      </c>
      <c r="Q105" s="228"/>
      <c r="R105" s="228"/>
      <c r="S105" s="228"/>
      <c r="T105" s="540" t="s">
        <v>166</v>
      </c>
      <c r="U105" s="545">
        <v>10</v>
      </c>
      <c r="V105" s="540">
        <v>0</v>
      </c>
      <c r="W105" s="540">
        <v>4</v>
      </c>
      <c r="X105" s="540">
        <v>4</v>
      </c>
      <c r="Y105" s="540">
        <v>2</v>
      </c>
      <c r="Z105" s="540"/>
      <c r="AA105" s="124">
        <v>0</v>
      </c>
      <c r="AB105" s="775"/>
      <c r="AC105" s="540"/>
      <c r="AD105" s="543">
        <v>0</v>
      </c>
      <c r="AE105" s="543">
        <v>0</v>
      </c>
      <c r="AF105" s="543">
        <v>0</v>
      </c>
      <c r="AG105" s="543">
        <v>0</v>
      </c>
      <c r="AH105" s="536">
        <f t="shared" si="2"/>
        <v>0</v>
      </c>
      <c r="AI105" s="536">
        <v>0</v>
      </c>
      <c r="AJ105" s="536">
        <v>0</v>
      </c>
      <c r="AK105" s="536">
        <v>0</v>
      </c>
      <c r="AL105" s="536">
        <v>0</v>
      </c>
      <c r="AM105" s="536">
        <f t="shared" si="3"/>
        <v>0</v>
      </c>
      <c r="AN105" s="536">
        <v>0</v>
      </c>
      <c r="AO105" s="536">
        <v>0</v>
      </c>
      <c r="AP105" s="536">
        <v>0</v>
      </c>
      <c r="AQ105" s="536">
        <v>0</v>
      </c>
    </row>
    <row r="106" spans="1:43" ht="105" customHeight="1" x14ac:dyDescent="0.25">
      <c r="A106" s="368" t="s">
        <v>895</v>
      </c>
      <c r="B106" s="428" t="s">
        <v>231</v>
      </c>
      <c r="C106" s="428" t="s">
        <v>846</v>
      </c>
      <c r="D106" s="378" t="s">
        <v>970</v>
      </c>
      <c r="E106" s="731" t="s">
        <v>1251</v>
      </c>
      <c r="F106" s="393" t="s">
        <v>230</v>
      </c>
      <c r="G106" s="158" t="s">
        <v>971</v>
      </c>
      <c r="H106" s="378" t="s">
        <v>972</v>
      </c>
      <c r="I106" s="158" t="s">
        <v>976</v>
      </c>
      <c r="J106" s="378" t="s">
        <v>1130</v>
      </c>
      <c r="K106" s="158" t="s">
        <v>1073</v>
      </c>
      <c r="L106" s="128">
        <v>13161077</v>
      </c>
      <c r="M106" s="901" t="s">
        <v>459</v>
      </c>
      <c r="N106" s="568" t="s">
        <v>156</v>
      </c>
      <c r="O106" s="585" t="s">
        <v>572</v>
      </c>
      <c r="P106" s="408" t="s">
        <v>831</v>
      </c>
      <c r="Q106" s="408"/>
      <c r="R106" s="408"/>
      <c r="S106" s="408"/>
      <c r="T106" s="549" t="s">
        <v>166</v>
      </c>
      <c r="U106" s="571">
        <v>20</v>
      </c>
      <c r="V106" s="549">
        <v>3</v>
      </c>
      <c r="W106" s="549">
        <v>5</v>
      </c>
      <c r="X106" s="549">
        <v>8</v>
      </c>
      <c r="Y106" s="549">
        <v>4</v>
      </c>
      <c r="Z106" s="632" t="s">
        <v>640</v>
      </c>
      <c r="AA106" s="128">
        <v>13161077</v>
      </c>
      <c r="AB106" s="775" t="s">
        <v>454</v>
      </c>
      <c r="AC106" s="540" t="s">
        <v>869</v>
      </c>
      <c r="AD106" s="551">
        <v>12</v>
      </c>
      <c r="AE106" s="551">
        <v>11</v>
      </c>
      <c r="AF106" s="791">
        <v>9</v>
      </c>
      <c r="AG106" s="543">
        <v>0</v>
      </c>
      <c r="AH106" s="536">
        <f>AI106+AJ106+AK106+AL107</f>
        <v>0</v>
      </c>
      <c r="AI106" s="536">
        <v>0</v>
      </c>
      <c r="AJ106" s="536">
        <v>0</v>
      </c>
      <c r="AK106" s="536">
        <v>0</v>
      </c>
      <c r="AL106" s="801">
        <v>0</v>
      </c>
      <c r="AM106" s="536">
        <f t="shared" si="3"/>
        <v>0</v>
      </c>
      <c r="AN106" s="536">
        <v>0</v>
      </c>
      <c r="AO106" s="536">
        <v>0</v>
      </c>
      <c r="AP106" s="536">
        <v>0</v>
      </c>
      <c r="AQ106" s="536">
        <v>0</v>
      </c>
    </row>
    <row r="107" spans="1:43" ht="105" customHeight="1" x14ac:dyDescent="0.25">
      <c r="A107" s="368" t="s">
        <v>895</v>
      </c>
      <c r="B107" s="428" t="s">
        <v>231</v>
      </c>
      <c r="C107" s="428" t="s">
        <v>846</v>
      </c>
      <c r="D107" s="378" t="s">
        <v>970</v>
      </c>
      <c r="E107" s="731" t="s">
        <v>1251</v>
      </c>
      <c r="F107" s="393" t="s">
        <v>230</v>
      </c>
      <c r="G107" s="158" t="s">
        <v>971</v>
      </c>
      <c r="H107" s="378" t="s">
        <v>972</v>
      </c>
      <c r="I107" s="158" t="s">
        <v>976</v>
      </c>
      <c r="J107" s="378" t="s">
        <v>1130</v>
      </c>
      <c r="K107" s="158" t="s">
        <v>1073</v>
      </c>
      <c r="L107" s="128">
        <v>378513000</v>
      </c>
      <c r="M107" s="901" t="s">
        <v>459</v>
      </c>
      <c r="N107" s="568" t="s">
        <v>156</v>
      </c>
      <c r="O107" s="585" t="s">
        <v>572</v>
      </c>
      <c r="P107" s="408" t="s">
        <v>831</v>
      </c>
      <c r="Q107" s="408"/>
      <c r="R107" s="408"/>
      <c r="S107" s="408"/>
      <c r="T107" s="549" t="s">
        <v>166</v>
      </c>
      <c r="U107" s="571">
        <v>20</v>
      </c>
      <c r="V107" s="549">
        <v>3</v>
      </c>
      <c r="W107" s="549">
        <v>5</v>
      </c>
      <c r="X107" s="549">
        <v>8</v>
      </c>
      <c r="Y107" s="549">
        <v>4</v>
      </c>
      <c r="Z107" s="632" t="s">
        <v>639</v>
      </c>
      <c r="AA107" s="128">
        <v>378513000</v>
      </c>
      <c r="AB107" s="775" t="s">
        <v>867</v>
      </c>
      <c r="AC107" s="542" t="s">
        <v>868</v>
      </c>
      <c r="AD107" s="551">
        <v>12</v>
      </c>
      <c r="AE107" s="551">
        <v>11</v>
      </c>
      <c r="AF107" s="791">
        <v>9</v>
      </c>
      <c r="AG107" s="543">
        <v>0</v>
      </c>
      <c r="AH107" s="536">
        <f>+AI107+AJ107+AK107+AL107</f>
        <v>305807972</v>
      </c>
      <c r="AI107" s="637">
        <v>232952031</v>
      </c>
      <c r="AJ107" s="638">
        <f>251811229-AI107</f>
        <v>18859198</v>
      </c>
      <c r="AK107" s="888">
        <f>305807972-AI107-AJ107</f>
        <v>53996743</v>
      </c>
      <c r="AL107" s="274">
        <v>0</v>
      </c>
      <c r="AM107" s="536">
        <f t="shared" si="3"/>
        <v>305807972</v>
      </c>
      <c r="AN107" s="639">
        <v>60828372</v>
      </c>
      <c r="AO107" s="638">
        <f>141544144-AN107</f>
        <v>80715772</v>
      </c>
      <c r="AP107" s="536">
        <f>232767124-AN107-AO107</f>
        <v>91222980</v>
      </c>
      <c r="AQ107" s="802">
        <f>305807972-AN107-AO107-AP107</f>
        <v>73040848</v>
      </c>
    </row>
    <row r="108" spans="1:43" ht="105" customHeight="1" x14ac:dyDescent="0.25">
      <c r="A108" s="221" t="s">
        <v>895</v>
      </c>
      <c r="B108" s="222" t="s">
        <v>231</v>
      </c>
      <c r="C108" s="222" t="s">
        <v>846</v>
      </c>
      <c r="D108" s="218" t="s">
        <v>970</v>
      </c>
      <c r="E108" s="731" t="s">
        <v>1251</v>
      </c>
      <c r="F108" s="229" t="s">
        <v>230</v>
      </c>
      <c r="G108" s="215" t="s">
        <v>971</v>
      </c>
      <c r="H108" s="218" t="s">
        <v>974</v>
      </c>
      <c r="I108" s="215" t="s">
        <v>976</v>
      </c>
      <c r="J108" s="218" t="s">
        <v>1131</v>
      </c>
      <c r="K108" s="143" t="s">
        <v>1074</v>
      </c>
      <c r="L108" s="759">
        <v>264048400</v>
      </c>
      <c r="M108" s="900" t="s">
        <v>461</v>
      </c>
      <c r="N108" s="556" t="s">
        <v>156</v>
      </c>
      <c r="O108" s="228" t="s">
        <v>585</v>
      </c>
      <c r="P108" s="228"/>
      <c r="Q108" s="228" t="s">
        <v>831</v>
      </c>
      <c r="R108" s="228"/>
      <c r="S108" s="228"/>
      <c r="T108" s="540" t="s">
        <v>166</v>
      </c>
      <c r="U108" s="545">
        <v>1</v>
      </c>
      <c r="V108" s="540">
        <v>0</v>
      </c>
      <c r="W108" s="540">
        <v>0</v>
      </c>
      <c r="X108" s="540">
        <v>1</v>
      </c>
      <c r="Y108" s="540">
        <v>0</v>
      </c>
      <c r="Z108" s="632" t="s">
        <v>642</v>
      </c>
      <c r="AA108" s="759">
        <v>264048400</v>
      </c>
      <c r="AB108" s="775" t="s">
        <v>867</v>
      </c>
      <c r="AC108" s="542" t="s">
        <v>868</v>
      </c>
      <c r="AD108" s="543">
        <v>0</v>
      </c>
      <c r="AE108" s="543">
        <v>0</v>
      </c>
      <c r="AF108" s="543">
        <v>0</v>
      </c>
      <c r="AG108" s="543">
        <v>1</v>
      </c>
      <c r="AH108" s="536">
        <f t="shared" si="2"/>
        <v>169637100</v>
      </c>
      <c r="AI108" s="536">
        <v>0</v>
      </c>
      <c r="AJ108" s="536">
        <v>0</v>
      </c>
      <c r="AK108" s="536">
        <v>0</v>
      </c>
      <c r="AL108" s="889">
        <v>169637100</v>
      </c>
      <c r="AM108" s="536">
        <f t="shared" si="3"/>
        <v>169116570</v>
      </c>
      <c r="AN108" s="536">
        <v>0</v>
      </c>
      <c r="AO108" s="536">
        <v>0</v>
      </c>
      <c r="AP108" s="536">
        <v>0</v>
      </c>
      <c r="AQ108" s="890">
        <v>169116570</v>
      </c>
    </row>
    <row r="109" spans="1:43" ht="105" customHeight="1" x14ac:dyDescent="0.25">
      <c r="A109" s="221" t="s">
        <v>895</v>
      </c>
      <c r="B109" s="222" t="s">
        <v>231</v>
      </c>
      <c r="C109" s="222" t="s">
        <v>846</v>
      </c>
      <c r="D109" s="218" t="s">
        <v>970</v>
      </c>
      <c r="E109" s="731" t="s">
        <v>1251</v>
      </c>
      <c r="F109" s="229" t="s">
        <v>230</v>
      </c>
      <c r="G109" s="215" t="s">
        <v>971</v>
      </c>
      <c r="H109" s="218" t="s">
        <v>973</v>
      </c>
      <c r="I109" s="215" t="s">
        <v>976</v>
      </c>
      <c r="J109" s="218" t="s">
        <v>1131</v>
      </c>
      <c r="K109" s="143" t="s">
        <v>1075</v>
      </c>
      <c r="L109" s="124">
        <v>300000000</v>
      </c>
      <c r="M109" s="900" t="s">
        <v>462</v>
      </c>
      <c r="N109" s="556" t="s">
        <v>156</v>
      </c>
      <c r="O109" s="228" t="s">
        <v>1149</v>
      </c>
      <c r="P109" s="228"/>
      <c r="Q109" s="228" t="s">
        <v>831</v>
      </c>
      <c r="R109" s="228"/>
      <c r="S109" s="228"/>
      <c r="T109" s="540" t="s">
        <v>166</v>
      </c>
      <c r="U109" s="545">
        <v>1</v>
      </c>
      <c r="V109" s="540">
        <v>0</v>
      </c>
      <c r="W109" s="540">
        <v>0</v>
      </c>
      <c r="X109" s="540">
        <v>1</v>
      </c>
      <c r="Y109" s="540">
        <v>0</v>
      </c>
      <c r="Z109" s="632" t="s">
        <v>642</v>
      </c>
      <c r="AA109" s="124">
        <v>300000000</v>
      </c>
      <c r="AB109" s="775" t="s">
        <v>867</v>
      </c>
      <c r="AC109" s="542" t="s">
        <v>868</v>
      </c>
      <c r="AD109" s="543">
        <v>0</v>
      </c>
      <c r="AE109" s="543">
        <v>0</v>
      </c>
      <c r="AF109" s="543">
        <v>1</v>
      </c>
      <c r="AG109" s="543">
        <v>0</v>
      </c>
      <c r="AH109" s="536">
        <f t="shared" si="2"/>
        <v>300000000</v>
      </c>
      <c r="AI109" s="536">
        <v>0</v>
      </c>
      <c r="AJ109" s="536">
        <v>0</v>
      </c>
      <c r="AK109" s="536">
        <v>0</v>
      </c>
      <c r="AL109" s="124">
        <v>300000000</v>
      </c>
      <c r="AM109" s="536">
        <f t="shared" si="3"/>
        <v>100000000</v>
      </c>
      <c r="AN109" s="536">
        <v>0</v>
      </c>
      <c r="AO109" s="536">
        <v>0</v>
      </c>
      <c r="AP109" s="536">
        <v>0</v>
      </c>
      <c r="AQ109" s="885">
        <v>100000000</v>
      </c>
    </row>
    <row r="110" spans="1:43" ht="105" customHeight="1" x14ac:dyDescent="0.25">
      <c r="A110" s="221" t="s">
        <v>895</v>
      </c>
      <c r="B110" s="222" t="s">
        <v>231</v>
      </c>
      <c r="C110" s="222" t="s">
        <v>846</v>
      </c>
      <c r="D110" s="218" t="s">
        <v>970</v>
      </c>
      <c r="E110" s="731" t="s">
        <v>1251</v>
      </c>
      <c r="F110" s="229" t="s">
        <v>230</v>
      </c>
      <c r="G110" s="215" t="s">
        <v>971</v>
      </c>
      <c r="H110" s="218" t="s">
        <v>975</v>
      </c>
      <c r="I110" s="215" t="s">
        <v>976</v>
      </c>
      <c r="J110" s="218" t="s">
        <v>1130</v>
      </c>
      <c r="K110" s="143" t="s">
        <v>1073</v>
      </c>
      <c r="L110" s="124">
        <v>0</v>
      </c>
      <c r="M110" s="900" t="s">
        <v>463</v>
      </c>
      <c r="N110" s="556" t="s">
        <v>156</v>
      </c>
      <c r="O110" s="228" t="s">
        <v>592</v>
      </c>
      <c r="P110" s="228"/>
      <c r="Q110" s="228" t="s">
        <v>831</v>
      </c>
      <c r="R110" s="228"/>
      <c r="S110" s="228"/>
      <c r="T110" s="540" t="s">
        <v>166</v>
      </c>
      <c r="U110" s="545">
        <v>48</v>
      </c>
      <c r="V110" s="540">
        <v>12</v>
      </c>
      <c r="W110" s="540">
        <v>12</v>
      </c>
      <c r="X110" s="540">
        <v>12</v>
      </c>
      <c r="Y110" s="540">
        <v>12</v>
      </c>
      <c r="Z110" s="540"/>
      <c r="AA110" s="124">
        <v>0</v>
      </c>
      <c r="AB110" s="775"/>
      <c r="AC110" s="540"/>
      <c r="AD110" s="543">
        <v>12</v>
      </c>
      <c r="AE110" s="543">
        <v>12</v>
      </c>
      <c r="AF110" s="543">
        <v>12</v>
      </c>
      <c r="AG110" s="543">
        <v>12</v>
      </c>
      <c r="AH110" s="536">
        <f t="shared" si="2"/>
        <v>0</v>
      </c>
      <c r="AI110" s="536">
        <v>0</v>
      </c>
      <c r="AJ110" s="536">
        <v>0</v>
      </c>
      <c r="AK110" s="536">
        <v>0</v>
      </c>
      <c r="AL110" s="536">
        <v>0</v>
      </c>
      <c r="AM110" s="536">
        <f t="shared" si="3"/>
        <v>0</v>
      </c>
      <c r="AN110" s="536">
        <v>0</v>
      </c>
      <c r="AO110" s="536">
        <v>0</v>
      </c>
      <c r="AP110" s="536">
        <v>0</v>
      </c>
      <c r="AQ110" s="536">
        <v>0</v>
      </c>
    </row>
    <row r="111" spans="1:43" ht="105" customHeight="1" x14ac:dyDescent="0.25">
      <c r="A111" s="221" t="s">
        <v>895</v>
      </c>
      <c r="B111" s="222" t="s">
        <v>231</v>
      </c>
      <c r="C111" s="222" t="s">
        <v>846</v>
      </c>
      <c r="D111" s="218" t="s">
        <v>970</v>
      </c>
      <c r="E111" s="731" t="s">
        <v>1251</v>
      </c>
      <c r="F111" s="229" t="s">
        <v>230</v>
      </c>
      <c r="G111" s="215" t="s">
        <v>971</v>
      </c>
      <c r="H111" s="218" t="s">
        <v>973</v>
      </c>
      <c r="I111" s="215" t="s">
        <v>976</v>
      </c>
      <c r="J111" s="218" t="s">
        <v>1132</v>
      </c>
      <c r="K111" s="143" t="s">
        <v>1076</v>
      </c>
      <c r="L111" s="759">
        <v>0</v>
      </c>
      <c r="M111" s="900" t="s">
        <v>644</v>
      </c>
      <c r="N111" s="556" t="s">
        <v>154</v>
      </c>
      <c r="O111" s="228" t="s">
        <v>1150</v>
      </c>
      <c r="P111" s="228" t="s">
        <v>1185</v>
      </c>
      <c r="Q111" s="228" t="s">
        <v>1187</v>
      </c>
      <c r="R111" s="228" t="s">
        <v>1182</v>
      </c>
      <c r="S111" s="228"/>
      <c r="T111" s="540" t="s">
        <v>166</v>
      </c>
      <c r="U111" s="545">
        <v>1</v>
      </c>
      <c r="V111" s="540">
        <v>0</v>
      </c>
      <c r="W111" s="540">
        <v>0</v>
      </c>
      <c r="X111" s="540">
        <v>1</v>
      </c>
      <c r="Y111" s="540">
        <v>0</v>
      </c>
      <c r="Z111" s="632" t="s">
        <v>642</v>
      </c>
      <c r="AA111" s="759">
        <v>0</v>
      </c>
      <c r="AB111" s="775"/>
      <c r="AC111" s="542" t="s">
        <v>868</v>
      </c>
      <c r="AD111" s="543">
        <v>0</v>
      </c>
      <c r="AE111" s="543">
        <v>0</v>
      </c>
      <c r="AF111" s="543">
        <v>0</v>
      </c>
      <c r="AG111" s="543">
        <v>1</v>
      </c>
      <c r="AH111" s="536">
        <f t="shared" si="2"/>
        <v>0</v>
      </c>
      <c r="AI111" s="536">
        <v>0</v>
      </c>
      <c r="AJ111" s="536">
        <v>0</v>
      </c>
      <c r="AK111" s="536">
        <v>0</v>
      </c>
      <c r="AL111" s="536">
        <v>0</v>
      </c>
      <c r="AM111" s="536">
        <f t="shared" si="3"/>
        <v>0</v>
      </c>
      <c r="AN111" s="536">
        <v>0</v>
      </c>
      <c r="AO111" s="536">
        <v>0</v>
      </c>
      <c r="AP111" s="536">
        <v>0</v>
      </c>
      <c r="AQ111" s="536">
        <v>0</v>
      </c>
    </row>
    <row r="112" spans="1:43" ht="105" customHeight="1" x14ac:dyDescent="0.25">
      <c r="A112" s="221" t="s">
        <v>895</v>
      </c>
      <c r="B112" s="222" t="s">
        <v>231</v>
      </c>
      <c r="C112" s="222" t="s">
        <v>846</v>
      </c>
      <c r="D112" s="218" t="s">
        <v>970</v>
      </c>
      <c r="E112" s="731" t="s">
        <v>1251</v>
      </c>
      <c r="F112" s="261" t="s">
        <v>230</v>
      </c>
      <c r="G112" s="215" t="s">
        <v>971</v>
      </c>
      <c r="H112" s="218" t="s">
        <v>973</v>
      </c>
      <c r="I112" s="215" t="s">
        <v>976</v>
      </c>
      <c r="J112" s="218" t="s">
        <v>1130</v>
      </c>
      <c r="K112" s="143" t="s">
        <v>1073</v>
      </c>
      <c r="L112" s="466">
        <v>10000000</v>
      </c>
      <c r="M112" s="900" t="s">
        <v>196</v>
      </c>
      <c r="N112" s="556" t="s">
        <v>156</v>
      </c>
      <c r="O112" s="228" t="s">
        <v>1151</v>
      </c>
      <c r="P112" s="228"/>
      <c r="Q112" s="228"/>
      <c r="R112" s="228"/>
      <c r="S112" s="228"/>
      <c r="T112" s="540" t="s">
        <v>166</v>
      </c>
      <c r="U112" s="545">
        <v>1</v>
      </c>
      <c r="V112" s="540">
        <v>1</v>
      </c>
      <c r="W112" s="540">
        <v>0</v>
      </c>
      <c r="X112" s="540">
        <v>0</v>
      </c>
      <c r="Y112" s="540">
        <v>0</v>
      </c>
      <c r="Z112" s="632" t="s">
        <v>645</v>
      </c>
      <c r="AA112" s="466">
        <v>10000000</v>
      </c>
      <c r="AB112" s="775" t="s">
        <v>190</v>
      </c>
      <c r="AC112" s="540" t="s">
        <v>190</v>
      </c>
      <c r="AD112" s="543">
        <v>1</v>
      </c>
      <c r="AE112" s="543">
        <v>0</v>
      </c>
      <c r="AF112" s="543">
        <v>0</v>
      </c>
      <c r="AG112" s="543">
        <v>0</v>
      </c>
      <c r="AH112" s="536">
        <f t="shared" si="2"/>
        <v>3793050</v>
      </c>
      <c r="AI112" s="640">
        <v>361200</v>
      </c>
      <c r="AJ112" s="562">
        <f>1279100-AI112</f>
        <v>917900</v>
      </c>
      <c r="AK112" s="536">
        <v>0</v>
      </c>
      <c r="AL112" s="574">
        <f>3793050-AI112-AJ112</f>
        <v>2513950</v>
      </c>
      <c r="AM112" s="536">
        <f t="shared" si="3"/>
        <v>3793050</v>
      </c>
      <c r="AN112" s="639">
        <v>305642</v>
      </c>
      <c r="AO112" s="638">
        <f>1124286-AN112</f>
        <v>818644</v>
      </c>
      <c r="AP112" s="536">
        <f>1246194-AN112-AO112</f>
        <v>121908</v>
      </c>
      <c r="AQ112" s="802">
        <f>3793050-AN112-AO112-AP112</f>
        <v>2546856</v>
      </c>
    </row>
    <row r="113" spans="1:43" ht="105" customHeight="1" x14ac:dyDescent="0.25">
      <c r="A113" s="116" t="s">
        <v>895</v>
      </c>
      <c r="B113" s="162" t="s">
        <v>237</v>
      </c>
      <c r="C113" s="428" t="s">
        <v>846</v>
      </c>
      <c r="D113" s="160" t="s">
        <v>894</v>
      </c>
      <c r="E113" s="731" t="s">
        <v>1251</v>
      </c>
      <c r="F113" s="377" t="s">
        <v>234</v>
      </c>
      <c r="G113" s="143" t="s">
        <v>954</v>
      </c>
      <c r="H113" s="160" t="s">
        <v>956</v>
      </c>
      <c r="I113" s="158" t="s">
        <v>957</v>
      </c>
      <c r="J113" s="160" t="s">
        <v>958</v>
      </c>
      <c r="K113" s="158" t="s">
        <v>1077</v>
      </c>
      <c r="L113" s="124">
        <v>3000000</v>
      </c>
      <c r="M113" s="585" t="s">
        <v>236</v>
      </c>
      <c r="N113" s="568" t="s">
        <v>156</v>
      </c>
      <c r="O113" s="408" t="s">
        <v>1151</v>
      </c>
      <c r="P113" s="408"/>
      <c r="Q113" s="408"/>
      <c r="R113" s="408"/>
      <c r="S113" s="408" t="s">
        <v>831</v>
      </c>
      <c r="T113" s="549" t="s">
        <v>166</v>
      </c>
      <c r="U113" s="571">
        <v>1</v>
      </c>
      <c r="V113" s="571">
        <v>1</v>
      </c>
      <c r="W113" s="571">
        <v>0</v>
      </c>
      <c r="X113" s="571">
        <v>0</v>
      </c>
      <c r="Y113" s="571">
        <v>0</v>
      </c>
      <c r="Z113" s="641" t="s">
        <v>646</v>
      </c>
      <c r="AA113" s="124">
        <v>3000000</v>
      </c>
      <c r="AB113" s="775" t="s">
        <v>190</v>
      </c>
      <c r="AC113" s="540" t="s">
        <v>190</v>
      </c>
      <c r="AD113" s="551">
        <v>1</v>
      </c>
      <c r="AE113" s="551">
        <v>0</v>
      </c>
      <c r="AF113" s="543">
        <v>0</v>
      </c>
      <c r="AG113" s="543">
        <v>0</v>
      </c>
      <c r="AH113" s="536">
        <f t="shared" si="2"/>
        <v>0</v>
      </c>
      <c r="AI113" s="536">
        <v>0</v>
      </c>
      <c r="AJ113" s="536">
        <v>0</v>
      </c>
      <c r="AK113" s="536">
        <v>0</v>
      </c>
      <c r="AL113" s="536">
        <v>0</v>
      </c>
      <c r="AM113" s="536">
        <f t="shared" si="3"/>
        <v>0</v>
      </c>
      <c r="AN113" s="536">
        <v>0</v>
      </c>
      <c r="AO113" s="536">
        <v>0</v>
      </c>
      <c r="AP113" s="536">
        <v>0</v>
      </c>
      <c r="AQ113" s="536">
        <v>0</v>
      </c>
    </row>
    <row r="114" spans="1:43" ht="105" customHeight="1" x14ac:dyDescent="0.25">
      <c r="A114" s="116" t="s">
        <v>895</v>
      </c>
      <c r="B114" s="162" t="s">
        <v>237</v>
      </c>
      <c r="C114" s="428" t="s">
        <v>846</v>
      </c>
      <c r="D114" s="160" t="s">
        <v>894</v>
      </c>
      <c r="E114" s="731" t="s">
        <v>1251</v>
      </c>
      <c r="F114" s="377" t="s">
        <v>234</v>
      </c>
      <c r="G114" s="143" t="s">
        <v>954</v>
      </c>
      <c r="H114" s="160" t="s">
        <v>956</v>
      </c>
      <c r="I114" s="158" t="s">
        <v>957</v>
      </c>
      <c r="J114" s="160" t="s">
        <v>958</v>
      </c>
      <c r="K114" s="158" t="s">
        <v>1077</v>
      </c>
      <c r="L114" s="112">
        <v>411677000</v>
      </c>
      <c r="M114" s="585" t="s">
        <v>236</v>
      </c>
      <c r="N114" s="568" t="s">
        <v>156</v>
      </c>
      <c r="O114" s="408" t="s">
        <v>1151</v>
      </c>
      <c r="P114" s="587"/>
      <c r="Q114" s="587"/>
      <c r="R114" s="587"/>
      <c r="S114" s="408" t="s">
        <v>831</v>
      </c>
      <c r="T114" s="549" t="s">
        <v>166</v>
      </c>
      <c r="U114" s="571">
        <v>1</v>
      </c>
      <c r="V114" s="571">
        <v>1</v>
      </c>
      <c r="W114" s="571">
        <v>0</v>
      </c>
      <c r="X114" s="571">
        <v>0</v>
      </c>
      <c r="Y114" s="571">
        <v>0</v>
      </c>
      <c r="Z114" s="641" t="s">
        <v>647</v>
      </c>
      <c r="AA114" s="112">
        <v>411677000</v>
      </c>
      <c r="AB114" s="775" t="s">
        <v>867</v>
      </c>
      <c r="AC114" s="542" t="s">
        <v>868</v>
      </c>
      <c r="AD114" s="551">
        <v>1</v>
      </c>
      <c r="AE114" s="551">
        <v>0</v>
      </c>
      <c r="AF114" s="543">
        <v>0</v>
      </c>
      <c r="AG114" s="543">
        <v>0</v>
      </c>
      <c r="AH114" s="536">
        <f t="shared" si="2"/>
        <v>250000000</v>
      </c>
      <c r="AI114" s="536">
        <v>250000000</v>
      </c>
      <c r="AJ114" s="536">
        <v>0</v>
      </c>
      <c r="AK114" s="536">
        <v>0</v>
      </c>
      <c r="AL114" s="536">
        <v>0</v>
      </c>
      <c r="AM114" s="536">
        <f t="shared" si="3"/>
        <v>250000000</v>
      </c>
      <c r="AN114" s="573">
        <v>50000000</v>
      </c>
      <c r="AO114" s="573">
        <f>125000000-AN114</f>
        <v>75000000</v>
      </c>
      <c r="AP114" s="536">
        <f>200000000-AN114-AO114</f>
        <v>75000000</v>
      </c>
      <c r="AQ114" s="536">
        <f>250000000-AN114-AO114-AP114</f>
        <v>50000000</v>
      </c>
    </row>
    <row r="115" spans="1:43" ht="105" customHeight="1" x14ac:dyDescent="0.25">
      <c r="A115" s="221" t="s">
        <v>895</v>
      </c>
      <c r="B115" s="222" t="s">
        <v>237</v>
      </c>
      <c r="C115" s="224" t="s">
        <v>846</v>
      </c>
      <c r="D115" s="218" t="s">
        <v>894</v>
      </c>
      <c r="E115" s="731" t="s">
        <v>1251</v>
      </c>
      <c r="F115" s="446" t="s">
        <v>234</v>
      </c>
      <c r="G115" s="215" t="s">
        <v>954</v>
      </c>
      <c r="H115" s="218" t="s">
        <v>955</v>
      </c>
      <c r="I115" s="215" t="s">
        <v>957</v>
      </c>
      <c r="J115" s="218" t="s">
        <v>958</v>
      </c>
      <c r="K115" s="143" t="s">
        <v>1077</v>
      </c>
      <c r="L115" s="759">
        <v>0</v>
      </c>
      <c r="M115" s="228" t="s">
        <v>465</v>
      </c>
      <c r="N115" s="228" t="s">
        <v>212</v>
      </c>
      <c r="O115" s="228" t="s">
        <v>772</v>
      </c>
      <c r="P115" s="228" t="s">
        <v>1188</v>
      </c>
      <c r="Q115" s="228" t="s">
        <v>1189</v>
      </c>
      <c r="R115" s="228" t="s">
        <v>1183</v>
      </c>
      <c r="S115" s="228" t="s">
        <v>1190</v>
      </c>
      <c r="T115" s="540" t="s">
        <v>166</v>
      </c>
      <c r="U115" s="545">
        <v>1</v>
      </c>
      <c r="V115" s="545">
        <v>0</v>
      </c>
      <c r="W115" s="545">
        <v>0</v>
      </c>
      <c r="X115" s="545">
        <v>1</v>
      </c>
      <c r="Y115" s="545">
        <v>0</v>
      </c>
      <c r="Z115" s="545" t="s">
        <v>648</v>
      </c>
      <c r="AA115" s="759">
        <v>0</v>
      </c>
      <c r="AB115" s="775"/>
      <c r="AC115" s="542" t="s">
        <v>868</v>
      </c>
      <c r="AD115" s="543">
        <v>0</v>
      </c>
      <c r="AE115" s="543">
        <v>0</v>
      </c>
      <c r="AF115" s="543">
        <v>0</v>
      </c>
      <c r="AG115" s="543">
        <v>0</v>
      </c>
      <c r="AH115" s="536">
        <f t="shared" si="2"/>
        <v>0</v>
      </c>
      <c r="AI115" s="536">
        <v>0</v>
      </c>
      <c r="AJ115" s="536">
        <v>0</v>
      </c>
      <c r="AK115" s="536">
        <v>0</v>
      </c>
      <c r="AL115" s="536">
        <v>0</v>
      </c>
      <c r="AM115" s="536">
        <f t="shared" si="3"/>
        <v>0</v>
      </c>
      <c r="AN115" s="536">
        <v>0</v>
      </c>
      <c r="AO115" s="536">
        <v>0</v>
      </c>
      <c r="AP115" s="536">
        <v>0</v>
      </c>
      <c r="AQ115" s="536">
        <v>0</v>
      </c>
    </row>
    <row r="116" spans="1:43" ht="105" customHeight="1" x14ac:dyDescent="0.25">
      <c r="A116" s="221" t="s">
        <v>895</v>
      </c>
      <c r="B116" s="222" t="s">
        <v>237</v>
      </c>
      <c r="C116" s="224" t="s">
        <v>846</v>
      </c>
      <c r="D116" s="218" t="s">
        <v>894</v>
      </c>
      <c r="E116" s="731" t="s">
        <v>1251</v>
      </c>
      <c r="F116" s="446" t="s">
        <v>234</v>
      </c>
      <c r="G116" s="215" t="s">
        <v>954</v>
      </c>
      <c r="H116" s="218" t="s">
        <v>955</v>
      </c>
      <c r="I116" s="215" t="s">
        <v>957</v>
      </c>
      <c r="J116" s="218" t="s">
        <v>958</v>
      </c>
      <c r="K116" s="143" t="s">
        <v>1077</v>
      </c>
      <c r="L116" s="759">
        <v>115120600</v>
      </c>
      <c r="M116" s="228" t="s">
        <v>473</v>
      </c>
      <c r="N116" s="556" t="s">
        <v>156</v>
      </c>
      <c r="O116" s="228" t="s">
        <v>572</v>
      </c>
      <c r="P116" s="228"/>
      <c r="Q116" s="228"/>
      <c r="R116" s="228"/>
      <c r="S116" s="228" t="s">
        <v>831</v>
      </c>
      <c r="T116" s="540" t="s">
        <v>166</v>
      </c>
      <c r="U116" s="545">
        <v>10</v>
      </c>
      <c r="V116" s="545">
        <v>0</v>
      </c>
      <c r="W116" s="545">
        <v>0</v>
      </c>
      <c r="X116" s="545">
        <v>5</v>
      </c>
      <c r="Y116" s="545">
        <v>5</v>
      </c>
      <c r="Z116" s="545" t="s">
        <v>648</v>
      </c>
      <c r="AA116" s="759">
        <v>115120600</v>
      </c>
      <c r="AB116" s="775" t="s">
        <v>867</v>
      </c>
      <c r="AC116" s="542" t="s">
        <v>868</v>
      </c>
      <c r="AD116" s="543">
        <v>0</v>
      </c>
      <c r="AE116" s="791">
        <v>5</v>
      </c>
      <c r="AF116" s="791">
        <v>27</v>
      </c>
      <c r="AG116" s="543">
        <v>8</v>
      </c>
      <c r="AH116" s="536">
        <f t="shared" si="2"/>
        <v>115120600</v>
      </c>
      <c r="AI116" s="536">
        <v>0</v>
      </c>
      <c r="AJ116" s="536">
        <v>0</v>
      </c>
      <c r="AK116" s="536">
        <v>0</v>
      </c>
      <c r="AL116" s="537">
        <v>115120600</v>
      </c>
      <c r="AM116" s="536">
        <f t="shared" si="3"/>
        <v>115120600</v>
      </c>
      <c r="AN116" s="536">
        <v>0</v>
      </c>
      <c r="AO116" s="536">
        <v>0</v>
      </c>
      <c r="AP116" s="536">
        <v>0</v>
      </c>
      <c r="AQ116" s="537">
        <v>115120600</v>
      </c>
    </row>
    <row r="117" spans="1:43" ht="105" customHeight="1" x14ac:dyDescent="0.25">
      <c r="A117" s="221" t="s">
        <v>895</v>
      </c>
      <c r="B117" s="222" t="s">
        <v>237</v>
      </c>
      <c r="C117" s="224" t="s">
        <v>846</v>
      </c>
      <c r="D117" s="218" t="s">
        <v>894</v>
      </c>
      <c r="E117" s="731" t="s">
        <v>1251</v>
      </c>
      <c r="F117" s="446" t="s">
        <v>234</v>
      </c>
      <c r="G117" s="215" t="s">
        <v>954</v>
      </c>
      <c r="H117" s="218" t="s">
        <v>955</v>
      </c>
      <c r="I117" s="215" t="s">
        <v>957</v>
      </c>
      <c r="J117" s="218" t="s">
        <v>958</v>
      </c>
      <c r="K117" s="143" t="s">
        <v>1077</v>
      </c>
      <c r="L117" s="759">
        <v>0</v>
      </c>
      <c r="M117" s="228" t="s">
        <v>474</v>
      </c>
      <c r="N117" s="556" t="s">
        <v>156</v>
      </c>
      <c r="O117" s="228" t="s">
        <v>572</v>
      </c>
      <c r="P117" s="228"/>
      <c r="Q117" s="228"/>
      <c r="R117" s="228"/>
      <c r="S117" s="228" t="s">
        <v>831</v>
      </c>
      <c r="T117" s="540" t="s">
        <v>166</v>
      </c>
      <c r="U117" s="545">
        <v>40</v>
      </c>
      <c r="V117" s="545">
        <v>0</v>
      </c>
      <c r="W117" s="545">
        <v>0</v>
      </c>
      <c r="X117" s="545">
        <v>20</v>
      </c>
      <c r="Y117" s="545">
        <v>20</v>
      </c>
      <c r="Z117" s="545" t="s">
        <v>648</v>
      </c>
      <c r="AA117" s="759">
        <v>0</v>
      </c>
      <c r="AB117" s="775"/>
      <c r="AC117" s="542" t="s">
        <v>868</v>
      </c>
      <c r="AD117" s="543">
        <v>0</v>
      </c>
      <c r="AE117" s="543">
        <v>0</v>
      </c>
      <c r="AF117" s="543">
        <v>0</v>
      </c>
      <c r="AG117" s="543">
        <v>10</v>
      </c>
      <c r="AH117" s="536">
        <f t="shared" si="2"/>
        <v>0</v>
      </c>
      <c r="AI117" s="536">
        <v>0</v>
      </c>
      <c r="AJ117" s="536">
        <v>0</v>
      </c>
      <c r="AK117" s="536">
        <v>0</v>
      </c>
      <c r="AL117" s="536">
        <v>0</v>
      </c>
      <c r="AM117" s="536">
        <f t="shared" si="3"/>
        <v>0</v>
      </c>
      <c r="AN117" s="536">
        <v>0</v>
      </c>
      <c r="AO117" s="536">
        <v>0</v>
      </c>
      <c r="AP117" s="536">
        <v>0</v>
      </c>
      <c r="AQ117" s="536">
        <v>0</v>
      </c>
    </row>
    <row r="118" spans="1:43" ht="105" customHeight="1" x14ac:dyDescent="0.25">
      <c r="A118" s="221" t="s">
        <v>895</v>
      </c>
      <c r="B118" s="222" t="s">
        <v>237</v>
      </c>
      <c r="C118" s="224" t="s">
        <v>846</v>
      </c>
      <c r="D118" s="218" t="s">
        <v>894</v>
      </c>
      <c r="E118" s="731" t="s">
        <v>1251</v>
      </c>
      <c r="F118" s="446" t="s">
        <v>234</v>
      </c>
      <c r="G118" s="215" t="s">
        <v>954</v>
      </c>
      <c r="H118" s="218" t="s">
        <v>955</v>
      </c>
      <c r="I118" s="215" t="s">
        <v>957</v>
      </c>
      <c r="J118" s="218" t="s">
        <v>958</v>
      </c>
      <c r="K118" s="143" t="s">
        <v>1077</v>
      </c>
      <c r="L118" s="759">
        <v>0</v>
      </c>
      <c r="M118" s="228" t="s">
        <v>475</v>
      </c>
      <c r="N118" s="556" t="s">
        <v>156</v>
      </c>
      <c r="O118" s="228" t="s">
        <v>572</v>
      </c>
      <c r="P118" s="228"/>
      <c r="Q118" s="228"/>
      <c r="R118" s="228"/>
      <c r="S118" s="228" t="s">
        <v>831</v>
      </c>
      <c r="T118" s="540" t="s">
        <v>166</v>
      </c>
      <c r="U118" s="545">
        <v>9</v>
      </c>
      <c r="V118" s="545">
        <v>0</v>
      </c>
      <c r="W118" s="545">
        <v>0</v>
      </c>
      <c r="X118" s="545">
        <v>5</v>
      </c>
      <c r="Y118" s="545">
        <v>4</v>
      </c>
      <c r="Z118" s="545" t="s">
        <v>648</v>
      </c>
      <c r="AA118" s="759">
        <v>0</v>
      </c>
      <c r="AB118" s="775"/>
      <c r="AC118" s="542" t="s">
        <v>868</v>
      </c>
      <c r="AD118" s="543">
        <v>0</v>
      </c>
      <c r="AE118" s="543">
        <v>0</v>
      </c>
      <c r="AF118" s="543">
        <v>0</v>
      </c>
      <c r="AG118" s="543">
        <v>0</v>
      </c>
      <c r="AH118" s="536">
        <f t="shared" si="2"/>
        <v>0</v>
      </c>
      <c r="AI118" s="536">
        <v>0</v>
      </c>
      <c r="AJ118" s="536">
        <v>0</v>
      </c>
      <c r="AK118" s="536">
        <v>0</v>
      </c>
      <c r="AL118" s="536">
        <v>0</v>
      </c>
      <c r="AM118" s="536">
        <f t="shared" si="3"/>
        <v>0</v>
      </c>
      <c r="AN118" s="536">
        <v>0</v>
      </c>
      <c r="AO118" s="536">
        <v>0</v>
      </c>
      <c r="AP118" s="536">
        <v>0</v>
      </c>
      <c r="AQ118" s="536">
        <v>0</v>
      </c>
    </row>
    <row r="119" spans="1:43" ht="105" customHeight="1" x14ac:dyDescent="0.25">
      <c r="A119" s="116" t="s">
        <v>895</v>
      </c>
      <c r="B119" s="162" t="s">
        <v>237</v>
      </c>
      <c r="C119" s="428" t="s">
        <v>846</v>
      </c>
      <c r="D119" s="143" t="s">
        <v>946</v>
      </c>
      <c r="E119" s="731" t="s">
        <v>1251</v>
      </c>
      <c r="F119" s="394" t="s">
        <v>238</v>
      </c>
      <c r="G119" s="76" t="s">
        <v>947</v>
      </c>
      <c r="H119" s="160" t="s">
        <v>948</v>
      </c>
      <c r="I119" s="158" t="s">
        <v>927</v>
      </c>
      <c r="J119" s="421" t="s">
        <v>952</v>
      </c>
      <c r="K119" s="395" t="s">
        <v>1078</v>
      </c>
      <c r="L119" s="112">
        <v>471677000</v>
      </c>
      <c r="M119" s="901" t="s">
        <v>180</v>
      </c>
      <c r="N119" s="568" t="s">
        <v>156</v>
      </c>
      <c r="O119" s="408" t="s">
        <v>1152</v>
      </c>
      <c r="P119" s="228"/>
      <c r="Q119" s="408"/>
      <c r="R119" s="408" t="s">
        <v>831</v>
      </c>
      <c r="S119" s="408"/>
      <c r="T119" s="549" t="s">
        <v>166</v>
      </c>
      <c r="U119" s="642">
        <v>1</v>
      </c>
      <c r="V119" s="571">
        <v>1</v>
      </c>
      <c r="W119" s="549">
        <v>0</v>
      </c>
      <c r="X119" s="549">
        <v>0</v>
      </c>
      <c r="Y119" s="549">
        <v>0</v>
      </c>
      <c r="Z119" s="545" t="s">
        <v>649</v>
      </c>
      <c r="AA119" s="112">
        <v>471677000</v>
      </c>
      <c r="AB119" s="775" t="s">
        <v>867</v>
      </c>
      <c r="AC119" s="542" t="s">
        <v>868</v>
      </c>
      <c r="AD119" s="551">
        <v>1</v>
      </c>
      <c r="AE119" s="551">
        <v>0</v>
      </c>
      <c r="AF119" s="543">
        <v>0</v>
      </c>
      <c r="AG119" s="543">
        <v>0</v>
      </c>
      <c r="AH119" s="536">
        <f t="shared" si="2"/>
        <v>413940680</v>
      </c>
      <c r="AI119" s="643">
        <v>330348977</v>
      </c>
      <c r="AJ119" s="643">
        <f>349208235-AI119</f>
        <v>18859258</v>
      </c>
      <c r="AK119" s="888">
        <f>413940680-AI119-AJ119</f>
        <v>64732445</v>
      </c>
      <c r="AL119" s="536">
        <v>0</v>
      </c>
      <c r="AM119" s="536">
        <f t="shared" si="3"/>
        <v>413940680</v>
      </c>
      <c r="AN119" s="562">
        <v>80098915</v>
      </c>
      <c r="AO119" s="562">
        <f>190112141-AN119</f>
        <v>110013226</v>
      </c>
      <c r="AP119" s="574">
        <f>310325512-AN119-AO119</f>
        <v>120213371</v>
      </c>
      <c r="AQ119" s="798">
        <f>413940680-AN119-AO119-AP119</f>
        <v>103615168</v>
      </c>
    </row>
    <row r="120" spans="1:43" ht="105" customHeight="1" x14ac:dyDescent="0.25">
      <c r="A120" s="116" t="s">
        <v>895</v>
      </c>
      <c r="B120" s="162" t="s">
        <v>237</v>
      </c>
      <c r="C120" s="428" t="s">
        <v>846</v>
      </c>
      <c r="D120" s="143" t="s">
        <v>946</v>
      </c>
      <c r="E120" s="731" t="s">
        <v>1251</v>
      </c>
      <c r="F120" s="394" t="s">
        <v>238</v>
      </c>
      <c r="G120" s="76" t="s">
        <v>947</v>
      </c>
      <c r="H120" s="160" t="s">
        <v>948</v>
      </c>
      <c r="I120" s="158" t="s">
        <v>927</v>
      </c>
      <c r="J120" s="421" t="s">
        <v>952</v>
      </c>
      <c r="K120" s="395" t="s">
        <v>1078</v>
      </c>
      <c r="L120" s="130">
        <v>6000000</v>
      </c>
      <c r="M120" s="901" t="s">
        <v>180</v>
      </c>
      <c r="N120" s="568" t="s">
        <v>156</v>
      </c>
      <c r="O120" s="408" t="s">
        <v>1152</v>
      </c>
      <c r="P120" s="228"/>
      <c r="Q120" s="408"/>
      <c r="R120" s="408" t="s">
        <v>831</v>
      </c>
      <c r="S120" s="408"/>
      <c r="T120" s="549" t="s">
        <v>166</v>
      </c>
      <c r="U120" s="642">
        <v>1</v>
      </c>
      <c r="V120" s="571">
        <v>1</v>
      </c>
      <c r="W120" s="549">
        <v>0</v>
      </c>
      <c r="X120" s="549">
        <v>0</v>
      </c>
      <c r="Y120" s="549">
        <v>0</v>
      </c>
      <c r="Z120" s="545" t="s">
        <v>650</v>
      </c>
      <c r="AA120" s="130">
        <v>6000000</v>
      </c>
      <c r="AB120" s="775" t="s">
        <v>190</v>
      </c>
      <c r="AC120" s="540" t="s">
        <v>190</v>
      </c>
      <c r="AD120" s="551">
        <v>1</v>
      </c>
      <c r="AE120" s="551">
        <v>0</v>
      </c>
      <c r="AF120" s="543">
        <v>0</v>
      </c>
      <c r="AG120" s="543">
        <v>0</v>
      </c>
      <c r="AH120" s="536">
        <f t="shared" si="2"/>
        <v>0</v>
      </c>
      <c r="AI120" s="536">
        <v>0</v>
      </c>
      <c r="AJ120" s="536">
        <v>0</v>
      </c>
      <c r="AK120" s="536">
        <v>0</v>
      </c>
      <c r="AL120" s="536">
        <v>0</v>
      </c>
      <c r="AM120" s="536">
        <f t="shared" si="3"/>
        <v>0</v>
      </c>
      <c r="AN120" s="536">
        <v>0</v>
      </c>
      <c r="AO120" s="536">
        <v>0</v>
      </c>
      <c r="AP120" s="536">
        <v>0</v>
      </c>
      <c r="AQ120" s="536">
        <v>0</v>
      </c>
    </row>
    <row r="121" spans="1:43" ht="105" customHeight="1" x14ac:dyDescent="0.25">
      <c r="A121" s="221" t="s">
        <v>895</v>
      </c>
      <c r="B121" s="222" t="s">
        <v>237</v>
      </c>
      <c r="C121" s="224" t="s">
        <v>846</v>
      </c>
      <c r="D121" s="215" t="s">
        <v>944</v>
      </c>
      <c r="E121" s="731" t="s">
        <v>1251</v>
      </c>
      <c r="F121" s="229" t="s">
        <v>238</v>
      </c>
      <c r="G121" s="76" t="s">
        <v>947</v>
      </c>
      <c r="H121" s="218" t="s">
        <v>949</v>
      </c>
      <c r="I121" s="215" t="s">
        <v>927</v>
      </c>
      <c r="J121" s="218" t="s">
        <v>952</v>
      </c>
      <c r="K121" s="143" t="s">
        <v>1078</v>
      </c>
      <c r="L121" s="759">
        <v>175654697</v>
      </c>
      <c r="M121" s="900" t="s">
        <v>468</v>
      </c>
      <c r="N121" s="556" t="s">
        <v>156</v>
      </c>
      <c r="O121" s="228" t="s">
        <v>572</v>
      </c>
      <c r="P121" s="228"/>
      <c r="Q121" s="228"/>
      <c r="R121" s="228" t="s">
        <v>831</v>
      </c>
      <c r="S121" s="228"/>
      <c r="T121" s="540" t="s">
        <v>166</v>
      </c>
      <c r="U121" s="545">
        <v>124</v>
      </c>
      <c r="V121" s="545">
        <v>0</v>
      </c>
      <c r="W121" s="644">
        <v>40</v>
      </c>
      <c r="X121" s="644">
        <v>50</v>
      </c>
      <c r="Y121" s="644">
        <v>34</v>
      </c>
      <c r="Z121" s="545" t="s">
        <v>651</v>
      </c>
      <c r="AA121" s="759">
        <v>175654697</v>
      </c>
      <c r="AB121" s="775" t="s">
        <v>867</v>
      </c>
      <c r="AC121" s="542" t="s">
        <v>868</v>
      </c>
      <c r="AD121" s="543">
        <v>0</v>
      </c>
      <c r="AE121" s="543">
        <v>81</v>
      </c>
      <c r="AF121" s="791">
        <v>43</v>
      </c>
      <c r="AG121" s="543">
        <v>0</v>
      </c>
      <c r="AH121" s="536">
        <f t="shared" si="2"/>
        <v>170520662</v>
      </c>
      <c r="AI121" s="536">
        <v>0</v>
      </c>
      <c r="AJ121" s="536">
        <v>0</v>
      </c>
      <c r="AK121" s="886">
        <v>170520662</v>
      </c>
      <c r="AL121" s="536">
        <v>0</v>
      </c>
      <c r="AM121" s="536">
        <f t="shared" si="3"/>
        <v>170520662</v>
      </c>
      <c r="AN121" s="536">
        <v>0</v>
      </c>
      <c r="AO121" s="536">
        <v>0</v>
      </c>
      <c r="AP121" s="536">
        <v>0</v>
      </c>
      <c r="AQ121" s="533">
        <v>170520662</v>
      </c>
    </row>
    <row r="122" spans="1:43" ht="105" customHeight="1" x14ac:dyDescent="0.25">
      <c r="A122" s="221" t="s">
        <v>895</v>
      </c>
      <c r="B122" s="222" t="s">
        <v>237</v>
      </c>
      <c r="C122" s="224" t="s">
        <v>846</v>
      </c>
      <c r="D122" s="215" t="s">
        <v>946</v>
      </c>
      <c r="E122" s="731" t="s">
        <v>1251</v>
      </c>
      <c r="F122" s="229" t="s">
        <v>238</v>
      </c>
      <c r="G122" s="76" t="s">
        <v>947</v>
      </c>
      <c r="H122" s="218" t="s">
        <v>950</v>
      </c>
      <c r="I122" s="215" t="s">
        <v>927</v>
      </c>
      <c r="J122" s="218" t="s">
        <v>952</v>
      </c>
      <c r="K122" s="143" t="s">
        <v>1078</v>
      </c>
      <c r="L122" s="759">
        <v>0</v>
      </c>
      <c r="M122" s="900" t="s">
        <v>470</v>
      </c>
      <c r="N122" s="556" t="s">
        <v>156</v>
      </c>
      <c r="O122" s="228" t="s">
        <v>587</v>
      </c>
      <c r="P122" s="228"/>
      <c r="Q122" s="228"/>
      <c r="R122" s="228" t="s">
        <v>831</v>
      </c>
      <c r="S122" s="228"/>
      <c r="T122" s="540" t="s">
        <v>166</v>
      </c>
      <c r="U122" s="545">
        <v>1</v>
      </c>
      <c r="V122" s="545">
        <v>0</v>
      </c>
      <c r="W122" s="644">
        <v>0</v>
      </c>
      <c r="X122" s="644">
        <v>1</v>
      </c>
      <c r="Y122" s="644">
        <v>0</v>
      </c>
      <c r="Z122" s="545" t="s">
        <v>651</v>
      </c>
      <c r="AA122" s="759">
        <v>0</v>
      </c>
      <c r="AB122" s="775"/>
      <c r="AC122" s="542" t="s">
        <v>868</v>
      </c>
      <c r="AD122" s="543">
        <v>0</v>
      </c>
      <c r="AE122" s="543">
        <v>0</v>
      </c>
      <c r="AF122" s="543">
        <v>0</v>
      </c>
      <c r="AG122" s="543">
        <v>1</v>
      </c>
      <c r="AH122" s="536">
        <f t="shared" si="2"/>
        <v>0</v>
      </c>
      <c r="AI122" s="536">
        <v>0</v>
      </c>
      <c r="AJ122" s="536">
        <v>0</v>
      </c>
      <c r="AK122" s="536">
        <v>0</v>
      </c>
      <c r="AL122" s="536">
        <v>0</v>
      </c>
      <c r="AM122" s="536">
        <f t="shared" si="3"/>
        <v>0</v>
      </c>
      <c r="AN122" s="536">
        <v>0</v>
      </c>
      <c r="AO122" s="536">
        <v>0</v>
      </c>
      <c r="AP122" s="536">
        <v>0</v>
      </c>
      <c r="AQ122" s="536">
        <v>0</v>
      </c>
    </row>
    <row r="123" spans="1:43" ht="105" customHeight="1" x14ac:dyDescent="0.25">
      <c r="A123" s="221" t="s">
        <v>895</v>
      </c>
      <c r="B123" s="222" t="s">
        <v>237</v>
      </c>
      <c r="C123" s="224" t="s">
        <v>846</v>
      </c>
      <c r="D123" s="215" t="s">
        <v>946</v>
      </c>
      <c r="E123" s="731" t="s">
        <v>1251</v>
      </c>
      <c r="F123" s="229" t="s">
        <v>238</v>
      </c>
      <c r="G123" s="76" t="s">
        <v>947</v>
      </c>
      <c r="H123" s="218" t="s">
        <v>951</v>
      </c>
      <c r="I123" s="215" t="s">
        <v>927</v>
      </c>
      <c r="J123" s="218" t="s">
        <v>952</v>
      </c>
      <c r="K123" s="143" t="s">
        <v>1078</v>
      </c>
      <c r="L123" s="759">
        <v>0</v>
      </c>
      <c r="M123" s="900" t="s">
        <v>471</v>
      </c>
      <c r="N123" s="556" t="s">
        <v>1191</v>
      </c>
      <c r="O123" s="228" t="s">
        <v>773</v>
      </c>
      <c r="P123" s="228" t="s">
        <v>1180</v>
      </c>
      <c r="Q123" s="228" t="s">
        <v>1192</v>
      </c>
      <c r="R123" s="228" t="s">
        <v>1193</v>
      </c>
      <c r="S123" s="228"/>
      <c r="T123" s="540" t="s">
        <v>166</v>
      </c>
      <c r="U123" s="545">
        <v>1</v>
      </c>
      <c r="V123" s="545">
        <v>0</v>
      </c>
      <c r="W123" s="644">
        <v>0</v>
      </c>
      <c r="X123" s="644">
        <v>1</v>
      </c>
      <c r="Y123" s="644">
        <v>0</v>
      </c>
      <c r="Z123" s="545" t="s">
        <v>651</v>
      </c>
      <c r="AA123" s="759">
        <v>0</v>
      </c>
      <c r="AB123" s="775"/>
      <c r="AC123" s="542" t="s">
        <v>868</v>
      </c>
      <c r="AD123" s="543">
        <v>0</v>
      </c>
      <c r="AE123" s="543">
        <v>0</v>
      </c>
      <c r="AF123" s="543">
        <v>0</v>
      </c>
      <c r="AG123" s="543">
        <v>1</v>
      </c>
      <c r="AH123" s="536">
        <f t="shared" si="2"/>
        <v>0</v>
      </c>
      <c r="AI123" s="536">
        <v>0</v>
      </c>
      <c r="AJ123" s="536">
        <v>0</v>
      </c>
      <c r="AK123" s="536">
        <v>0</v>
      </c>
      <c r="AL123" s="536">
        <v>0</v>
      </c>
      <c r="AM123" s="536">
        <f t="shared" si="3"/>
        <v>0</v>
      </c>
      <c r="AN123" s="536">
        <v>0</v>
      </c>
      <c r="AO123" s="536">
        <v>0</v>
      </c>
      <c r="AP123" s="536">
        <v>0</v>
      </c>
      <c r="AQ123" s="536">
        <v>0</v>
      </c>
    </row>
    <row r="124" spans="1:43" ht="105" customHeight="1" x14ac:dyDescent="0.25">
      <c r="A124" s="221" t="s">
        <v>895</v>
      </c>
      <c r="B124" s="222" t="s">
        <v>237</v>
      </c>
      <c r="C124" s="224" t="s">
        <v>846</v>
      </c>
      <c r="D124" s="215" t="s">
        <v>945</v>
      </c>
      <c r="E124" s="731" t="s">
        <v>1251</v>
      </c>
      <c r="F124" s="229" t="s">
        <v>238</v>
      </c>
      <c r="G124" s="76" t="s">
        <v>947</v>
      </c>
      <c r="H124" s="218" t="s">
        <v>951</v>
      </c>
      <c r="I124" s="215" t="s">
        <v>927</v>
      </c>
      <c r="J124" s="218" t="s">
        <v>952</v>
      </c>
      <c r="K124" s="143" t="s">
        <v>1078</v>
      </c>
      <c r="L124" s="124">
        <v>0</v>
      </c>
      <c r="M124" s="900" t="s">
        <v>472</v>
      </c>
      <c r="N124" s="556" t="s">
        <v>156</v>
      </c>
      <c r="O124" s="228" t="s">
        <v>571</v>
      </c>
      <c r="P124" s="228"/>
      <c r="Q124" s="228"/>
      <c r="R124" s="228" t="s">
        <v>831</v>
      </c>
      <c r="S124" s="228"/>
      <c r="T124" s="540" t="s">
        <v>166</v>
      </c>
      <c r="U124" s="545">
        <v>124</v>
      </c>
      <c r="V124" s="545">
        <v>0</v>
      </c>
      <c r="W124" s="644">
        <v>0</v>
      </c>
      <c r="X124" s="644">
        <v>0</v>
      </c>
      <c r="Y124" s="644">
        <v>124</v>
      </c>
      <c r="Z124" s="644"/>
      <c r="AA124" s="124">
        <v>0</v>
      </c>
      <c r="AB124" s="775"/>
      <c r="AC124" s="540"/>
      <c r="AD124" s="543">
        <v>0</v>
      </c>
      <c r="AE124" s="543">
        <v>0</v>
      </c>
      <c r="AF124" s="791">
        <v>19</v>
      </c>
      <c r="AG124" s="543">
        <v>4</v>
      </c>
      <c r="AH124" s="536">
        <f t="shared" si="2"/>
        <v>0</v>
      </c>
      <c r="AI124" s="536">
        <v>0</v>
      </c>
      <c r="AJ124" s="536">
        <v>0</v>
      </c>
      <c r="AK124" s="536">
        <v>0</v>
      </c>
      <c r="AL124" s="536">
        <v>0</v>
      </c>
      <c r="AM124" s="536">
        <f t="shared" si="3"/>
        <v>0</v>
      </c>
      <c r="AN124" s="536">
        <v>0</v>
      </c>
      <c r="AO124" s="536">
        <v>0</v>
      </c>
      <c r="AP124" s="536">
        <v>0</v>
      </c>
      <c r="AQ124" s="536">
        <v>0</v>
      </c>
    </row>
    <row r="125" spans="1:43" ht="105" customHeight="1" x14ac:dyDescent="0.25">
      <c r="A125" s="221" t="s">
        <v>895</v>
      </c>
      <c r="B125" s="222" t="s">
        <v>237</v>
      </c>
      <c r="C125" s="224" t="s">
        <v>846</v>
      </c>
      <c r="D125" s="215" t="s">
        <v>946</v>
      </c>
      <c r="E125" s="731" t="s">
        <v>1251</v>
      </c>
      <c r="F125" s="427" t="s">
        <v>238</v>
      </c>
      <c r="G125" s="76" t="s">
        <v>947</v>
      </c>
      <c r="H125" s="218" t="s">
        <v>950</v>
      </c>
      <c r="I125" s="215" t="s">
        <v>927</v>
      </c>
      <c r="J125" s="218" t="s">
        <v>953</v>
      </c>
      <c r="K125" s="143" t="s">
        <v>1078</v>
      </c>
      <c r="L125" s="759">
        <v>175654697</v>
      </c>
      <c r="M125" s="900" t="s">
        <v>469</v>
      </c>
      <c r="N125" s="556" t="s">
        <v>156</v>
      </c>
      <c r="O125" s="228" t="s">
        <v>592</v>
      </c>
      <c r="P125" s="228"/>
      <c r="Q125" s="228"/>
      <c r="R125" s="228" t="s">
        <v>831</v>
      </c>
      <c r="S125" s="228"/>
      <c r="T125" s="540" t="s">
        <v>166</v>
      </c>
      <c r="U125" s="646">
        <v>124</v>
      </c>
      <c r="V125" s="646">
        <v>124</v>
      </c>
      <c r="W125" s="540">
        <v>0</v>
      </c>
      <c r="X125" s="540">
        <v>0</v>
      </c>
      <c r="Y125" s="540">
        <v>0</v>
      </c>
      <c r="Z125" s="545" t="s">
        <v>651</v>
      </c>
      <c r="AA125" s="759">
        <v>175654697</v>
      </c>
      <c r="AB125" s="775" t="s">
        <v>867</v>
      </c>
      <c r="AC125" s="542" t="s">
        <v>868</v>
      </c>
      <c r="AD125" s="543">
        <v>124</v>
      </c>
      <c r="AE125" s="543">
        <v>0</v>
      </c>
      <c r="AF125" s="543">
        <v>0</v>
      </c>
      <c r="AG125" s="543">
        <v>0</v>
      </c>
      <c r="AH125" s="536">
        <f t="shared" si="2"/>
        <v>170520662</v>
      </c>
      <c r="AI125" s="536">
        <v>0</v>
      </c>
      <c r="AJ125" s="536">
        <v>0</v>
      </c>
      <c r="AK125" s="886">
        <v>170520662</v>
      </c>
      <c r="AL125" s="536">
        <v>0</v>
      </c>
      <c r="AM125" s="536">
        <f t="shared" si="3"/>
        <v>170520662</v>
      </c>
      <c r="AN125" s="536">
        <v>0</v>
      </c>
      <c r="AO125" s="536">
        <v>0</v>
      </c>
      <c r="AP125" s="536">
        <v>0</v>
      </c>
      <c r="AQ125" s="533">
        <v>170520662</v>
      </c>
    </row>
    <row r="126" spans="1:43" ht="105" customHeight="1" x14ac:dyDescent="0.25">
      <c r="A126" s="116" t="s">
        <v>892</v>
      </c>
      <c r="B126" s="162" t="s">
        <v>65</v>
      </c>
      <c r="C126" s="428" t="s">
        <v>846</v>
      </c>
      <c r="D126" s="160" t="s">
        <v>981</v>
      </c>
      <c r="E126" s="731" t="s">
        <v>1251</v>
      </c>
      <c r="F126" s="397" t="s">
        <v>246</v>
      </c>
      <c r="G126" s="143" t="s">
        <v>984</v>
      </c>
      <c r="H126" s="160" t="s">
        <v>985</v>
      </c>
      <c r="I126" s="158" t="s">
        <v>986</v>
      </c>
      <c r="J126" s="160" t="s">
        <v>987</v>
      </c>
      <c r="K126" s="252" t="s">
        <v>1079</v>
      </c>
      <c r="L126" s="152">
        <v>500000000</v>
      </c>
      <c r="M126" s="901" t="s">
        <v>240</v>
      </c>
      <c r="N126" s="568" t="s">
        <v>156</v>
      </c>
      <c r="O126" s="585" t="s">
        <v>637</v>
      </c>
      <c r="P126" s="408"/>
      <c r="Q126" s="408"/>
      <c r="R126" s="408"/>
      <c r="S126" s="408"/>
      <c r="T126" s="549" t="s">
        <v>166</v>
      </c>
      <c r="U126" s="647">
        <v>12</v>
      </c>
      <c r="V126" s="549">
        <v>3</v>
      </c>
      <c r="W126" s="549">
        <v>3</v>
      </c>
      <c r="X126" s="549">
        <v>3</v>
      </c>
      <c r="Y126" s="549">
        <v>3</v>
      </c>
      <c r="Z126" s="648" t="s">
        <v>652</v>
      </c>
      <c r="AA126" s="152">
        <v>500000000</v>
      </c>
      <c r="AB126" s="775" t="s">
        <v>190</v>
      </c>
      <c r="AC126" s="540" t="s">
        <v>190</v>
      </c>
      <c r="AD126" s="551">
        <v>3</v>
      </c>
      <c r="AE126" s="551">
        <v>3</v>
      </c>
      <c r="AF126" s="543">
        <v>3</v>
      </c>
      <c r="AG126" s="543">
        <v>3</v>
      </c>
      <c r="AH126" s="536">
        <f t="shared" si="2"/>
        <v>401429902</v>
      </c>
      <c r="AI126" s="573">
        <v>147282068</v>
      </c>
      <c r="AJ126" s="536">
        <f>192282069-AI126</f>
        <v>45000001</v>
      </c>
      <c r="AK126" s="536">
        <v>0</v>
      </c>
      <c r="AL126" s="885">
        <f>401429902-AI126-AJ126</f>
        <v>209147833</v>
      </c>
      <c r="AM126" s="536">
        <f t="shared" si="3"/>
        <v>401429902</v>
      </c>
      <c r="AN126" s="573">
        <v>13702500</v>
      </c>
      <c r="AO126" s="536">
        <f>118430707-AN126</f>
        <v>104728207</v>
      </c>
      <c r="AP126" s="536">
        <f>175420747-AN126-AO126</f>
        <v>56990040</v>
      </c>
      <c r="AQ126" s="537">
        <f>401429902-AN126-AO126-AP126</f>
        <v>226009155</v>
      </c>
    </row>
    <row r="127" spans="1:43" ht="105" customHeight="1" x14ac:dyDescent="0.25">
      <c r="A127" s="116" t="s">
        <v>892</v>
      </c>
      <c r="B127" s="162" t="s">
        <v>65</v>
      </c>
      <c r="C127" s="428" t="s">
        <v>846</v>
      </c>
      <c r="D127" s="160" t="s">
        <v>981</v>
      </c>
      <c r="E127" s="731" t="s">
        <v>1251</v>
      </c>
      <c r="F127" s="397" t="s">
        <v>246</v>
      </c>
      <c r="G127" s="143" t="s">
        <v>984</v>
      </c>
      <c r="H127" s="160" t="s">
        <v>985</v>
      </c>
      <c r="I127" s="158" t="s">
        <v>986</v>
      </c>
      <c r="J127" s="160" t="s">
        <v>987</v>
      </c>
      <c r="K127" s="252" t="s">
        <v>1079</v>
      </c>
      <c r="L127" s="152">
        <v>1000000000</v>
      </c>
      <c r="M127" s="901" t="s">
        <v>240</v>
      </c>
      <c r="N127" s="568" t="s">
        <v>156</v>
      </c>
      <c r="O127" s="585" t="s">
        <v>637</v>
      </c>
      <c r="P127" s="587"/>
      <c r="Q127" s="587"/>
      <c r="R127" s="587"/>
      <c r="S127" s="587"/>
      <c r="T127" s="549" t="s">
        <v>166</v>
      </c>
      <c r="U127" s="647">
        <v>12</v>
      </c>
      <c r="V127" s="549">
        <v>3</v>
      </c>
      <c r="W127" s="549">
        <v>3</v>
      </c>
      <c r="X127" s="549">
        <v>3</v>
      </c>
      <c r="Y127" s="549">
        <v>3</v>
      </c>
      <c r="Z127" s="648" t="s">
        <v>653</v>
      </c>
      <c r="AA127" s="152">
        <v>1000000000</v>
      </c>
      <c r="AB127" s="775" t="s">
        <v>190</v>
      </c>
      <c r="AC127" s="632" t="s">
        <v>623</v>
      </c>
      <c r="AD127" s="551">
        <v>3</v>
      </c>
      <c r="AE127" s="551">
        <v>3</v>
      </c>
      <c r="AF127" s="543">
        <v>3</v>
      </c>
      <c r="AG127" s="543">
        <v>3</v>
      </c>
      <c r="AH127" s="536">
        <f t="shared" si="2"/>
        <v>903950000</v>
      </c>
      <c r="AI127" s="573">
        <v>900000000</v>
      </c>
      <c r="AJ127" s="536">
        <v>0</v>
      </c>
      <c r="AK127" s="537">
        <f>903950000-AI127</f>
        <v>3950000</v>
      </c>
      <c r="AL127" s="537">
        <v>0</v>
      </c>
      <c r="AM127" s="536">
        <f t="shared" si="3"/>
        <v>903950000</v>
      </c>
      <c r="AN127" s="573">
        <v>300482121</v>
      </c>
      <c r="AO127" s="536">
        <f>509938535-AN127</f>
        <v>209456414</v>
      </c>
      <c r="AP127" s="536">
        <f>808974295-AN127-AO127</f>
        <v>299035760</v>
      </c>
      <c r="AQ127" s="537">
        <f>903950000-AN127-AO127-AP127</f>
        <v>94975705</v>
      </c>
    </row>
    <row r="128" spans="1:43" ht="105" customHeight="1" x14ac:dyDescent="0.25">
      <c r="A128" s="221" t="s">
        <v>892</v>
      </c>
      <c r="B128" s="222" t="s">
        <v>65</v>
      </c>
      <c r="C128" s="217" t="s">
        <v>846</v>
      </c>
      <c r="D128" s="218" t="s">
        <v>981</v>
      </c>
      <c r="E128" s="731" t="s">
        <v>1251</v>
      </c>
      <c r="F128" s="397" t="s">
        <v>872</v>
      </c>
      <c r="G128" s="215" t="s">
        <v>984</v>
      </c>
      <c r="H128" s="218" t="s">
        <v>985</v>
      </c>
      <c r="I128" s="215" t="s">
        <v>986</v>
      </c>
      <c r="J128" s="218" t="s">
        <v>987</v>
      </c>
      <c r="K128" s="947" t="s">
        <v>1079</v>
      </c>
      <c r="L128" s="134">
        <v>60000000</v>
      </c>
      <c r="M128" s="901" t="s">
        <v>241</v>
      </c>
      <c r="N128" s="951" t="s">
        <v>156</v>
      </c>
      <c r="O128" s="949" t="s">
        <v>592</v>
      </c>
      <c r="P128" s="949"/>
      <c r="Q128" s="949"/>
      <c r="R128" s="949"/>
      <c r="S128" s="949"/>
      <c r="T128" s="946" t="s">
        <v>166</v>
      </c>
      <c r="U128" s="647">
        <v>23</v>
      </c>
      <c r="V128" s="549">
        <v>3</v>
      </c>
      <c r="W128" s="549">
        <v>5</v>
      </c>
      <c r="X128" s="549">
        <v>7</v>
      </c>
      <c r="Y128" s="549">
        <v>8</v>
      </c>
      <c r="Z128" s="648" t="s">
        <v>656</v>
      </c>
      <c r="AA128" s="134">
        <v>60000000</v>
      </c>
      <c r="AB128" s="775" t="s">
        <v>190</v>
      </c>
      <c r="AC128" s="540" t="s">
        <v>190</v>
      </c>
      <c r="AD128" s="551">
        <v>3</v>
      </c>
      <c r="AE128" s="551">
        <v>10</v>
      </c>
      <c r="AF128" s="543">
        <v>32</v>
      </c>
      <c r="AG128" s="543">
        <v>26</v>
      </c>
      <c r="AH128" s="536">
        <f t="shared" si="2"/>
        <v>0</v>
      </c>
      <c r="AI128" s="536">
        <v>0</v>
      </c>
      <c r="AJ128" s="536">
        <v>0</v>
      </c>
      <c r="AK128" s="536">
        <v>0</v>
      </c>
      <c r="AL128" s="536">
        <v>0</v>
      </c>
      <c r="AM128" s="536">
        <f t="shared" si="3"/>
        <v>0</v>
      </c>
      <c r="AN128" s="536">
        <v>0</v>
      </c>
      <c r="AO128" s="536">
        <v>0</v>
      </c>
      <c r="AP128" s="536">
        <v>0</v>
      </c>
      <c r="AQ128" s="536">
        <v>0</v>
      </c>
    </row>
    <row r="129" spans="1:43" ht="105" customHeight="1" x14ac:dyDescent="0.25">
      <c r="A129" s="221" t="s">
        <v>892</v>
      </c>
      <c r="B129" s="222" t="s">
        <v>65</v>
      </c>
      <c r="C129" s="217" t="s">
        <v>846</v>
      </c>
      <c r="D129" s="218" t="s">
        <v>981</v>
      </c>
      <c r="E129" s="731" t="s">
        <v>1251</v>
      </c>
      <c r="F129" s="397" t="s">
        <v>246</v>
      </c>
      <c r="G129" s="215" t="s">
        <v>984</v>
      </c>
      <c r="H129" s="218" t="s">
        <v>985</v>
      </c>
      <c r="I129" s="215" t="s">
        <v>986</v>
      </c>
      <c r="J129" s="218" t="s">
        <v>987</v>
      </c>
      <c r="K129" s="948"/>
      <c r="L129" s="134">
        <v>3255845000</v>
      </c>
      <c r="M129" s="901" t="s">
        <v>241</v>
      </c>
      <c r="N129" s="952"/>
      <c r="O129" s="950"/>
      <c r="P129" s="950"/>
      <c r="Q129" s="950"/>
      <c r="R129" s="950"/>
      <c r="S129" s="950"/>
      <c r="T129" s="946"/>
      <c r="U129" s="647">
        <v>23</v>
      </c>
      <c r="V129" s="549">
        <v>3</v>
      </c>
      <c r="W129" s="549">
        <v>5</v>
      </c>
      <c r="X129" s="549">
        <v>7</v>
      </c>
      <c r="Y129" s="549">
        <v>8</v>
      </c>
      <c r="Z129" s="648" t="s">
        <v>655</v>
      </c>
      <c r="AA129" s="134">
        <v>3255845000</v>
      </c>
      <c r="AB129" s="775" t="s">
        <v>867</v>
      </c>
      <c r="AC129" s="542" t="s">
        <v>868</v>
      </c>
      <c r="AD129" s="551">
        <v>3</v>
      </c>
      <c r="AE129" s="551">
        <v>10</v>
      </c>
      <c r="AF129" s="543">
        <v>32</v>
      </c>
      <c r="AG129" s="543">
        <v>26</v>
      </c>
      <c r="AH129" s="536">
        <f t="shared" si="2"/>
        <v>2791331089</v>
      </c>
      <c r="AI129" s="573">
        <v>1468177129</v>
      </c>
      <c r="AJ129" s="536">
        <f>1877298532-AI129</f>
        <v>409121403</v>
      </c>
      <c r="AK129" s="885">
        <f>2791331089-AI129-AJ129</f>
        <v>914032557</v>
      </c>
      <c r="AL129" s="536">
        <v>0</v>
      </c>
      <c r="AM129" s="536">
        <f t="shared" si="3"/>
        <v>2791331089</v>
      </c>
      <c r="AN129" s="536">
        <v>577615764</v>
      </c>
      <c r="AO129" s="536">
        <f>1264856134-AN129</f>
        <v>687240370</v>
      </c>
      <c r="AP129" s="536">
        <f>2160373054-AN129-AO129</f>
        <v>895516920</v>
      </c>
      <c r="AQ129" s="537">
        <f>2791331089-AN129-AO129-AP129</f>
        <v>630958035</v>
      </c>
    </row>
    <row r="130" spans="1:43" ht="105" customHeight="1" x14ac:dyDescent="0.25">
      <c r="A130" s="221" t="s">
        <v>892</v>
      </c>
      <c r="B130" s="222" t="s">
        <v>65</v>
      </c>
      <c r="C130" s="217" t="s">
        <v>846</v>
      </c>
      <c r="D130" s="218" t="s">
        <v>981</v>
      </c>
      <c r="E130" s="731" t="s">
        <v>1251</v>
      </c>
      <c r="F130" s="262" t="s">
        <v>246</v>
      </c>
      <c r="G130" s="215" t="s">
        <v>984</v>
      </c>
      <c r="H130" s="218" t="s">
        <v>985</v>
      </c>
      <c r="I130" s="215" t="s">
        <v>986</v>
      </c>
      <c r="J130" s="218" t="s">
        <v>987</v>
      </c>
      <c r="K130" s="252" t="s">
        <v>1079</v>
      </c>
      <c r="L130" s="468">
        <v>101677000</v>
      </c>
      <c r="M130" s="900" t="s">
        <v>242</v>
      </c>
      <c r="N130" s="556" t="s">
        <v>156</v>
      </c>
      <c r="O130" s="228" t="s">
        <v>572</v>
      </c>
      <c r="P130" s="228"/>
      <c r="Q130" s="228"/>
      <c r="R130" s="228"/>
      <c r="S130" s="228"/>
      <c r="T130" s="540" t="s">
        <v>166</v>
      </c>
      <c r="U130" s="649">
        <v>146</v>
      </c>
      <c r="V130" s="545">
        <v>8</v>
      </c>
      <c r="W130" s="545">
        <v>25</v>
      </c>
      <c r="X130" s="545">
        <v>49</v>
      </c>
      <c r="Y130" s="545">
        <v>64</v>
      </c>
      <c r="Z130" s="648" t="s">
        <v>657</v>
      </c>
      <c r="AA130" s="468">
        <v>101677000</v>
      </c>
      <c r="AB130" s="775" t="s">
        <v>190</v>
      </c>
      <c r="AC130" s="540" t="s">
        <v>190</v>
      </c>
      <c r="AD130" s="791">
        <v>13</v>
      </c>
      <c r="AE130" s="791">
        <v>29</v>
      </c>
      <c r="AF130" s="791">
        <v>59</v>
      </c>
      <c r="AG130" s="543">
        <v>33</v>
      </c>
      <c r="AH130" s="536">
        <f t="shared" si="2"/>
        <v>8206354</v>
      </c>
      <c r="AI130" s="573">
        <v>8206354</v>
      </c>
      <c r="AJ130" s="536">
        <v>0</v>
      </c>
      <c r="AK130" s="536">
        <v>0</v>
      </c>
      <c r="AL130" s="537">
        <v>0</v>
      </c>
      <c r="AM130" s="536">
        <f t="shared" si="3"/>
        <v>8206354</v>
      </c>
      <c r="AN130" s="792">
        <v>8206354</v>
      </c>
      <c r="AO130" s="536">
        <v>0</v>
      </c>
      <c r="AP130" s="536">
        <v>0</v>
      </c>
      <c r="AQ130" s="536">
        <v>0</v>
      </c>
    </row>
    <row r="131" spans="1:43" ht="105" customHeight="1" x14ac:dyDescent="0.25">
      <c r="A131" s="221" t="s">
        <v>892</v>
      </c>
      <c r="B131" s="222" t="s">
        <v>65</v>
      </c>
      <c r="C131" s="217" t="s">
        <v>846</v>
      </c>
      <c r="D131" s="218" t="s">
        <v>981</v>
      </c>
      <c r="E131" s="731" t="s">
        <v>1251</v>
      </c>
      <c r="F131" s="419" t="s">
        <v>246</v>
      </c>
      <c r="G131" s="215" t="s">
        <v>984</v>
      </c>
      <c r="H131" s="218" t="s">
        <v>985</v>
      </c>
      <c r="I131" s="215" t="s">
        <v>986</v>
      </c>
      <c r="J131" s="218" t="s">
        <v>987</v>
      </c>
      <c r="K131" s="252" t="s">
        <v>1079</v>
      </c>
      <c r="L131" s="777">
        <v>0</v>
      </c>
      <c r="M131" s="900" t="s">
        <v>243</v>
      </c>
      <c r="N131" s="556" t="s">
        <v>156</v>
      </c>
      <c r="O131" s="228" t="s">
        <v>592</v>
      </c>
      <c r="P131" s="228"/>
      <c r="Q131" s="228"/>
      <c r="R131" s="228"/>
      <c r="S131" s="228"/>
      <c r="T131" s="540" t="s">
        <v>166</v>
      </c>
      <c r="U131" s="649">
        <v>7360</v>
      </c>
      <c r="V131" s="545">
        <v>1840</v>
      </c>
      <c r="W131" s="545">
        <v>1840</v>
      </c>
      <c r="X131" s="545">
        <v>1840</v>
      </c>
      <c r="Y131" s="545">
        <v>1840</v>
      </c>
      <c r="Z131" s="545"/>
      <c r="AA131" s="777">
        <v>0</v>
      </c>
      <c r="AB131" s="775"/>
      <c r="AC131" s="540"/>
      <c r="AD131" s="793">
        <v>3489</v>
      </c>
      <c r="AE131" s="793">
        <v>30669</v>
      </c>
      <c r="AF131" s="791">
        <v>55182</v>
      </c>
      <c r="AG131" s="543">
        <v>19170</v>
      </c>
      <c r="AH131" s="536">
        <f t="shared" si="2"/>
        <v>0</v>
      </c>
      <c r="AI131" s="536">
        <v>0</v>
      </c>
      <c r="AJ131" s="536">
        <v>0</v>
      </c>
      <c r="AK131" s="536">
        <v>0</v>
      </c>
      <c r="AL131" s="536">
        <v>0</v>
      </c>
      <c r="AM131" s="536">
        <f t="shared" si="3"/>
        <v>0</v>
      </c>
      <c r="AN131" s="536">
        <v>0</v>
      </c>
      <c r="AO131" s="536">
        <v>0</v>
      </c>
      <c r="AP131" s="536">
        <v>0</v>
      </c>
      <c r="AQ131" s="536">
        <v>0</v>
      </c>
    </row>
    <row r="132" spans="1:43" ht="105" customHeight="1" x14ac:dyDescent="0.25">
      <c r="A132" s="221" t="s">
        <v>892</v>
      </c>
      <c r="B132" s="222" t="s">
        <v>65</v>
      </c>
      <c r="C132" s="217" t="s">
        <v>846</v>
      </c>
      <c r="D132" s="218" t="s">
        <v>981</v>
      </c>
      <c r="E132" s="731" t="s">
        <v>1251</v>
      </c>
      <c r="F132" s="419" t="s">
        <v>246</v>
      </c>
      <c r="G132" s="215" t="s">
        <v>984</v>
      </c>
      <c r="H132" s="218" t="s">
        <v>985</v>
      </c>
      <c r="I132" s="215" t="s">
        <v>986</v>
      </c>
      <c r="J132" s="218" t="s">
        <v>987</v>
      </c>
      <c r="K132" s="252" t="s">
        <v>1079</v>
      </c>
      <c r="L132" s="777">
        <v>0</v>
      </c>
      <c r="M132" s="900" t="s">
        <v>244</v>
      </c>
      <c r="N132" s="556" t="s">
        <v>156</v>
      </c>
      <c r="O132" s="228" t="s">
        <v>592</v>
      </c>
      <c r="P132" s="228"/>
      <c r="Q132" s="228"/>
      <c r="R132" s="228"/>
      <c r="S132" s="228"/>
      <c r="T132" s="540" t="s">
        <v>166</v>
      </c>
      <c r="U132" s="649">
        <v>54730</v>
      </c>
      <c r="V132" s="545">
        <v>9257</v>
      </c>
      <c r="W132" s="545">
        <v>17115</v>
      </c>
      <c r="X132" s="545">
        <v>16339</v>
      </c>
      <c r="Y132" s="545">
        <v>12019</v>
      </c>
      <c r="Z132" s="545"/>
      <c r="AA132" s="777">
        <v>0</v>
      </c>
      <c r="AB132" s="775"/>
      <c r="AC132" s="540"/>
      <c r="AD132" s="793">
        <v>8756</v>
      </c>
      <c r="AE132" s="793">
        <v>9323</v>
      </c>
      <c r="AF132" s="791">
        <v>7333</v>
      </c>
      <c r="AG132" s="543">
        <v>3179</v>
      </c>
      <c r="AH132" s="536">
        <f t="shared" si="2"/>
        <v>0</v>
      </c>
      <c r="AI132" s="536">
        <v>0</v>
      </c>
      <c r="AJ132" s="536">
        <v>0</v>
      </c>
      <c r="AK132" s="536">
        <v>0</v>
      </c>
      <c r="AL132" s="536">
        <v>0</v>
      </c>
      <c r="AM132" s="536">
        <f t="shared" si="3"/>
        <v>0</v>
      </c>
      <c r="AN132" s="536">
        <v>0</v>
      </c>
      <c r="AO132" s="536">
        <v>0</v>
      </c>
      <c r="AP132" s="536">
        <v>0</v>
      </c>
      <c r="AQ132" s="536">
        <v>0</v>
      </c>
    </row>
    <row r="133" spans="1:43" ht="105" customHeight="1" x14ac:dyDescent="0.25">
      <c r="A133" s="368" t="s">
        <v>892</v>
      </c>
      <c r="B133" s="428" t="s">
        <v>65</v>
      </c>
      <c r="C133" s="428" t="s">
        <v>846</v>
      </c>
      <c r="D133" s="378" t="s">
        <v>981</v>
      </c>
      <c r="E133" s="731" t="s">
        <v>1251</v>
      </c>
      <c r="F133" s="400" t="s">
        <v>246</v>
      </c>
      <c r="G133" s="158" t="s">
        <v>984</v>
      </c>
      <c r="H133" s="378" t="s">
        <v>985</v>
      </c>
      <c r="I133" s="158" t="s">
        <v>986</v>
      </c>
      <c r="J133" s="378" t="s">
        <v>987</v>
      </c>
      <c r="K133" s="252" t="s">
        <v>1079</v>
      </c>
      <c r="L133" s="753">
        <v>2240880243</v>
      </c>
      <c r="M133" s="901" t="s">
        <v>245</v>
      </c>
      <c r="N133" s="568" t="s">
        <v>156</v>
      </c>
      <c r="O133" s="585" t="s">
        <v>587</v>
      </c>
      <c r="P133" s="408"/>
      <c r="Q133" s="408"/>
      <c r="R133" s="408"/>
      <c r="S133" s="408"/>
      <c r="T133" s="549" t="s">
        <v>166</v>
      </c>
      <c r="U133" s="647">
        <v>3</v>
      </c>
      <c r="V133" s="549">
        <v>0</v>
      </c>
      <c r="W133" s="549">
        <v>0</v>
      </c>
      <c r="X133" s="549">
        <v>3</v>
      </c>
      <c r="Y133" s="549">
        <v>0</v>
      </c>
      <c r="Z133" s="648" t="s">
        <v>659</v>
      </c>
      <c r="AA133" s="753">
        <v>2240880243</v>
      </c>
      <c r="AB133" s="775" t="s">
        <v>454</v>
      </c>
      <c r="AC133" s="540" t="s">
        <v>869</v>
      </c>
      <c r="AD133" s="551">
        <v>0</v>
      </c>
      <c r="AE133" s="551">
        <v>3</v>
      </c>
      <c r="AF133" s="543">
        <v>0</v>
      </c>
      <c r="AG133" s="543">
        <v>0</v>
      </c>
      <c r="AH133" s="536">
        <f t="shared" si="2"/>
        <v>2240880243</v>
      </c>
      <c r="AI133" s="536">
        <v>0</v>
      </c>
      <c r="AJ133" s="536">
        <v>2240000000</v>
      </c>
      <c r="AK133" s="536">
        <v>0</v>
      </c>
      <c r="AL133" s="537">
        <f>2240880243-AJ133</f>
        <v>880243</v>
      </c>
      <c r="AM133" s="536">
        <f t="shared" si="3"/>
        <v>2240000000</v>
      </c>
      <c r="AN133" s="536">
        <v>0</v>
      </c>
      <c r="AO133" s="536">
        <v>1765000000</v>
      </c>
      <c r="AP133" s="536">
        <f>2240000000-AO133</f>
        <v>475000000</v>
      </c>
      <c r="AQ133" s="536">
        <v>0</v>
      </c>
    </row>
    <row r="134" spans="1:43" s="273" customFormat="1" ht="105" customHeight="1" x14ac:dyDescent="0.25">
      <c r="A134" s="368" t="s">
        <v>892</v>
      </c>
      <c r="B134" s="428" t="s">
        <v>65</v>
      </c>
      <c r="C134" s="428" t="s">
        <v>846</v>
      </c>
      <c r="D134" s="378" t="s">
        <v>981</v>
      </c>
      <c r="E134" s="731" t="s">
        <v>1251</v>
      </c>
      <c r="F134" s="400" t="s">
        <v>246</v>
      </c>
      <c r="G134" s="158" t="s">
        <v>984</v>
      </c>
      <c r="H134" s="378" t="s">
        <v>985</v>
      </c>
      <c r="I134" s="158" t="s">
        <v>986</v>
      </c>
      <c r="J134" s="378" t="s">
        <v>987</v>
      </c>
      <c r="K134" s="252" t="s">
        <v>1079</v>
      </c>
      <c r="L134" s="753">
        <v>3665667459</v>
      </c>
      <c r="M134" s="901" t="s">
        <v>245</v>
      </c>
      <c r="N134" s="568" t="s">
        <v>156</v>
      </c>
      <c r="O134" s="585" t="s">
        <v>587</v>
      </c>
      <c r="P134" s="587"/>
      <c r="Q134" s="587"/>
      <c r="R134" s="587"/>
      <c r="S134" s="587"/>
      <c r="T134" s="549" t="s">
        <v>166</v>
      </c>
      <c r="U134" s="647">
        <v>3</v>
      </c>
      <c r="V134" s="549">
        <v>0</v>
      </c>
      <c r="W134" s="549">
        <v>0</v>
      </c>
      <c r="X134" s="549">
        <v>3</v>
      </c>
      <c r="Y134" s="549">
        <v>0</v>
      </c>
      <c r="Z134" s="648" t="s">
        <v>658</v>
      </c>
      <c r="AA134" s="753">
        <v>3665667459</v>
      </c>
      <c r="AB134" s="775" t="s">
        <v>867</v>
      </c>
      <c r="AC134" s="542" t="s">
        <v>868</v>
      </c>
      <c r="AD134" s="551">
        <v>0</v>
      </c>
      <c r="AE134" s="551">
        <v>3</v>
      </c>
      <c r="AF134" s="543">
        <v>0</v>
      </c>
      <c r="AG134" s="543">
        <v>0</v>
      </c>
      <c r="AH134" s="536">
        <f t="shared" si="2"/>
        <v>3464090403</v>
      </c>
      <c r="AI134" s="536">
        <v>353690019</v>
      </c>
      <c r="AJ134" s="536">
        <f>2146438584-AI134</f>
        <v>1792748565</v>
      </c>
      <c r="AK134" s="536">
        <f>2670864928-AI134-AJ134</f>
        <v>524426344</v>
      </c>
      <c r="AL134" s="885">
        <f>3464090403-AI134-AJ134-AK134</f>
        <v>793225475</v>
      </c>
      <c r="AM134" s="536">
        <f t="shared" si="3"/>
        <v>3192215686</v>
      </c>
      <c r="AN134" s="536">
        <v>583325</v>
      </c>
      <c r="AO134" s="536">
        <f>962253914-AN134</f>
        <v>961670589</v>
      </c>
      <c r="AP134" s="536">
        <f>2218742379-AN134-AO134</f>
        <v>1256488465</v>
      </c>
      <c r="AQ134" s="537">
        <f>3192215686-AN134-AO134-AP134</f>
        <v>973473307</v>
      </c>
    </row>
    <row r="135" spans="1:43" s="273" customFormat="1" ht="105" customHeight="1" x14ac:dyDescent="0.25">
      <c r="A135" s="368" t="s">
        <v>892</v>
      </c>
      <c r="B135" s="428" t="s">
        <v>65</v>
      </c>
      <c r="C135" s="428" t="s">
        <v>846</v>
      </c>
      <c r="D135" s="378" t="s">
        <v>981</v>
      </c>
      <c r="E135" s="731" t="s">
        <v>1251</v>
      </c>
      <c r="F135" s="400" t="s">
        <v>246</v>
      </c>
      <c r="G135" s="158"/>
      <c r="H135" s="378"/>
      <c r="I135" s="158"/>
      <c r="J135" s="378"/>
      <c r="K135" s="252"/>
      <c r="L135" s="753">
        <v>3187500000</v>
      </c>
      <c r="M135" s="901" t="s">
        <v>245</v>
      </c>
      <c r="N135" s="568"/>
      <c r="O135" s="585"/>
      <c r="P135" s="587"/>
      <c r="Q135" s="587"/>
      <c r="R135" s="587"/>
      <c r="S135" s="587"/>
      <c r="T135" s="549"/>
      <c r="U135" s="647"/>
      <c r="V135" s="549">
        <v>0</v>
      </c>
      <c r="W135" s="549">
        <v>0</v>
      </c>
      <c r="X135" s="549">
        <v>3</v>
      </c>
      <c r="Y135" s="549">
        <v>0</v>
      </c>
      <c r="Z135" s="650" t="s">
        <v>1236</v>
      </c>
      <c r="AA135" s="753">
        <v>3187500000</v>
      </c>
      <c r="AB135" s="775" t="s">
        <v>1237</v>
      </c>
      <c r="AC135" s="542"/>
      <c r="AD135" s="551">
        <v>0</v>
      </c>
      <c r="AE135" s="551">
        <v>3</v>
      </c>
      <c r="AF135" s="543">
        <v>0</v>
      </c>
      <c r="AG135" s="543">
        <v>0</v>
      </c>
      <c r="AH135" s="536">
        <f t="shared" si="2"/>
        <v>2526244816</v>
      </c>
      <c r="AI135" s="536">
        <v>0</v>
      </c>
      <c r="AJ135" s="536">
        <v>0</v>
      </c>
      <c r="AK135" s="536">
        <v>0</v>
      </c>
      <c r="AL135" s="885">
        <v>2526244816</v>
      </c>
      <c r="AM135" s="536">
        <f t="shared" si="3"/>
        <v>0</v>
      </c>
      <c r="AN135" s="536">
        <v>0</v>
      </c>
      <c r="AO135" s="536">
        <v>0</v>
      </c>
      <c r="AP135" s="536">
        <v>0</v>
      </c>
      <c r="AQ135" s="887">
        <v>0</v>
      </c>
    </row>
    <row r="136" spans="1:43" s="273" customFormat="1" ht="105" customHeight="1" x14ac:dyDescent="0.25">
      <c r="A136" s="221" t="s">
        <v>892</v>
      </c>
      <c r="B136" s="222" t="s">
        <v>65</v>
      </c>
      <c r="C136" s="222" t="s">
        <v>846</v>
      </c>
      <c r="D136" s="218" t="s">
        <v>982</v>
      </c>
      <c r="E136" s="731" t="s">
        <v>1251</v>
      </c>
      <c r="F136" s="263" t="s">
        <v>246</v>
      </c>
      <c r="G136" s="215" t="s">
        <v>984</v>
      </c>
      <c r="H136" s="218" t="s">
        <v>985</v>
      </c>
      <c r="I136" s="215" t="s">
        <v>986</v>
      </c>
      <c r="J136" s="218" t="s">
        <v>987</v>
      </c>
      <c r="K136" s="253" t="s">
        <v>1079</v>
      </c>
      <c r="L136" s="469">
        <v>600000000</v>
      </c>
      <c r="M136" s="909" t="s">
        <v>660</v>
      </c>
      <c r="N136" s="556" t="s">
        <v>156</v>
      </c>
      <c r="O136" s="228" t="s">
        <v>587</v>
      </c>
      <c r="P136" s="228"/>
      <c r="Q136" s="228"/>
      <c r="R136" s="228"/>
      <c r="S136" s="228"/>
      <c r="T136" s="540" t="s">
        <v>166</v>
      </c>
      <c r="U136" s="649">
        <v>25</v>
      </c>
      <c r="V136" s="540">
        <v>0</v>
      </c>
      <c r="W136" s="540">
        <v>10</v>
      </c>
      <c r="X136" s="540">
        <v>10</v>
      </c>
      <c r="Y136" s="540">
        <v>5</v>
      </c>
      <c r="Z136" s="648" t="s">
        <v>661</v>
      </c>
      <c r="AA136" s="469">
        <v>600000000</v>
      </c>
      <c r="AB136" s="775" t="s">
        <v>190</v>
      </c>
      <c r="AC136" s="540" t="s">
        <v>190</v>
      </c>
      <c r="AD136" s="543">
        <v>0</v>
      </c>
      <c r="AE136" s="543">
        <v>1</v>
      </c>
      <c r="AF136" s="791">
        <v>1</v>
      </c>
      <c r="AG136" s="543">
        <v>23</v>
      </c>
      <c r="AH136" s="536">
        <f t="shared" si="2"/>
        <v>594907020</v>
      </c>
      <c r="AI136" s="536">
        <v>0</v>
      </c>
      <c r="AJ136" s="573">
        <v>208942550</v>
      </c>
      <c r="AK136" s="886">
        <f>594907020-AJ136</f>
        <v>385964470</v>
      </c>
      <c r="AL136" s="536">
        <v>0</v>
      </c>
      <c r="AM136" s="536">
        <f t="shared" si="3"/>
        <v>594907020</v>
      </c>
      <c r="AN136" s="536">
        <v>0</v>
      </c>
      <c r="AO136" s="573">
        <v>81222200</v>
      </c>
      <c r="AP136" s="651">
        <f>504295500-AO136</f>
        <v>423073300</v>
      </c>
      <c r="AQ136" s="651">
        <f>594907020-AO136-AP136</f>
        <v>90611520</v>
      </c>
    </row>
    <row r="137" spans="1:43" ht="105" customHeight="1" x14ac:dyDescent="0.25">
      <c r="A137" s="116" t="s">
        <v>893</v>
      </c>
      <c r="B137" s="162" t="s">
        <v>250</v>
      </c>
      <c r="C137" s="428" t="s">
        <v>845</v>
      </c>
      <c r="D137" s="76" t="s">
        <v>983</v>
      </c>
      <c r="E137" s="731" t="s">
        <v>1251</v>
      </c>
      <c r="F137" s="401" t="s">
        <v>249</v>
      </c>
      <c r="G137" s="160" t="s">
        <v>896</v>
      </c>
      <c r="H137" s="160" t="s">
        <v>909</v>
      </c>
      <c r="I137" s="158" t="s">
        <v>913</v>
      </c>
      <c r="J137" s="160" t="s">
        <v>1135</v>
      </c>
      <c r="K137" s="402" t="s">
        <v>1080</v>
      </c>
      <c r="L137" s="775">
        <v>15000000</v>
      </c>
      <c r="M137" s="901" t="s">
        <v>476</v>
      </c>
      <c r="N137" s="568" t="s">
        <v>156</v>
      </c>
      <c r="O137" s="408" t="s">
        <v>1145</v>
      </c>
      <c r="P137" s="408"/>
      <c r="Q137" s="408"/>
      <c r="R137" s="408"/>
      <c r="S137" s="408"/>
      <c r="T137" s="549" t="s">
        <v>166</v>
      </c>
      <c r="U137" s="571">
        <v>8</v>
      </c>
      <c r="V137" s="549">
        <v>2</v>
      </c>
      <c r="W137" s="549">
        <v>2</v>
      </c>
      <c r="X137" s="549">
        <v>2</v>
      </c>
      <c r="Y137" s="549">
        <v>2</v>
      </c>
      <c r="Z137" s="540" t="s">
        <v>662</v>
      </c>
      <c r="AA137" s="330">
        <v>15000000</v>
      </c>
      <c r="AB137" s="775" t="s">
        <v>190</v>
      </c>
      <c r="AC137" s="540" t="s">
        <v>190</v>
      </c>
      <c r="AD137" s="551">
        <v>2</v>
      </c>
      <c r="AE137" s="551">
        <v>2</v>
      </c>
      <c r="AF137" s="543">
        <v>2</v>
      </c>
      <c r="AG137" s="543">
        <v>2</v>
      </c>
      <c r="AH137" s="536">
        <f t="shared" si="2"/>
        <v>0</v>
      </c>
      <c r="AI137" s="536">
        <v>0</v>
      </c>
      <c r="AJ137" s="536">
        <v>0</v>
      </c>
      <c r="AK137" s="536">
        <v>0</v>
      </c>
      <c r="AL137" s="536">
        <v>0</v>
      </c>
      <c r="AM137" s="536">
        <f t="shared" si="3"/>
        <v>0</v>
      </c>
      <c r="AN137" s="536">
        <v>0</v>
      </c>
      <c r="AO137" s="536">
        <v>0</v>
      </c>
      <c r="AP137" s="536">
        <v>0</v>
      </c>
      <c r="AQ137" s="536">
        <v>0</v>
      </c>
    </row>
    <row r="138" spans="1:43" ht="105" customHeight="1" x14ac:dyDescent="0.25">
      <c r="A138" s="116" t="s">
        <v>893</v>
      </c>
      <c r="B138" s="162" t="s">
        <v>250</v>
      </c>
      <c r="C138" s="428" t="s">
        <v>845</v>
      </c>
      <c r="D138" s="76" t="s">
        <v>983</v>
      </c>
      <c r="E138" s="731" t="s">
        <v>1251</v>
      </c>
      <c r="F138" s="401" t="s">
        <v>249</v>
      </c>
      <c r="G138" s="160" t="s">
        <v>896</v>
      </c>
      <c r="H138" s="160" t="s">
        <v>909</v>
      </c>
      <c r="I138" s="158" t="s">
        <v>913</v>
      </c>
      <c r="J138" s="160" t="s">
        <v>1135</v>
      </c>
      <c r="K138" s="402" t="s">
        <v>1080</v>
      </c>
      <c r="L138" s="775">
        <v>9000000</v>
      </c>
      <c r="M138" s="901" t="s">
        <v>476</v>
      </c>
      <c r="N138" s="568" t="s">
        <v>156</v>
      </c>
      <c r="O138" s="408" t="s">
        <v>1145</v>
      </c>
      <c r="P138" s="587"/>
      <c r="Q138" s="587"/>
      <c r="R138" s="587"/>
      <c r="S138" s="587"/>
      <c r="T138" s="549" t="s">
        <v>166</v>
      </c>
      <c r="U138" s="571">
        <v>8</v>
      </c>
      <c r="V138" s="549">
        <v>2</v>
      </c>
      <c r="W138" s="549">
        <v>2</v>
      </c>
      <c r="X138" s="549">
        <v>2</v>
      </c>
      <c r="Y138" s="549">
        <v>2</v>
      </c>
      <c r="Z138" s="540" t="s">
        <v>663</v>
      </c>
      <c r="AA138" s="330">
        <v>9000000</v>
      </c>
      <c r="AB138" s="775" t="s">
        <v>190</v>
      </c>
      <c r="AC138" s="540" t="s">
        <v>190</v>
      </c>
      <c r="AD138" s="551">
        <v>2</v>
      </c>
      <c r="AE138" s="551">
        <v>2</v>
      </c>
      <c r="AF138" s="543">
        <v>2</v>
      </c>
      <c r="AG138" s="543">
        <v>2</v>
      </c>
      <c r="AH138" s="536">
        <f t="shared" si="2"/>
        <v>0</v>
      </c>
      <c r="AI138" s="536">
        <v>0</v>
      </c>
      <c r="AJ138" s="536">
        <v>0</v>
      </c>
      <c r="AK138" s="536">
        <v>0</v>
      </c>
      <c r="AL138" s="536">
        <v>0</v>
      </c>
      <c r="AM138" s="536">
        <f t="shared" si="3"/>
        <v>0</v>
      </c>
      <c r="AN138" s="536">
        <v>0</v>
      </c>
      <c r="AO138" s="536">
        <v>0</v>
      </c>
      <c r="AP138" s="536">
        <v>0</v>
      </c>
      <c r="AQ138" s="536">
        <v>0</v>
      </c>
    </row>
    <row r="139" spans="1:43" ht="105" customHeight="1" x14ac:dyDescent="0.25">
      <c r="A139" s="368" t="s">
        <v>893</v>
      </c>
      <c r="B139" s="428" t="s">
        <v>250</v>
      </c>
      <c r="C139" s="428" t="s">
        <v>845</v>
      </c>
      <c r="D139" s="403" t="s">
        <v>897</v>
      </c>
      <c r="E139" s="731" t="s">
        <v>1251</v>
      </c>
      <c r="F139" s="404" t="s">
        <v>249</v>
      </c>
      <c r="G139" s="421" t="s">
        <v>896</v>
      </c>
      <c r="H139" s="421" t="s">
        <v>909</v>
      </c>
      <c r="I139" s="420" t="s">
        <v>914</v>
      </c>
      <c r="J139" s="421" t="s">
        <v>1136</v>
      </c>
      <c r="K139" s="158" t="s">
        <v>1081</v>
      </c>
      <c r="L139" s="330">
        <v>365000000</v>
      </c>
      <c r="M139" s="902" t="s">
        <v>248</v>
      </c>
      <c r="N139" s="556" t="s">
        <v>156</v>
      </c>
      <c r="O139" s="228" t="s">
        <v>572</v>
      </c>
      <c r="P139" s="228"/>
      <c r="Q139" s="228" t="s">
        <v>831</v>
      </c>
      <c r="R139" s="228"/>
      <c r="S139" s="228"/>
      <c r="T139" s="652" t="s">
        <v>166</v>
      </c>
      <c r="U139" s="653">
        <v>125</v>
      </c>
      <c r="V139" s="652">
        <v>0</v>
      </c>
      <c r="W139" s="652">
        <v>0</v>
      </c>
      <c r="X139" s="652">
        <v>0</v>
      </c>
      <c r="Y139" s="652">
        <v>125</v>
      </c>
      <c r="Z139" s="654" t="s">
        <v>1214</v>
      </c>
      <c r="AA139" s="330">
        <v>365000000</v>
      </c>
      <c r="AB139" s="775" t="s">
        <v>867</v>
      </c>
      <c r="AC139" s="603" t="s">
        <v>868</v>
      </c>
      <c r="AD139" s="551">
        <v>0</v>
      </c>
      <c r="AE139" s="551">
        <v>0</v>
      </c>
      <c r="AF139" s="551">
        <v>0</v>
      </c>
      <c r="AG139" s="551">
        <v>125</v>
      </c>
      <c r="AH139" s="536">
        <f t="shared" si="2"/>
        <v>365000000</v>
      </c>
      <c r="AI139" s="536">
        <v>0</v>
      </c>
      <c r="AJ139" s="536">
        <v>0</v>
      </c>
      <c r="AK139" s="537">
        <v>365000000</v>
      </c>
      <c r="AL139" s="536">
        <v>0</v>
      </c>
      <c r="AM139" s="536">
        <f t="shared" si="3"/>
        <v>365000000</v>
      </c>
      <c r="AN139" s="536">
        <v>0</v>
      </c>
      <c r="AO139" s="536">
        <v>0</v>
      </c>
      <c r="AP139" s="536">
        <v>250000000</v>
      </c>
      <c r="AQ139" s="330">
        <f>365000000-AP139</f>
        <v>115000000</v>
      </c>
    </row>
    <row r="140" spans="1:43" ht="105" customHeight="1" x14ac:dyDescent="0.25">
      <c r="A140" s="368" t="s">
        <v>893</v>
      </c>
      <c r="B140" s="428" t="s">
        <v>250</v>
      </c>
      <c r="C140" s="428" t="s">
        <v>845</v>
      </c>
      <c r="D140" s="403" t="s">
        <v>897</v>
      </c>
      <c r="E140" s="731" t="s">
        <v>1251</v>
      </c>
      <c r="F140" s="529" t="s">
        <v>249</v>
      </c>
      <c r="G140" s="421" t="s">
        <v>896</v>
      </c>
      <c r="H140" s="421" t="s">
        <v>909</v>
      </c>
      <c r="I140" s="420" t="s">
        <v>914</v>
      </c>
      <c r="J140" s="421" t="s">
        <v>1136</v>
      </c>
      <c r="K140" s="158" t="s">
        <v>1081</v>
      </c>
      <c r="L140" s="330">
        <v>370000000</v>
      </c>
      <c r="M140" s="902" t="s">
        <v>248</v>
      </c>
      <c r="N140" s="556" t="s">
        <v>156</v>
      </c>
      <c r="O140" s="228" t="s">
        <v>572</v>
      </c>
      <c r="P140" s="228"/>
      <c r="Q140" s="228" t="s">
        <v>831</v>
      </c>
      <c r="R140" s="228"/>
      <c r="S140" s="228"/>
      <c r="T140" s="652" t="s">
        <v>166</v>
      </c>
      <c r="U140" s="653">
        <v>125</v>
      </c>
      <c r="V140" s="652">
        <v>0</v>
      </c>
      <c r="W140" s="652">
        <v>0</v>
      </c>
      <c r="X140" s="652">
        <v>0</v>
      </c>
      <c r="Y140" s="652">
        <v>125</v>
      </c>
      <c r="Z140" s="654" t="s">
        <v>1218</v>
      </c>
      <c r="AA140" s="330">
        <v>370000000</v>
      </c>
      <c r="AB140" s="775" t="s">
        <v>867</v>
      </c>
      <c r="AC140" s="542" t="s">
        <v>868</v>
      </c>
      <c r="AD140" s="551">
        <v>0</v>
      </c>
      <c r="AE140" s="551">
        <v>0</v>
      </c>
      <c r="AF140" s="598">
        <v>0</v>
      </c>
      <c r="AG140" s="598">
        <v>125</v>
      </c>
      <c r="AH140" s="536">
        <f t="shared" si="2"/>
        <v>370000000</v>
      </c>
      <c r="AI140" s="536">
        <v>0</v>
      </c>
      <c r="AJ140" s="536">
        <v>0</v>
      </c>
      <c r="AK140" s="537">
        <v>370000000</v>
      </c>
      <c r="AL140" s="536">
        <v>0</v>
      </c>
      <c r="AM140" s="536">
        <f t="shared" si="3"/>
        <v>370000000</v>
      </c>
      <c r="AN140" s="536">
        <v>0</v>
      </c>
      <c r="AO140" s="536">
        <v>0</v>
      </c>
      <c r="AP140" s="536">
        <v>0</v>
      </c>
      <c r="AQ140" s="330">
        <v>370000000</v>
      </c>
    </row>
    <row r="141" spans="1:43" ht="105" customHeight="1" x14ac:dyDescent="0.25">
      <c r="A141" s="368"/>
      <c r="B141" s="428"/>
      <c r="C141" s="428"/>
      <c r="D141" s="779"/>
      <c r="E141" s="731" t="s">
        <v>1251</v>
      </c>
      <c r="F141" s="529" t="s">
        <v>249</v>
      </c>
      <c r="G141" s="774"/>
      <c r="H141" s="774"/>
      <c r="I141" s="776"/>
      <c r="J141" s="774"/>
      <c r="K141" s="158"/>
      <c r="L141" s="752">
        <v>210000000</v>
      </c>
      <c r="M141" s="902" t="s">
        <v>248</v>
      </c>
      <c r="N141" s="556"/>
      <c r="O141" s="228"/>
      <c r="P141" s="228"/>
      <c r="Q141" s="228"/>
      <c r="R141" s="228"/>
      <c r="S141" s="228"/>
      <c r="T141" s="652"/>
      <c r="U141" s="653"/>
      <c r="V141" s="652"/>
      <c r="W141" s="652"/>
      <c r="X141" s="652"/>
      <c r="Y141" s="652"/>
      <c r="Z141" s="760" t="s">
        <v>1255</v>
      </c>
      <c r="AA141" s="752">
        <v>210000000</v>
      </c>
      <c r="AB141" s="775" t="s">
        <v>1237</v>
      </c>
      <c r="AC141" s="465" t="s">
        <v>689</v>
      </c>
      <c r="AD141" s="368">
        <v>0</v>
      </c>
      <c r="AE141" s="368">
        <v>0</v>
      </c>
      <c r="AF141" s="368">
        <v>0</v>
      </c>
      <c r="AG141" s="368">
        <v>125</v>
      </c>
      <c r="AH141" s="536">
        <f t="shared" si="2"/>
        <v>210000000</v>
      </c>
      <c r="AI141" s="536">
        <v>0</v>
      </c>
      <c r="AJ141" s="536">
        <v>0</v>
      </c>
      <c r="AK141" s="274">
        <v>0</v>
      </c>
      <c r="AL141" s="537">
        <v>210000000</v>
      </c>
      <c r="AM141" s="536">
        <f t="shared" si="3"/>
        <v>210000000</v>
      </c>
      <c r="AN141" s="536">
        <v>0</v>
      </c>
      <c r="AO141" s="536">
        <v>0</v>
      </c>
      <c r="AP141" s="536"/>
      <c r="AQ141" s="537">
        <v>210000000</v>
      </c>
    </row>
    <row r="142" spans="1:43" ht="105" customHeight="1" x14ac:dyDescent="0.25">
      <c r="A142" s="368" t="s">
        <v>893</v>
      </c>
      <c r="B142" s="428" t="s">
        <v>250</v>
      </c>
      <c r="C142" s="428" t="s">
        <v>845</v>
      </c>
      <c r="D142" s="451" t="s">
        <v>898</v>
      </c>
      <c r="E142" s="731" t="s">
        <v>1251</v>
      </c>
      <c r="F142" s="406" t="s">
        <v>249</v>
      </c>
      <c r="G142" s="421" t="s">
        <v>896</v>
      </c>
      <c r="H142" s="421" t="s">
        <v>909</v>
      </c>
      <c r="I142" s="420" t="s">
        <v>914</v>
      </c>
      <c r="J142" s="421" t="s">
        <v>1134</v>
      </c>
      <c r="K142" s="143" t="s">
        <v>1082</v>
      </c>
      <c r="L142" s="777">
        <v>466708000</v>
      </c>
      <c r="M142" s="902" t="s">
        <v>665</v>
      </c>
      <c r="N142" s="556" t="s">
        <v>156</v>
      </c>
      <c r="O142" s="228" t="s">
        <v>572</v>
      </c>
      <c r="P142" s="228"/>
      <c r="Q142" s="228" t="s">
        <v>831</v>
      </c>
      <c r="R142" s="228"/>
      <c r="S142" s="228"/>
      <c r="T142" s="652" t="s">
        <v>166</v>
      </c>
      <c r="U142" s="655">
        <v>125</v>
      </c>
      <c r="V142" s="653">
        <v>0</v>
      </c>
      <c r="W142" s="653">
        <v>25</v>
      </c>
      <c r="X142" s="653">
        <v>40</v>
      </c>
      <c r="Y142" s="653">
        <v>60</v>
      </c>
      <c r="Z142" s="654" t="s">
        <v>1206</v>
      </c>
      <c r="AA142" s="777">
        <v>466708000</v>
      </c>
      <c r="AB142" s="775" t="s">
        <v>867</v>
      </c>
      <c r="AC142" s="603" t="s">
        <v>868</v>
      </c>
      <c r="AD142" s="551">
        <v>0</v>
      </c>
      <c r="AE142" s="551">
        <v>25</v>
      </c>
      <c r="AF142" s="656">
        <v>50</v>
      </c>
      <c r="AG142" s="551"/>
      <c r="AH142" s="536">
        <f t="shared" si="2"/>
        <v>446988185</v>
      </c>
      <c r="AI142" s="657">
        <v>336649012</v>
      </c>
      <c r="AJ142" s="657">
        <f>365849476-AI142</f>
        <v>29200464</v>
      </c>
      <c r="AK142" s="885">
        <f>446988185-AI142-AJ142</f>
        <v>81138709</v>
      </c>
      <c r="AL142" s="506"/>
      <c r="AM142" s="536">
        <f t="shared" si="3"/>
        <v>446988185</v>
      </c>
      <c r="AN142" s="657">
        <v>90995935</v>
      </c>
      <c r="AO142" s="574">
        <f>210788083-AN142</f>
        <v>119792148</v>
      </c>
      <c r="AP142" s="536">
        <f>339826536-AN142-AO142</f>
        <v>129038453</v>
      </c>
      <c r="AQ142" s="506">
        <f>446988185-AN142-AO142-AP142</f>
        <v>107161649</v>
      </c>
    </row>
    <row r="143" spans="1:43" ht="105" customHeight="1" x14ac:dyDescent="0.25">
      <c r="A143" s="368"/>
      <c r="B143" s="428"/>
      <c r="C143" s="428"/>
      <c r="D143" s="451"/>
      <c r="E143" s="731" t="s">
        <v>1251</v>
      </c>
      <c r="F143" s="406" t="s">
        <v>249</v>
      </c>
      <c r="G143" s="774"/>
      <c r="H143" s="774"/>
      <c r="I143" s="776"/>
      <c r="J143" s="774"/>
      <c r="K143" s="143"/>
      <c r="L143" s="780">
        <v>69500000</v>
      </c>
      <c r="M143" s="902" t="s">
        <v>665</v>
      </c>
      <c r="N143" s="556" t="s">
        <v>156</v>
      </c>
      <c r="O143" s="228" t="s">
        <v>572</v>
      </c>
      <c r="P143" s="228"/>
      <c r="Q143" s="228" t="s">
        <v>831</v>
      </c>
      <c r="R143" s="228"/>
      <c r="S143" s="228"/>
      <c r="T143" s="652" t="s">
        <v>166</v>
      </c>
      <c r="U143" s="655">
        <v>125</v>
      </c>
      <c r="V143" s="653">
        <v>0</v>
      </c>
      <c r="W143" s="653">
        <v>25</v>
      </c>
      <c r="X143" s="653">
        <v>40</v>
      </c>
      <c r="Y143" s="653">
        <v>60</v>
      </c>
      <c r="Z143" s="658" t="s">
        <v>1241</v>
      </c>
      <c r="AA143" s="780">
        <v>69500000</v>
      </c>
      <c r="AB143" s="775" t="s">
        <v>1237</v>
      </c>
      <c r="AC143" s="603"/>
      <c r="AD143" s="551">
        <v>0</v>
      </c>
      <c r="AE143" s="551">
        <v>25</v>
      </c>
      <c r="AF143" s="656">
        <v>50</v>
      </c>
      <c r="AG143" s="598">
        <v>60</v>
      </c>
      <c r="AH143" s="536">
        <f t="shared" si="2"/>
        <v>69500000</v>
      </c>
      <c r="AI143" s="657">
        <v>0</v>
      </c>
      <c r="AJ143" s="657">
        <v>0</v>
      </c>
      <c r="AK143" s="537">
        <v>0</v>
      </c>
      <c r="AL143" s="537">
        <v>69500000</v>
      </c>
      <c r="AM143" s="536">
        <f t="shared" si="3"/>
        <v>69500000</v>
      </c>
      <c r="AN143" s="657">
        <v>0</v>
      </c>
      <c r="AO143" s="574">
        <v>0</v>
      </c>
      <c r="AP143" s="536">
        <v>0</v>
      </c>
      <c r="AQ143" s="803">
        <v>69500000</v>
      </c>
    </row>
    <row r="144" spans="1:43" ht="105" customHeight="1" x14ac:dyDescent="0.25">
      <c r="A144" s="368" t="s">
        <v>893</v>
      </c>
      <c r="B144" s="428" t="s">
        <v>250</v>
      </c>
      <c r="C144" s="428" t="s">
        <v>845</v>
      </c>
      <c r="D144" s="451" t="s">
        <v>898</v>
      </c>
      <c r="E144" s="731" t="s">
        <v>1251</v>
      </c>
      <c r="F144" s="406" t="s">
        <v>249</v>
      </c>
      <c r="G144" s="421" t="s">
        <v>896</v>
      </c>
      <c r="H144" s="421" t="s">
        <v>909</v>
      </c>
      <c r="I144" s="420" t="s">
        <v>914</v>
      </c>
      <c r="J144" s="421" t="s">
        <v>1134</v>
      </c>
      <c r="K144" s="143" t="s">
        <v>1082</v>
      </c>
      <c r="L144" s="761">
        <f>365031000</f>
        <v>365031000</v>
      </c>
      <c r="M144" s="902" t="s">
        <v>665</v>
      </c>
      <c r="N144" s="556" t="s">
        <v>156</v>
      </c>
      <c r="O144" s="228" t="s">
        <v>572</v>
      </c>
      <c r="P144" s="228"/>
      <c r="Q144" s="228" t="s">
        <v>831</v>
      </c>
      <c r="R144" s="228"/>
      <c r="S144" s="228"/>
      <c r="T144" s="652" t="s">
        <v>166</v>
      </c>
      <c r="U144" s="655">
        <v>125</v>
      </c>
      <c r="V144" s="653">
        <v>0</v>
      </c>
      <c r="W144" s="653">
        <v>25</v>
      </c>
      <c r="X144" s="653">
        <v>40</v>
      </c>
      <c r="Y144" s="653">
        <v>60</v>
      </c>
      <c r="Z144" s="654" t="s">
        <v>1212</v>
      </c>
      <c r="AA144" s="761">
        <f>365031000</f>
        <v>365031000</v>
      </c>
      <c r="AB144" s="775" t="s">
        <v>867</v>
      </c>
      <c r="AC144" s="603" t="s">
        <v>868</v>
      </c>
      <c r="AD144" s="551">
        <v>0</v>
      </c>
      <c r="AE144" s="551">
        <v>25</v>
      </c>
      <c r="AF144" s="656">
        <v>50</v>
      </c>
      <c r="AG144" s="598">
        <v>60</v>
      </c>
      <c r="AH144" s="536">
        <f t="shared" si="2"/>
        <v>318955733</v>
      </c>
      <c r="AI144" s="657">
        <v>227338621</v>
      </c>
      <c r="AJ144" s="657">
        <f>256955933-AI144</f>
        <v>29617312</v>
      </c>
      <c r="AK144" s="885">
        <f>318955733-AI144-AJ144</f>
        <v>61999800</v>
      </c>
      <c r="AL144" s="536">
        <v>0</v>
      </c>
      <c r="AM144" s="536">
        <f t="shared" si="3"/>
        <v>318955733</v>
      </c>
      <c r="AN144" s="657">
        <v>59508394</v>
      </c>
      <c r="AO144" s="657">
        <f>144759011-AN144</f>
        <v>85250617</v>
      </c>
      <c r="AP144" s="536">
        <f>247554582-AN144-AO144</f>
        <v>102795571</v>
      </c>
      <c r="AQ144" s="506">
        <f>318955733-AN144-AO144-AP144</f>
        <v>71401151</v>
      </c>
    </row>
    <row r="145" spans="1:43" ht="105" customHeight="1" x14ac:dyDescent="0.25">
      <c r="A145" s="221" t="s">
        <v>893</v>
      </c>
      <c r="B145" s="222" t="s">
        <v>250</v>
      </c>
      <c r="C145" s="222" t="s">
        <v>845</v>
      </c>
      <c r="D145" s="76" t="s">
        <v>898</v>
      </c>
      <c r="E145" s="731" t="s">
        <v>1251</v>
      </c>
      <c r="F145" s="351" t="s">
        <v>249</v>
      </c>
      <c r="G145" s="218" t="s">
        <v>896</v>
      </c>
      <c r="H145" s="218" t="s">
        <v>910</v>
      </c>
      <c r="I145" s="215" t="s">
        <v>914</v>
      </c>
      <c r="J145" s="218" t="s">
        <v>1134</v>
      </c>
      <c r="K145" s="143" t="s">
        <v>1082</v>
      </c>
      <c r="L145" s="470">
        <v>795797000</v>
      </c>
      <c r="M145" s="900" t="s">
        <v>480</v>
      </c>
      <c r="N145" s="556" t="s">
        <v>156</v>
      </c>
      <c r="O145" s="228" t="s">
        <v>572</v>
      </c>
      <c r="P145" s="228"/>
      <c r="Q145" s="228" t="s">
        <v>831</v>
      </c>
      <c r="R145" s="228"/>
      <c r="S145" s="228"/>
      <c r="T145" s="540" t="s">
        <v>166</v>
      </c>
      <c r="U145" s="545">
        <v>125</v>
      </c>
      <c r="V145" s="540">
        <v>0</v>
      </c>
      <c r="W145" s="540">
        <v>0</v>
      </c>
      <c r="X145" s="540">
        <v>0</v>
      </c>
      <c r="Y145" s="540">
        <v>125</v>
      </c>
      <c r="Z145" s="654" t="s">
        <v>1213</v>
      </c>
      <c r="AA145" s="470">
        <v>795797000</v>
      </c>
      <c r="AB145" s="775" t="s">
        <v>190</v>
      </c>
      <c r="AC145" s="539" t="s">
        <v>190</v>
      </c>
      <c r="AD145" s="543">
        <v>0</v>
      </c>
      <c r="AE145" s="543">
        <v>0</v>
      </c>
      <c r="AF145" s="543">
        <v>125</v>
      </c>
      <c r="AG145" s="543">
        <v>0</v>
      </c>
      <c r="AH145" s="536">
        <f t="shared" si="2"/>
        <v>795797000</v>
      </c>
      <c r="AI145" s="536">
        <v>0</v>
      </c>
      <c r="AJ145" s="574">
        <v>795797000</v>
      </c>
      <c r="AK145" s="536">
        <v>0</v>
      </c>
      <c r="AL145" s="536">
        <v>0</v>
      </c>
      <c r="AM145" s="536">
        <f t="shared" si="3"/>
        <v>795797000</v>
      </c>
      <c r="AN145" s="536">
        <v>0</v>
      </c>
      <c r="AO145" s="536">
        <v>0</v>
      </c>
      <c r="AP145" s="536">
        <v>572687000</v>
      </c>
      <c r="AQ145" s="536">
        <f>795797000-AP145</f>
        <v>223110000</v>
      </c>
    </row>
    <row r="146" spans="1:43" ht="105" customHeight="1" x14ac:dyDescent="0.25">
      <c r="A146" s="221" t="s">
        <v>893</v>
      </c>
      <c r="B146" s="222" t="s">
        <v>250</v>
      </c>
      <c r="C146" s="222" t="s">
        <v>845</v>
      </c>
      <c r="D146" s="76" t="s">
        <v>898</v>
      </c>
      <c r="E146" s="731" t="s">
        <v>1251</v>
      </c>
      <c r="F146" s="427" t="s">
        <v>249</v>
      </c>
      <c r="G146" s="218" t="s">
        <v>896</v>
      </c>
      <c r="H146" s="218" t="s">
        <v>912</v>
      </c>
      <c r="I146" s="215" t="s">
        <v>914</v>
      </c>
      <c r="J146" s="218" t="s">
        <v>1137</v>
      </c>
      <c r="K146" s="159" t="s">
        <v>1083</v>
      </c>
      <c r="L146" s="752">
        <v>265867567</v>
      </c>
      <c r="M146" s="900" t="s">
        <v>551</v>
      </c>
      <c r="N146" s="228" t="s">
        <v>212</v>
      </c>
      <c r="O146" s="228" t="s">
        <v>1153</v>
      </c>
      <c r="P146" s="228" t="s">
        <v>1180</v>
      </c>
      <c r="Q146" s="228" t="s">
        <v>1194</v>
      </c>
      <c r="R146" s="228"/>
      <c r="S146" s="228"/>
      <c r="T146" s="540" t="s">
        <v>166</v>
      </c>
      <c r="U146" s="546">
        <v>1</v>
      </c>
      <c r="V146" s="540">
        <v>0</v>
      </c>
      <c r="W146" s="540">
        <v>0</v>
      </c>
      <c r="X146" s="540">
        <v>0</v>
      </c>
      <c r="Y146" s="540">
        <v>1</v>
      </c>
      <c r="Z146" s="658" t="s">
        <v>1241</v>
      </c>
      <c r="AA146" s="752">
        <v>265867567</v>
      </c>
      <c r="AB146" s="775" t="s">
        <v>1237</v>
      </c>
      <c r="AC146" s="540"/>
      <c r="AD146" s="543">
        <v>0</v>
      </c>
      <c r="AE146" s="543">
        <v>0</v>
      </c>
      <c r="AF146" s="543">
        <v>0</v>
      </c>
      <c r="AG146" s="543">
        <v>1</v>
      </c>
      <c r="AH146" s="536">
        <f t="shared" si="2"/>
        <v>265867567</v>
      </c>
      <c r="AI146" s="536">
        <v>0</v>
      </c>
      <c r="AJ146" s="536">
        <v>0</v>
      </c>
      <c r="AK146" s="536">
        <v>0</v>
      </c>
      <c r="AL146" s="536">
        <v>265867567</v>
      </c>
      <c r="AM146" s="536">
        <f t="shared" si="3"/>
        <v>0</v>
      </c>
      <c r="AN146" s="536">
        <v>0</v>
      </c>
      <c r="AO146" s="536">
        <v>0</v>
      </c>
      <c r="AP146" s="536">
        <v>0</v>
      </c>
      <c r="AQ146" s="537">
        <v>0</v>
      </c>
    </row>
    <row r="147" spans="1:43" ht="105" customHeight="1" x14ac:dyDescent="0.25">
      <c r="A147" s="236" t="s">
        <v>893</v>
      </c>
      <c r="B147" s="222" t="s">
        <v>250</v>
      </c>
      <c r="C147" s="222" t="s">
        <v>845</v>
      </c>
      <c r="D147" s="76" t="s">
        <v>898</v>
      </c>
      <c r="E147" s="731" t="s">
        <v>1251</v>
      </c>
      <c r="F147" s="427" t="s">
        <v>249</v>
      </c>
      <c r="G147" s="218" t="s">
        <v>896</v>
      </c>
      <c r="H147" s="218" t="s">
        <v>911</v>
      </c>
      <c r="I147" s="215" t="s">
        <v>914</v>
      </c>
      <c r="J147" s="218" t="s">
        <v>1133</v>
      </c>
      <c r="K147" s="159" t="s">
        <v>1084</v>
      </c>
      <c r="L147" s="645">
        <v>800000000</v>
      </c>
      <c r="M147" s="900" t="s">
        <v>481</v>
      </c>
      <c r="N147" s="228" t="s">
        <v>212</v>
      </c>
      <c r="O147" s="228" t="s">
        <v>1154</v>
      </c>
      <c r="P147" s="228" t="s">
        <v>1180</v>
      </c>
      <c r="Q147" s="228" t="s">
        <v>1194</v>
      </c>
      <c r="R147" s="228"/>
      <c r="S147" s="228"/>
      <c r="T147" s="540" t="s">
        <v>166</v>
      </c>
      <c r="U147" s="546">
        <v>2000</v>
      </c>
      <c r="V147" s="540">
        <v>0</v>
      </c>
      <c r="W147" s="540">
        <v>0</v>
      </c>
      <c r="X147" s="540">
        <v>0</v>
      </c>
      <c r="Y147" s="540">
        <v>2000</v>
      </c>
      <c r="Z147" s="641" t="s">
        <v>666</v>
      </c>
      <c r="AA147" s="645">
        <v>800000000</v>
      </c>
      <c r="AB147" s="775" t="s">
        <v>867</v>
      </c>
      <c r="AC147" s="542" t="s">
        <v>868</v>
      </c>
      <c r="AD147" s="543">
        <v>0</v>
      </c>
      <c r="AE147" s="543">
        <v>0</v>
      </c>
      <c r="AF147" s="543">
        <v>0</v>
      </c>
      <c r="AG147" s="543">
        <v>1931</v>
      </c>
      <c r="AH147" s="536">
        <f t="shared" si="2"/>
        <v>738353373</v>
      </c>
      <c r="AI147" s="536">
        <v>0</v>
      </c>
      <c r="AJ147" s="536">
        <v>0</v>
      </c>
      <c r="AK147" s="888">
        <v>738353373</v>
      </c>
      <c r="AL147" s="536">
        <v>0</v>
      </c>
      <c r="AM147" s="536">
        <f t="shared" si="3"/>
        <v>738353373</v>
      </c>
      <c r="AN147" s="536">
        <v>0</v>
      </c>
      <c r="AO147" s="536">
        <v>0</v>
      </c>
      <c r="AP147" s="536">
        <v>240000000</v>
      </c>
      <c r="AQ147" s="537">
        <f>738353373-AP147</f>
        <v>498353373</v>
      </c>
    </row>
    <row r="148" spans="1:43" ht="105" customHeight="1" x14ac:dyDescent="0.25">
      <c r="A148" s="236" t="s">
        <v>893</v>
      </c>
      <c r="B148" s="222" t="s">
        <v>250</v>
      </c>
      <c r="C148" s="222" t="s">
        <v>845</v>
      </c>
      <c r="D148" s="76" t="s">
        <v>898</v>
      </c>
      <c r="E148" s="731" t="s">
        <v>1251</v>
      </c>
      <c r="F148" s="427" t="s">
        <v>249</v>
      </c>
      <c r="G148" s="218" t="s">
        <v>896</v>
      </c>
      <c r="H148" s="218" t="s">
        <v>911</v>
      </c>
      <c r="I148" s="215" t="s">
        <v>914</v>
      </c>
      <c r="J148" s="218" t="s">
        <v>1133</v>
      </c>
      <c r="K148" s="159" t="s">
        <v>1084</v>
      </c>
      <c r="L148" s="645">
        <v>55778038</v>
      </c>
      <c r="M148" s="900" t="s">
        <v>552</v>
      </c>
      <c r="N148" s="556" t="s">
        <v>156</v>
      </c>
      <c r="O148" s="228" t="s">
        <v>572</v>
      </c>
      <c r="P148" s="228"/>
      <c r="Q148" s="228" t="s">
        <v>831</v>
      </c>
      <c r="R148" s="228"/>
      <c r="S148" s="228"/>
      <c r="T148" s="540" t="s">
        <v>166</v>
      </c>
      <c r="U148" s="546">
        <v>100</v>
      </c>
      <c r="V148" s="540">
        <v>0</v>
      </c>
      <c r="W148" s="540">
        <v>0</v>
      </c>
      <c r="X148" s="540">
        <v>0</v>
      </c>
      <c r="Y148" s="540">
        <v>100</v>
      </c>
      <c r="Z148" s="641" t="s">
        <v>666</v>
      </c>
      <c r="AA148" s="645">
        <v>55778038</v>
      </c>
      <c r="AB148" s="775" t="s">
        <v>454</v>
      </c>
      <c r="AC148" s="542" t="s">
        <v>868</v>
      </c>
      <c r="AD148" s="543">
        <v>0</v>
      </c>
      <c r="AE148" s="543">
        <v>0</v>
      </c>
      <c r="AF148" s="543">
        <v>0</v>
      </c>
      <c r="AG148" s="543">
        <v>100</v>
      </c>
      <c r="AH148" s="536">
        <f t="shared" si="2"/>
        <v>0</v>
      </c>
      <c r="AI148" s="536">
        <v>0</v>
      </c>
      <c r="AJ148" s="536">
        <v>0</v>
      </c>
      <c r="AK148" s="536">
        <v>0</v>
      </c>
      <c r="AL148" s="536">
        <v>0</v>
      </c>
      <c r="AM148" s="536">
        <f t="shared" si="3"/>
        <v>0</v>
      </c>
      <c r="AN148" s="536">
        <v>0</v>
      </c>
      <c r="AO148" s="536">
        <v>0</v>
      </c>
      <c r="AP148" s="536">
        <v>0</v>
      </c>
      <c r="AQ148" s="536">
        <v>0</v>
      </c>
    </row>
    <row r="149" spans="1:43" ht="105" customHeight="1" x14ac:dyDescent="0.25">
      <c r="A149" s="502" t="s">
        <v>893</v>
      </c>
      <c r="B149" s="502" t="s">
        <v>250</v>
      </c>
      <c r="C149" s="502" t="s">
        <v>845</v>
      </c>
      <c r="D149" s="341" t="s">
        <v>898</v>
      </c>
      <c r="E149" s="731" t="s">
        <v>1251</v>
      </c>
      <c r="F149" s="339" t="s">
        <v>249</v>
      </c>
      <c r="G149" s="498"/>
      <c r="H149" s="498"/>
      <c r="I149" s="501"/>
      <c r="J149" s="498"/>
      <c r="K149" s="159"/>
      <c r="L149" s="751">
        <v>322132433</v>
      </c>
      <c r="M149" s="903" t="s">
        <v>667</v>
      </c>
      <c r="N149" s="556"/>
      <c r="O149" s="228"/>
      <c r="P149" s="228"/>
      <c r="Q149" s="228"/>
      <c r="R149" s="228"/>
      <c r="S149" s="228"/>
      <c r="T149" s="613"/>
      <c r="U149" s="659"/>
      <c r="V149" s="613">
        <v>0</v>
      </c>
      <c r="W149" s="613">
        <v>125</v>
      </c>
      <c r="X149" s="613">
        <v>125</v>
      </c>
      <c r="Y149" s="613">
        <v>0</v>
      </c>
      <c r="Z149" s="658" t="s">
        <v>1241</v>
      </c>
      <c r="AA149" s="751">
        <v>322132433</v>
      </c>
      <c r="AB149" s="775" t="s">
        <v>1237</v>
      </c>
      <c r="AC149" s="542"/>
      <c r="AD149" s="616">
        <v>0</v>
      </c>
      <c r="AE149" s="616">
        <v>100</v>
      </c>
      <c r="AF149" s="616">
        <v>100</v>
      </c>
      <c r="AG149" s="616">
        <v>0</v>
      </c>
      <c r="AH149" s="536">
        <f t="shared" si="2"/>
        <v>322132433</v>
      </c>
      <c r="AI149" s="536">
        <v>0</v>
      </c>
      <c r="AJ149" s="536">
        <v>0</v>
      </c>
      <c r="AK149" s="660">
        <v>0</v>
      </c>
      <c r="AL149" s="537">
        <v>322132433</v>
      </c>
      <c r="AM149" s="536">
        <f t="shared" si="3"/>
        <v>322132433</v>
      </c>
      <c r="AN149" s="536">
        <v>0</v>
      </c>
      <c r="AO149" s="536">
        <v>0</v>
      </c>
      <c r="AP149" s="536">
        <v>0</v>
      </c>
      <c r="AQ149" s="537">
        <v>322132433</v>
      </c>
    </row>
    <row r="150" spans="1:43" ht="105" customHeight="1" x14ac:dyDescent="0.25">
      <c r="A150" s="340" t="s">
        <v>893</v>
      </c>
      <c r="B150" s="340" t="s">
        <v>250</v>
      </c>
      <c r="C150" s="340" t="s">
        <v>845</v>
      </c>
      <c r="D150" s="341" t="s">
        <v>898</v>
      </c>
      <c r="E150" s="731" t="s">
        <v>1251</v>
      </c>
      <c r="F150" s="339" t="s">
        <v>249</v>
      </c>
      <c r="G150" s="218" t="s">
        <v>896</v>
      </c>
      <c r="H150" s="218" t="s">
        <v>909</v>
      </c>
      <c r="I150" s="215" t="s">
        <v>914</v>
      </c>
      <c r="J150" s="218" t="s">
        <v>1134</v>
      </c>
      <c r="K150" s="159" t="s">
        <v>1082</v>
      </c>
      <c r="L150" s="330">
        <v>734937500</v>
      </c>
      <c r="M150" s="903" t="s">
        <v>667</v>
      </c>
      <c r="N150" s="539" t="s">
        <v>1155</v>
      </c>
      <c r="O150" s="228" t="s">
        <v>1195</v>
      </c>
      <c r="P150" s="228" t="s">
        <v>1180</v>
      </c>
      <c r="Q150" s="228" t="s">
        <v>1194</v>
      </c>
      <c r="R150" s="228"/>
      <c r="S150" s="228"/>
      <c r="T150" s="613" t="s">
        <v>166</v>
      </c>
      <c r="U150" s="659">
        <v>250</v>
      </c>
      <c r="V150" s="613">
        <v>0</v>
      </c>
      <c r="W150" s="613">
        <v>125</v>
      </c>
      <c r="X150" s="613">
        <v>125</v>
      </c>
      <c r="Y150" s="613">
        <v>0</v>
      </c>
      <c r="Z150" s="654" t="s">
        <v>1214</v>
      </c>
      <c r="AA150" s="330">
        <v>734937500</v>
      </c>
      <c r="AB150" s="775" t="s">
        <v>867</v>
      </c>
      <c r="AC150" s="603" t="s">
        <v>868</v>
      </c>
      <c r="AD150" s="616">
        <v>0</v>
      </c>
      <c r="AE150" s="616">
        <v>100</v>
      </c>
      <c r="AF150" s="616">
        <v>100</v>
      </c>
      <c r="AG150" s="616">
        <v>0</v>
      </c>
      <c r="AH150" s="536">
        <f t="shared" si="2"/>
        <v>734937500</v>
      </c>
      <c r="AI150" s="536">
        <v>0</v>
      </c>
      <c r="AJ150" s="657">
        <v>0</v>
      </c>
      <c r="AK150" s="537">
        <v>734937500</v>
      </c>
      <c r="AL150" s="536">
        <v>0</v>
      </c>
      <c r="AM150" s="536">
        <f t="shared" si="3"/>
        <v>734937500</v>
      </c>
      <c r="AN150" s="536">
        <v>0</v>
      </c>
      <c r="AO150" s="536">
        <v>0</v>
      </c>
      <c r="AP150" s="536">
        <v>587950000</v>
      </c>
      <c r="AQ150" s="537">
        <f>734937500-AP150</f>
        <v>146987500</v>
      </c>
    </row>
    <row r="151" spans="1:43" ht="105" customHeight="1" x14ac:dyDescent="0.25">
      <c r="A151" s="236" t="s">
        <v>893</v>
      </c>
      <c r="B151" s="222" t="s">
        <v>250</v>
      </c>
      <c r="C151" s="222" t="s">
        <v>845</v>
      </c>
      <c r="D151" s="76" t="s">
        <v>899</v>
      </c>
      <c r="E151" s="731" t="s">
        <v>1251</v>
      </c>
      <c r="F151" s="264" t="s">
        <v>543</v>
      </c>
      <c r="G151" s="218" t="s">
        <v>896</v>
      </c>
      <c r="H151" s="218" t="s">
        <v>909</v>
      </c>
      <c r="I151" s="226" t="s">
        <v>901</v>
      </c>
      <c r="J151" s="218" t="s">
        <v>900</v>
      </c>
      <c r="K151" s="226" t="s">
        <v>1085</v>
      </c>
      <c r="L151" s="471">
        <v>1920000000</v>
      </c>
      <c r="M151" s="904" t="s">
        <v>823</v>
      </c>
      <c r="N151" s="556" t="s">
        <v>156</v>
      </c>
      <c r="O151" s="228" t="s">
        <v>585</v>
      </c>
      <c r="P151" s="228"/>
      <c r="Q151" s="228"/>
      <c r="R151" s="228"/>
      <c r="S151" s="228"/>
      <c r="T151" s="540" t="s">
        <v>166</v>
      </c>
      <c r="U151" s="546">
        <v>20</v>
      </c>
      <c r="V151" s="545">
        <v>0</v>
      </c>
      <c r="W151" s="545">
        <v>0</v>
      </c>
      <c r="X151" s="545">
        <v>0</v>
      </c>
      <c r="Y151" s="545">
        <v>20</v>
      </c>
      <c r="Z151" s="545" t="s">
        <v>828</v>
      </c>
      <c r="AA151" s="471">
        <v>1920000000</v>
      </c>
      <c r="AB151" s="775" t="s">
        <v>190</v>
      </c>
      <c r="AC151" s="632" t="s">
        <v>623</v>
      </c>
      <c r="AD151" s="543">
        <v>0</v>
      </c>
      <c r="AE151" s="543">
        <v>0</v>
      </c>
      <c r="AF151" s="543">
        <v>5</v>
      </c>
      <c r="AG151" s="543">
        <v>15</v>
      </c>
      <c r="AH151" s="536">
        <f t="shared" si="2"/>
        <v>1689520800</v>
      </c>
      <c r="AI151" s="536">
        <v>0</v>
      </c>
      <c r="AJ151" s="536">
        <v>0</v>
      </c>
      <c r="AK151" s="886">
        <v>1689520800</v>
      </c>
      <c r="AL151" s="536">
        <v>0</v>
      </c>
      <c r="AM151" s="536">
        <f t="shared" si="3"/>
        <v>1689520800</v>
      </c>
      <c r="AN151" s="536">
        <v>0</v>
      </c>
      <c r="AO151" s="536">
        <v>0</v>
      </c>
      <c r="AP151" s="536">
        <v>1563577000</v>
      </c>
      <c r="AQ151" s="536">
        <f>1689520800-AP151</f>
        <v>125943800</v>
      </c>
    </row>
    <row r="152" spans="1:43" ht="105" customHeight="1" x14ac:dyDescent="0.25">
      <c r="A152" s="236" t="s">
        <v>893</v>
      </c>
      <c r="B152" s="222" t="s">
        <v>250</v>
      </c>
      <c r="C152" s="222" t="s">
        <v>845</v>
      </c>
      <c r="D152" s="76" t="s">
        <v>899</v>
      </c>
      <c r="E152" s="731" t="s">
        <v>1251</v>
      </c>
      <c r="F152" s="264" t="s">
        <v>543</v>
      </c>
      <c r="G152" s="218" t="s">
        <v>896</v>
      </c>
      <c r="H152" s="218" t="s">
        <v>909</v>
      </c>
      <c r="I152" s="226" t="s">
        <v>901</v>
      </c>
      <c r="J152" s="218" t="s">
        <v>900</v>
      </c>
      <c r="K152" s="226" t="s">
        <v>1085</v>
      </c>
      <c r="L152" s="471">
        <v>480000000</v>
      </c>
      <c r="M152" s="904" t="s">
        <v>180</v>
      </c>
      <c r="N152" s="556" t="s">
        <v>156</v>
      </c>
      <c r="O152" s="228" t="s">
        <v>1151</v>
      </c>
      <c r="P152" s="228"/>
      <c r="Q152" s="228"/>
      <c r="R152" s="228"/>
      <c r="S152" s="228"/>
      <c r="T152" s="540" t="s">
        <v>166</v>
      </c>
      <c r="U152" s="546">
        <v>1</v>
      </c>
      <c r="V152" s="545">
        <v>1</v>
      </c>
      <c r="W152" s="545">
        <v>0</v>
      </c>
      <c r="X152" s="545">
        <v>0</v>
      </c>
      <c r="Y152" s="545">
        <v>0</v>
      </c>
      <c r="Z152" s="545" t="s">
        <v>828</v>
      </c>
      <c r="AA152" s="471">
        <v>480000000</v>
      </c>
      <c r="AB152" s="775" t="s">
        <v>190</v>
      </c>
      <c r="AC152" s="632" t="s">
        <v>623</v>
      </c>
      <c r="AD152" s="543">
        <v>1</v>
      </c>
      <c r="AE152" s="543">
        <v>0</v>
      </c>
      <c r="AF152" s="543">
        <v>0</v>
      </c>
      <c r="AG152" s="543">
        <v>0</v>
      </c>
      <c r="AH152" s="536">
        <f t="shared" si="2"/>
        <v>422380200</v>
      </c>
      <c r="AI152" s="536">
        <v>0</v>
      </c>
      <c r="AJ152" s="536">
        <v>0</v>
      </c>
      <c r="AK152" s="536">
        <v>192000000</v>
      </c>
      <c r="AL152" s="886">
        <f>422380200-AK152</f>
        <v>230380200</v>
      </c>
      <c r="AM152" s="536">
        <f t="shared" si="3"/>
        <v>422380200</v>
      </c>
      <c r="AN152" s="536">
        <v>0</v>
      </c>
      <c r="AO152" s="536">
        <v>0</v>
      </c>
      <c r="AP152" s="536">
        <v>192000000</v>
      </c>
      <c r="AQ152" s="536">
        <f>422380200-AP152</f>
        <v>230380200</v>
      </c>
    </row>
    <row r="153" spans="1:43" ht="105" customHeight="1" x14ac:dyDescent="0.25">
      <c r="A153" s="236" t="s">
        <v>893</v>
      </c>
      <c r="B153" s="222" t="s">
        <v>250</v>
      </c>
      <c r="C153" s="222" t="s">
        <v>845</v>
      </c>
      <c r="D153" s="76" t="s">
        <v>899</v>
      </c>
      <c r="E153" s="731" t="s">
        <v>1251</v>
      </c>
      <c r="F153" s="419" t="s">
        <v>543</v>
      </c>
      <c r="G153" s="218" t="s">
        <v>896</v>
      </c>
      <c r="H153" s="218" t="s">
        <v>909</v>
      </c>
      <c r="I153" s="226" t="s">
        <v>901</v>
      </c>
      <c r="J153" s="218" t="s">
        <v>900</v>
      </c>
      <c r="K153" s="226" t="s">
        <v>1085</v>
      </c>
      <c r="L153" s="777">
        <v>0</v>
      </c>
      <c r="M153" s="905" t="s">
        <v>824</v>
      </c>
      <c r="N153" s="556" t="s">
        <v>156</v>
      </c>
      <c r="O153" s="228" t="s">
        <v>643</v>
      </c>
      <c r="P153" s="228"/>
      <c r="Q153" s="228"/>
      <c r="R153" s="228"/>
      <c r="S153" s="228"/>
      <c r="T153" s="540" t="s">
        <v>166</v>
      </c>
      <c r="U153" s="546">
        <v>5</v>
      </c>
      <c r="V153" s="540">
        <v>0</v>
      </c>
      <c r="W153" s="540">
        <v>0</v>
      </c>
      <c r="X153" s="540">
        <v>2</v>
      </c>
      <c r="Y153" s="661">
        <v>3</v>
      </c>
      <c r="Z153" s="540"/>
      <c r="AA153" s="777">
        <v>0</v>
      </c>
      <c r="AB153" s="775"/>
      <c r="AC153" s="540"/>
      <c r="AD153" s="543">
        <v>0</v>
      </c>
      <c r="AE153" s="543">
        <v>0</v>
      </c>
      <c r="AF153" s="543">
        <v>5</v>
      </c>
      <c r="AG153" s="543">
        <v>0</v>
      </c>
      <c r="AH153" s="536">
        <f t="shared" si="2"/>
        <v>0</v>
      </c>
      <c r="AI153" s="536">
        <v>0</v>
      </c>
      <c r="AJ153" s="536">
        <v>0</v>
      </c>
      <c r="AK153" s="536">
        <v>0</v>
      </c>
      <c r="AL153" s="536"/>
      <c r="AM153" s="536">
        <f t="shared" si="3"/>
        <v>0</v>
      </c>
      <c r="AN153" s="536">
        <v>0</v>
      </c>
      <c r="AO153" s="536">
        <v>0</v>
      </c>
      <c r="AP153" s="536">
        <v>0</v>
      </c>
      <c r="AQ153" s="544"/>
    </row>
    <row r="154" spans="1:43" ht="105" customHeight="1" x14ac:dyDescent="0.25">
      <c r="A154" s="162" t="s">
        <v>893</v>
      </c>
      <c r="B154" s="162" t="s">
        <v>250</v>
      </c>
      <c r="C154" s="222" t="s">
        <v>845</v>
      </c>
      <c r="D154" s="76" t="s">
        <v>899</v>
      </c>
      <c r="E154" s="731" t="s">
        <v>1251</v>
      </c>
      <c r="F154" s="419" t="s">
        <v>543</v>
      </c>
      <c r="G154" s="160" t="s">
        <v>896</v>
      </c>
      <c r="H154" s="160" t="s">
        <v>909</v>
      </c>
      <c r="I154" s="226" t="s">
        <v>901</v>
      </c>
      <c r="J154" s="160" t="s">
        <v>900</v>
      </c>
      <c r="K154" s="226" t="s">
        <v>1085</v>
      </c>
      <c r="L154" s="777">
        <v>0</v>
      </c>
      <c r="M154" s="905" t="s">
        <v>826</v>
      </c>
      <c r="N154" s="556" t="s">
        <v>156</v>
      </c>
      <c r="O154" s="228" t="s">
        <v>585</v>
      </c>
      <c r="P154" s="228"/>
      <c r="Q154" s="228"/>
      <c r="R154" s="228"/>
      <c r="S154" s="228"/>
      <c r="T154" s="540" t="s">
        <v>166</v>
      </c>
      <c r="U154" s="546">
        <v>1</v>
      </c>
      <c r="V154" s="549">
        <v>0</v>
      </c>
      <c r="W154" s="549">
        <v>0</v>
      </c>
      <c r="X154" s="549">
        <v>0</v>
      </c>
      <c r="Y154" s="540">
        <v>1</v>
      </c>
      <c r="Z154" s="540"/>
      <c r="AA154" s="777">
        <v>0</v>
      </c>
      <c r="AB154" s="775"/>
      <c r="AC154" s="540"/>
      <c r="AD154" s="543">
        <v>0</v>
      </c>
      <c r="AE154" s="543">
        <v>0</v>
      </c>
      <c r="AF154" s="543">
        <v>0</v>
      </c>
      <c r="AG154" s="543">
        <v>3</v>
      </c>
      <c r="AH154" s="536">
        <f t="shared" si="2"/>
        <v>0</v>
      </c>
      <c r="AI154" s="536">
        <v>0</v>
      </c>
      <c r="AJ154" s="536">
        <v>0</v>
      </c>
      <c r="AK154" s="536">
        <v>0</v>
      </c>
      <c r="AL154" s="536"/>
      <c r="AM154" s="536">
        <f t="shared" si="3"/>
        <v>0</v>
      </c>
      <c r="AN154" s="536">
        <v>0</v>
      </c>
      <c r="AO154" s="536">
        <v>0</v>
      </c>
      <c r="AP154" s="536">
        <v>0</v>
      </c>
      <c r="AQ154" s="544"/>
    </row>
    <row r="155" spans="1:43" ht="105" customHeight="1" x14ac:dyDescent="0.25">
      <c r="A155" s="162" t="s">
        <v>893</v>
      </c>
      <c r="B155" s="162" t="s">
        <v>250</v>
      </c>
      <c r="C155" s="222" t="s">
        <v>845</v>
      </c>
      <c r="D155" s="76" t="s">
        <v>899</v>
      </c>
      <c r="E155" s="731" t="s">
        <v>1251</v>
      </c>
      <c r="F155" s="419" t="s">
        <v>543</v>
      </c>
      <c r="G155" s="160" t="s">
        <v>896</v>
      </c>
      <c r="H155" s="160" t="s">
        <v>909</v>
      </c>
      <c r="I155" s="226" t="s">
        <v>901</v>
      </c>
      <c r="J155" s="160" t="s">
        <v>900</v>
      </c>
      <c r="K155" s="226" t="s">
        <v>1085</v>
      </c>
      <c r="L155" s="777">
        <v>0</v>
      </c>
      <c r="M155" s="905" t="s">
        <v>827</v>
      </c>
      <c r="N155" s="627" t="s">
        <v>212</v>
      </c>
      <c r="O155" s="582" t="s">
        <v>772</v>
      </c>
      <c r="P155" s="228"/>
      <c r="Q155" s="228"/>
      <c r="R155" s="228"/>
      <c r="S155" s="228"/>
      <c r="T155" s="540" t="s">
        <v>166</v>
      </c>
      <c r="U155" s="546">
        <v>4</v>
      </c>
      <c r="V155" s="549">
        <v>0</v>
      </c>
      <c r="W155" s="549">
        <v>0</v>
      </c>
      <c r="X155" s="549">
        <v>0</v>
      </c>
      <c r="Y155" s="549">
        <v>4</v>
      </c>
      <c r="Z155" s="540"/>
      <c r="AA155" s="777">
        <v>0</v>
      </c>
      <c r="AB155" s="775"/>
      <c r="AC155" s="540"/>
      <c r="AD155" s="543">
        <v>0</v>
      </c>
      <c r="AE155" s="543">
        <v>0</v>
      </c>
      <c r="AF155" s="543">
        <v>2</v>
      </c>
      <c r="AG155" s="543">
        <v>2</v>
      </c>
      <c r="AH155" s="536">
        <f t="shared" si="2"/>
        <v>0</v>
      </c>
      <c r="AI155" s="536">
        <v>0</v>
      </c>
      <c r="AJ155" s="536">
        <v>0</v>
      </c>
      <c r="AK155" s="536">
        <v>0</v>
      </c>
      <c r="AL155" s="536"/>
      <c r="AM155" s="536">
        <f t="shared" si="3"/>
        <v>0</v>
      </c>
      <c r="AN155" s="536">
        <v>0</v>
      </c>
      <c r="AO155" s="536">
        <v>0</v>
      </c>
      <c r="AP155" s="536">
        <v>0</v>
      </c>
      <c r="AQ155" s="544"/>
    </row>
    <row r="156" spans="1:43" ht="105" customHeight="1" x14ac:dyDescent="0.25">
      <c r="A156" s="221" t="s">
        <v>892</v>
      </c>
      <c r="B156" s="222" t="s">
        <v>65</v>
      </c>
      <c r="C156" s="222" t="s">
        <v>846</v>
      </c>
      <c r="D156" s="218" t="s">
        <v>982</v>
      </c>
      <c r="E156" s="731" t="s">
        <v>1251</v>
      </c>
      <c r="F156" s="427" t="s">
        <v>254</v>
      </c>
      <c r="G156" s="215" t="s">
        <v>984</v>
      </c>
      <c r="H156" s="218" t="s">
        <v>988</v>
      </c>
      <c r="I156" s="215" t="s">
        <v>998</v>
      </c>
      <c r="J156" s="218" t="s">
        <v>1138</v>
      </c>
      <c r="K156" s="226" t="s">
        <v>1086</v>
      </c>
      <c r="L156" s="777">
        <v>200000000</v>
      </c>
      <c r="M156" s="910" t="s">
        <v>482</v>
      </c>
      <c r="N156" s="556" t="s">
        <v>156</v>
      </c>
      <c r="O156" s="555" t="s">
        <v>572</v>
      </c>
      <c r="P156" s="555" t="s">
        <v>831</v>
      </c>
      <c r="Q156" s="555"/>
      <c r="R156" s="555"/>
      <c r="S156" s="555"/>
      <c r="T156" s="540" t="s">
        <v>166</v>
      </c>
      <c r="U156" s="545">
        <v>9</v>
      </c>
      <c r="V156" s="540">
        <v>0</v>
      </c>
      <c r="W156" s="540">
        <v>9</v>
      </c>
      <c r="X156" s="540">
        <v>0</v>
      </c>
      <c r="Y156" s="540">
        <v>0</v>
      </c>
      <c r="Z156" s="545" t="s">
        <v>671</v>
      </c>
      <c r="AA156" s="777">
        <v>200000000</v>
      </c>
      <c r="AB156" s="775" t="s">
        <v>867</v>
      </c>
      <c r="AC156" s="542" t="s">
        <v>868</v>
      </c>
      <c r="AD156" s="543">
        <v>0</v>
      </c>
      <c r="AE156" s="543">
        <v>0</v>
      </c>
      <c r="AF156" s="543">
        <v>5</v>
      </c>
      <c r="AG156" s="543">
        <v>4</v>
      </c>
      <c r="AH156" s="536">
        <f t="shared" si="2"/>
        <v>200000000</v>
      </c>
      <c r="AI156" s="536">
        <v>0</v>
      </c>
      <c r="AJ156" s="536">
        <v>0</v>
      </c>
      <c r="AK156" s="536">
        <v>0</v>
      </c>
      <c r="AL156" s="537">
        <v>200000000</v>
      </c>
      <c r="AM156" s="536">
        <f>AN156+AO156+AP156+AQ156</f>
        <v>200000000</v>
      </c>
      <c r="AN156" s="536">
        <v>0</v>
      </c>
      <c r="AO156" s="536">
        <v>0</v>
      </c>
      <c r="AP156" s="536">
        <v>0</v>
      </c>
      <c r="AQ156" s="645">
        <v>200000000</v>
      </c>
    </row>
    <row r="157" spans="1:43" ht="105" customHeight="1" x14ac:dyDescent="0.25">
      <c r="A157" s="221" t="s">
        <v>892</v>
      </c>
      <c r="B157" s="222" t="s">
        <v>65</v>
      </c>
      <c r="C157" s="222" t="s">
        <v>846</v>
      </c>
      <c r="D157" s="218" t="s">
        <v>982</v>
      </c>
      <c r="E157" s="731" t="s">
        <v>1251</v>
      </c>
      <c r="F157" s="427" t="s">
        <v>254</v>
      </c>
      <c r="G157" s="215" t="s">
        <v>984</v>
      </c>
      <c r="H157" s="218" t="s">
        <v>988</v>
      </c>
      <c r="I157" s="215" t="s">
        <v>998</v>
      </c>
      <c r="J157" s="218" t="s">
        <v>1001</v>
      </c>
      <c r="K157" s="226" t="s">
        <v>1087</v>
      </c>
      <c r="L157" s="777">
        <v>300000000</v>
      </c>
      <c r="M157" s="910" t="s">
        <v>484</v>
      </c>
      <c r="N157" s="556" t="s">
        <v>156</v>
      </c>
      <c r="O157" s="555" t="s">
        <v>571</v>
      </c>
      <c r="P157" s="555" t="s">
        <v>831</v>
      </c>
      <c r="Q157" s="555"/>
      <c r="R157" s="555"/>
      <c r="S157" s="555"/>
      <c r="T157" s="540" t="s">
        <v>166</v>
      </c>
      <c r="U157" s="662">
        <v>39</v>
      </c>
      <c r="V157" s="663">
        <v>0</v>
      </c>
      <c r="W157" s="664">
        <v>10</v>
      </c>
      <c r="X157" s="664">
        <v>16</v>
      </c>
      <c r="Y157" s="664">
        <v>13</v>
      </c>
      <c r="Z157" s="545" t="s">
        <v>671</v>
      </c>
      <c r="AA157" s="777">
        <v>300000000</v>
      </c>
      <c r="AB157" s="775" t="s">
        <v>867</v>
      </c>
      <c r="AC157" s="542" t="s">
        <v>868</v>
      </c>
      <c r="AD157" s="543">
        <v>0</v>
      </c>
      <c r="AE157" s="543">
        <v>0</v>
      </c>
      <c r="AF157" s="791">
        <v>11</v>
      </c>
      <c r="AG157" s="543">
        <v>4</v>
      </c>
      <c r="AH157" s="536">
        <f t="shared" ref="AH157:AH224" si="4">AI157+AJ157+AK157+AL157</f>
        <v>300000000</v>
      </c>
      <c r="AI157" s="536">
        <v>0</v>
      </c>
      <c r="AJ157" s="536">
        <v>0</v>
      </c>
      <c r="AK157" s="536">
        <v>0</v>
      </c>
      <c r="AL157" s="684">
        <v>300000000</v>
      </c>
      <c r="AM157" s="536">
        <f t="shared" si="3"/>
        <v>300000000</v>
      </c>
      <c r="AN157" s="536">
        <v>0</v>
      </c>
      <c r="AO157" s="536">
        <v>0</v>
      </c>
      <c r="AP157" s="536">
        <v>0</v>
      </c>
      <c r="AQ157" s="645">
        <v>300000000</v>
      </c>
    </row>
    <row r="158" spans="1:43" ht="105" customHeight="1" x14ac:dyDescent="0.25">
      <c r="A158" s="368" t="s">
        <v>892</v>
      </c>
      <c r="B158" s="428" t="s">
        <v>65</v>
      </c>
      <c r="C158" s="428" t="s">
        <v>846</v>
      </c>
      <c r="D158" s="378" t="s">
        <v>982</v>
      </c>
      <c r="E158" s="731" t="s">
        <v>1251</v>
      </c>
      <c r="F158" s="394" t="s">
        <v>254</v>
      </c>
      <c r="G158" s="378" t="s">
        <v>984</v>
      </c>
      <c r="H158" s="378" t="s">
        <v>988</v>
      </c>
      <c r="I158" s="158" t="s">
        <v>998</v>
      </c>
      <c r="J158" s="378" t="s">
        <v>1139</v>
      </c>
      <c r="K158" s="392" t="s">
        <v>1088</v>
      </c>
      <c r="L158" s="754">
        <v>3679200000</v>
      </c>
      <c r="M158" s="911" t="s">
        <v>485</v>
      </c>
      <c r="N158" s="665" t="s">
        <v>156</v>
      </c>
      <c r="O158" s="666" t="s">
        <v>592</v>
      </c>
      <c r="P158" s="667" t="s">
        <v>831</v>
      </c>
      <c r="Q158" s="667"/>
      <c r="R158" s="667"/>
      <c r="S158" s="667"/>
      <c r="T158" s="549" t="s">
        <v>166</v>
      </c>
      <c r="U158" s="571">
        <v>12</v>
      </c>
      <c r="V158" s="549">
        <v>3</v>
      </c>
      <c r="W158" s="549">
        <v>3</v>
      </c>
      <c r="X158" s="549">
        <v>3</v>
      </c>
      <c r="Y158" s="549">
        <v>3</v>
      </c>
      <c r="Z158" s="545" t="s">
        <v>672</v>
      </c>
      <c r="AA158" s="754">
        <v>3679200000</v>
      </c>
      <c r="AB158" s="775" t="s">
        <v>867</v>
      </c>
      <c r="AC158" s="542" t="s">
        <v>868</v>
      </c>
      <c r="AD158" s="551">
        <v>3</v>
      </c>
      <c r="AE158" s="551">
        <v>3</v>
      </c>
      <c r="AF158" s="543">
        <v>3</v>
      </c>
      <c r="AG158" s="543">
        <v>2</v>
      </c>
      <c r="AH158" s="536">
        <f t="shared" si="4"/>
        <v>3679200000</v>
      </c>
      <c r="AI158" s="668">
        <f>4512348879-AI161</f>
        <v>3191548879</v>
      </c>
      <c r="AJ158" s="536">
        <v>0</v>
      </c>
      <c r="AK158" s="536">
        <v>0</v>
      </c>
      <c r="AL158" s="537">
        <f>3679200000-AI158</f>
        <v>487651121</v>
      </c>
      <c r="AM158" s="536">
        <f t="shared" si="3"/>
        <v>3679200000</v>
      </c>
      <c r="AN158" s="573">
        <f>3847348879-AN161</f>
        <v>2526548879</v>
      </c>
      <c r="AO158" s="536">
        <v>0</v>
      </c>
      <c r="AP158" s="536">
        <f>3191548879-AN158</f>
        <v>665000000</v>
      </c>
      <c r="AQ158" s="537">
        <f>3679200000-AN158-AP158</f>
        <v>487651121</v>
      </c>
    </row>
    <row r="159" spans="1:43" ht="105" customHeight="1" x14ac:dyDescent="0.25">
      <c r="A159" s="368" t="s">
        <v>892</v>
      </c>
      <c r="B159" s="428" t="s">
        <v>65</v>
      </c>
      <c r="C159" s="428" t="s">
        <v>846</v>
      </c>
      <c r="D159" s="378" t="s">
        <v>982</v>
      </c>
      <c r="E159" s="731" t="s">
        <v>1251</v>
      </c>
      <c r="F159" s="394" t="s">
        <v>254</v>
      </c>
      <c r="G159" s="378" t="s">
        <v>984</v>
      </c>
      <c r="H159" s="378" t="s">
        <v>988</v>
      </c>
      <c r="I159" s="158" t="s">
        <v>998</v>
      </c>
      <c r="J159" s="378" t="s">
        <v>1139</v>
      </c>
      <c r="K159" s="392" t="s">
        <v>1088</v>
      </c>
      <c r="L159" s="754">
        <v>3027907038</v>
      </c>
      <c r="M159" s="911" t="s">
        <v>485</v>
      </c>
      <c r="N159" s="665" t="s">
        <v>156</v>
      </c>
      <c r="O159" s="666" t="s">
        <v>592</v>
      </c>
      <c r="P159" s="667" t="s">
        <v>831</v>
      </c>
      <c r="Q159" s="667"/>
      <c r="R159" s="667"/>
      <c r="S159" s="667"/>
      <c r="T159" s="549" t="s">
        <v>166</v>
      </c>
      <c r="U159" s="571">
        <v>12</v>
      </c>
      <c r="V159" s="549">
        <v>3</v>
      </c>
      <c r="W159" s="549">
        <v>3</v>
      </c>
      <c r="X159" s="549">
        <v>3</v>
      </c>
      <c r="Y159" s="549">
        <v>3</v>
      </c>
      <c r="Z159" s="669" t="s">
        <v>671</v>
      </c>
      <c r="AA159" s="754">
        <v>3027907038</v>
      </c>
      <c r="AB159" s="775" t="s">
        <v>867</v>
      </c>
      <c r="AC159" s="542" t="s">
        <v>868</v>
      </c>
      <c r="AD159" s="551">
        <v>3</v>
      </c>
      <c r="AE159" s="551">
        <v>3</v>
      </c>
      <c r="AF159" s="543">
        <v>3</v>
      </c>
      <c r="AG159" s="543">
        <v>2</v>
      </c>
      <c r="AH159" s="536">
        <f t="shared" si="4"/>
        <v>2657485291</v>
      </c>
      <c r="AI159" s="668">
        <v>300000000</v>
      </c>
      <c r="AJ159" s="536">
        <v>0</v>
      </c>
      <c r="AK159" s="536">
        <v>0</v>
      </c>
      <c r="AL159" s="894">
        <f>2657485291-AI159</f>
        <v>2357485291</v>
      </c>
      <c r="AM159" s="536">
        <f t="shared" si="3"/>
        <v>374512202</v>
      </c>
      <c r="AN159" s="536">
        <v>0</v>
      </c>
      <c r="AO159" s="536">
        <v>0</v>
      </c>
      <c r="AP159" s="536">
        <v>0</v>
      </c>
      <c r="AQ159" s="537">
        <v>374512202</v>
      </c>
    </row>
    <row r="160" spans="1:43" ht="105" customHeight="1" x14ac:dyDescent="0.25">
      <c r="A160" s="368" t="s">
        <v>892</v>
      </c>
      <c r="B160" s="428" t="s">
        <v>65</v>
      </c>
      <c r="C160" s="428" t="s">
        <v>846</v>
      </c>
      <c r="D160" s="378" t="s">
        <v>982</v>
      </c>
      <c r="E160" s="731" t="s">
        <v>1251</v>
      </c>
      <c r="F160" s="394" t="s">
        <v>254</v>
      </c>
      <c r="G160" s="508"/>
      <c r="H160" s="508"/>
      <c r="I160" s="355"/>
      <c r="J160" s="508"/>
      <c r="K160" s="509"/>
      <c r="L160" s="538">
        <v>2540000000</v>
      </c>
      <c r="M160" s="911" t="s">
        <v>485</v>
      </c>
      <c r="N160" s="665"/>
      <c r="O160" s="666"/>
      <c r="P160" s="667"/>
      <c r="Q160" s="667"/>
      <c r="R160" s="667"/>
      <c r="S160" s="667"/>
      <c r="T160" s="549"/>
      <c r="U160" s="571"/>
      <c r="V160" s="549">
        <v>3</v>
      </c>
      <c r="W160" s="549">
        <v>3</v>
      </c>
      <c r="X160" s="549">
        <v>3</v>
      </c>
      <c r="Y160" s="549">
        <v>3</v>
      </c>
      <c r="Z160" s="670" t="s">
        <v>1238</v>
      </c>
      <c r="AA160" s="538">
        <v>2540000000</v>
      </c>
      <c r="AB160" s="775" t="s">
        <v>1237</v>
      </c>
      <c r="AC160" s="542"/>
      <c r="AD160" s="656">
        <v>0</v>
      </c>
      <c r="AE160" s="656">
        <v>0</v>
      </c>
      <c r="AF160" s="543">
        <v>0</v>
      </c>
      <c r="AG160" s="543">
        <v>106</v>
      </c>
      <c r="AH160" s="536">
        <f t="shared" si="4"/>
        <v>2360120241</v>
      </c>
      <c r="AI160" s="668">
        <v>0</v>
      </c>
      <c r="AJ160" s="536">
        <v>0</v>
      </c>
      <c r="AK160" s="536">
        <v>0</v>
      </c>
      <c r="AL160" s="888">
        <v>2360120241</v>
      </c>
      <c r="AM160" s="536">
        <f t="shared" si="3"/>
        <v>1346779504</v>
      </c>
      <c r="AN160" s="536">
        <v>0</v>
      </c>
      <c r="AO160" s="536">
        <v>0</v>
      </c>
      <c r="AP160" s="536">
        <v>0</v>
      </c>
      <c r="AQ160" s="885">
        <v>1346779504</v>
      </c>
    </row>
    <row r="161" spans="1:44" ht="105" customHeight="1" x14ac:dyDescent="0.25">
      <c r="A161" s="242" t="s">
        <v>1167</v>
      </c>
      <c r="B161" s="244" t="s">
        <v>65</v>
      </c>
      <c r="C161" s="244" t="s">
        <v>846</v>
      </c>
      <c r="D161" s="243" t="s">
        <v>982</v>
      </c>
      <c r="E161" s="731" t="s">
        <v>1251</v>
      </c>
      <c r="F161" s="427" t="s">
        <v>1168</v>
      </c>
      <c r="G161" s="243" t="s">
        <v>984</v>
      </c>
      <c r="H161" s="243" t="s">
        <v>988</v>
      </c>
      <c r="I161" s="245" t="s">
        <v>998</v>
      </c>
      <c r="J161" s="243" t="s">
        <v>1139</v>
      </c>
      <c r="K161" s="246" t="s">
        <v>1088</v>
      </c>
      <c r="L161" s="645">
        <v>1320800000</v>
      </c>
      <c r="M161" s="910" t="s">
        <v>1219</v>
      </c>
      <c r="N161" s="556" t="s">
        <v>212</v>
      </c>
      <c r="O161" s="555" t="s">
        <v>1196</v>
      </c>
      <c r="P161" s="671" t="s">
        <v>1197</v>
      </c>
      <c r="Q161" s="671" t="s">
        <v>1184</v>
      </c>
      <c r="R161" s="671" t="s">
        <v>1183</v>
      </c>
      <c r="S161" s="671"/>
      <c r="T161" s="539" t="s">
        <v>166</v>
      </c>
      <c r="U161" s="228">
        <v>115</v>
      </c>
      <c r="V161" s="539">
        <v>0</v>
      </c>
      <c r="W161" s="539">
        <v>115</v>
      </c>
      <c r="X161" s="539">
        <v>0</v>
      </c>
      <c r="Y161" s="539">
        <v>0</v>
      </c>
      <c r="Z161" s="670" t="s">
        <v>672</v>
      </c>
      <c r="AA161" s="645">
        <v>1320800000</v>
      </c>
      <c r="AB161" s="775" t="s">
        <v>867</v>
      </c>
      <c r="AC161" s="542"/>
      <c r="AD161" s="623">
        <v>0</v>
      </c>
      <c r="AE161" s="623">
        <v>115</v>
      </c>
      <c r="AF161" s="543">
        <v>0</v>
      </c>
      <c r="AG161" s="543">
        <v>0</v>
      </c>
      <c r="AH161" s="536">
        <f t="shared" si="4"/>
        <v>1320800000</v>
      </c>
      <c r="AI161" s="645">
        <v>1320800000</v>
      </c>
      <c r="AJ161" s="536">
        <v>0</v>
      </c>
      <c r="AK161" s="536">
        <v>0</v>
      </c>
      <c r="AL161" s="537">
        <v>0</v>
      </c>
      <c r="AM161" s="536">
        <f t="shared" si="3"/>
        <v>1320800000</v>
      </c>
      <c r="AN161" s="645">
        <v>1320800000</v>
      </c>
      <c r="AO161" s="536">
        <v>0</v>
      </c>
      <c r="AP161" s="536">
        <v>0</v>
      </c>
      <c r="AQ161" s="536">
        <v>0</v>
      </c>
    </row>
    <row r="162" spans="1:44" ht="105" customHeight="1" x14ac:dyDescent="0.25">
      <c r="A162" s="221" t="s">
        <v>892</v>
      </c>
      <c r="B162" s="222" t="s">
        <v>65</v>
      </c>
      <c r="C162" s="222" t="s">
        <v>846</v>
      </c>
      <c r="D162" s="218" t="s">
        <v>982</v>
      </c>
      <c r="E162" s="731" t="s">
        <v>1251</v>
      </c>
      <c r="F162" s="427" t="s">
        <v>254</v>
      </c>
      <c r="G162" s="218" t="s">
        <v>984</v>
      </c>
      <c r="H162" s="218" t="s">
        <v>988</v>
      </c>
      <c r="I162" s="215" t="s">
        <v>998</v>
      </c>
      <c r="J162" s="218" t="s">
        <v>1139</v>
      </c>
      <c r="K162" s="226" t="s">
        <v>1088</v>
      </c>
      <c r="L162" s="645">
        <v>0</v>
      </c>
      <c r="M162" s="910" t="s">
        <v>486</v>
      </c>
      <c r="N162" s="556" t="s">
        <v>156</v>
      </c>
      <c r="O162" s="555" t="s">
        <v>1156</v>
      </c>
      <c r="P162" s="555" t="s">
        <v>831</v>
      </c>
      <c r="Q162" s="555"/>
      <c r="R162" s="555"/>
      <c r="S162" s="555"/>
      <c r="T162" s="540" t="s">
        <v>166</v>
      </c>
      <c r="U162" s="545">
        <v>12</v>
      </c>
      <c r="V162" s="540">
        <v>3</v>
      </c>
      <c r="W162" s="540">
        <v>3</v>
      </c>
      <c r="X162" s="540">
        <v>3</v>
      </c>
      <c r="Y162" s="540">
        <v>3</v>
      </c>
      <c r="Z162" s="540"/>
      <c r="AA162" s="645">
        <v>0</v>
      </c>
      <c r="AB162" s="775">
        <v>0</v>
      </c>
      <c r="AC162" s="540"/>
      <c r="AD162" s="543">
        <v>3</v>
      </c>
      <c r="AE162" s="543">
        <v>3</v>
      </c>
      <c r="AF162" s="543">
        <v>3</v>
      </c>
      <c r="AG162" s="543">
        <v>2</v>
      </c>
      <c r="AH162" s="536">
        <f t="shared" si="4"/>
        <v>0</v>
      </c>
      <c r="AI162" s="536">
        <v>0</v>
      </c>
      <c r="AJ162" s="536">
        <v>0</v>
      </c>
      <c r="AK162" s="536">
        <v>0</v>
      </c>
      <c r="AL162" s="536">
        <v>0</v>
      </c>
      <c r="AM162" s="536">
        <f t="shared" ref="AM162:AM225" si="5">AN162+AO162+AP162+AQ162</f>
        <v>0</v>
      </c>
      <c r="AN162" s="536">
        <v>0</v>
      </c>
      <c r="AO162" s="536">
        <v>0</v>
      </c>
      <c r="AP162" s="536">
        <v>0</v>
      </c>
      <c r="AQ162" s="536">
        <v>0</v>
      </c>
    </row>
    <row r="163" spans="1:44" ht="105" customHeight="1" x14ac:dyDescent="0.25">
      <c r="A163" s="116" t="s">
        <v>892</v>
      </c>
      <c r="B163" s="162" t="s">
        <v>65</v>
      </c>
      <c r="C163" s="428" t="s">
        <v>846</v>
      </c>
      <c r="D163" s="378" t="s">
        <v>982</v>
      </c>
      <c r="E163" s="731" t="s">
        <v>1251</v>
      </c>
      <c r="F163" s="394" t="s">
        <v>254</v>
      </c>
      <c r="G163" s="160" t="s">
        <v>984</v>
      </c>
      <c r="H163" s="160" t="s">
        <v>988</v>
      </c>
      <c r="I163" s="158" t="s">
        <v>998</v>
      </c>
      <c r="J163" s="160" t="s">
        <v>1138</v>
      </c>
      <c r="K163" s="392" t="s">
        <v>1086</v>
      </c>
      <c r="L163" s="672">
        <v>6000000</v>
      </c>
      <c r="M163" s="901" t="s">
        <v>487</v>
      </c>
      <c r="N163" s="568" t="s">
        <v>156</v>
      </c>
      <c r="O163" s="585" t="s">
        <v>1151</v>
      </c>
      <c r="P163" s="408"/>
      <c r="Q163" s="408"/>
      <c r="R163" s="408"/>
      <c r="S163" s="408"/>
      <c r="T163" s="549" t="s">
        <v>166</v>
      </c>
      <c r="U163" s="571">
        <v>4</v>
      </c>
      <c r="V163" s="549">
        <v>4</v>
      </c>
      <c r="W163" s="549">
        <v>0</v>
      </c>
      <c r="X163" s="549">
        <v>0</v>
      </c>
      <c r="Y163" s="549">
        <v>0</v>
      </c>
      <c r="Z163" s="669" t="s">
        <v>674</v>
      </c>
      <c r="AA163" s="672">
        <v>6000000</v>
      </c>
      <c r="AB163" s="775" t="s">
        <v>190</v>
      </c>
      <c r="AC163" s="632" t="s">
        <v>623</v>
      </c>
      <c r="AD163" s="551">
        <v>4</v>
      </c>
      <c r="AE163" s="551">
        <v>0</v>
      </c>
      <c r="AF163" s="543">
        <v>0</v>
      </c>
      <c r="AG163" s="543">
        <v>0</v>
      </c>
      <c r="AH163" s="536">
        <f t="shared" si="4"/>
        <v>0</v>
      </c>
      <c r="AI163" s="536">
        <v>0</v>
      </c>
      <c r="AJ163" s="536">
        <v>0</v>
      </c>
      <c r="AK163" s="536">
        <v>0</v>
      </c>
      <c r="AL163" s="536">
        <v>0</v>
      </c>
      <c r="AM163" s="536">
        <f t="shared" si="5"/>
        <v>0</v>
      </c>
      <c r="AN163" s="536">
        <v>0</v>
      </c>
      <c r="AO163" s="536">
        <v>0</v>
      </c>
      <c r="AP163" s="536">
        <v>0</v>
      </c>
      <c r="AQ163" s="536">
        <v>0</v>
      </c>
    </row>
    <row r="164" spans="1:44" ht="105" customHeight="1" x14ac:dyDescent="0.25">
      <c r="A164" s="116" t="s">
        <v>892</v>
      </c>
      <c r="B164" s="162" t="s">
        <v>65</v>
      </c>
      <c r="C164" s="428" t="s">
        <v>846</v>
      </c>
      <c r="D164" s="378" t="s">
        <v>982</v>
      </c>
      <c r="E164" s="731" t="s">
        <v>1251</v>
      </c>
      <c r="F164" s="394" t="s">
        <v>254</v>
      </c>
      <c r="G164" s="160" t="s">
        <v>984</v>
      </c>
      <c r="H164" s="160" t="s">
        <v>988</v>
      </c>
      <c r="I164" s="158" t="s">
        <v>998</v>
      </c>
      <c r="J164" s="160" t="s">
        <v>1138</v>
      </c>
      <c r="K164" s="392" t="s">
        <v>1086</v>
      </c>
      <c r="L164" s="532">
        <v>907063000</v>
      </c>
      <c r="M164" s="901" t="s">
        <v>487</v>
      </c>
      <c r="N164" s="568" t="s">
        <v>156</v>
      </c>
      <c r="O164" s="585" t="s">
        <v>1151</v>
      </c>
      <c r="P164" s="587"/>
      <c r="Q164" s="587"/>
      <c r="R164" s="587"/>
      <c r="S164" s="587"/>
      <c r="T164" s="549" t="s">
        <v>166</v>
      </c>
      <c r="U164" s="571">
        <v>4</v>
      </c>
      <c r="V164" s="549">
        <v>4</v>
      </c>
      <c r="W164" s="549">
        <v>0</v>
      </c>
      <c r="X164" s="549">
        <v>0</v>
      </c>
      <c r="Y164" s="549">
        <v>0</v>
      </c>
      <c r="Z164" s="669" t="s">
        <v>675</v>
      </c>
      <c r="AA164" s="532">
        <v>907063000</v>
      </c>
      <c r="AB164" s="775" t="s">
        <v>867</v>
      </c>
      <c r="AC164" s="542" t="s">
        <v>868</v>
      </c>
      <c r="AD164" s="551">
        <v>4</v>
      </c>
      <c r="AE164" s="551">
        <v>0</v>
      </c>
      <c r="AF164" s="543">
        <v>0</v>
      </c>
      <c r="AG164" s="543">
        <v>0</v>
      </c>
      <c r="AH164" s="536">
        <f t="shared" si="4"/>
        <v>839402299</v>
      </c>
      <c r="AI164" s="668">
        <v>617914720</v>
      </c>
      <c r="AJ164" s="668">
        <f>638787660-AI164</f>
        <v>20872940</v>
      </c>
      <c r="AK164" s="894">
        <f>839402299-AI164-AJ164</f>
        <v>200614639</v>
      </c>
      <c r="AL164" s="536">
        <v>0</v>
      </c>
      <c r="AM164" s="536">
        <f t="shared" si="5"/>
        <v>839402299</v>
      </c>
      <c r="AN164" s="573">
        <v>231466147</v>
      </c>
      <c r="AO164" s="573">
        <f>374347545-AN164</f>
        <v>142881398</v>
      </c>
      <c r="AP164" s="574">
        <f>634822542-AN164-AO164</f>
        <v>260474997</v>
      </c>
      <c r="AQ164" s="574">
        <f>839402299-AN164-AO164-AP164</f>
        <v>204579757</v>
      </c>
    </row>
    <row r="165" spans="1:44" ht="105" customHeight="1" x14ac:dyDescent="0.25">
      <c r="A165" s="116" t="s">
        <v>893</v>
      </c>
      <c r="B165" s="162" t="s">
        <v>258</v>
      </c>
      <c r="C165" s="428" t="s">
        <v>846</v>
      </c>
      <c r="D165" s="451" t="s">
        <v>935</v>
      </c>
      <c r="E165" s="731" t="s">
        <v>1251</v>
      </c>
      <c r="F165" s="397" t="s">
        <v>256</v>
      </c>
      <c r="G165" s="160" t="s">
        <v>936</v>
      </c>
      <c r="H165" s="160" t="s">
        <v>937</v>
      </c>
      <c r="I165" s="158" t="s">
        <v>942</v>
      </c>
      <c r="J165" s="160" t="s">
        <v>943</v>
      </c>
      <c r="K165" s="495" t="s">
        <v>1089</v>
      </c>
      <c r="L165" s="777">
        <v>126980000</v>
      </c>
      <c r="M165" s="901" t="s">
        <v>229</v>
      </c>
      <c r="N165" s="568" t="s">
        <v>156</v>
      </c>
      <c r="O165" s="585" t="s">
        <v>1151</v>
      </c>
      <c r="P165" s="408"/>
      <c r="Q165" s="408"/>
      <c r="R165" s="408"/>
      <c r="S165" s="408"/>
      <c r="T165" s="549" t="s">
        <v>166</v>
      </c>
      <c r="U165" s="549">
        <v>12</v>
      </c>
      <c r="V165" s="571">
        <v>3</v>
      </c>
      <c r="W165" s="571">
        <v>3</v>
      </c>
      <c r="X165" s="571">
        <v>3</v>
      </c>
      <c r="Y165" s="571">
        <v>3</v>
      </c>
      <c r="Z165" s="632" t="s">
        <v>677</v>
      </c>
      <c r="AA165" s="777">
        <v>126980000</v>
      </c>
      <c r="AB165" s="775" t="s">
        <v>867</v>
      </c>
      <c r="AC165" s="542" t="s">
        <v>868</v>
      </c>
      <c r="AD165" s="551">
        <v>3</v>
      </c>
      <c r="AE165" s="551">
        <v>3</v>
      </c>
      <c r="AF165" s="543">
        <v>3</v>
      </c>
      <c r="AG165" s="543">
        <v>3</v>
      </c>
      <c r="AH165" s="536">
        <f t="shared" si="4"/>
        <v>126980000</v>
      </c>
      <c r="AI165" s="673">
        <v>31745000</v>
      </c>
      <c r="AJ165" s="674">
        <f>63490000-AI165</f>
        <v>31745000</v>
      </c>
      <c r="AK165" s="674">
        <f>115217321-AI165-AJ165</f>
        <v>51727321</v>
      </c>
      <c r="AL165" s="536">
        <f>126980000-AI165-AJ165-AK165</f>
        <v>11762679</v>
      </c>
      <c r="AM165" s="536">
        <f t="shared" si="5"/>
        <v>126980000</v>
      </c>
      <c r="AN165" s="573">
        <v>31745000</v>
      </c>
      <c r="AO165" s="573">
        <f>63490000-AN165</f>
        <v>31745000</v>
      </c>
      <c r="AP165" s="536">
        <f>95235000-AN165-AO165</f>
        <v>31745000</v>
      </c>
      <c r="AQ165" s="531">
        <f>126980000-AN165-AO165-AP165</f>
        <v>31745000</v>
      </c>
    </row>
    <row r="166" spans="1:44" ht="105" customHeight="1" x14ac:dyDescent="0.25">
      <c r="A166" s="116" t="s">
        <v>893</v>
      </c>
      <c r="B166" s="162" t="s">
        <v>258</v>
      </c>
      <c r="C166" s="428" t="s">
        <v>846</v>
      </c>
      <c r="D166" s="451" t="s">
        <v>935</v>
      </c>
      <c r="E166" s="731" t="s">
        <v>1251</v>
      </c>
      <c r="F166" s="397" t="s">
        <v>256</v>
      </c>
      <c r="G166" s="160" t="s">
        <v>936</v>
      </c>
      <c r="H166" s="160" t="s">
        <v>937</v>
      </c>
      <c r="I166" s="158" t="s">
        <v>942</v>
      </c>
      <c r="J166" s="160" t="s">
        <v>943</v>
      </c>
      <c r="K166" s="495" t="s">
        <v>1089</v>
      </c>
      <c r="L166" s="777">
        <v>8000000</v>
      </c>
      <c r="M166" s="901" t="s">
        <v>229</v>
      </c>
      <c r="N166" s="568" t="s">
        <v>156</v>
      </c>
      <c r="O166" s="585" t="s">
        <v>1151</v>
      </c>
      <c r="P166" s="587"/>
      <c r="Q166" s="587"/>
      <c r="R166" s="587"/>
      <c r="S166" s="587"/>
      <c r="T166" s="549" t="s">
        <v>166</v>
      </c>
      <c r="U166" s="549">
        <v>12</v>
      </c>
      <c r="V166" s="571">
        <v>3</v>
      </c>
      <c r="W166" s="571">
        <v>3</v>
      </c>
      <c r="X166" s="571">
        <v>3</v>
      </c>
      <c r="Y166" s="571">
        <v>3</v>
      </c>
      <c r="Z166" s="629" t="s">
        <v>676</v>
      </c>
      <c r="AA166" s="777">
        <v>8000000</v>
      </c>
      <c r="AB166" s="775" t="s">
        <v>190</v>
      </c>
      <c r="AC166" s="540" t="s">
        <v>190</v>
      </c>
      <c r="AD166" s="551">
        <v>3</v>
      </c>
      <c r="AE166" s="551">
        <v>3</v>
      </c>
      <c r="AF166" s="543">
        <v>3</v>
      </c>
      <c r="AG166" s="543">
        <v>3</v>
      </c>
      <c r="AH166" s="536">
        <f t="shared" si="4"/>
        <v>1572850</v>
      </c>
      <c r="AI166" s="675">
        <v>1572850</v>
      </c>
      <c r="AJ166" s="536">
        <v>0</v>
      </c>
      <c r="AK166" s="536">
        <v>0</v>
      </c>
      <c r="AL166" s="536">
        <v>0</v>
      </c>
      <c r="AM166" s="536">
        <f t="shared" si="5"/>
        <v>1572850</v>
      </c>
      <c r="AN166" s="573">
        <v>1332982</v>
      </c>
      <c r="AO166" s="573">
        <f>1570694-AN166</f>
        <v>237712</v>
      </c>
      <c r="AP166" s="536">
        <f>1572850-AN166-AO166</f>
        <v>2156</v>
      </c>
      <c r="AQ166" s="536">
        <v>0</v>
      </c>
    </row>
    <row r="167" spans="1:44" ht="105" customHeight="1" x14ac:dyDescent="0.25">
      <c r="A167" s="221" t="s">
        <v>893</v>
      </c>
      <c r="B167" s="222" t="s">
        <v>258</v>
      </c>
      <c r="C167" s="222" t="s">
        <v>846</v>
      </c>
      <c r="D167" s="76" t="s">
        <v>933</v>
      </c>
      <c r="E167" s="731" t="s">
        <v>1251</v>
      </c>
      <c r="F167" s="419" t="s">
        <v>256</v>
      </c>
      <c r="G167" s="218" t="s">
        <v>936</v>
      </c>
      <c r="H167" s="218" t="s">
        <v>937</v>
      </c>
      <c r="I167" s="215" t="s">
        <v>942</v>
      </c>
      <c r="J167" s="218" t="s">
        <v>943</v>
      </c>
      <c r="K167" s="254" t="s">
        <v>1089</v>
      </c>
      <c r="L167" s="777">
        <v>400000000</v>
      </c>
      <c r="M167" s="900" t="s">
        <v>502</v>
      </c>
      <c r="N167" s="556" t="s">
        <v>156</v>
      </c>
      <c r="O167" s="228" t="s">
        <v>592</v>
      </c>
      <c r="P167" s="228"/>
      <c r="Q167" s="228" t="s">
        <v>831</v>
      </c>
      <c r="R167" s="228"/>
      <c r="S167" s="228"/>
      <c r="T167" s="540" t="s">
        <v>166</v>
      </c>
      <c r="U167" s="540">
        <v>300</v>
      </c>
      <c r="V167" s="545">
        <v>50</v>
      </c>
      <c r="W167" s="545">
        <v>100</v>
      </c>
      <c r="X167" s="545">
        <v>100</v>
      </c>
      <c r="Y167" s="545">
        <v>50</v>
      </c>
      <c r="Z167" s="676" t="s">
        <v>678</v>
      </c>
      <c r="AA167" s="777">
        <v>400000000</v>
      </c>
      <c r="AB167" s="775" t="s">
        <v>867</v>
      </c>
      <c r="AC167" s="542" t="s">
        <v>868</v>
      </c>
      <c r="AD167" s="543">
        <v>10</v>
      </c>
      <c r="AE167" s="543">
        <v>5</v>
      </c>
      <c r="AF167" s="543">
        <v>100</v>
      </c>
      <c r="AG167" s="543">
        <v>60</v>
      </c>
      <c r="AH167" s="536">
        <f t="shared" si="4"/>
        <v>358422475</v>
      </c>
      <c r="AI167" s="536">
        <v>0</v>
      </c>
      <c r="AJ167" s="536">
        <v>0</v>
      </c>
      <c r="AK167" s="532">
        <v>278956292</v>
      </c>
      <c r="AL167" s="896">
        <f>338956292-AK167+19466183</f>
        <v>79466183</v>
      </c>
      <c r="AM167" s="536">
        <f t="shared" si="5"/>
        <v>358422475</v>
      </c>
      <c r="AN167" s="536">
        <v>0</v>
      </c>
      <c r="AO167" s="536">
        <v>0</v>
      </c>
      <c r="AP167" s="536">
        <v>0</v>
      </c>
      <c r="AQ167" s="537">
        <f>358421713+762</f>
        <v>358422475</v>
      </c>
    </row>
    <row r="168" spans="1:44" ht="105" customHeight="1" x14ac:dyDescent="0.25">
      <c r="A168" s="221" t="s">
        <v>893</v>
      </c>
      <c r="B168" s="222" t="s">
        <v>258</v>
      </c>
      <c r="C168" s="222" t="s">
        <v>846</v>
      </c>
      <c r="D168" s="76" t="s">
        <v>933</v>
      </c>
      <c r="E168" s="731" t="s">
        <v>1251</v>
      </c>
      <c r="F168" s="419" t="s">
        <v>256</v>
      </c>
      <c r="G168" s="218" t="s">
        <v>936</v>
      </c>
      <c r="H168" s="218" t="s">
        <v>938</v>
      </c>
      <c r="I168" s="215" t="s">
        <v>942</v>
      </c>
      <c r="J168" s="218" t="s">
        <v>943</v>
      </c>
      <c r="K168" s="254" t="s">
        <v>1089</v>
      </c>
      <c r="L168" s="777">
        <v>100000000</v>
      </c>
      <c r="M168" s="900" t="s">
        <v>504</v>
      </c>
      <c r="N168" s="556" t="s">
        <v>156</v>
      </c>
      <c r="O168" s="228" t="s">
        <v>572</v>
      </c>
      <c r="P168" s="228"/>
      <c r="Q168" s="228" t="s">
        <v>831</v>
      </c>
      <c r="R168" s="228"/>
      <c r="S168" s="228"/>
      <c r="T168" s="540" t="s">
        <v>166</v>
      </c>
      <c r="U168" s="540">
        <v>50</v>
      </c>
      <c r="V168" s="545">
        <v>0</v>
      </c>
      <c r="W168" s="545">
        <v>10</v>
      </c>
      <c r="X168" s="545">
        <v>20</v>
      </c>
      <c r="Y168" s="545">
        <v>20</v>
      </c>
      <c r="Z168" s="676" t="s">
        <v>678</v>
      </c>
      <c r="AA168" s="777">
        <v>100000000</v>
      </c>
      <c r="AB168" s="775" t="s">
        <v>867</v>
      </c>
      <c r="AC168" s="542" t="s">
        <v>868</v>
      </c>
      <c r="AD168" s="543">
        <v>0</v>
      </c>
      <c r="AE168" s="543">
        <v>5</v>
      </c>
      <c r="AF168" s="543">
        <v>5</v>
      </c>
      <c r="AG168" s="543">
        <v>20</v>
      </c>
      <c r="AH168" s="536">
        <f t="shared" si="4"/>
        <v>100000000</v>
      </c>
      <c r="AI168" s="536">
        <v>0</v>
      </c>
      <c r="AJ168" s="536">
        <v>0</v>
      </c>
      <c r="AK168" s="532">
        <v>100000000</v>
      </c>
      <c r="AL168" s="532"/>
      <c r="AM168" s="536">
        <f t="shared" si="5"/>
        <v>100000000</v>
      </c>
      <c r="AN168" s="536">
        <v>0</v>
      </c>
      <c r="AO168" s="536">
        <v>0</v>
      </c>
      <c r="AP168" s="536">
        <v>0</v>
      </c>
      <c r="AQ168" s="645">
        <v>100000000</v>
      </c>
    </row>
    <row r="169" spans="1:44" ht="105" customHeight="1" x14ac:dyDescent="0.25">
      <c r="A169" s="221" t="s">
        <v>893</v>
      </c>
      <c r="B169" s="222" t="s">
        <v>258</v>
      </c>
      <c r="C169" s="222" t="s">
        <v>846</v>
      </c>
      <c r="D169" s="76" t="s">
        <v>934</v>
      </c>
      <c r="E169" s="731" t="s">
        <v>1251</v>
      </c>
      <c r="F169" s="419" t="s">
        <v>256</v>
      </c>
      <c r="G169" s="218" t="s">
        <v>936</v>
      </c>
      <c r="H169" s="218" t="s">
        <v>939</v>
      </c>
      <c r="I169" s="215" t="s">
        <v>942</v>
      </c>
      <c r="J169" s="218" t="s">
        <v>943</v>
      </c>
      <c r="K169" s="253" t="s">
        <v>1089</v>
      </c>
      <c r="L169" s="751">
        <v>553956292</v>
      </c>
      <c r="M169" s="900" t="s">
        <v>505</v>
      </c>
      <c r="N169" s="556" t="s">
        <v>156</v>
      </c>
      <c r="O169" s="228" t="s">
        <v>1157</v>
      </c>
      <c r="P169" s="228"/>
      <c r="Q169" s="228" t="s">
        <v>831</v>
      </c>
      <c r="R169" s="228"/>
      <c r="S169" s="228"/>
      <c r="T169" s="540" t="s">
        <v>166</v>
      </c>
      <c r="U169" s="540">
        <v>150</v>
      </c>
      <c r="V169" s="545">
        <v>0</v>
      </c>
      <c r="W169" s="545">
        <v>50</v>
      </c>
      <c r="X169" s="545">
        <v>50</v>
      </c>
      <c r="Y169" s="545">
        <v>50</v>
      </c>
      <c r="Z169" s="677" t="s">
        <v>678</v>
      </c>
      <c r="AA169" s="751">
        <v>553956292</v>
      </c>
      <c r="AB169" s="775" t="s">
        <v>867</v>
      </c>
      <c r="AC169" s="542" t="s">
        <v>868</v>
      </c>
      <c r="AD169" s="543">
        <v>0</v>
      </c>
      <c r="AE169" s="543">
        <v>30</v>
      </c>
      <c r="AF169" s="543">
        <v>40</v>
      </c>
      <c r="AG169" s="543">
        <v>80</v>
      </c>
      <c r="AH169" s="536">
        <f t="shared" si="4"/>
        <v>530533817</v>
      </c>
      <c r="AI169" s="536">
        <v>0</v>
      </c>
      <c r="AJ169" s="536">
        <v>0</v>
      </c>
      <c r="AK169" s="532">
        <v>200000000</v>
      </c>
      <c r="AL169" s="898">
        <f>350000000-19466183</f>
        <v>330533817</v>
      </c>
      <c r="AM169" s="536">
        <f t="shared" si="5"/>
        <v>530533817</v>
      </c>
      <c r="AN169" s="536">
        <v>0</v>
      </c>
      <c r="AO169" s="536">
        <v>0</v>
      </c>
      <c r="AP169" s="536">
        <v>0</v>
      </c>
      <c r="AQ169" s="906">
        <f>524999238+AR170</f>
        <v>530533817</v>
      </c>
    </row>
    <row r="170" spans="1:44" ht="105" customHeight="1" x14ac:dyDescent="0.25">
      <c r="A170" s="236" t="s">
        <v>893</v>
      </c>
      <c r="B170" s="222" t="s">
        <v>258</v>
      </c>
      <c r="C170" s="222" t="s">
        <v>846</v>
      </c>
      <c r="D170" s="76" t="s">
        <v>935</v>
      </c>
      <c r="E170" s="731" t="s">
        <v>1251</v>
      </c>
      <c r="F170" s="419" t="s">
        <v>256</v>
      </c>
      <c r="G170" s="218" t="s">
        <v>936</v>
      </c>
      <c r="H170" s="218" t="s">
        <v>940</v>
      </c>
      <c r="I170" s="228" t="s">
        <v>942</v>
      </c>
      <c r="J170" s="218" t="s">
        <v>943</v>
      </c>
      <c r="K170" s="253" t="s">
        <v>1089</v>
      </c>
      <c r="L170" s="777">
        <v>150000000</v>
      </c>
      <c r="M170" s="900" t="s">
        <v>506</v>
      </c>
      <c r="N170" s="556" t="s">
        <v>156</v>
      </c>
      <c r="O170" s="228" t="s">
        <v>572</v>
      </c>
      <c r="P170" s="228"/>
      <c r="Q170" s="228" t="s">
        <v>831</v>
      </c>
      <c r="R170" s="228"/>
      <c r="S170" s="228"/>
      <c r="T170" s="540" t="s">
        <v>166</v>
      </c>
      <c r="U170" s="540">
        <v>50</v>
      </c>
      <c r="V170" s="545">
        <v>0</v>
      </c>
      <c r="W170" s="545">
        <v>0</v>
      </c>
      <c r="X170" s="545">
        <v>25</v>
      </c>
      <c r="Y170" s="545">
        <v>25</v>
      </c>
      <c r="Z170" s="676" t="s">
        <v>678</v>
      </c>
      <c r="AA170" s="777">
        <v>150000000</v>
      </c>
      <c r="AB170" s="775" t="s">
        <v>867</v>
      </c>
      <c r="AC170" s="542" t="s">
        <v>868</v>
      </c>
      <c r="AD170" s="543">
        <v>0</v>
      </c>
      <c r="AE170" s="543">
        <v>5</v>
      </c>
      <c r="AF170" s="543">
        <v>15</v>
      </c>
      <c r="AG170" s="543">
        <v>30</v>
      </c>
      <c r="AH170" s="536">
        <f t="shared" si="4"/>
        <v>144465421</v>
      </c>
      <c r="AI170" s="536">
        <v>0</v>
      </c>
      <c r="AJ170" s="536">
        <v>0</v>
      </c>
      <c r="AK170" s="536">
        <v>0</v>
      </c>
      <c r="AL170" s="886">
        <v>144465421</v>
      </c>
      <c r="AM170" s="536">
        <f t="shared" si="5"/>
        <v>144465421</v>
      </c>
      <c r="AN170" s="536">
        <v>0</v>
      </c>
      <c r="AO170" s="536">
        <v>0</v>
      </c>
      <c r="AP170" s="536">
        <v>0</v>
      </c>
      <c r="AQ170" s="906">
        <f>150000000-AR170</f>
        <v>144465421</v>
      </c>
      <c r="AR170" s="331">
        <v>5534579</v>
      </c>
    </row>
    <row r="171" spans="1:44" ht="105" customHeight="1" x14ac:dyDescent="0.25">
      <c r="A171" s="236" t="s">
        <v>893</v>
      </c>
      <c r="B171" s="222" t="s">
        <v>258</v>
      </c>
      <c r="C171" s="222" t="s">
        <v>846</v>
      </c>
      <c r="D171" s="76" t="s">
        <v>935</v>
      </c>
      <c r="E171" s="731" t="s">
        <v>1251</v>
      </c>
      <c r="F171" s="419" t="s">
        <v>256</v>
      </c>
      <c r="G171" s="218" t="s">
        <v>936</v>
      </c>
      <c r="H171" s="218" t="s">
        <v>941</v>
      </c>
      <c r="I171" s="228" t="s">
        <v>942</v>
      </c>
      <c r="J171" s="218" t="s">
        <v>943</v>
      </c>
      <c r="K171" s="253" t="s">
        <v>1089</v>
      </c>
      <c r="L171" s="777">
        <v>50000000</v>
      </c>
      <c r="M171" s="900" t="s">
        <v>507</v>
      </c>
      <c r="N171" s="556" t="s">
        <v>156</v>
      </c>
      <c r="O171" s="228" t="s">
        <v>587</v>
      </c>
      <c r="P171" s="228"/>
      <c r="Q171" s="228" t="s">
        <v>831</v>
      </c>
      <c r="R171" s="228"/>
      <c r="S171" s="228"/>
      <c r="T171" s="540" t="s">
        <v>166</v>
      </c>
      <c r="U171" s="545">
        <v>2</v>
      </c>
      <c r="V171" s="545">
        <v>0</v>
      </c>
      <c r="W171" s="545">
        <v>1</v>
      </c>
      <c r="X171" s="545">
        <v>1</v>
      </c>
      <c r="Y171" s="545">
        <v>0</v>
      </c>
      <c r="Z171" s="676" t="s">
        <v>678</v>
      </c>
      <c r="AA171" s="777">
        <v>50000000</v>
      </c>
      <c r="AB171" s="775" t="s">
        <v>867</v>
      </c>
      <c r="AC171" s="542" t="s">
        <v>868</v>
      </c>
      <c r="AD171" s="543">
        <v>0</v>
      </c>
      <c r="AE171" s="543">
        <v>0</v>
      </c>
      <c r="AF171" s="543">
        <v>0</v>
      </c>
      <c r="AG171" s="543">
        <v>2</v>
      </c>
      <c r="AH171" s="536">
        <f t="shared" si="4"/>
        <v>50000000</v>
      </c>
      <c r="AI171" s="536">
        <v>0</v>
      </c>
      <c r="AJ171" s="536">
        <v>0</v>
      </c>
      <c r="AK171" s="536"/>
      <c r="AL171" s="536">
        <v>50000000</v>
      </c>
      <c r="AM171" s="536">
        <f t="shared" si="5"/>
        <v>50000000</v>
      </c>
      <c r="AN171" s="536">
        <v>0</v>
      </c>
      <c r="AO171" s="536">
        <v>0</v>
      </c>
      <c r="AP171" s="536">
        <v>0</v>
      </c>
      <c r="AQ171" s="645">
        <v>50000000</v>
      </c>
    </row>
    <row r="172" spans="1:44" ht="105" customHeight="1" x14ac:dyDescent="0.25">
      <c r="A172" s="236" t="s">
        <v>893</v>
      </c>
      <c r="B172" s="222" t="s">
        <v>258</v>
      </c>
      <c r="C172" s="222" t="s">
        <v>846</v>
      </c>
      <c r="D172" s="76" t="s">
        <v>935</v>
      </c>
      <c r="E172" s="731" t="s">
        <v>1251</v>
      </c>
      <c r="F172" s="419" t="s">
        <v>256</v>
      </c>
      <c r="G172" s="218" t="s">
        <v>936</v>
      </c>
      <c r="H172" s="218" t="s">
        <v>941</v>
      </c>
      <c r="I172" s="228" t="s">
        <v>942</v>
      </c>
      <c r="J172" s="218" t="s">
        <v>943</v>
      </c>
      <c r="K172" s="253" t="s">
        <v>1089</v>
      </c>
      <c r="L172" s="777">
        <v>466680000</v>
      </c>
      <c r="M172" s="900" t="s">
        <v>181</v>
      </c>
      <c r="N172" s="556" t="s">
        <v>156</v>
      </c>
      <c r="O172" s="228" t="s">
        <v>1152</v>
      </c>
      <c r="P172" s="228"/>
      <c r="Q172" s="228"/>
      <c r="R172" s="228"/>
      <c r="S172" s="228"/>
      <c r="T172" s="540" t="s">
        <v>166</v>
      </c>
      <c r="U172" s="540">
        <v>150</v>
      </c>
      <c r="V172" s="545">
        <v>0</v>
      </c>
      <c r="W172" s="545">
        <v>25</v>
      </c>
      <c r="X172" s="545">
        <v>100</v>
      </c>
      <c r="Y172" s="545">
        <v>25</v>
      </c>
      <c r="Z172" s="541" t="s">
        <v>679</v>
      </c>
      <c r="AA172" s="777">
        <v>466680000</v>
      </c>
      <c r="AB172" s="775" t="s">
        <v>867</v>
      </c>
      <c r="AC172" s="542" t="s">
        <v>868</v>
      </c>
      <c r="AD172" s="543">
        <v>0</v>
      </c>
      <c r="AE172" s="543">
        <v>15</v>
      </c>
      <c r="AF172" s="543">
        <v>80</v>
      </c>
      <c r="AG172" s="543">
        <v>55</v>
      </c>
      <c r="AH172" s="536">
        <f t="shared" si="4"/>
        <v>419843686</v>
      </c>
      <c r="AI172" s="674">
        <v>397796947</v>
      </c>
      <c r="AJ172" s="536">
        <v>0</v>
      </c>
      <c r="AK172" s="897">
        <f>419843686-AI172</f>
        <v>22046739</v>
      </c>
      <c r="AL172" s="536">
        <v>0</v>
      </c>
      <c r="AM172" s="536">
        <f t="shared" si="5"/>
        <v>419843686</v>
      </c>
      <c r="AN172" s="573">
        <v>77836091</v>
      </c>
      <c r="AO172" s="573">
        <f>189341761-AN172</f>
        <v>111505670</v>
      </c>
      <c r="AP172" s="536">
        <f>318230274-AN172-AO172</f>
        <v>128888513</v>
      </c>
      <c r="AQ172" s="537">
        <f>419843686-AN172-AO172-AP172</f>
        <v>101613412</v>
      </c>
    </row>
    <row r="173" spans="1:44" ht="105" customHeight="1" thickBot="1" x14ac:dyDescent="0.3">
      <c r="A173" s="236" t="s">
        <v>893</v>
      </c>
      <c r="B173" s="222" t="s">
        <v>258</v>
      </c>
      <c r="C173" s="222" t="s">
        <v>846</v>
      </c>
      <c r="D173" s="76" t="s">
        <v>934</v>
      </c>
      <c r="E173" s="731" t="s">
        <v>1251</v>
      </c>
      <c r="F173" s="419" t="s">
        <v>256</v>
      </c>
      <c r="G173" s="218" t="s">
        <v>936</v>
      </c>
      <c r="H173" s="218" t="s">
        <v>939</v>
      </c>
      <c r="I173" s="228" t="s">
        <v>942</v>
      </c>
      <c r="J173" s="218" t="s">
        <v>943</v>
      </c>
      <c r="K173" s="253" t="s">
        <v>1089</v>
      </c>
      <c r="L173" s="777">
        <v>40000000</v>
      </c>
      <c r="M173" s="900" t="s">
        <v>508</v>
      </c>
      <c r="N173" s="556" t="s">
        <v>154</v>
      </c>
      <c r="O173" s="228" t="s">
        <v>773</v>
      </c>
      <c r="P173" s="228" t="s">
        <v>1188</v>
      </c>
      <c r="Q173" s="228" t="s">
        <v>1181</v>
      </c>
      <c r="R173" s="228" t="s">
        <v>1183</v>
      </c>
      <c r="S173" s="228"/>
      <c r="T173" s="540" t="s">
        <v>166</v>
      </c>
      <c r="U173" s="540">
        <v>1</v>
      </c>
      <c r="V173" s="545">
        <v>0</v>
      </c>
      <c r="W173" s="545">
        <v>0</v>
      </c>
      <c r="X173" s="545">
        <v>0</v>
      </c>
      <c r="Y173" s="545">
        <v>1</v>
      </c>
      <c r="Z173" s="545" t="s">
        <v>680</v>
      </c>
      <c r="AA173" s="777">
        <v>40000000</v>
      </c>
      <c r="AB173" s="775" t="s">
        <v>867</v>
      </c>
      <c r="AC173" s="542" t="s">
        <v>868</v>
      </c>
      <c r="AD173" s="543">
        <v>0</v>
      </c>
      <c r="AE173" s="543">
        <v>0</v>
      </c>
      <c r="AF173" s="543">
        <v>0</v>
      </c>
      <c r="AG173" s="543">
        <v>1</v>
      </c>
      <c r="AH173" s="536">
        <f t="shared" si="4"/>
        <v>30000000</v>
      </c>
      <c r="AI173" s="536">
        <v>0</v>
      </c>
      <c r="AJ173" s="536">
        <v>0</v>
      </c>
      <c r="AK173" s="533">
        <v>30000000</v>
      </c>
      <c r="AL173" s="536">
        <v>0</v>
      </c>
      <c r="AM173" s="536">
        <f t="shared" si="5"/>
        <v>30000000</v>
      </c>
      <c r="AN173" s="536">
        <v>0</v>
      </c>
      <c r="AO173" s="536">
        <v>0</v>
      </c>
      <c r="AP173" s="536">
        <v>0</v>
      </c>
      <c r="AQ173" s="537">
        <v>30000000</v>
      </c>
    </row>
    <row r="174" spans="1:44" ht="65.25" customHeight="1" x14ac:dyDescent="0.25">
      <c r="A174" s="116" t="s">
        <v>892</v>
      </c>
      <c r="B174" s="428" t="s">
        <v>842</v>
      </c>
      <c r="C174" s="428" t="s">
        <v>846</v>
      </c>
      <c r="D174" s="447" t="s">
        <v>1052</v>
      </c>
      <c r="E174" s="731" t="s">
        <v>1251</v>
      </c>
      <c r="F174" s="394" t="s">
        <v>489</v>
      </c>
      <c r="G174" s="116" t="s">
        <v>1054</v>
      </c>
      <c r="H174" s="116" t="s">
        <v>1055</v>
      </c>
      <c r="I174" s="158" t="s">
        <v>1049</v>
      </c>
      <c r="J174" s="116" t="s">
        <v>1140</v>
      </c>
      <c r="K174" s="158" t="s">
        <v>1090</v>
      </c>
      <c r="L174" s="645">
        <v>288120344</v>
      </c>
      <c r="M174" s="901" t="s">
        <v>252</v>
      </c>
      <c r="N174" s="568" t="s">
        <v>156</v>
      </c>
      <c r="O174" s="585" t="s">
        <v>572</v>
      </c>
      <c r="P174" s="408" t="s">
        <v>831</v>
      </c>
      <c r="Q174" s="408"/>
      <c r="R174" s="408"/>
      <c r="S174" s="408"/>
      <c r="T174" s="549" t="s">
        <v>166</v>
      </c>
      <c r="U174" s="571">
        <v>584</v>
      </c>
      <c r="V174" s="571">
        <v>137</v>
      </c>
      <c r="W174" s="571">
        <v>137</v>
      </c>
      <c r="X174" s="571">
        <v>137</v>
      </c>
      <c r="Y174" s="571">
        <v>137</v>
      </c>
      <c r="Z174" s="545" t="s">
        <v>682</v>
      </c>
      <c r="AA174" s="645">
        <v>288120344</v>
      </c>
      <c r="AB174" s="775" t="s">
        <v>454</v>
      </c>
      <c r="AC174" s="632" t="s">
        <v>683</v>
      </c>
      <c r="AD174" s="551">
        <v>0</v>
      </c>
      <c r="AE174" s="551">
        <v>4</v>
      </c>
      <c r="AF174" s="543">
        <v>134</v>
      </c>
      <c r="AG174" s="543">
        <v>131</v>
      </c>
      <c r="AH174" s="536">
        <f t="shared" si="4"/>
        <v>200000000</v>
      </c>
      <c r="AI174" s="536">
        <v>0</v>
      </c>
      <c r="AJ174" s="536">
        <v>0</v>
      </c>
      <c r="AK174" s="536">
        <v>200000000</v>
      </c>
      <c r="AL174" s="682">
        <v>0</v>
      </c>
      <c r="AM174" s="536">
        <f t="shared" si="5"/>
        <v>200000000</v>
      </c>
      <c r="AN174" s="536">
        <v>0</v>
      </c>
      <c r="AO174" s="536">
        <v>0</v>
      </c>
      <c r="AP174" s="536">
        <v>0</v>
      </c>
      <c r="AQ174" s="536">
        <v>200000000</v>
      </c>
    </row>
    <row r="175" spans="1:44" ht="74.25" customHeight="1" x14ac:dyDescent="0.25">
      <c r="A175" s="116" t="s">
        <v>892</v>
      </c>
      <c r="B175" s="428" t="s">
        <v>842</v>
      </c>
      <c r="C175" s="428" t="s">
        <v>846</v>
      </c>
      <c r="D175" s="447" t="s">
        <v>1052</v>
      </c>
      <c r="E175" s="731" t="s">
        <v>1251</v>
      </c>
      <c r="F175" s="394" t="s">
        <v>489</v>
      </c>
      <c r="G175" s="116" t="s">
        <v>1054</v>
      </c>
      <c r="H175" s="116" t="s">
        <v>1055</v>
      </c>
      <c r="I175" s="158" t="s">
        <v>1049</v>
      </c>
      <c r="J175" s="116" t="s">
        <v>1140</v>
      </c>
      <c r="K175" s="158" t="s">
        <v>1090</v>
      </c>
      <c r="L175" s="645">
        <v>61604267</v>
      </c>
      <c r="M175" s="901" t="s">
        <v>252</v>
      </c>
      <c r="N175" s="568" t="s">
        <v>156</v>
      </c>
      <c r="O175" s="585" t="s">
        <v>572</v>
      </c>
      <c r="P175" s="408" t="s">
        <v>831</v>
      </c>
      <c r="Q175" s="408"/>
      <c r="R175" s="408"/>
      <c r="S175" s="408"/>
      <c r="T175" s="549" t="s">
        <v>166</v>
      </c>
      <c r="U175" s="571">
        <v>584</v>
      </c>
      <c r="V175" s="571">
        <v>137</v>
      </c>
      <c r="W175" s="571">
        <v>137</v>
      </c>
      <c r="X175" s="571">
        <v>137</v>
      </c>
      <c r="Y175" s="571">
        <v>137</v>
      </c>
      <c r="Z175" s="545" t="s">
        <v>684</v>
      </c>
      <c r="AA175" s="645">
        <v>61604267</v>
      </c>
      <c r="AB175" s="775" t="s">
        <v>454</v>
      </c>
      <c r="AC175" s="632" t="s">
        <v>686</v>
      </c>
      <c r="AD175" s="551">
        <v>0</v>
      </c>
      <c r="AE175" s="551">
        <v>38</v>
      </c>
      <c r="AF175" s="543">
        <v>12</v>
      </c>
      <c r="AG175" s="543">
        <v>132</v>
      </c>
      <c r="AH175" s="536">
        <f t="shared" si="4"/>
        <v>54133000</v>
      </c>
      <c r="AI175" s="536">
        <v>0</v>
      </c>
      <c r="AJ175" s="536">
        <v>0</v>
      </c>
      <c r="AK175" s="536">
        <v>54133000</v>
      </c>
      <c r="AL175" s="536">
        <v>0</v>
      </c>
      <c r="AM175" s="536">
        <f t="shared" si="5"/>
        <v>54133000</v>
      </c>
      <c r="AN175" s="536">
        <v>0</v>
      </c>
      <c r="AO175" s="536">
        <v>0</v>
      </c>
      <c r="AP175" s="536">
        <v>0</v>
      </c>
      <c r="AQ175" s="683">
        <v>54133000</v>
      </c>
    </row>
    <row r="176" spans="1:44" ht="65.25" customHeight="1" x14ac:dyDescent="0.25">
      <c r="A176" s="116" t="s">
        <v>892</v>
      </c>
      <c r="B176" s="428" t="s">
        <v>842</v>
      </c>
      <c r="C176" s="428" t="s">
        <v>846</v>
      </c>
      <c r="D176" s="447" t="s">
        <v>1052</v>
      </c>
      <c r="E176" s="731" t="s">
        <v>1251</v>
      </c>
      <c r="F176" s="394" t="s">
        <v>489</v>
      </c>
      <c r="G176" s="116" t="s">
        <v>1054</v>
      </c>
      <c r="H176" s="116" t="s">
        <v>1055</v>
      </c>
      <c r="I176" s="158" t="s">
        <v>1049</v>
      </c>
      <c r="J176" s="116" t="s">
        <v>1140</v>
      </c>
      <c r="K176" s="158" t="s">
        <v>1090</v>
      </c>
      <c r="L176" s="678">
        <v>482500000</v>
      </c>
      <c r="M176" s="901" t="s">
        <v>252</v>
      </c>
      <c r="N176" s="568" t="s">
        <v>156</v>
      </c>
      <c r="O176" s="585" t="s">
        <v>572</v>
      </c>
      <c r="P176" s="408" t="s">
        <v>831</v>
      </c>
      <c r="Q176" s="408"/>
      <c r="R176" s="408"/>
      <c r="S176" s="408"/>
      <c r="T176" s="549" t="s">
        <v>166</v>
      </c>
      <c r="U176" s="571">
        <v>584</v>
      </c>
      <c r="V176" s="571">
        <v>137</v>
      </c>
      <c r="W176" s="571">
        <v>137</v>
      </c>
      <c r="X176" s="571">
        <v>137</v>
      </c>
      <c r="Y176" s="571">
        <v>137</v>
      </c>
      <c r="Z176" s="632" t="s">
        <v>681</v>
      </c>
      <c r="AA176" s="678">
        <v>482500000</v>
      </c>
      <c r="AB176" s="775" t="s">
        <v>867</v>
      </c>
      <c r="AC176" s="542" t="s">
        <v>868</v>
      </c>
      <c r="AD176" s="551">
        <v>0</v>
      </c>
      <c r="AE176" s="551">
        <v>4</v>
      </c>
      <c r="AF176" s="543">
        <v>134</v>
      </c>
      <c r="AG176" s="543">
        <v>131</v>
      </c>
      <c r="AH176" s="536">
        <f t="shared" si="4"/>
        <v>482500000</v>
      </c>
      <c r="AI176" s="536">
        <v>0</v>
      </c>
      <c r="AJ176" s="536">
        <v>0</v>
      </c>
      <c r="AK176" s="536">
        <v>430000000</v>
      </c>
      <c r="AL176" s="536">
        <f>482500000-AK176</f>
        <v>52500000</v>
      </c>
      <c r="AM176" s="536">
        <f t="shared" si="5"/>
        <v>482500000</v>
      </c>
      <c r="AN176" s="536">
        <v>0</v>
      </c>
      <c r="AO176" s="536">
        <v>0</v>
      </c>
      <c r="AP176" s="536">
        <v>0</v>
      </c>
      <c r="AQ176" s="533">
        <v>482500000</v>
      </c>
    </row>
    <row r="177" spans="1:43" s="316" customFormat="1" ht="105" customHeight="1" x14ac:dyDescent="0.25">
      <c r="A177" s="116" t="s">
        <v>892</v>
      </c>
      <c r="B177" s="428" t="s">
        <v>842</v>
      </c>
      <c r="C177" s="428" t="s">
        <v>846</v>
      </c>
      <c r="D177" s="449" t="s">
        <v>1052</v>
      </c>
      <c r="E177" s="731" t="s">
        <v>1251</v>
      </c>
      <c r="F177" s="394" t="s">
        <v>489</v>
      </c>
      <c r="G177" s="116" t="s">
        <v>1054</v>
      </c>
      <c r="H177" s="116" t="s">
        <v>1055</v>
      </c>
      <c r="I177" s="158" t="s">
        <v>1049</v>
      </c>
      <c r="J177" s="116" t="s">
        <v>1140</v>
      </c>
      <c r="K177" s="158" t="s">
        <v>1090</v>
      </c>
      <c r="L177" s="645">
        <v>191000000</v>
      </c>
      <c r="M177" s="901" t="s">
        <v>491</v>
      </c>
      <c r="N177" s="568" t="s">
        <v>156</v>
      </c>
      <c r="O177" s="585" t="s">
        <v>592</v>
      </c>
      <c r="P177" s="408" t="s">
        <v>831</v>
      </c>
      <c r="Q177" s="408"/>
      <c r="R177" s="408"/>
      <c r="S177" s="408"/>
      <c r="T177" s="549" t="s">
        <v>166</v>
      </c>
      <c r="U177" s="571">
        <v>92</v>
      </c>
      <c r="V177" s="571">
        <v>19</v>
      </c>
      <c r="W177" s="571">
        <v>28</v>
      </c>
      <c r="X177" s="571">
        <v>24</v>
      </c>
      <c r="Y177" s="571">
        <v>21</v>
      </c>
      <c r="Z177" s="545" t="s">
        <v>682</v>
      </c>
      <c r="AA177" s="645">
        <v>191000000</v>
      </c>
      <c r="AB177" s="775" t="s">
        <v>454</v>
      </c>
      <c r="AC177" s="632" t="s">
        <v>683</v>
      </c>
      <c r="AD177" s="551">
        <v>9</v>
      </c>
      <c r="AE177" s="551">
        <v>10</v>
      </c>
      <c r="AF177" s="543">
        <v>13</v>
      </c>
      <c r="AG177" s="543">
        <v>21</v>
      </c>
      <c r="AH177" s="536">
        <f t="shared" si="4"/>
        <v>191000000</v>
      </c>
      <c r="AI177" s="536">
        <v>0</v>
      </c>
      <c r="AJ177" s="536">
        <v>0</v>
      </c>
      <c r="AK177" s="536">
        <v>191000000</v>
      </c>
      <c r="AL177" s="536">
        <v>0</v>
      </c>
      <c r="AM177" s="536">
        <f t="shared" si="5"/>
        <v>191000000</v>
      </c>
      <c r="AN177" s="536">
        <v>0</v>
      </c>
      <c r="AO177" s="536">
        <v>0</v>
      </c>
      <c r="AP177" s="536">
        <v>0</v>
      </c>
      <c r="AQ177" s="645">
        <v>191000000</v>
      </c>
    </row>
    <row r="178" spans="1:43" s="316" customFormat="1" ht="105" customHeight="1" thickBot="1" x14ac:dyDescent="0.3">
      <c r="A178" s="116" t="s">
        <v>892</v>
      </c>
      <c r="B178" s="428" t="s">
        <v>842</v>
      </c>
      <c r="C178" s="428" t="s">
        <v>846</v>
      </c>
      <c r="D178" s="449" t="s">
        <v>1052</v>
      </c>
      <c r="E178" s="731" t="s">
        <v>1251</v>
      </c>
      <c r="F178" s="394" t="s">
        <v>489</v>
      </c>
      <c r="G178" s="116" t="s">
        <v>1054</v>
      </c>
      <c r="H178" s="116" t="s">
        <v>1055</v>
      </c>
      <c r="I178" s="158" t="s">
        <v>1049</v>
      </c>
      <c r="J178" s="116" t="s">
        <v>1140</v>
      </c>
      <c r="K178" s="158" t="s">
        <v>1090</v>
      </c>
      <c r="L178" s="645">
        <v>76499962</v>
      </c>
      <c r="M178" s="901" t="s">
        <v>491</v>
      </c>
      <c r="N178" s="568" t="s">
        <v>156</v>
      </c>
      <c r="O178" s="585" t="s">
        <v>592</v>
      </c>
      <c r="P178" s="408" t="s">
        <v>831</v>
      </c>
      <c r="Q178" s="408"/>
      <c r="R178" s="408"/>
      <c r="S178" s="408"/>
      <c r="T178" s="549" t="s">
        <v>166</v>
      </c>
      <c r="U178" s="571">
        <v>92</v>
      </c>
      <c r="V178" s="571">
        <v>19</v>
      </c>
      <c r="W178" s="571">
        <v>28</v>
      </c>
      <c r="X178" s="571">
        <v>24</v>
      </c>
      <c r="Y178" s="571">
        <v>21</v>
      </c>
      <c r="Z178" s="545" t="s">
        <v>687</v>
      </c>
      <c r="AA178" s="645">
        <v>76499962</v>
      </c>
      <c r="AB178" s="775" t="s">
        <v>454</v>
      </c>
      <c r="AC178" s="632" t="s">
        <v>686</v>
      </c>
      <c r="AD178" s="551">
        <v>9</v>
      </c>
      <c r="AE178" s="551">
        <v>10</v>
      </c>
      <c r="AF178" s="543">
        <v>13</v>
      </c>
      <c r="AG178" s="543">
        <v>21</v>
      </c>
      <c r="AH178" s="536">
        <f t="shared" si="4"/>
        <v>76499962</v>
      </c>
      <c r="AI178" s="536">
        <v>0</v>
      </c>
      <c r="AJ178" s="536">
        <v>0</v>
      </c>
      <c r="AK178" s="574">
        <v>76499962</v>
      </c>
      <c r="AL178" s="536">
        <v>0</v>
      </c>
      <c r="AM178" s="536">
        <f t="shared" si="5"/>
        <v>76499962</v>
      </c>
      <c r="AN178" s="536">
        <v>0</v>
      </c>
      <c r="AO178" s="536">
        <v>0</v>
      </c>
      <c r="AP178" s="536">
        <v>0</v>
      </c>
      <c r="AQ178" s="795">
        <v>76499962</v>
      </c>
    </row>
    <row r="179" spans="1:43" s="316" customFormat="1" ht="105" customHeight="1" x14ac:dyDescent="0.25">
      <c r="A179" s="116" t="s">
        <v>892</v>
      </c>
      <c r="B179" s="428" t="s">
        <v>842</v>
      </c>
      <c r="C179" s="428" t="s">
        <v>846</v>
      </c>
      <c r="D179" s="449" t="s">
        <v>1052</v>
      </c>
      <c r="E179" s="731" t="s">
        <v>1251</v>
      </c>
      <c r="F179" s="394" t="s">
        <v>489</v>
      </c>
      <c r="G179" s="116" t="s">
        <v>1054</v>
      </c>
      <c r="H179" s="116" t="s">
        <v>1055</v>
      </c>
      <c r="I179" s="158" t="s">
        <v>1049</v>
      </c>
      <c r="J179" s="116" t="s">
        <v>1140</v>
      </c>
      <c r="K179" s="158" t="s">
        <v>1090</v>
      </c>
      <c r="L179" s="751">
        <v>1334708349</v>
      </c>
      <c r="M179" s="901" t="s">
        <v>491</v>
      </c>
      <c r="N179" s="568" t="s">
        <v>156</v>
      </c>
      <c r="O179" s="585" t="s">
        <v>592</v>
      </c>
      <c r="P179" s="408" t="s">
        <v>831</v>
      </c>
      <c r="Q179" s="408"/>
      <c r="R179" s="408"/>
      <c r="S179" s="408"/>
      <c r="T179" s="549" t="s">
        <v>166</v>
      </c>
      <c r="U179" s="571">
        <v>92</v>
      </c>
      <c r="V179" s="571">
        <v>19</v>
      </c>
      <c r="W179" s="571">
        <v>28</v>
      </c>
      <c r="X179" s="571">
        <v>24</v>
      </c>
      <c r="Y179" s="571">
        <v>21</v>
      </c>
      <c r="Z179" s="632" t="s">
        <v>681</v>
      </c>
      <c r="AA179" s="751">
        <v>1334708349</v>
      </c>
      <c r="AB179" s="775" t="s">
        <v>867</v>
      </c>
      <c r="AC179" s="542" t="s">
        <v>868</v>
      </c>
      <c r="AD179" s="551">
        <v>6</v>
      </c>
      <c r="AE179" s="551">
        <v>13</v>
      </c>
      <c r="AF179" s="543">
        <v>14</v>
      </c>
      <c r="AG179" s="543">
        <v>37</v>
      </c>
      <c r="AH179" s="536">
        <f t="shared" si="4"/>
        <v>1290708349</v>
      </c>
      <c r="AI179" s="536">
        <v>0</v>
      </c>
      <c r="AJ179" s="536">
        <v>0</v>
      </c>
      <c r="AK179" s="679">
        <v>304567038</v>
      </c>
      <c r="AL179" s="886">
        <f>1334708349-AK179-44000000</f>
        <v>986141311</v>
      </c>
      <c r="AM179" s="536">
        <f t="shared" si="5"/>
        <v>1290708349</v>
      </c>
      <c r="AN179" s="536">
        <v>0</v>
      </c>
      <c r="AO179" s="536">
        <v>0</v>
      </c>
      <c r="AP179" s="536">
        <v>0</v>
      </c>
      <c r="AQ179" s="536">
        <v>1290708349</v>
      </c>
    </row>
    <row r="180" spans="1:43" s="273" customFormat="1" ht="105" customHeight="1" thickBot="1" x14ac:dyDescent="0.3">
      <c r="A180" s="221" t="s">
        <v>892</v>
      </c>
      <c r="B180" s="222" t="s">
        <v>842</v>
      </c>
      <c r="C180" s="222" t="s">
        <v>846</v>
      </c>
      <c r="D180" s="240" t="s">
        <v>1053</v>
      </c>
      <c r="E180" s="731" t="s">
        <v>1251</v>
      </c>
      <c r="F180" s="427" t="s">
        <v>489</v>
      </c>
      <c r="G180" s="211" t="s">
        <v>1054</v>
      </c>
      <c r="H180" s="211" t="s">
        <v>1055</v>
      </c>
      <c r="I180" s="215" t="s">
        <v>1049</v>
      </c>
      <c r="J180" s="211" t="s">
        <v>1091</v>
      </c>
      <c r="K180" s="250" t="s">
        <v>1091</v>
      </c>
      <c r="L180" s="645">
        <v>17500000</v>
      </c>
      <c r="M180" s="900" t="s">
        <v>492</v>
      </c>
      <c r="N180" s="556" t="s">
        <v>156</v>
      </c>
      <c r="O180" s="228" t="s">
        <v>572</v>
      </c>
      <c r="P180" s="228" t="s">
        <v>831</v>
      </c>
      <c r="Q180" s="228"/>
      <c r="R180" s="228"/>
      <c r="S180" s="228"/>
      <c r="T180" s="540" t="s">
        <v>166</v>
      </c>
      <c r="U180" s="545">
        <v>125</v>
      </c>
      <c r="V180" s="680">
        <v>15</v>
      </c>
      <c r="W180" s="680">
        <v>40</v>
      </c>
      <c r="X180" s="680">
        <v>40</v>
      </c>
      <c r="Y180" s="680">
        <v>30</v>
      </c>
      <c r="Z180" s="681" t="s">
        <v>681</v>
      </c>
      <c r="AA180" s="645">
        <v>17500000</v>
      </c>
      <c r="AB180" s="775" t="s">
        <v>867</v>
      </c>
      <c r="AC180" s="542" t="s">
        <v>868</v>
      </c>
      <c r="AD180" s="543">
        <v>2</v>
      </c>
      <c r="AE180" s="543">
        <v>7</v>
      </c>
      <c r="AF180" s="543">
        <v>5</v>
      </c>
      <c r="AG180" s="543">
        <v>7</v>
      </c>
      <c r="AH180" s="536">
        <f t="shared" si="4"/>
        <v>17500000</v>
      </c>
      <c r="AI180" s="536">
        <v>0</v>
      </c>
      <c r="AJ180" s="536">
        <v>0</v>
      </c>
      <c r="AK180" s="536">
        <v>0</v>
      </c>
      <c r="AL180" s="794">
        <v>17500000</v>
      </c>
      <c r="AM180" s="536">
        <f t="shared" si="5"/>
        <v>17500000</v>
      </c>
      <c r="AN180" s="536">
        <v>0</v>
      </c>
      <c r="AO180" s="536">
        <v>0</v>
      </c>
      <c r="AP180" s="536">
        <v>0</v>
      </c>
      <c r="AQ180" s="683">
        <v>17500000</v>
      </c>
    </row>
    <row r="181" spans="1:43" s="273" customFormat="1" ht="105" customHeight="1" x14ac:dyDescent="0.25">
      <c r="A181" s="158" t="s">
        <v>892</v>
      </c>
      <c r="B181" s="158" t="s">
        <v>842</v>
      </c>
      <c r="C181" s="158" t="s">
        <v>846</v>
      </c>
      <c r="D181" s="449" t="s">
        <v>1052</v>
      </c>
      <c r="E181" s="731" t="s">
        <v>1251</v>
      </c>
      <c r="F181" s="394" t="s">
        <v>489</v>
      </c>
      <c r="G181" s="158" t="s">
        <v>1054</v>
      </c>
      <c r="H181" s="158" t="s">
        <v>1055</v>
      </c>
      <c r="I181" s="158" t="s">
        <v>1049</v>
      </c>
      <c r="J181" s="158" t="s">
        <v>1140</v>
      </c>
      <c r="K181" s="158" t="s">
        <v>1090</v>
      </c>
      <c r="L181" s="645">
        <v>10000000000</v>
      </c>
      <c r="M181" s="901" t="s">
        <v>253</v>
      </c>
      <c r="N181" s="568" t="s">
        <v>156</v>
      </c>
      <c r="O181" s="585" t="s">
        <v>587</v>
      </c>
      <c r="P181" s="408" t="s">
        <v>831</v>
      </c>
      <c r="Q181" s="408"/>
      <c r="R181" s="408"/>
      <c r="S181" s="408"/>
      <c r="T181" s="549" t="s">
        <v>166</v>
      </c>
      <c r="U181" s="549">
        <v>12</v>
      </c>
      <c r="V181" s="549">
        <v>3</v>
      </c>
      <c r="W181" s="549">
        <v>3</v>
      </c>
      <c r="X181" s="549">
        <v>3</v>
      </c>
      <c r="Y181" s="549">
        <v>3</v>
      </c>
      <c r="Z181" s="632" t="s">
        <v>688</v>
      </c>
      <c r="AA181" s="645">
        <v>10000000000</v>
      </c>
      <c r="AB181" s="775" t="s">
        <v>198</v>
      </c>
      <c r="AC181" s="632" t="s">
        <v>689</v>
      </c>
      <c r="AD181" s="551">
        <v>3</v>
      </c>
      <c r="AE181" s="551">
        <v>3</v>
      </c>
      <c r="AF181" s="543">
        <v>3</v>
      </c>
      <c r="AG181" s="543">
        <v>3</v>
      </c>
      <c r="AH181" s="536">
        <f t="shared" si="4"/>
        <v>10000000000</v>
      </c>
      <c r="AI181" s="536">
        <v>0</v>
      </c>
      <c r="AJ181" s="682">
        <v>10000000000</v>
      </c>
      <c r="AK181" s="536">
        <v>0</v>
      </c>
      <c r="AL181" s="536">
        <v>0</v>
      </c>
      <c r="AM181" s="536">
        <f t="shared" si="5"/>
        <v>10000000000</v>
      </c>
      <c r="AN181" s="536">
        <v>0</v>
      </c>
      <c r="AO181" s="536">
        <v>7593750000</v>
      </c>
      <c r="AP181" s="536">
        <f>10000000000-AO181</f>
        <v>2406250000</v>
      </c>
      <c r="AQ181" s="536">
        <v>0</v>
      </c>
    </row>
    <row r="182" spans="1:43" s="273" customFormat="1" ht="105" customHeight="1" x14ac:dyDescent="0.25">
      <c r="A182" s="158" t="s">
        <v>892</v>
      </c>
      <c r="B182" s="158" t="s">
        <v>842</v>
      </c>
      <c r="C182" s="158" t="s">
        <v>846</v>
      </c>
      <c r="D182" s="449" t="s">
        <v>1052</v>
      </c>
      <c r="E182" s="731" t="s">
        <v>1251</v>
      </c>
      <c r="F182" s="394" t="s">
        <v>489</v>
      </c>
      <c r="G182" s="158" t="s">
        <v>1054</v>
      </c>
      <c r="H182" s="158" t="s">
        <v>1055</v>
      </c>
      <c r="I182" s="158" t="s">
        <v>1049</v>
      </c>
      <c r="J182" s="158" t="s">
        <v>1140</v>
      </c>
      <c r="K182" s="158" t="s">
        <v>1090</v>
      </c>
      <c r="L182" s="645">
        <v>5000000000</v>
      </c>
      <c r="M182" s="901" t="s">
        <v>253</v>
      </c>
      <c r="N182" s="568" t="s">
        <v>156</v>
      </c>
      <c r="O182" s="585" t="s">
        <v>587</v>
      </c>
      <c r="P182" s="408" t="s">
        <v>831</v>
      </c>
      <c r="Q182" s="408"/>
      <c r="R182" s="408"/>
      <c r="S182" s="408"/>
      <c r="T182" s="549" t="s">
        <v>166</v>
      </c>
      <c r="U182" s="549">
        <v>12</v>
      </c>
      <c r="V182" s="549">
        <v>3</v>
      </c>
      <c r="W182" s="549">
        <v>3</v>
      </c>
      <c r="X182" s="549">
        <v>3</v>
      </c>
      <c r="Y182" s="549">
        <v>3</v>
      </c>
      <c r="Z182" s="632" t="s">
        <v>690</v>
      </c>
      <c r="AA182" s="645">
        <v>5000000000</v>
      </c>
      <c r="AB182" s="775" t="s">
        <v>190</v>
      </c>
      <c r="AC182" s="632" t="s">
        <v>623</v>
      </c>
      <c r="AD182" s="551">
        <v>3</v>
      </c>
      <c r="AE182" s="551">
        <v>3</v>
      </c>
      <c r="AF182" s="543">
        <v>3</v>
      </c>
      <c r="AG182" s="543">
        <v>3</v>
      </c>
      <c r="AH182" s="536">
        <f t="shared" si="4"/>
        <v>5000000000</v>
      </c>
      <c r="AI182" s="536">
        <v>0</v>
      </c>
      <c r="AJ182" s="537">
        <v>5000000000</v>
      </c>
      <c r="AK182" s="536">
        <v>0</v>
      </c>
      <c r="AL182" s="536">
        <v>0</v>
      </c>
      <c r="AM182" s="536">
        <f t="shared" si="5"/>
        <v>5000000000</v>
      </c>
      <c r="AN182" s="536">
        <v>0</v>
      </c>
      <c r="AO182" s="536">
        <v>0</v>
      </c>
      <c r="AP182" s="683">
        <v>1962500000</v>
      </c>
      <c r="AQ182" s="651">
        <f>5000000000-AP182</f>
        <v>3037500000</v>
      </c>
    </row>
    <row r="183" spans="1:43" s="273" customFormat="1" ht="105" customHeight="1" x14ac:dyDescent="0.25">
      <c r="A183" s="158" t="s">
        <v>892</v>
      </c>
      <c r="B183" s="158" t="s">
        <v>842</v>
      </c>
      <c r="C183" s="158" t="s">
        <v>846</v>
      </c>
      <c r="D183" s="449" t="s">
        <v>1052</v>
      </c>
      <c r="E183" s="731" t="s">
        <v>1251</v>
      </c>
      <c r="F183" s="394" t="s">
        <v>489</v>
      </c>
      <c r="G183" s="158" t="s">
        <v>1054</v>
      </c>
      <c r="H183" s="158" t="s">
        <v>1055</v>
      </c>
      <c r="I183" s="158" t="s">
        <v>1049</v>
      </c>
      <c r="J183" s="158" t="s">
        <v>1140</v>
      </c>
      <c r="K183" s="158" t="s">
        <v>1090</v>
      </c>
      <c r="L183" s="645">
        <v>7375399133</v>
      </c>
      <c r="M183" s="901" t="s">
        <v>253</v>
      </c>
      <c r="N183" s="568" t="s">
        <v>156</v>
      </c>
      <c r="O183" s="585" t="s">
        <v>587</v>
      </c>
      <c r="P183" s="408" t="s">
        <v>831</v>
      </c>
      <c r="Q183" s="408"/>
      <c r="R183" s="408"/>
      <c r="S183" s="408"/>
      <c r="T183" s="549" t="s">
        <v>166</v>
      </c>
      <c r="U183" s="549">
        <v>12</v>
      </c>
      <c r="V183" s="549">
        <v>3</v>
      </c>
      <c r="W183" s="549">
        <v>3</v>
      </c>
      <c r="X183" s="549">
        <v>3</v>
      </c>
      <c r="Y183" s="549">
        <v>3</v>
      </c>
      <c r="Z183" s="632" t="s">
        <v>691</v>
      </c>
      <c r="AA183" s="645">
        <v>7375399133</v>
      </c>
      <c r="AB183" s="775" t="s">
        <v>198</v>
      </c>
      <c r="AC183" s="632" t="s">
        <v>689</v>
      </c>
      <c r="AD183" s="551">
        <v>3</v>
      </c>
      <c r="AE183" s="551">
        <v>3</v>
      </c>
      <c r="AF183" s="543">
        <v>3</v>
      </c>
      <c r="AG183" s="543">
        <v>3</v>
      </c>
      <c r="AH183" s="536">
        <f t="shared" si="4"/>
        <v>6453524740</v>
      </c>
      <c r="AI183" s="684">
        <v>2400000000</v>
      </c>
      <c r="AJ183" s="684">
        <v>0</v>
      </c>
      <c r="AK183" s="536">
        <f>6055910900-AI183</f>
        <v>3655910900</v>
      </c>
      <c r="AL183" s="886">
        <f>6453524740-AI183-AK183</f>
        <v>397613840</v>
      </c>
      <c r="AM183" s="536">
        <f t="shared" si="5"/>
        <v>6281056870</v>
      </c>
      <c r="AN183" s="536">
        <v>0</v>
      </c>
      <c r="AO183" s="683">
        <v>1428000000</v>
      </c>
      <c r="AP183" s="683">
        <f>3201125000-AO183</f>
        <v>1773125000</v>
      </c>
      <c r="AQ183" s="651">
        <f>6281056870-AO183-AP183</f>
        <v>3079931870</v>
      </c>
    </row>
    <row r="184" spans="1:43" s="273" customFormat="1" ht="105" customHeight="1" x14ac:dyDescent="0.25">
      <c r="A184" s="158" t="s">
        <v>892</v>
      </c>
      <c r="B184" s="158" t="s">
        <v>842</v>
      </c>
      <c r="C184" s="158" t="s">
        <v>846</v>
      </c>
      <c r="D184" s="449" t="s">
        <v>1052</v>
      </c>
      <c r="E184" s="731" t="s">
        <v>1251</v>
      </c>
      <c r="F184" s="394" t="s">
        <v>489</v>
      </c>
      <c r="G184" s="158" t="s">
        <v>1054</v>
      </c>
      <c r="H184" s="158" t="s">
        <v>1055</v>
      </c>
      <c r="I184" s="158" t="s">
        <v>1049</v>
      </c>
      <c r="J184" s="158" t="s">
        <v>1140</v>
      </c>
      <c r="K184" s="158" t="s">
        <v>1090</v>
      </c>
      <c r="L184" s="645">
        <v>5000000000</v>
      </c>
      <c r="M184" s="901" t="s">
        <v>253</v>
      </c>
      <c r="N184" s="568" t="s">
        <v>156</v>
      </c>
      <c r="O184" s="585" t="s">
        <v>587</v>
      </c>
      <c r="P184" s="408" t="s">
        <v>831</v>
      </c>
      <c r="Q184" s="408"/>
      <c r="R184" s="408"/>
      <c r="S184" s="408"/>
      <c r="T184" s="549" t="s">
        <v>166</v>
      </c>
      <c r="U184" s="549">
        <v>12</v>
      </c>
      <c r="V184" s="549">
        <v>3</v>
      </c>
      <c r="W184" s="549">
        <v>3</v>
      </c>
      <c r="X184" s="549">
        <v>3</v>
      </c>
      <c r="Y184" s="549">
        <v>3</v>
      </c>
      <c r="Z184" s="632" t="s">
        <v>692</v>
      </c>
      <c r="AA184" s="645">
        <v>5000000000</v>
      </c>
      <c r="AB184" s="775" t="s">
        <v>190</v>
      </c>
      <c r="AC184" s="540" t="s">
        <v>190</v>
      </c>
      <c r="AD184" s="551">
        <v>3</v>
      </c>
      <c r="AE184" s="551">
        <v>3</v>
      </c>
      <c r="AF184" s="543">
        <v>3</v>
      </c>
      <c r="AG184" s="543">
        <v>3</v>
      </c>
      <c r="AH184" s="536">
        <f t="shared" si="4"/>
        <v>4008866344</v>
      </c>
      <c r="AI184" s="537">
        <v>2685106617</v>
      </c>
      <c r="AJ184" s="537">
        <f>3900008389-AI184</f>
        <v>1214901772</v>
      </c>
      <c r="AK184" s="894">
        <f>4008866344-AI184-AJ184</f>
        <v>108857955</v>
      </c>
      <c r="AL184" s="894"/>
      <c r="AM184" s="536">
        <f t="shared" si="5"/>
        <v>3564657923</v>
      </c>
      <c r="AN184" s="536">
        <v>1056899764</v>
      </c>
      <c r="AO184" s="536">
        <f>1921246627-AN184</f>
        <v>864346863</v>
      </c>
      <c r="AP184" s="683">
        <f>2548401637-AN184-AO184</f>
        <v>627155010</v>
      </c>
      <c r="AQ184" s="886">
        <f>3564657923-AN184-AO184-AP184</f>
        <v>1016256286</v>
      </c>
    </row>
    <row r="185" spans="1:43" s="273" customFormat="1" ht="105" customHeight="1" x14ac:dyDescent="0.25">
      <c r="A185" s="158" t="s">
        <v>892</v>
      </c>
      <c r="B185" s="158" t="s">
        <v>842</v>
      </c>
      <c r="C185" s="158" t="s">
        <v>846</v>
      </c>
      <c r="D185" s="449" t="s">
        <v>1052</v>
      </c>
      <c r="E185" s="731" t="s">
        <v>1251</v>
      </c>
      <c r="F185" s="394" t="s">
        <v>489</v>
      </c>
      <c r="G185" s="158" t="s">
        <v>1054</v>
      </c>
      <c r="H185" s="158" t="s">
        <v>1055</v>
      </c>
      <c r="I185" s="158" t="s">
        <v>1049</v>
      </c>
      <c r="J185" s="158" t="s">
        <v>1140</v>
      </c>
      <c r="K185" s="158" t="s">
        <v>1090</v>
      </c>
      <c r="L185" s="645">
        <v>4408411121</v>
      </c>
      <c r="M185" s="901" t="s">
        <v>253</v>
      </c>
      <c r="N185" s="568" t="s">
        <v>156</v>
      </c>
      <c r="O185" s="585" t="s">
        <v>587</v>
      </c>
      <c r="P185" s="408" t="s">
        <v>831</v>
      </c>
      <c r="Q185" s="408"/>
      <c r="R185" s="408"/>
      <c r="S185" s="408"/>
      <c r="T185" s="549" t="s">
        <v>166</v>
      </c>
      <c r="U185" s="549">
        <v>12</v>
      </c>
      <c r="V185" s="549">
        <v>3</v>
      </c>
      <c r="W185" s="549">
        <v>3</v>
      </c>
      <c r="X185" s="549">
        <v>3</v>
      </c>
      <c r="Y185" s="549">
        <v>3</v>
      </c>
      <c r="Z185" s="632" t="s">
        <v>693</v>
      </c>
      <c r="AA185" s="645">
        <v>4408411121</v>
      </c>
      <c r="AB185" s="775" t="s">
        <v>867</v>
      </c>
      <c r="AC185" s="542" t="s">
        <v>868</v>
      </c>
      <c r="AD185" s="551">
        <v>3</v>
      </c>
      <c r="AE185" s="551">
        <v>3</v>
      </c>
      <c r="AF185" s="543">
        <v>3</v>
      </c>
      <c r="AG185" s="543">
        <v>3</v>
      </c>
      <c r="AH185" s="536">
        <f t="shared" si="4"/>
        <v>4402844871</v>
      </c>
      <c r="AI185" s="536">
        <v>0</v>
      </c>
      <c r="AJ185" s="536">
        <v>3742651121</v>
      </c>
      <c r="AK185" s="536">
        <v>0</v>
      </c>
      <c r="AL185" s="536">
        <f>4402844871-AJ185</f>
        <v>660193750</v>
      </c>
      <c r="AM185" s="536">
        <f t="shared" si="5"/>
        <v>4402844871</v>
      </c>
      <c r="AN185" s="536">
        <v>0</v>
      </c>
      <c r="AO185" s="685">
        <v>2447651121</v>
      </c>
      <c r="AP185" s="683">
        <f>3742651121-AO185</f>
        <v>1295000000</v>
      </c>
      <c r="AQ185" s="651">
        <f>4402844871-AO185-AP185</f>
        <v>660193750</v>
      </c>
    </row>
    <row r="186" spans="1:43" s="273" customFormat="1" ht="105" customHeight="1" x14ac:dyDescent="0.25">
      <c r="A186" s="158" t="s">
        <v>892</v>
      </c>
      <c r="B186" s="158" t="s">
        <v>842</v>
      </c>
      <c r="C186" s="158" t="s">
        <v>846</v>
      </c>
      <c r="D186" s="449" t="s">
        <v>1052</v>
      </c>
      <c r="E186" s="731" t="s">
        <v>1251</v>
      </c>
      <c r="F186" s="394" t="s">
        <v>489</v>
      </c>
      <c r="G186" s="158" t="s">
        <v>1054</v>
      </c>
      <c r="H186" s="158" t="s">
        <v>1055</v>
      </c>
      <c r="I186" s="158" t="s">
        <v>1049</v>
      </c>
      <c r="J186" s="158" t="s">
        <v>1140</v>
      </c>
      <c r="K186" s="158" t="s">
        <v>1090</v>
      </c>
      <c r="L186" s="645">
        <v>639550130</v>
      </c>
      <c r="M186" s="901" t="s">
        <v>253</v>
      </c>
      <c r="N186" s="568" t="s">
        <v>156</v>
      </c>
      <c r="O186" s="585" t="s">
        <v>587</v>
      </c>
      <c r="P186" s="408" t="s">
        <v>831</v>
      </c>
      <c r="Q186" s="408"/>
      <c r="R186" s="408"/>
      <c r="S186" s="408"/>
      <c r="T186" s="549" t="s">
        <v>166</v>
      </c>
      <c r="U186" s="549">
        <v>12</v>
      </c>
      <c r="V186" s="549">
        <v>3</v>
      </c>
      <c r="W186" s="549">
        <v>3</v>
      </c>
      <c r="X186" s="549">
        <v>3</v>
      </c>
      <c r="Y186" s="549">
        <v>3</v>
      </c>
      <c r="Z186" s="632" t="s">
        <v>694</v>
      </c>
      <c r="AA186" s="645">
        <v>639550130</v>
      </c>
      <c r="AB186" s="775" t="s">
        <v>198</v>
      </c>
      <c r="AC186" s="632" t="s">
        <v>695</v>
      </c>
      <c r="AD186" s="551">
        <v>3</v>
      </c>
      <c r="AE186" s="551">
        <v>3</v>
      </c>
      <c r="AF186" s="543">
        <v>3</v>
      </c>
      <c r="AG186" s="543">
        <v>3</v>
      </c>
      <c r="AH186" s="536">
        <f t="shared" si="4"/>
        <v>507429178</v>
      </c>
      <c r="AI186" s="536">
        <v>0</v>
      </c>
      <c r="AJ186" s="536">
        <v>399545478</v>
      </c>
      <c r="AK186" s="684">
        <f>507429178-AJ186</f>
        <v>107883700</v>
      </c>
      <c r="AL186" s="536">
        <v>0</v>
      </c>
      <c r="AM186" s="536">
        <f t="shared" si="5"/>
        <v>507429178</v>
      </c>
      <c r="AN186" s="536">
        <v>0</v>
      </c>
      <c r="AO186" s="536">
        <v>359419350</v>
      </c>
      <c r="AP186" s="683">
        <f>507429178-AO186</f>
        <v>148009828</v>
      </c>
      <c r="AQ186" s="536">
        <v>0</v>
      </c>
    </row>
    <row r="187" spans="1:43" s="273" customFormat="1" ht="105" customHeight="1" x14ac:dyDescent="0.25">
      <c r="A187" s="158" t="s">
        <v>892</v>
      </c>
      <c r="B187" s="158" t="s">
        <v>842</v>
      </c>
      <c r="C187" s="158" t="s">
        <v>846</v>
      </c>
      <c r="D187" s="449" t="s">
        <v>1052</v>
      </c>
      <c r="E187" s="731" t="s">
        <v>1251</v>
      </c>
      <c r="F187" s="394" t="s">
        <v>489</v>
      </c>
      <c r="G187" s="158" t="s">
        <v>1054</v>
      </c>
      <c r="H187" s="158" t="s">
        <v>1055</v>
      </c>
      <c r="I187" s="158" t="s">
        <v>1049</v>
      </c>
      <c r="J187" s="158" t="s">
        <v>1140</v>
      </c>
      <c r="K187" s="158" t="s">
        <v>1090</v>
      </c>
      <c r="L187" s="645">
        <v>80655436</v>
      </c>
      <c r="M187" s="901" t="s">
        <v>253</v>
      </c>
      <c r="N187" s="568" t="s">
        <v>156</v>
      </c>
      <c r="O187" s="585" t="s">
        <v>587</v>
      </c>
      <c r="P187" s="408" t="s">
        <v>831</v>
      </c>
      <c r="Q187" s="408"/>
      <c r="R187" s="408"/>
      <c r="S187" s="408"/>
      <c r="T187" s="549" t="s">
        <v>166</v>
      </c>
      <c r="U187" s="549">
        <v>12</v>
      </c>
      <c r="V187" s="549">
        <v>3</v>
      </c>
      <c r="W187" s="549">
        <v>3</v>
      </c>
      <c r="X187" s="549">
        <v>3</v>
      </c>
      <c r="Y187" s="549">
        <v>3</v>
      </c>
      <c r="Z187" s="632" t="s">
        <v>696</v>
      </c>
      <c r="AA187" s="645">
        <v>80655436</v>
      </c>
      <c r="AB187" s="775" t="s">
        <v>198</v>
      </c>
      <c r="AC187" s="632" t="s">
        <v>695</v>
      </c>
      <c r="AD187" s="551">
        <v>3</v>
      </c>
      <c r="AE187" s="551">
        <v>3</v>
      </c>
      <c r="AF187" s="543">
        <v>3</v>
      </c>
      <c r="AG187" s="543">
        <v>3</v>
      </c>
      <c r="AH187" s="536">
        <f t="shared" si="4"/>
        <v>72155934</v>
      </c>
      <c r="AI187" s="536">
        <v>0</v>
      </c>
      <c r="AJ187" s="536">
        <v>0</v>
      </c>
      <c r="AK187" s="536"/>
      <c r="AL187" s="537">
        <v>72155934</v>
      </c>
      <c r="AM187" s="536">
        <f t="shared" si="5"/>
        <v>0</v>
      </c>
      <c r="AN187" s="536">
        <v>0</v>
      </c>
      <c r="AO187" s="536">
        <v>0</v>
      </c>
      <c r="AP187" s="543">
        <v>0</v>
      </c>
      <c r="AQ187" s="886">
        <v>0</v>
      </c>
    </row>
    <row r="188" spans="1:43" s="273" customFormat="1" ht="105" customHeight="1" x14ac:dyDescent="0.25">
      <c r="A188" s="158" t="s">
        <v>892</v>
      </c>
      <c r="B188" s="158" t="s">
        <v>842</v>
      </c>
      <c r="C188" s="158" t="s">
        <v>846</v>
      </c>
      <c r="D188" s="449" t="s">
        <v>1052</v>
      </c>
      <c r="E188" s="731" t="s">
        <v>1251</v>
      </c>
      <c r="F188" s="394" t="s">
        <v>489</v>
      </c>
      <c r="G188" s="158" t="s">
        <v>1054</v>
      </c>
      <c r="H188" s="158" t="s">
        <v>1055</v>
      </c>
      <c r="I188" s="158" t="s">
        <v>1049</v>
      </c>
      <c r="J188" s="158" t="s">
        <v>1140</v>
      </c>
      <c r="K188" s="158" t="s">
        <v>1090</v>
      </c>
      <c r="L188" s="567">
        <v>173204969</v>
      </c>
      <c r="M188" s="901" t="s">
        <v>253</v>
      </c>
      <c r="N188" s="568" t="s">
        <v>156</v>
      </c>
      <c r="O188" s="585" t="s">
        <v>587</v>
      </c>
      <c r="P188" s="408" t="s">
        <v>831</v>
      </c>
      <c r="Q188" s="408"/>
      <c r="R188" s="408"/>
      <c r="S188" s="408"/>
      <c r="T188" s="549" t="s">
        <v>166</v>
      </c>
      <c r="U188" s="549">
        <v>12</v>
      </c>
      <c r="V188" s="549">
        <v>3</v>
      </c>
      <c r="W188" s="549">
        <v>3</v>
      </c>
      <c r="X188" s="549">
        <v>3</v>
      </c>
      <c r="Y188" s="549">
        <v>3</v>
      </c>
      <c r="Z188" s="632" t="s">
        <v>697</v>
      </c>
      <c r="AA188" s="567">
        <v>173204969</v>
      </c>
      <c r="AB188" s="775" t="s">
        <v>190</v>
      </c>
      <c r="AC188" s="632" t="s">
        <v>698</v>
      </c>
      <c r="AD188" s="551">
        <v>3</v>
      </c>
      <c r="AE188" s="551">
        <v>3</v>
      </c>
      <c r="AF188" s="543">
        <v>3</v>
      </c>
      <c r="AG188" s="543">
        <v>3</v>
      </c>
      <c r="AH188" s="536">
        <f t="shared" si="4"/>
        <v>173204969</v>
      </c>
      <c r="AI188" s="536">
        <v>0</v>
      </c>
      <c r="AJ188" s="536">
        <v>0</v>
      </c>
      <c r="AK188" s="536"/>
      <c r="AL188" s="537">
        <v>173204969</v>
      </c>
      <c r="AM188" s="536">
        <f t="shared" si="5"/>
        <v>0</v>
      </c>
      <c r="AN188" s="536">
        <v>0</v>
      </c>
      <c r="AO188" s="536">
        <v>0</v>
      </c>
      <c r="AP188" s="543">
        <v>0</v>
      </c>
      <c r="AQ188" s="892">
        <v>0</v>
      </c>
    </row>
    <row r="189" spans="1:43" s="316" customFormat="1" ht="105" customHeight="1" thickBot="1" x14ac:dyDescent="0.3">
      <c r="A189" s="158" t="s">
        <v>892</v>
      </c>
      <c r="B189" s="158" t="s">
        <v>842</v>
      </c>
      <c r="C189" s="158" t="s">
        <v>846</v>
      </c>
      <c r="D189" s="449" t="s">
        <v>1052</v>
      </c>
      <c r="E189" s="731" t="s">
        <v>1251</v>
      </c>
      <c r="F189" s="394" t="s">
        <v>489</v>
      </c>
      <c r="G189" s="158" t="s">
        <v>1054</v>
      </c>
      <c r="H189" s="158" t="s">
        <v>1055</v>
      </c>
      <c r="I189" s="158" t="s">
        <v>1049</v>
      </c>
      <c r="J189" s="158" t="s">
        <v>1140</v>
      </c>
      <c r="K189" s="158" t="s">
        <v>1090</v>
      </c>
      <c r="L189" s="567">
        <v>512000000</v>
      </c>
      <c r="M189" s="901" t="s">
        <v>253</v>
      </c>
      <c r="N189" s="568" t="s">
        <v>156</v>
      </c>
      <c r="O189" s="585" t="s">
        <v>587</v>
      </c>
      <c r="P189" s="408" t="s">
        <v>831</v>
      </c>
      <c r="Q189" s="408"/>
      <c r="R189" s="408"/>
      <c r="S189" s="408"/>
      <c r="T189" s="549" t="s">
        <v>166</v>
      </c>
      <c r="U189" s="549">
        <v>12</v>
      </c>
      <c r="V189" s="549">
        <v>3</v>
      </c>
      <c r="W189" s="549">
        <v>3</v>
      </c>
      <c r="X189" s="549">
        <v>3</v>
      </c>
      <c r="Y189" s="549">
        <v>3</v>
      </c>
      <c r="Z189" s="632" t="s">
        <v>699</v>
      </c>
      <c r="AA189" s="567">
        <v>512000000</v>
      </c>
      <c r="AB189" s="775" t="s">
        <v>454</v>
      </c>
      <c r="AC189" s="540" t="s">
        <v>869</v>
      </c>
      <c r="AD189" s="551">
        <v>3</v>
      </c>
      <c r="AE189" s="551">
        <v>3</v>
      </c>
      <c r="AF189" s="543">
        <v>3</v>
      </c>
      <c r="AG189" s="543">
        <v>3</v>
      </c>
      <c r="AH189" s="536">
        <f t="shared" si="4"/>
        <v>420045850</v>
      </c>
      <c r="AI189" s="536">
        <v>0</v>
      </c>
      <c r="AJ189" s="536">
        <v>0</v>
      </c>
      <c r="AK189" s="888">
        <v>420045850</v>
      </c>
      <c r="AL189" s="536">
        <v>0</v>
      </c>
      <c r="AM189" s="536">
        <f t="shared" si="5"/>
        <v>420045850</v>
      </c>
      <c r="AN189" s="536">
        <v>0</v>
      </c>
      <c r="AO189" s="536">
        <v>0</v>
      </c>
      <c r="AP189" s="686">
        <v>111400000</v>
      </c>
      <c r="AQ189" s="553">
        <f>420045850-AP189</f>
        <v>308645850</v>
      </c>
    </row>
    <row r="190" spans="1:43" s="316" customFormat="1" ht="105" customHeight="1" x14ac:dyDescent="0.25">
      <c r="A190" s="368" t="s">
        <v>892</v>
      </c>
      <c r="B190" s="428" t="s">
        <v>842</v>
      </c>
      <c r="C190" s="428" t="s">
        <v>846</v>
      </c>
      <c r="D190" s="449" t="s">
        <v>1052</v>
      </c>
      <c r="E190" s="731" t="s">
        <v>1251</v>
      </c>
      <c r="F190" s="394" t="s">
        <v>489</v>
      </c>
      <c r="G190" s="368" t="s">
        <v>1054</v>
      </c>
      <c r="H190" s="368" t="s">
        <v>1055</v>
      </c>
      <c r="I190" s="158" t="s">
        <v>1049</v>
      </c>
      <c r="J190" s="368" t="s">
        <v>1141</v>
      </c>
      <c r="K190" s="158" t="s">
        <v>1092</v>
      </c>
      <c r="L190" s="567">
        <v>20000000</v>
      </c>
      <c r="M190" s="911" t="s">
        <v>493</v>
      </c>
      <c r="N190" s="568" t="s">
        <v>156</v>
      </c>
      <c r="O190" s="585" t="s">
        <v>1152</v>
      </c>
      <c r="P190" s="408"/>
      <c r="Q190" s="408"/>
      <c r="R190" s="408"/>
      <c r="S190" s="408"/>
      <c r="T190" s="549" t="s">
        <v>166</v>
      </c>
      <c r="U190" s="571">
        <v>12</v>
      </c>
      <c r="V190" s="571">
        <v>3</v>
      </c>
      <c r="W190" s="571">
        <v>3</v>
      </c>
      <c r="X190" s="571">
        <v>3</v>
      </c>
      <c r="Y190" s="571">
        <v>3</v>
      </c>
      <c r="Z190" s="687" t="s">
        <v>701</v>
      </c>
      <c r="AA190" s="567">
        <v>20000000</v>
      </c>
      <c r="AB190" s="775" t="s">
        <v>190</v>
      </c>
      <c r="AC190" s="540" t="s">
        <v>190</v>
      </c>
      <c r="AD190" s="551">
        <v>3</v>
      </c>
      <c r="AE190" s="551">
        <v>3</v>
      </c>
      <c r="AF190" s="543">
        <v>3</v>
      </c>
      <c r="AG190" s="543">
        <v>3</v>
      </c>
      <c r="AH190" s="536">
        <f t="shared" si="4"/>
        <v>0</v>
      </c>
      <c r="AI190" s="536">
        <v>0</v>
      </c>
      <c r="AJ190" s="536">
        <v>0</v>
      </c>
      <c r="AK190" s="536">
        <v>0</v>
      </c>
      <c r="AL190" s="536">
        <v>0</v>
      </c>
      <c r="AM190" s="536">
        <f t="shared" si="5"/>
        <v>0</v>
      </c>
      <c r="AN190" s="536">
        <v>0</v>
      </c>
      <c r="AO190" s="536">
        <v>0</v>
      </c>
      <c r="AP190" s="536">
        <v>0</v>
      </c>
      <c r="AQ190" s="536">
        <v>0</v>
      </c>
    </row>
    <row r="191" spans="1:43" ht="105" customHeight="1" x14ac:dyDescent="0.25">
      <c r="A191" s="368" t="s">
        <v>892</v>
      </c>
      <c r="B191" s="428" t="s">
        <v>842</v>
      </c>
      <c r="C191" s="428" t="s">
        <v>846</v>
      </c>
      <c r="D191" s="449" t="s">
        <v>1052</v>
      </c>
      <c r="E191" s="731" t="s">
        <v>1251</v>
      </c>
      <c r="F191" s="394" t="s">
        <v>489</v>
      </c>
      <c r="G191" s="368" t="s">
        <v>1054</v>
      </c>
      <c r="H191" s="368" t="s">
        <v>1055</v>
      </c>
      <c r="I191" s="158" t="s">
        <v>1049</v>
      </c>
      <c r="J191" s="368" t="s">
        <v>1141</v>
      </c>
      <c r="K191" s="158" t="s">
        <v>1092</v>
      </c>
      <c r="L191" s="567">
        <v>1078875000</v>
      </c>
      <c r="M191" s="911" t="s">
        <v>493</v>
      </c>
      <c r="N191" s="568" t="s">
        <v>156</v>
      </c>
      <c r="O191" s="585" t="s">
        <v>1152</v>
      </c>
      <c r="P191" s="408"/>
      <c r="Q191" s="408"/>
      <c r="R191" s="408"/>
      <c r="S191" s="408"/>
      <c r="T191" s="549" t="s">
        <v>166</v>
      </c>
      <c r="U191" s="571">
        <v>12</v>
      </c>
      <c r="V191" s="571">
        <v>3</v>
      </c>
      <c r="W191" s="571">
        <v>3</v>
      </c>
      <c r="X191" s="571">
        <v>3</v>
      </c>
      <c r="Y191" s="571">
        <v>3</v>
      </c>
      <c r="Z191" s="687" t="s">
        <v>700</v>
      </c>
      <c r="AA191" s="567">
        <v>1078875000</v>
      </c>
      <c r="AB191" s="775" t="s">
        <v>867</v>
      </c>
      <c r="AC191" s="542" t="s">
        <v>868</v>
      </c>
      <c r="AD191" s="551">
        <v>3</v>
      </c>
      <c r="AE191" s="551">
        <v>3</v>
      </c>
      <c r="AF191" s="543">
        <v>3</v>
      </c>
      <c r="AG191" s="543">
        <v>3</v>
      </c>
      <c r="AH191" s="536">
        <f t="shared" si="4"/>
        <v>1023304146</v>
      </c>
      <c r="AI191" s="536">
        <v>673553167</v>
      </c>
      <c r="AJ191" s="536">
        <f>758366098-AI191</f>
        <v>84812931</v>
      </c>
      <c r="AK191" s="886">
        <f>1023304146-AI191-AJ191</f>
        <v>264938048</v>
      </c>
      <c r="AL191" s="536"/>
      <c r="AM191" s="536">
        <f t="shared" si="5"/>
        <v>1023304146</v>
      </c>
      <c r="AN191" s="536">
        <v>213314848</v>
      </c>
      <c r="AO191" s="536">
        <f>510632220-AN191-50615325</f>
        <v>246702047</v>
      </c>
      <c r="AP191" s="536">
        <f>764170975-AO191-AN191</f>
        <v>304154080</v>
      </c>
      <c r="AQ191" s="577">
        <f>1023304146-AN191-AO191-AP191</f>
        <v>259133171</v>
      </c>
    </row>
    <row r="192" spans="1:43" ht="105" customHeight="1" x14ac:dyDescent="0.25">
      <c r="A192" s="221" t="s">
        <v>889</v>
      </c>
      <c r="B192" s="222" t="s">
        <v>263</v>
      </c>
      <c r="C192" s="222" t="s">
        <v>846</v>
      </c>
      <c r="D192" s="76" t="s">
        <v>918</v>
      </c>
      <c r="E192" s="731" t="s">
        <v>1251</v>
      </c>
      <c r="F192" s="419" t="s">
        <v>261</v>
      </c>
      <c r="G192" s="218" t="s">
        <v>920</v>
      </c>
      <c r="H192" s="218" t="s">
        <v>923</v>
      </c>
      <c r="I192" s="215" t="s">
        <v>927</v>
      </c>
      <c r="J192" s="218" t="s">
        <v>929</v>
      </c>
      <c r="K192" s="215" t="s">
        <v>1093</v>
      </c>
      <c r="L192" s="777">
        <v>0</v>
      </c>
      <c r="M192" s="900" t="s">
        <v>264</v>
      </c>
      <c r="N192" s="556" t="s">
        <v>156</v>
      </c>
      <c r="O192" s="228" t="s">
        <v>592</v>
      </c>
      <c r="P192" s="228"/>
      <c r="Q192" s="228" t="s">
        <v>831</v>
      </c>
      <c r="R192" s="228"/>
      <c r="S192" s="228"/>
      <c r="T192" s="540" t="s">
        <v>166</v>
      </c>
      <c r="U192" s="545">
        <v>4</v>
      </c>
      <c r="V192" s="545">
        <v>1</v>
      </c>
      <c r="W192" s="545">
        <v>1</v>
      </c>
      <c r="X192" s="545">
        <v>1</v>
      </c>
      <c r="Y192" s="545">
        <v>1</v>
      </c>
      <c r="Z192" s="545"/>
      <c r="AA192" s="777">
        <v>0</v>
      </c>
      <c r="AB192" s="775"/>
      <c r="AC192" s="540"/>
      <c r="AD192" s="543">
        <v>1</v>
      </c>
      <c r="AE192" s="543">
        <v>1</v>
      </c>
      <c r="AF192" s="543">
        <v>1</v>
      </c>
      <c r="AG192" s="543">
        <v>1</v>
      </c>
      <c r="AH192" s="536">
        <f t="shared" si="4"/>
        <v>0</v>
      </c>
      <c r="AI192" s="536">
        <v>0</v>
      </c>
      <c r="AJ192" s="536">
        <v>0</v>
      </c>
      <c r="AK192" s="536">
        <v>0</v>
      </c>
      <c r="AL192" s="536">
        <v>0</v>
      </c>
      <c r="AM192" s="536">
        <f t="shared" si="5"/>
        <v>0</v>
      </c>
      <c r="AN192" s="536">
        <v>0</v>
      </c>
      <c r="AO192" s="536">
        <v>0</v>
      </c>
      <c r="AP192" s="536">
        <v>0</v>
      </c>
      <c r="AQ192" s="536">
        <v>0</v>
      </c>
    </row>
    <row r="193" spans="1:44" ht="105" customHeight="1" x14ac:dyDescent="0.25">
      <c r="A193" s="221" t="s">
        <v>889</v>
      </c>
      <c r="B193" s="222" t="s">
        <v>263</v>
      </c>
      <c r="C193" s="222" t="s">
        <v>846</v>
      </c>
      <c r="D193" s="213" t="s">
        <v>917</v>
      </c>
      <c r="E193" s="731" t="s">
        <v>1251</v>
      </c>
      <c r="F193" s="419" t="s">
        <v>261</v>
      </c>
      <c r="G193" s="218" t="s">
        <v>921</v>
      </c>
      <c r="H193" s="218" t="s">
        <v>922</v>
      </c>
      <c r="I193" s="215" t="s">
        <v>926</v>
      </c>
      <c r="J193" s="218" t="s">
        <v>928</v>
      </c>
      <c r="K193" s="215" t="s">
        <v>1094</v>
      </c>
      <c r="L193" s="751">
        <v>235633678</v>
      </c>
      <c r="M193" s="900" t="s">
        <v>265</v>
      </c>
      <c r="N193" s="568" t="s">
        <v>156</v>
      </c>
      <c r="O193" s="228" t="s">
        <v>572</v>
      </c>
      <c r="P193" s="228"/>
      <c r="Q193" s="228" t="s">
        <v>831</v>
      </c>
      <c r="R193" s="228"/>
      <c r="S193" s="228"/>
      <c r="T193" s="540" t="s">
        <v>166</v>
      </c>
      <c r="U193" s="545">
        <v>40</v>
      </c>
      <c r="V193" s="545">
        <v>0</v>
      </c>
      <c r="W193" s="545">
        <v>13</v>
      </c>
      <c r="X193" s="545">
        <v>13</v>
      </c>
      <c r="Y193" s="545">
        <v>14</v>
      </c>
      <c r="Z193" s="632" t="s">
        <v>703</v>
      </c>
      <c r="AA193" s="751">
        <v>235633678</v>
      </c>
      <c r="AB193" s="775" t="s">
        <v>867</v>
      </c>
      <c r="AC193" s="542" t="s">
        <v>868</v>
      </c>
      <c r="AD193" s="543">
        <v>0</v>
      </c>
      <c r="AE193" s="543">
        <v>3</v>
      </c>
      <c r="AF193" s="791">
        <v>45</v>
      </c>
      <c r="AG193" s="543">
        <v>152</v>
      </c>
      <c r="AH193" s="536">
        <f t="shared" si="4"/>
        <v>235633678</v>
      </c>
      <c r="AI193" s="536">
        <v>0</v>
      </c>
      <c r="AJ193" s="536">
        <v>0</v>
      </c>
      <c r="AK193" s="892">
        <v>235633678</v>
      </c>
      <c r="AL193" s="536">
        <v>0</v>
      </c>
      <c r="AM193" s="536">
        <f t="shared" si="5"/>
        <v>235633677</v>
      </c>
      <c r="AN193" s="536">
        <v>0</v>
      </c>
      <c r="AO193" s="536">
        <v>0</v>
      </c>
      <c r="AP193" s="536">
        <v>0</v>
      </c>
      <c r="AQ193" s="537">
        <v>235633677</v>
      </c>
    </row>
    <row r="194" spans="1:44" ht="105" customHeight="1" x14ac:dyDescent="0.25">
      <c r="A194" s="221" t="s">
        <v>889</v>
      </c>
      <c r="B194" s="222" t="s">
        <v>263</v>
      </c>
      <c r="C194" s="222" t="s">
        <v>846</v>
      </c>
      <c r="D194" s="76" t="s">
        <v>918</v>
      </c>
      <c r="E194" s="731" t="s">
        <v>1251</v>
      </c>
      <c r="F194" s="419" t="s">
        <v>261</v>
      </c>
      <c r="G194" s="218" t="s">
        <v>920</v>
      </c>
      <c r="H194" s="218" t="s">
        <v>923</v>
      </c>
      <c r="I194" s="215" t="s">
        <v>927</v>
      </c>
      <c r="J194" s="218" t="s">
        <v>929</v>
      </c>
      <c r="K194" s="215" t="s">
        <v>1093</v>
      </c>
      <c r="L194" s="777">
        <v>0</v>
      </c>
      <c r="M194" s="900" t="s">
        <v>266</v>
      </c>
      <c r="N194" s="568" t="s">
        <v>156</v>
      </c>
      <c r="O194" s="228" t="s">
        <v>572</v>
      </c>
      <c r="P194" s="228"/>
      <c r="Q194" s="228" t="s">
        <v>831</v>
      </c>
      <c r="R194" s="228"/>
      <c r="S194" s="228"/>
      <c r="T194" s="540" t="s">
        <v>166</v>
      </c>
      <c r="U194" s="545">
        <v>69</v>
      </c>
      <c r="V194" s="545">
        <v>0</v>
      </c>
      <c r="W194" s="545">
        <v>23</v>
      </c>
      <c r="X194" s="545">
        <v>23</v>
      </c>
      <c r="Y194" s="545">
        <v>23</v>
      </c>
      <c r="Z194" s="545"/>
      <c r="AA194" s="777">
        <v>0</v>
      </c>
      <c r="AB194" s="775"/>
      <c r="AC194" s="540"/>
      <c r="AD194" s="543">
        <v>0</v>
      </c>
      <c r="AE194" s="791">
        <v>30</v>
      </c>
      <c r="AF194" s="791">
        <v>36</v>
      </c>
      <c r="AG194" s="543">
        <v>34</v>
      </c>
      <c r="AH194" s="536">
        <f t="shared" si="4"/>
        <v>0</v>
      </c>
      <c r="AI194" s="536">
        <v>0</v>
      </c>
      <c r="AJ194" s="536">
        <v>0</v>
      </c>
      <c r="AK194" s="536"/>
      <c r="AL194" s="536">
        <v>0</v>
      </c>
      <c r="AM194" s="536">
        <f t="shared" si="5"/>
        <v>0</v>
      </c>
      <c r="AN194" s="536">
        <v>0</v>
      </c>
      <c r="AO194" s="536">
        <v>0</v>
      </c>
      <c r="AP194" s="536">
        <v>0</v>
      </c>
      <c r="AQ194" s="536">
        <v>0</v>
      </c>
    </row>
    <row r="195" spans="1:44" ht="105" customHeight="1" x14ac:dyDescent="0.25">
      <c r="A195" s="221" t="s">
        <v>889</v>
      </c>
      <c r="B195" s="222" t="s">
        <v>263</v>
      </c>
      <c r="C195" s="222" t="s">
        <v>846</v>
      </c>
      <c r="D195" s="76" t="s">
        <v>918</v>
      </c>
      <c r="E195" s="731" t="s">
        <v>1251</v>
      </c>
      <c r="F195" s="419" t="s">
        <v>261</v>
      </c>
      <c r="G195" s="218" t="s">
        <v>920</v>
      </c>
      <c r="H195" s="218" t="s">
        <v>924</v>
      </c>
      <c r="I195" s="215" t="s">
        <v>927</v>
      </c>
      <c r="J195" s="218" t="s">
        <v>929</v>
      </c>
      <c r="K195" s="215" t="s">
        <v>1093</v>
      </c>
      <c r="L195" s="777">
        <v>200000000</v>
      </c>
      <c r="M195" s="900" t="s">
        <v>496</v>
      </c>
      <c r="N195" s="688" t="s">
        <v>154</v>
      </c>
      <c r="O195" s="555" t="s">
        <v>773</v>
      </c>
      <c r="P195" s="228" t="s">
        <v>1188</v>
      </c>
      <c r="Q195" s="228" t="s">
        <v>1181</v>
      </c>
      <c r="R195" s="228" t="s">
        <v>1183</v>
      </c>
      <c r="S195" s="228"/>
      <c r="T195" s="540" t="s">
        <v>166</v>
      </c>
      <c r="U195" s="545">
        <v>5</v>
      </c>
      <c r="V195" s="545">
        <v>1</v>
      </c>
      <c r="W195" s="545">
        <v>1</v>
      </c>
      <c r="X195" s="545">
        <v>2</v>
      </c>
      <c r="Y195" s="545">
        <v>1</v>
      </c>
      <c r="Z195" s="542" t="s">
        <v>703</v>
      </c>
      <c r="AA195" s="777">
        <v>200000000</v>
      </c>
      <c r="AB195" s="775" t="s">
        <v>867</v>
      </c>
      <c r="AC195" s="542" t="s">
        <v>868</v>
      </c>
      <c r="AD195" s="543">
        <v>1</v>
      </c>
      <c r="AE195" s="543">
        <v>1</v>
      </c>
      <c r="AF195" s="791">
        <v>2</v>
      </c>
      <c r="AG195" s="543">
        <v>1</v>
      </c>
      <c r="AH195" s="536">
        <f t="shared" si="4"/>
        <v>65417401</v>
      </c>
      <c r="AI195" s="536">
        <v>0</v>
      </c>
      <c r="AJ195" s="536">
        <v>0</v>
      </c>
      <c r="AK195" s="893">
        <v>65417401</v>
      </c>
      <c r="AL195" s="536">
        <v>0</v>
      </c>
      <c r="AM195" s="536">
        <f t="shared" si="5"/>
        <v>65417402</v>
      </c>
      <c r="AN195" s="536">
        <v>0</v>
      </c>
      <c r="AO195" s="536">
        <v>0</v>
      </c>
      <c r="AP195" s="536">
        <v>0</v>
      </c>
      <c r="AQ195" s="537">
        <v>65417402</v>
      </c>
    </row>
    <row r="196" spans="1:44" ht="105" customHeight="1" x14ac:dyDescent="0.25">
      <c r="A196" s="221" t="s">
        <v>889</v>
      </c>
      <c r="B196" s="222" t="s">
        <v>263</v>
      </c>
      <c r="C196" s="222" t="s">
        <v>846</v>
      </c>
      <c r="D196" s="16" t="s">
        <v>918</v>
      </c>
      <c r="E196" s="731" t="s">
        <v>1251</v>
      </c>
      <c r="F196" s="419" t="s">
        <v>261</v>
      </c>
      <c r="G196" s="218" t="s">
        <v>920</v>
      </c>
      <c r="H196" s="218" t="s">
        <v>924</v>
      </c>
      <c r="I196" s="215" t="s">
        <v>927</v>
      </c>
      <c r="J196" s="218" t="s">
        <v>929</v>
      </c>
      <c r="K196" s="215" t="s">
        <v>1093</v>
      </c>
      <c r="L196" s="777">
        <v>0</v>
      </c>
      <c r="M196" s="900" t="s">
        <v>497</v>
      </c>
      <c r="N196" s="688" t="s">
        <v>156</v>
      </c>
      <c r="O196" s="228" t="s">
        <v>643</v>
      </c>
      <c r="P196" s="228"/>
      <c r="Q196" s="228" t="s">
        <v>831</v>
      </c>
      <c r="R196" s="228"/>
      <c r="S196" s="228"/>
      <c r="T196" s="540" t="s">
        <v>166</v>
      </c>
      <c r="U196" s="545">
        <v>4</v>
      </c>
      <c r="V196" s="545">
        <v>1</v>
      </c>
      <c r="W196" s="545">
        <v>1</v>
      </c>
      <c r="X196" s="545">
        <v>1</v>
      </c>
      <c r="Y196" s="545">
        <v>1</v>
      </c>
      <c r="Z196" s="545"/>
      <c r="AA196" s="777">
        <v>0</v>
      </c>
      <c r="AB196" s="775"/>
      <c r="AC196" s="540"/>
      <c r="AD196" s="543">
        <v>1</v>
      </c>
      <c r="AE196" s="543">
        <v>1</v>
      </c>
      <c r="AF196" s="543">
        <v>1</v>
      </c>
      <c r="AG196" s="543">
        <v>1</v>
      </c>
      <c r="AH196" s="536">
        <f t="shared" si="4"/>
        <v>0</v>
      </c>
      <c r="AI196" s="536">
        <v>0</v>
      </c>
      <c r="AJ196" s="536">
        <v>0</v>
      </c>
      <c r="AK196" s="536">
        <v>0</v>
      </c>
      <c r="AL196" s="536">
        <v>0</v>
      </c>
      <c r="AM196" s="536">
        <f t="shared" si="5"/>
        <v>0</v>
      </c>
      <c r="AN196" s="536">
        <v>0</v>
      </c>
      <c r="AO196" s="536">
        <v>0</v>
      </c>
      <c r="AP196" s="536">
        <v>0</v>
      </c>
      <c r="AQ196" s="536">
        <v>0</v>
      </c>
    </row>
    <row r="197" spans="1:44" ht="105" customHeight="1" x14ac:dyDescent="0.25">
      <c r="A197" s="221" t="s">
        <v>889</v>
      </c>
      <c r="B197" s="222" t="s">
        <v>263</v>
      </c>
      <c r="C197" s="222" t="s">
        <v>846</v>
      </c>
      <c r="D197" s="76" t="s">
        <v>918</v>
      </c>
      <c r="E197" s="731" t="s">
        <v>1251</v>
      </c>
      <c r="F197" s="419" t="s">
        <v>261</v>
      </c>
      <c r="G197" s="218" t="s">
        <v>920</v>
      </c>
      <c r="H197" s="218" t="s">
        <v>924</v>
      </c>
      <c r="I197" s="215" t="s">
        <v>927</v>
      </c>
      <c r="J197" s="218" t="s">
        <v>929</v>
      </c>
      <c r="K197" s="215" t="s">
        <v>1093</v>
      </c>
      <c r="L197" s="777">
        <v>280000000</v>
      </c>
      <c r="M197" s="900" t="s">
        <v>267</v>
      </c>
      <c r="N197" s="688" t="s">
        <v>156</v>
      </c>
      <c r="O197" s="539" t="s">
        <v>1151</v>
      </c>
      <c r="P197" s="228"/>
      <c r="Q197" s="228"/>
      <c r="R197" s="228"/>
      <c r="S197" s="228"/>
      <c r="T197" s="540" t="s">
        <v>166</v>
      </c>
      <c r="U197" s="545">
        <v>2</v>
      </c>
      <c r="V197" s="545">
        <v>2</v>
      </c>
      <c r="W197" s="545">
        <v>0</v>
      </c>
      <c r="X197" s="545">
        <v>0</v>
      </c>
      <c r="Y197" s="545">
        <v>0</v>
      </c>
      <c r="Z197" s="632" t="s">
        <v>705</v>
      </c>
      <c r="AA197" s="777">
        <v>280000000</v>
      </c>
      <c r="AB197" s="775" t="s">
        <v>867</v>
      </c>
      <c r="AC197" s="542" t="s">
        <v>868</v>
      </c>
      <c r="AD197" s="543">
        <v>2</v>
      </c>
      <c r="AE197" s="543">
        <v>0</v>
      </c>
      <c r="AF197" s="543">
        <v>0</v>
      </c>
      <c r="AG197" s="543">
        <v>0</v>
      </c>
      <c r="AH197" s="536">
        <f t="shared" si="4"/>
        <v>255050000</v>
      </c>
      <c r="AI197" s="689">
        <v>220000000</v>
      </c>
      <c r="AJ197" s="536">
        <v>0</v>
      </c>
      <c r="AK197" s="690">
        <f>255050000-AI197</f>
        <v>35050000</v>
      </c>
      <c r="AL197" s="536">
        <v>0</v>
      </c>
      <c r="AM197" s="536">
        <f t="shared" si="5"/>
        <v>255050000</v>
      </c>
      <c r="AN197" s="691">
        <v>44000000</v>
      </c>
      <c r="AO197" s="691">
        <f>110000000-AN197</f>
        <v>66000000</v>
      </c>
      <c r="AP197" s="536">
        <f>176000000-AN197-AO197</f>
        <v>66000000</v>
      </c>
      <c r="AQ197" s="800">
        <f>255050000-AN197-AO197-AP197</f>
        <v>79050000</v>
      </c>
    </row>
    <row r="198" spans="1:44" ht="84.75" customHeight="1" x14ac:dyDescent="0.25">
      <c r="A198" s="368" t="s">
        <v>892</v>
      </c>
      <c r="B198" s="428" t="s">
        <v>65</v>
      </c>
      <c r="C198" s="428" t="s">
        <v>850</v>
      </c>
      <c r="D198" s="451" t="s">
        <v>977</v>
      </c>
      <c r="E198" s="341" t="s">
        <v>1250</v>
      </c>
      <c r="F198" s="394" t="s">
        <v>269</v>
      </c>
      <c r="G198" s="378" t="s">
        <v>978</v>
      </c>
      <c r="H198" s="378" t="s">
        <v>989</v>
      </c>
      <c r="I198" s="158" t="s">
        <v>980</v>
      </c>
      <c r="J198" s="378" t="s">
        <v>990</v>
      </c>
      <c r="K198" s="158" t="s">
        <v>1095</v>
      </c>
      <c r="L198" s="518">
        <v>4240940907</v>
      </c>
      <c r="M198" s="585" t="s">
        <v>270</v>
      </c>
      <c r="N198" s="568" t="s">
        <v>156</v>
      </c>
      <c r="O198" s="547" t="s">
        <v>707</v>
      </c>
      <c r="P198" s="408"/>
      <c r="Q198" s="408"/>
      <c r="R198" s="408"/>
      <c r="S198" s="408"/>
      <c r="T198" s="549" t="s">
        <v>166</v>
      </c>
      <c r="U198" s="571">
        <v>125</v>
      </c>
      <c r="V198" s="549">
        <v>125</v>
      </c>
      <c r="W198" s="549">
        <v>0</v>
      </c>
      <c r="X198" s="549">
        <v>0</v>
      </c>
      <c r="Y198" s="549">
        <v>0</v>
      </c>
      <c r="Z198" s="572" t="s">
        <v>706</v>
      </c>
      <c r="AA198" s="518">
        <v>4240940907</v>
      </c>
      <c r="AB198" s="775" t="s">
        <v>190</v>
      </c>
      <c r="AC198" s="632" t="s">
        <v>708</v>
      </c>
      <c r="AD198" s="551">
        <v>0</v>
      </c>
      <c r="AE198" s="551">
        <v>125</v>
      </c>
      <c r="AF198" s="543">
        <v>0</v>
      </c>
      <c r="AG198" s="543">
        <v>0</v>
      </c>
      <c r="AH198" s="536">
        <f t="shared" si="4"/>
        <v>3875165975</v>
      </c>
      <c r="AI198" s="536">
        <v>0</v>
      </c>
      <c r="AJ198" s="536">
        <v>1818658271</v>
      </c>
      <c r="AK198" s="536">
        <f>2883490477-AJ198</f>
        <v>1064832206</v>
      </c>
      <c r="AL198" s="536">
        <f>3875165975-AJ198-AK198</f>
        <v>991675498</v>
      </c>
      <c r="AM198" s="536">
        <f t="shared" si="5"/>
        <v>3875165975</v>
      </c>
      <c r="AN198" s="536">
        <v>0</v>
      </c>
      <c r="AO198" s="536">
        <v>1818658271</v>
      </c>
      <c r="AP198" s="536">
        <f>2883490477-AO198</f>
        <v>1064832206</v>
      </c>
      <c r="AQ198" s="536">
        <f>3875165975-AO198-AP198</f>
        <v>991675498</v>
      </c>
    </row>
    <row r="199" spans="1:44" ht="90" customHeight="1" x14ac:dyDescent="0.25">
      <c r="A199" s="368" t="s">
        <v>892</v>
      </c>
      <c r="B199" s="428" t="s">
        <v>65</v>
      </c>
      <c r="C199" s="428" t="s">
        <v>850</v>
      </c>
      <c r="D199" s="451" t="s">
        <v>977</v>
      </c>
      <c r="E199" s="341" t="s">
        <v>1250</v>
      </c>
      <c r="F199" s="394" t="s">
        <v>269</v>
      </c>
      <c r="G199" s="378" t="s">
        <v>978</v>
      </c>
      <c r="H199" s="378" t="s">
        <v>989</v>
      </c>
      <c r="I199" s="158" t="s">
        <v>980</v>
      </c>
      <c r="J199" s="378" t="s">
        <v>990</v>
      </c>
      <c r="K199" s="158" t="s">
        <v>1095</v>
      </c>
      <c r="L199" s="518">
        <v>18417628375</v>
      </c>
      <c r="M199" s="585" t="s">
        <v>270</v>
      </c>
      <c r="N199" s="568" t="s">
        <v>156</v>
      </c>
      <c r="O199" s="547" t="s">
        <v>707</v>
      </c>
      <c r="P199" s="408"/>
      <c r="Q199" s="408"/>
      <c r="R199" s="408"/>
      <c r="S199" s="408"/>
      <c r="T199" s="549" t="s">
        <v>166</v>
      </c>
      <c r="U199" s="571">
        <v>125</v>
      </c>
      <c r="V199" s="549">
        <v>125</v>
      </c>
      <c r="W199" s="549">
        <v>0</v>
      </c>
      <c r="X199" s="549">
        <v>0</v>
      </c>
      <c r="Y199" s="549">
        <v>0</v>
      </c>
      <c r="Z199" s="572" t="s">
        <v>709</v>
      </c>
      <c r="AA199" s="518">
        <v>18417628375</v>
      </c>
      <c r="AB199" s="775" t="s">
        <v>190</v>
      </c>
      <c r="AC199" s="632" t="s">
        <v>716</v>
      </c>
      <c r="AD199" s="551">
        <v>0</v>
      </c>
      <c r="AE199" s="551">
        <v>125</v>
      </c>
      <c r="AF199" s="543">
        <v>0</v>
      </c>
      <c r="AG199" s="543">
        <v>0</v>
      </c>
      <c r="AH199" s="536">
        <f t="shared" si="4"/>
        <v>14745583356</v>
      </c>
      <c r="AI199" s="536">
        <v>0</v>
      </c>
      <c r="AJ199" s="536">
        <v>3376508645</v>
      </c>
      <c r="AK199" s="692">
        <f>13099646835-AJ199</f>
        <v>9723138190</v>
      </c>
      <c r="AL199" s="536">
        <f>14745583356-AJ199-AK199</f>
        <v>1645936521</v>
      </c>
      <c r="AM199" s="536">
        <f t="shared" si="5"/>
        <v>14745583356</v>
      </c>
      <c r="AN199" s="536">
        <v>0</v>
      </c>
      <c r="AO199" s="536">
        <v>3354240837</v>
      </c>
      <c r="AP199" s="536">
        <f>13099646835-AO199</f>
        <v>9745405998</v>
      </c>
      <c r="AQ199" s="536">
        <f>14745583356-AO199-AP199</f>
        <v>1645936521</v>
      </c>
    </row>
    <row r="200" spans="1:44" ht="74.25" customHeight="1" x14ac:dyDescent="0.25">
      <c r="A200" s="368" t="s">
        <v>892</v>
      </c>
      <c r="B200" s="428" t="s">
        <v>65</v>
      </c>
      <c r="C200" s="428" t="s">
        <v>850</v>
      </c>
      <c r="D200" s="451" t="s">
        <v>977</v>
      </c>
      <c r="E200" s="341" t="s">
        <v>1250</v>
      </c>
      <c r="F200" s="394" t="s">
        <v>269</v>
      </c>
      <c r="G200" s="378" t="s">
        <v>978</v>
      </c>
      <c r="H200" s="378" t="s">
        <v>989</v>
      </c>
      <c r="I200" s="158" t="s">
        <v>980</v>
      </c>
      <c r="J200" s="378" t="s">
        <v>990</v>
      </c>
      <c r="K200" s="158" t="s">
        <v>1095</v>
      </c>
      <c r="L200" s="518">
        <v>5536514540</v>
      </c>
      <c r="M200" s="585" t="s">
        <v>270</v>
      </c>
      <c r="N200" s="568" t="s">
        <v>156</v>
      </c>
      <c r="O200" s="547" t="s">
        <v>707</v>
      </c>
      <c r="P200" s="408"/>
      <c r="Q200" s="408"/>
      <c r="R200" s="408"/>
      <c r="S200" s="408"/>
      <c r="T200" s="549" t="s">
        <v>166</v>
      </c>
      <c r="U200" s="571">
        <v>125</v>
      </c>
      <c r="V200" s="549">
        <v>125</v>
      </c>
      <c r="W200" s="549">
        <v>0</v>
      </c>
      <c r="X200" s="549">
        <v>0</v>
      </c>
      <c r="Y200" s="549">
        <v>0</v>
      </c>
      <c r="Z200" s="572" t="s">
        <v>711</v>
      </c>
      <c r="AA200" s="518">
        <v>5536514540</v>
      </c>
      <c r="AB200" s="775" t="s">
        <v>190</v>
      </c>
      <c r="AC200" s="632" t="s">
        <v>710</v>
      </c>
      <c r="AD200" s="551">
        <v>0</v>
      </c>
      <c r="AE200" s="551">
        <v>125</v>
      </c>
      <c r="AF200" s="543">
        <v>0</v>
      </c>
      <c r="AG200" s="543">
        <v>0</v>
      </c>
      <c r="AH200" s="536">
        <f t="shared" si="4"/>
        <v>5536514540</v>
      </c>
      <c r="AI200" s="536">
        <v>0</v>
      </c>
      <c r="AJ200" s="536">
        <v>0</v>
      </c>
      <c r="AK200" s="537">
        <f>96195570+5440318970</f>
        <v>5536514540</v>
      </c>
      <c r="AL200" s="536">
        <v>0</v>
      </c>
      <c r="AM200" s="536">
        <f t="shared" si="5"/>
        <v>5536493411</v>
      </c>
      <c r="AN200" s="536">
        <v>0</v>
      </c>
      <c r="AO200" s="536">
        <v>0</v>
      </c>
      <c r="AP200" s="536">
        <v>5274116643</v>
      </c>
      <c r="AQ200" s="536">
        <f>5536493411-AP200</f>
        <v>262376768</v>
      </c>
    </row>
    <row r="201" spans="1:44" ht="86.25" customHeight="1" x14ac:dyDescent="0.25">
      <c r="A201" s="368" t="s">
        <v>892</v>
      </c>
      <c r="B201" s="428" t="s">
        <v>65</v>
      </c>
      <c r="C201" s="428" t="s">
        <v>850</v>
      </c>
      <c r="D201" s="451" t="s">
        <v>977</v>
      </c>
      <c r="E201" s="341" t="s">
        <v>1250</v>
      </c>
      <c r="F201" s="394" t="s">
        <v>269</v>
      </c>
      <c r="G201" s="378" t="s">
        <v>978</v>
      </c>
      <c r="H201" s="378" t="s">
        <v>989</v>
      </c>
      <c r="I201" s="158" t="s">
        <v>980</v>
      </c>
      <c r="J201" s="378" t="s">
        <v>990</v>
      </c>
      <c r="K201" s="158" t="s">
        <v>1095</v>
      </c>
      <c r="L201" s="751">
        <v>331425341810</v>
      </c>
      <c r="M201" s="585" t="s">
        <v>270</v>
      </c>
      <c r="N201" s="568" t="s">
        <v>156</v>
      </c>
      <c r="O201" s="547" t="s">
        <v>707</v>
      </c>
      <c r="P201" s="408"/>
      <c r="Q201" s="408"/>
      <c r="R201" s="408"/>
      <c r="S201" s="408"/>
      <c r="T201" s="549" t="s">
        <v>166</v>
      </c>
      <c r="U201" s="571">
        <v>125</v>
      </c>
      <c r="V201" s="549">
        <v>125</v>
      </c>
      <c r="W201" s="549">
        <v>0</v>
      </c>
      <c r="X201" s="549">
        <v>0</v>
      </c>
      <c r="Y201" s="549">
        <v>0</v>
      </c>
      <c r="Z201" s="540" t="s">
        <v>717</v>
      </c>
      <c r="AA201" s="751">
        <v>331425341810</v>
      </c>
      <c r="AB201" s="775" t="s">
        <v>190</v>
      </c>
      <c r="AC201" s="540" t="s">
        <v>190</v>
      </c>
      <c r="AD201" s="551">
        <v>0</v>
      </c>
      <c r="AE201" s="551">
        <v>125</v>
      </c>
      <c r="AF201" s="543">
        <v>0</v>
      </c>
      <c r="AG201" s="543">
        <v>0</v>
      </c>
      <c r="AH201" s="536">
        <f t="shared" si="4"/>
        <v>258558575849</v>
      </c>
      <c r="AI201" s="536">
        <v>0</v>
      </c>
      <c r="AJ201" s="536">
        <v>92190239978</v>
      </c>
      <c r="AK201" s="536">
        <f>156873072679-AJ201</f>
        <v>64682832701</v>
      </c>
      <c r="AL201" s="537">
        <f>258558575849-AJ201-AK201</f>
        <v>101685503170</v>
      </c>
      <c r="AM201" s="536">
        <f t="shared" si="5"/>
        <v>258558486122</v>
      </c>
      <c r="AN201" s="536">
        <v>0</v>
      </c>
      <c r="AO201" s="536">
        <v>76653732341</v>
      </c>
      <c r="AP201" s="536">
        <f>144869840391-AO201</f>
        <v>68216108050</v>
      </c>
      <c r="AQ201" s="536">
        <f>258558486122-AO201-AP201</f>
        <v>113688645731</v>
      </c>
      <c r="AR201" s="331"/>
    </row>
    <row r="202" spans="1:44" ht="105" customHeight="1" x14ac:dyDescent="0.25">
      <c r="A202" s="116" t="s">
        <v>892</v>
      </c>
      <c r="B202" s="162" t="s">
        <v>65</v>
      </c>
      <c r="C202" s="428" t="s">
        <v>850</v>
      </c>
      <c r="D202" s="451" t="s">
        <v>977</v>
      </c>
      <c r="E202" s="341" t="s">
        <v>1250</v>
      </c>
      <c r="F202" s="394" t="s">
        <v>269</v>
      </c>
      <c r="G202" s="160" t="s">
        <v>978</v>
      </c>
      <c r="H202" s="160" t="s">
        <v>989</v>
      </c>
      <c r="I202" s="158" t="s">
        <v>980</v>
      </c>
      <c r="J202" s="160" t="s">
        <v>990</v>
      </c>
      <c r="K202" s="158" t="s">
        <v>1095</v>
      </c>
      <c r="L202" s="128">
        <v>1119312000</v>
      </c>
      <c r="M202" s="585" t="s">
        <v>271</v>
      </c>
      <c r="N202" s="568" t="s">
        <v>156</v>
      </c>
      <c r="O202" s="547" t="s">
        <v>584</v>
      </c>
      <c r="P202" s="408"/>
      <c r="Q202" s="408"/>
      <c r="R202" s="408"/>
      <c r="S202" s="408"/>
      <c r="T202" s="549" t="s">
        <v>166</v>
      </c>
      <c r="U202" s="571">
        <v>13</v>
      </c>
      <c r="V202" s="549">
        <v>13</v>
      </c>
      <c r="W202" s="549">
        <v>0</v>
      </c>
      <c r="X202" s="549">
        <v>0</v>
      </c>
      <c r="Y202" s="549">
        <v>0</v>
      </c>
      <c r="Z202" s="572" t="s">
        <v>712</v>
      </c>
      <c r="AA202" s="128">
        <v>1119312000</v>
      </c>
      <c r="AB202" s="775" t="s">
        <v>190</v>
      </c>
      <c r="AC202" s="540" t="s">
        <v>190</v>
      </c>
      <c r="AD202" s="551">
        <v>13</v>
      </c>
      <c r="AE202" s="551">
        <v>0</v>
      </c>
      <c r="AF202" s="543">
        <v>0</v>
      </c>
      <c r="AG202" s="543">
        <v>0</v>
      </c>
      <c r="AH202" s="536">
        <f t="shared" si="4"/>
        <v>1027320509</v>
      </c>
      <c r="AI202" s="536">
        <v>264022809</v>
      </c>
      <c r="AJ202" s="536">
        <f>488245733-AI202</f>
        <v>224222924</v>
      </c>
      <c r="AK202" s="536">
        <f>755558956-AI202-AJ202</f>
        <v>267313223</v>
      </c>
      <c r="AL202" s="536">
        <f>1027320509-AI202-AJ202-AK202</f>
        <v>271761553</v>
      </c>
      <c r="AM202" s="536">
        <f t="shared" si="5"/>
        <v>1027320509</v>
      </c>
      <c r="AN202" s="536">
        <v>239676871</v>
      </c>
      <c r="AO202" s="536">
        <f>443152367-AN202</f>
        <v>203475496</v>
      </c>
      <c r="AP202" s="536">
        <f>748816483-AN202-AO202</f>
        <v>305664116</v>
      </c>
      <c r="AQ202" s="536">
        <f>1027320509-AN202-AO202-AP202</f>
        <v>278504026</v>
      </c>
    </row>
    <row r="203" spans="1:44" ht="105" customHeight="1" x14ac:dyDescent="0.25">
      <c r="A203" s="116" t="s">
        <v>892</v>
      </c>
      <c r="B203" s="162" t="s">
        <v>65</v>
      </c>
      <c r="C203" s="428" t="s">
        <v>850</v>
      </c>
      <c r="D203" s="451" t="s">
        <v>977</v>
      </c>
      <c r="E203" s="341" t="s">
        <v>1250</v>
      </c>
      <c r="F203" s="394" t="s">
        <v>269</v>
      </c>
      <c r="G203" s="160" t="s">
        <v>978</v>
      </c>
      <c r="H203" s="160" t="s">
        <v>989</v>
      </c>
      <c r="I203" s="158" t="s">
        <v>980</v>
      </c>
      <c r="J203" s="160" t="s">
        <v>990</v>
      </c>
      <c r="K203" s="158" t="s">
        <v>1095</v>
      </c>
      <c r="L203" s="128">
        <v>120000000</v>
      </c>
      <c r="M203" s="585" t="s">
        <v>271</v>
      </c>
      <c r="N203" s="568" t="s">
        <v>156</v>
      </c>
      <c r="O203" s="547" t="s">
        <v>584</v>
      </c>
      <c r="P203" s="408"/>
      <c r="Q203" s="408"/>
      <c r="R203" s="408"/>
      <c r="S203" s="408"/>
      <c r="T203" s="549" t="s">
        <v>166</v>
      </c>
      <c r="U203" s="571">
        <v>13</v>
      </c>
      <c r="V203" s="549">
        <v>13</v>
      </c>
      <c r="W203" s="549">
        <v>0</v>
      </c>
      <c r="X203" s="549">
        <v>0</v>
      </c>
      <c r="Y203" s="549">
        <v>0</v>
      </c>
      <c r="Z203" s="572" t="s">
        <v>715</v>
      </c>
      <c r="AA203" s="128">
        <v>120000000</v>
      </c>
      <c r="AB203" s="775" t="s">
        <v>190</v>
      </c>
      <c r="AC203" s="540" t="s">
        <v>190</v>
      </c>
      <c r="AD203" s="551">
        <v>13</v>
      </c>
      <c r="AE203" s="551">
        <v>0</v>
      </c>
      <c r="AF203" s="543">
        <v>0</v>
      </c>
      <c r="AG203" s="543">
        <v>0</v>
      </c>
      <c r="AH203" s="536">
        <f t="shared" si="4"/>
        <v>43402350</v>
      </c>
      <c r="AI203" s="536">
        <v>40000000</v>
      </c>
      <c r="AJ203" s="536">
        <f>40383100-AI203</f>
        <v>383100</v>
      </c>
      <c r="AK203" s="536">
        <f>41424500-AI203-AJ203</f>
        <v>1041400</v>
      </c>
      <c r="AL203" s="799">
        <f>43402350-AI203-AJ203-AK203</f>
        <v>1977850</v>
      </c>
      <c r="AM203" s="536">
        <f t="shared" si="5"/>
        <v>43402347</v>
      </c>
      <c r="AN203" s="536">
        <v>0</v>
      </c>
      <c r="AO203" s="536">
        <v>379662</v>
      </c>
      <c r="AP203" s="537">
        <f>6424497-AO203</f>
        <v>6044835</v>
      </c>
      <c r="AQ203" s="536">
        <f>43402347-AO203-AP203</f>
        <v>36977850</v>
      </c>
      <c r="AR203" s="331"/>
    </row>
    <row r="204" spans="1:44" ht="105" customHeight="1" x14ac:dyDescent="0.25">
      <c r="A204" s="221" t="s">
        <v>892</v>
      </c>
      <c r="B204" s="222" t="s">
        <v>65</v>
      </c>
      <c r="C204" s="222" t="s">
        <v>850</v>
      </c>
      <c r="D204" s="76" t="s">
        <v>977</v>
      </c>
      <c r="E204" s="341" t="s">
        <v>1250</v>
      </c>
      <c r="F204" s="427" t="s">
        <v>269</v>
      </c>
      <c r="G204" s="218" t="s">
        <v>978</v>
      </c>
      <c r="H204" s="218" t="s">
        <v>989</v>
      </c>
      <c r="I204" s="215" t="s">
        <v>980</v>
      </c>
      <c r="J204" s="218" t="s">
        <v>990</v>
      </c>
      <c r="K204" s="255" t="s">
        <v>1095</v>
      </c>
      <c r="L204" s="777">
        <v>0</v>
      </c>
      <c r="M204" s="228" t="s">
        <v>714</v>
      </c>
      <c r="N204" s="556" t="s">
        <v>1158</v>
      </c>
      <c r="O204" s="228" t="s">
        <v>773</v>
      </c>
      <c r="P204" s="228" t="s">
        <v>1180</v>
      </c>
      <c r="Q204" s="228" t="s">
        <v>1198</v>
      </c>
      <c r="R204" s="228" t="s">
        <v>1183</v>
      </c>
      <c r="S204" s="228"/>
      <c r="T204" s="540" t="s">
        <v>166</v>
      </c>
      <c r="U204" s="545">
        <v>1</v>
      </c>
      <c r="V204" s="545">
        <v>0</v>
      </c>
      <c r="W204" s="545">
        <v>0</v>
      </c>
      <c r="X204" s="545">
        <v>0</v>
      </c>
      <c r="Y204" s="545">
        <v>1</v>
      </c>
      <c r="Z204" s="572"/>
      <c r="AA204" s="777">
        <v>0</v>
      </c>
      <c r="AB204" s="775"/>
      <c r="AC204" s="681"/>
      <c r="AD204" s="543">
        <v>0</v>
      </c>
      <c r="AE204" s="543">
        <v>0</v>
      </c>
      <c r="AF204" s="543">
        <v>0</v>
      </c>
      <c r="AG204" s="543">
        <v>1</v>
      </c>
      <c r="AH204" s="536">
        <f t="shared" si="4"/>
        <v>0</v>
      </c>
      <c r="AI204" s="536">
        <v>0</v>
      </c>
      <c r="AJ204" s="536">
        <v>0</v>
      </c>
      <c r="AK204" s="536">
        <v>0</v>
      </c>
      <c r="AL204" s="536">
        <v>0</v>
      </c>
      <c r="AM204" s="536">
        <f t="shared" si="5"/>
        <v>0</v>
      </c>
      <c r="AN204" s="536">
        <v>0</v>
      </c>
      <c r="AO204" s="536">
        <v>0</v>
      </c>
      <c r="AP204" s="536">
        <v>0</v>
      </c>
      <c r="AQ204" s="536">
        <v>0</v>
      </c>
    </row>
    <row r="205" spans="1:44" ht="105" customHeight="1" x14ac:dyDescent="0.25">
      <c r="A205" s="221" t="s">
        <v>892</v>
      </c>
      <c r="B205" s="222" t="s">
        <v>65</v>
      </c>
      <c r="C205" s="222" t="s">
        <v>850</v>
      </c>
      <c r="D205" s="76" t="s">
        <v>977</v>
      </c>
      <c r="E205" s="341" t="s">
        <v>1250</v>
      </c>
      <c r="F205" s="427" t="s">
        <v>269</v>
      </c>
      <c r="G205" s="218" t="s">
        <v>978</v>
      </c>
      <c r="H205" s="218" t="s">
        <v>989</v>
      </c>
      <c r="I205" s="215" t="s">
        <v>980</v>
      </c>
      <c r="J205" s="218" t="s">
        <v>990</v>
      </c>
      <c r="K205" s="255" t="s">
        <v>1095</v>
      </c>
      <c r="L205" s="777">
        <v>200000000</v>
      </c>
      <c r="M205" s="228" t="s">
        <v>272</v>
      </c>
      <c r="N205" s="688" t="s">
        <v>1159</v>
      </c>
      <c r="O205" s="228" t="s">
        <v>572</v>
      </c>
      <c r="P205" s="228"/>
      <c r="Q205" s="228"/>
      <c r="R205" s="228"/>
      <c r="S205" s="228"/>
      <c r="T205" s="540" t="s">
        <v>166</v>
      </c>
      <c r="U205" s="545">
        <v>20</v>
      </c>
      <c r="V205" s="545">
        <v>4</v>
      </c>
      <c r="W205" s="545">
        <v>4</v>
      </c>
      <c r="X205" s="545">
        <v>5</v>
      </c>
      <c r="Y205" s="545">
        <v>7</v>
      </c>
      <c r="Z205" s="572" t="s">
        <v>713</v>
      </c>
      <c r="AA205" s="777">
        <v>200000000</v>
      </c>
      <c r="AB205" s="775" t="s">
        <v>190</v>
      </c>
      <c r="AC205" s="681" t="s">
        <v>623</v>
      </c>
      <c r="AD205" s="791">
        <v>7</v>
      </c>
      <c r="AE205" s="791">
        <v>10</v>
      </c>
      <c r="AF205" s="791">
        <v>155</v>
      </c>
      <c r="AG205" s="543">
        <v>0</v>
      </c>
      <c r="AH205" s="536">
        <f t="shared" si="4"/>
        <v>200000000</v>
      </c>
      <c r="AI205" s="536">
        <v>0</v>
      </c>
      <c r="AJ205" s="536">
        <v>0</v>
      </c>
      <c r="AK205" s="537">
        <v>200000000</v>
      </c>
      <c r="AL205" s="536">
        <v>0</v>
      </c>
      <c r="AM205" s="536">
        <f t="shared" si="5"/>
        <v>123272645</v>
      </c>
      <c r="AN205" s="536">
        <v>0</v>
      </c>
      <c r="AO205" s="536">
        <v>0</v>
      </c>
      <c r="AP205" s="536">
        <v>0</v>
      </c>
      <c r="AQ205" s="537">
        <v>123272645</v>
      </c>
    </row>
    <row r="206" spans="1:44" s="317" customFormat="1" ht="105" customHeight="1" x14ac:dyDescent="0.25">
      <c r="A206" s="116" t="s">
        <v>892</v>
      </c>
      <c r="B206" s="162" t="s">
        <v>65</v>
      </c>
      <c r="C206" s="428" t="s">
        <v>850</v>
      </c>
      <c r="D206" s="451" t="s">
        <v>991</v>
      </c>
      <c r="E206" s="341" t="s">
        <v>1250</v>
      </c>
      <c r="F206" s="397" t="s">
        <v>275</v>
      </c>
      <c r="G206" s="160" t="s">
        <v>978</v>
      </c>
      <c r="H206" s="160" t="s">
        <v>989</v>
      </c>
      <c r="I206" s="158" t="s">
        <v>993</v>
      </c>
      <c r="J206" s="160" t="s">
        <v>994</v>
      </c>
      <c r="K206" s="158" t="s">
        <v>1096</v>
      </c>
      <c r="L206" s="693">
        <v>3699128138</v>
      </c>
      <c r="M206" s="585" t="s">
        <v>276</v>
      </c>
      <c r="N206" s="568" t="s">
        <v>156</v>
      </c>
      <c r="O206" s="585" t="s">
        <v>669</v>
      </c>
      <c r="P206" s="408"/>
      <c r="Q206" s="408"/>
      <c r="R206" s="408"/>
      <c r="S206" s="408"/>
      <c r="T206" s="549" t="s">
        <v>166</v>
      </c>
      <c r="U206" s="571">
        <v>16</v>
      </c>
      <c r="V206" s="571">
        <v>0</v>
      </c>
      <c r="W206" s="571">
        <v>0</v>
      </c>
      <c r="X206" s="571">
        <v>16</v>
      </c>
      <c r="Y206" s="571">
        <v>0</v>
      </c>
      <c r="Z206" s="694" t="s">
        <v>718</v>
      </c>
      <c r="AA206" s="693">
        <v>3699128138</v>
      </c>
      <c r="AB206" s="775" t="s">
        <v>867</v>
      </c>
      <c r="AC206" s="542" t="s">
        <v>870</v>
      </c>
      <c r="AD206" s="551">
        <v>0</v>
      </c>
      <c r="AE206" s="551">
        <v>0</v>
      </c>
      <c r="AF206" s="543">
        <v>0</v>
      </c>
      <c r="AG206" s="543">
        <v>15</v>
      </c>
      <c r="AH206" s="536">
        <f t="shared" si="4"/>
        <v>3699128138</v>
      </c>
      <c r="AI206" s="536">
        <v>0</v>
      </c>
      <c r="AJ206" s="536">
        <v>0</v>
      </c>
      <c r="AK206" s="536">
        <v>0</v>
      </c>
      <c r="AL206" s="696">
        <v>3699128138</v>
      </c>
      <c r="AM206" s="536">
        <f t="shared" si="5"/>
        <v>3699128138</v>
      </c>
      <c r="AN206" s="536">
        <v>0</v>
      </c>
      <c r="AO206" s="536">
        <v>0</v>
      </c>
      <c r="AP206" s="536">
        <v>0</v>
      </c>
      <c r="AQ206" s="696">
        <v>3699128138</v>
      </c>
    </row>
    <row r="207" spans="1:44" ht="105" customHeight="1" x14ac:dyDescent="0.25">
      <c r="A207" s="116" t="s">
        <v>892</v>
      </c>
      <c r="B207" s="162" t="s">
        <v>65</v>
      </c>
      <c r="C207" s="428" t="s">
        <v>850</v>
      </c>
      <c r="D207" s="451" t="s">
        <v>991</v>
      </c>
      <c r="E207" s="341" t="s">
        <v>1250</v>
      </c>
      <c r="F207" s="397" t="s">
        <v>275</v>
      </c>
      <c r="G207" s="160" t="s">
        <v>978</v>
      </c>
      <c r="H207" s="160" t="s">
        <v>989</v>
      </c>
      <c r="I207" s="158" t="s">
        <v>993</v>
      </c>
      <c r="J207" s="160" t="s">
        <v>994</v>
      </c>
      <c r="K207" s="158" t="s">
        <v>1096</v>
      </c>
      <c r="L207" s="750">
        <v>0</v>
      </c>
      <c r="M207" s="585" t="s">
        <v>276</v>
      </c>
      <c r="N207" s="568" t="s">
        <v>156</v>
      </c>
      <c r="O207" s="585" t="s">
        <v>669</v>
      </c>
      <c r="P207" s="408"/>
      <c r="Q207" s="408"/>
      <c r="R207" s="408"/>
      <c r="S207" s="408"/>
      <c r="T207" s="549" t="s">
        <v>166</v>
      </c>
      <c r="U207" s="571">
        <v>16</v>
      </c>
      <c r="V207" s="571">
        <v>0</v>
      </c>
      <c r="W207" s="571">
        <v>0</v>
      </c>
      <c r="X207" s="571">
        <v>16</v>
      </c>
      <c r="Y207" s="571">
        <v>0</v>
      </c>
      <c r="Z207" s="694" t="s">
        <v>719</v>
      </c>
      <c r="AA207" s="750">
        <v>0</v>
      </c>
      <c r="AB207" s="775"/>
      <c r="AC207" s="632" t="s">
        <v>623</v>
      </c>
      <c r="AD207" s="551">
        <v>0</v>
      </c>
      <c r="AE207" s="551">
        <v>0</v>
      </c>
      <c r="AF207" s="543">
        <v>0</v>
      </c>
      <c r="AG207" s="543">
        <v>15</v>
      </c>
      <c r="AH207" s="536">
        <f t="shared" si="4"/>
        <v>0</v>
      </c>
      <c r="AI207" s="536">
        <v>0</v>
      </c>
      <c r="AJ207" s="536">
        <v>0</v>
      </c>
      <c r="AK207" s="536">
        <v>0</v>
      </c>
      <c r="AL207" s="536">
        <v>0</v>
      </c>
      <c r="AM207" s="536">
        <f t="shared" si="5"/>
        <v>0</v>
      </c>
      <c r="AN207" s="536">
        <v>0</v>
      </c>
      <c r="AO207" s="536">
        <v>0</v>
      </c>
      <c r="AP207" s="536">
        <v>0</v>
      </c>
      <c r="AQ207" s="536">
        <v>0</v>
      </c>
    </row>
    <row r="208" spans="1:44" ht="105" customHeight="1" x14ac:dyDescent="0.25">
      <c r="A208" s="116" t="s">
        <v>892</v>
      </c>
      <c r="B208" s="162" t="s">
        <v>65</v>
      </c>
      <c r="C208" s="428" t="s">
        <v>850</v>
      </c>
      <c r="D208" s="451" t="s">
        <v>992</v>
      </c>
      <c r="E208" s="341" t="s">
        <v>1250</v>
      </c>
      <c r="F208" s="397" t="s">
        <v>275</v>
      </c>
      <c r="G208" s="160" t="s">
        <v>978</v>
      </c>
      <c r="H208" s="160" t="s">
        <v>989</v>
      </c>
      <c r="I208" s="158" t="s">
        <v>993</v>
      </c>
      <c r="J208" s="160" t="s">
        <v>994</v>
      </c>
      <c r="K208" s="158" t="s">
        <v>1096</v>
      </c>
      <c r="L208" s="750">
        <v>16670000000</v>
      </c>
      <c r="M208" s="585" t="s">
        <v>277</v>
      </c>
      <c r="N208" s="568" t="s">
        <v>156</v>
      </c>
      <c r="O208" s="585" t="s">
        <v>669</v>
      </c>
      <c r="P208" s="408"/>
      <c r="Q208" s="408"/>
      <c r="R208" s="408"/>
      <c r="S208" s="408"/>
      <c r="T208" s="549" t="s">
        <v>166</v>
      </c>
      <c r="U208" s="571">
        <v>5</v>
      </c>
      <c r="V208" s="571">
        <v>0</v>
      </c>
      <c r="W208" s="571">
        <v>0</v>
      </c>
      <c r="X208" s="571">
        <v>5</v>
      </c>
      <c r="Y208" s="571">
        <v>0</v>
      </c>
      <c r="Z208" s="695" t="s">
        <v>721</v>
      </c>
      <c r="AA208" s="750">
        <v>16670000000</v>
      </c>
      <c r="AB208" s="775" t="s">
        <v>190</v>
      </c>
      <c r="AC208" s="632" t="s">
        <v>710</v>
      </c>
      <c r="AD208" s="551">
        <v>0</v>
      </c>
      <c r="AE208" s="551">
        <v>0</v>
      </c>
      <c r="AF208" s="543">
        <v>6</v>
      </c>
      <c r="AG208" s="543">
        <v>2</v>
      </c>
      <c r="AH208" s="536">
        <f t="shared" si="4"/>
        <v>16670000000</v>
      </c>
      <c r="AI208" s="536">
        <v>0</v>
      </c>
      <c r="AJ208" s="536">
        <v>0</v>
      </c>
      <c r="AK208" s="696">
        <v>15950000000</v>
      </c>
      <c r="AL208" s="696">
        <f>16670000000-AK208</f>
        <v>720000000</v>
      </c>
      <c r="AM208" s="536">
        <f t="shared" si="5"/>
        <v>7310574566</v>
      </c>
      <c r="AN208" s="536">
        <v>0</v>
      </c>
      <c r="AO208" s="536">
        <v>0</v>
      </c>
      <c r="AP208" s="536">
        <v>0</v>
      </c>
      <c r="AQ208" s="696">
        <v>7310574566</v>
      </c>
    </row>
    <row r="209" spans="1:43" ht="105" customHeight="1" x14ac:dyDescent="0.25">
      <c r="A209" s="116" t="s">
        <v>892</v>
      </c>
      <c r="B209" s="162" t="s">
        <v>65</v>
      </c>
      <c r="C209" s="428" t="s">
        <v>850</v>
      </c>
      <c r="D209" s="451" t="s">
        <v>992</v>
      </c>
      <c r="E209" s="341" t="s">
        <v>1250</v>
      </c>
      <c r="F209" s="397" t="s">
        <v>275</v>
      </c>
      <c r="G209" s="160" t="s">
        <v>978</v>
      </c>
      <c r="H209" s="160" t="s">
        <v>989</v>
      </c>
      <c r="I209" s="158" t="s">
        <v>993</v>
      </c>
      <c r="J209" s="160" t="s">
        <v>994</v>
      </c>
      <c r="K209" s="158" t="s">
        <v>1096</v>
      </c>
      <c r="L209" s="750">
        <f>50000000+2506426028</f>
        <v>2556426028</v>
      </c>
      <c r="M209" s="585" t="s">
        <v>278</v>
      </c>
      <c r="N209" s="568" t="s">
        <v>156</v>
      </c>
      <c r="O209" s="585" t="s">
        <v>669</v>
      </c>
      <c r="P209" s="408"/>
      <c r="Q209" s="408"/>
      <c r="R209" s="408"/>
      <c r="S209" s="408"/>
      <c r="T209" s="549" t="s">
        <v>166</v>
      </c>
      <c r="U209" s="571">
        <v>19000</v>
      </c>
      <c r="V209" s="697">
        <v>4750</v>
      </c>
      <c r="W209" s="697">
        <v>4750</v>
      </c>
      <c r="X209" s="697">
        <v>4750</v>
      </c>
      <c r="Y209" s="697">
        <v>4750</v>
      </c>
      <c r="Z209" s="698" t="s">
        <v>722</v>
      </c>
      <c r="AA209" s="750">
        <f>50000000+2506426028</f>
        <v>2556426028</v>
      </c>
      <c r="AB209" s="775" t="s">
        <v>867</v>
      </c>
      <c r="AC209" s="542" t="s">
        <v>871</v>
      </c>
      <c r="AD209" s="551">
        <v>4575</v>
      </c>
      <c r="AE209" s="551">
        <v>3900</v>
      </c>
      <c r="AF209" s="791">
        <v>5006</v>
      </c>
      <c r="AG209" s="543">
        <v>1349</v>
      </c>
      <c r="AH209" s="536">
        <f t="shared" si="4"/>
        <v>867684951</v>
      </c>
      <c r="AI209" s="536">
        <v>0</v>
      </c>
      <c r="AJ209" s="536">
        <v>0</v>
      </c>
      <c r="AK209" s="536"/>
      <c r="AL209" s="574">
        <v>867684951</v>
      </c>
      <c r="AM209" s="536">
        <f t="shared" si="5"/>
        <v>867684951</v>
      </c>
      <c r="AN209" s="536">
        <v>0</v>
      </c>
      <c r="AO209" s="536">
        <v>0</v>
      </c>
      <c r="AP209" s="544"/>
      <c r="AQ209" s="574">
        <v>867684951</v>
      </c>
    </row>
    <row r="210" spans="1:43" ht="105" customHeight="1" x14ac:dyDescent="0.25">
      <c r="A210" s="116" t="s">
        <v>892</v>
      </c>
      <c r="B210" s="162" t="s">
        <v>65</v>
      </c>
      <c r="C210" s="428" t="s">
        <v>850</v>
      </c>
      <c r="D210" s="451" t="s">
        <v>992</v>
      </c>
      <c r="E210" s="341" t="s">
        <v>1250</v>
      </c>
      <c r="F210" s="397" t="s">
        <v>275</v>
      </c>
      <c r="G210" s="160" t="s">
        <v>978</v>
      </c>
      <c r="H210" s="160" t="s">
        <v>989</v>
      </c>
      <c r="I210" s="158" t="s">
        <v>993</v>
      </c>
      <c r="J210" s="160" t="s">
        <v>994</v>
      </c>
      <c r="K210" s="158" t="s">
        <v>1096</v>
      </c>
      <c r="L210" s="750">
        <f>72151344212-2506426028</f>
        <v>69644918184</v>
      </c>
      <c r="M210" s="585" t="s">
        <v>278</v>
      </c>
      <c r="N210" s="568" t="s">
        <v>156</v>
      </c>
      <c r="O210" s="585" t="s">
        <v>669</v>
      </c>
      <c r="P210" s="408"/>
      <c r="Q210" s="408"/>
      <c r="R210" s="408"/>
      <c r="S210" s="408"/>
      <c r="T210" s="549" t="s">
        <v>166</v>
      </c>
      <c r="U210" s="571">
        <v>19000</v>
      </c>
      <c r="V210" s="697">
        <v>4750</v>
      </c>
      <c r="W210" s="697">
        <v>4750</v>
      </c>
      <c r="X210" s="697">
        <v>4750</v>
      </c>
      <c r="Y210" s="697">
        <v>4750</v>
      </c>
      <c r="Z210" s="541" t="s">
        <v>724</v>
      </c>
      <c r="AA210" s="750">
        <f>72151344212-2506426028</f>
        <v>69644918184</v>
      </c>
      <c r="AB210" s="775" t="s">
        <v>190</v>
      </c>
      <c r="AC210" s="540" t="s">
        <v>190</v>
      </c>
      <c r="AD210" s="551">
        <v>4575</v>
      </c>
      <c r="AE210" s="551">
        <v>3900</v>
      </c>
      <c r="AF210" s="791">
        <v>5006</v>
      </c>
      <c r="AG210" s="543">
        <v>1349</v>
      </c>
      <c r="AH210" s="536">
        <f t="shared" si="4"/>
        <v>64190106866</v>
      </c>
      <c r="AI210" s="536">
        <v>3899211476</v>
      </c>
      <c r="AJ210" s="536">
        <f>12434985917-AI210</f>
        <v>8535774441</v>
      </c>
      <c r="AK210" s="536">
        <f>34520725876-AI210-AJ210</f>
        <v>22085739959</v>
      </c>
      <c r="AL210" s="696">
        <f>65057791817-AI210-AJ210-AK210-AL209</f>
        <v>29669380990</v>
      </c>
      <c r="AM210" s="536">
        <f t="shared" si="5"/>
        <v>64181230969</v>
      </c>
      <c r="AN210" s="536">
        <v>3899211476</v>
      </c>
      <c r="AO210" s="536">
        <f>11193105210-AN210</f>
        <v>7293893734</v>
      </c>
      <c r="AP210" s="536">
        <f>23396908590-AN210-AO210</f>
        <v>12203803380</v>
      </c>
      <c r="AQ210" s="696">
        <f>65048915920-AN210-AO210-AP210-AQ209</f>
        <v>40784322379</v>
      </c>
    </row>
    <row r="211" spans="1:43" ht="105" customHeight="1" x14ac:dyDescent="0.25">
      <c r="A211" s="116" t="s">
        <v>892</v>
      </c>
      <c r="B211" s="162" t="s">
        <v>65</v>
      </c>
      <c r="C211" s="428" t="s">
        <v>850</v>
      </c>
      <c r="D211" s="451" t="s">
        <v>992</v>
      </c>
      <c r="E211" s="341" t="s">
        <v>1250</v>
      </c>
      <c r="F211" s="397" t="s">
        <v>275</v>
      </c>
      <c r="G211" s="160" t="s">
        <v>978</v>
      </c>
      <c r="H211" s="160" t="s">
        <v>989</v>
      </c>
      <c r="I211" s="158" t="s">
        <v>993</v>
      </c>
      <c r="J211" s="160" t="s">
        <v>994</v>
      </c>
      <c r="K211" s="158" t="s">
        <v>1096</v>
      </c>
      <c r="L211" s="699">
        <v>2600648130</v>
      </c>
      <c r="M211" s="585" t="s">
        <v>278</v>
      </c>
      <c r="N211" s="568" t="s">
        <v>156</v>
      </c>
      <c r="O211" s="585" t="s">
        <v>669</v>
      </c>
      <c r="P211" s="408"/>
      <c r="Q211" s="408"/>
      <c r="R211" s="408"/>
      <c r="S211" s="408"/>
      <c r="T211" s="549" t="s">
        <v>166</v>
      </c>
      <c r="U211" s="571">
        <v>19000</v>
      </c>
      <c r="V211" s="697">
        <v>4750</v>
      </c>
      <c r="W211" s="697">
        <v>4750</v>
      </c>
      <c r="X211" s="697">
        <v>4750</v>
      </c>
      <c r="Y211" s="697">
        <v>4750</v>
      </c>
      <c r="Z211" s="698" t="s">
        <v>726</v>
      </c>
      <c r="AA211" s="699">
        <v>2600648130</v>
      </c>
      <c r="AB211" s="775" t="s">
        <v>454</v>
      </c>
      <c r="AC211" s="681" t="s">
        <v>727</v>
      </c>
      <c r="AD211" s="551">
        <v>4575</v>
      </c>
      <c r="AE211" s="551">
        <v>3900</v>
      </c>
      <c r="AF211" s="791">
        <v>5006</v>
      </c>
      <c r="AG211" s="543">
        <v>1349</v>
      </c>
      <c r="AH211" s="536">
        <f t="shared" si="4"/>
        <v>2074021209</v>
      </c>
      <c r="AI211" s="536">
        <v>616097132</v>
      </c>
      <c r="AJ211" s="536">
        <f>1418189756-AI211</f>
        <v>802092624</v>
      </c>
      <c r="AK211" s="536">
        <f>2074021209-AI211-AJ211</f>
        <v>655831453</v>
      </c>
      <c r="AL211" s="696">
        <v>0</v>
      </c>
      <c r="AM211" s="536">
        <f t="shared" si="5"/>
        <v>2074021209</v>
      </c>
      <c r="AN211" s="536">
        <v>616097132</v>
      </c>
      <c r="AO211" s="536">
        <f>1175653940-AN211</f>
        <v>559556808</v>
      </c>
      <c r="AP211" s="536">
        <f>2074021209-AN211-AO211</f>
        <v>898367269</v>
      </c>
      <c r="AQ211" s="696">
        <v>0</v>
      </c>
    </row>
    <row r="212" spans="1:43" ht="105" customHeight="1" x14ac:dyDescent="0.25">
      <c r="A212" s="221" t="s">
        <v>892</v>
      </c>
      <c r="B212" s="222" t="s">
        <v>65</v>
      </c>
      <c r="C212" s="222" t="s">
        <v>850</v>
      </c>
      <c r="D212" s="76" t="s">
        <v>992</v>
      </c>
      <c r="E212" s="341" t="s">
        <v>1250</v>
      </c>
      <c r="F212" s="265" t="s">
        <v>275</v>
      </c>
      <c r="G212" s="218" t="s">
        <v>978</v>
      </c>
      <c r="H212" s="218" t="s">
        <v>989</v>
      </c>
      <c r="I212" s="215" t="s">
        <v>993</v>
      </c>
      <c r="J212" s="218" t="s">
        <v>994</v>
      </c>
      <c r="K212" s="143" t="s">
        <v>1096</v>
      </c>
      <c r="L212" s="762">
        <v>4440110000</v>
      </c>
      <c r="M212" s="228" t="s">
        <v>279</v>
      </c>
      <c r="N212" s="556" t="s">
        <v>156</v>
      </c>
      <c r="O212" s="228" t="s">
        <v>241</v>
      </c>
      <c r="P212" s="228"/>
      <c r="Q212" s="228"/>
      <c r="R212" s="228"/>
      <c r="S212" s="228"/>
      <c r="T212" s="540" t="s">
        <v>166</v>
      </c>
      <c r="U212" s="545">
        <v>1</v>
      </c>
      <c r="V212" s="545">
        <v>1</v>
      </c>
      <c r="W212" s="545">
        <v>0</v>
      </c>
      <c r="X212" s="545">
        <v>0</v>
      </c>
      <c r="Y212" s="545">
        <v>0</v>
      </c>
      <c r="Z212" s="545" t="s">
        <v>728</v>
      </c>
      <c r="AA212" s="762">
        <v>4440110000</v>
      </c>
      <c r="AB212" s="775" t="s">
        <v>190</v>
      </c>
      <c r="AC212" s="681" t="s">
        <v>623</v>
      </c>
      <c r="AD212" s="543">
        <v>1</v>
      </c>
      <c r="AE212" s="543">
        <v>0</v>
      </c>
      <c r="AF212" s="543">
        <v>0</v>
      </c>
      <c r="AG212" s="543">
        <v>0</v>
      </c>
      <c r="AH212" s="536">
        <f t="shared" si="4"/>
        <v>3488195037</v>
      </c>
      <c r="AI212" s="536">
        <v>1147387039</v>
      </c>
      <c r="AJ212" s="536">
        <f>1748650953-AI212</f>
        <v>601263914</v>
      </c>
      <c r="AK212" s="536">
        <f>2492686334-AI212-AJ212</f>
        <v>744035381</v>
      </c>
      <c r="AL212" s="536">
        <f>3488195037-AI212-AJ212-AK212</f>
        <v>995508703</v>
      </c>
      <c r="AM212" s="536">
        <f t="shared" si="5"/>
        <v>3488195037</v>
      </c>
      <c r="AN212" s="536">
        <v>769888158</v>
      </c>
      <c r="AO212" s="536">
        <f>1420850438-AN212</f>
        <v>650962280</v>
      </c>
      <c r="AP212" s="574">
        <f>2392056423-AN212-AO212</f>
        <v>971205985</v>
      </c>
      <c r="AQ212" s="696">
        <f>3488195037-AN212-AO212-AP212</f>
        <v>1096138614</v>
      </c>
    </row>
    <row r="213" spans="1:43" ht="105" customHeight="1" x14ac:dyDescent="0.25">
      <c r="A213" s="221" t="s">
        <v>892</v>
      </c>
      <c r="B213" s="222" t="s">
        <v>65</v>
      </c>
      <c r="C213" s="222" t="s">
        <v>850</v>
      </c>
      <c r="D213" s="76" t="s">
        <v>992</v>
      </c>
      <c r="E213" s="341" t="s">
        <v>1250</v>
      </c>
      <c r="F213" s="266" t="s">
        <v>275</v>
      </c>
      <c r="G213" s="218" t="s">
        <v>978</v>
      </c>
      <c r="H213" s="218" t="s">
        <v>989</v>
      </c>
      <c r="I213" s="215" t="s">
        <v>993</v>
      </c>
      <c r="J213" s="218" t="s">
        <v>994</v>
      </c>
      <c r="K213" s="143" t="s">
        <v>1096</v>
      </c>
      <c r="L213" s="699">
        <v>1100000000</v>
      </c>
      <c r="M213" s="228" t="s">
        <v>280</v>
      </c>
      <c r="N213" s="556" t="s">
        <v>156</v>
      </c>
      <c r="O213" s="228" t="s">
        <v>637</v>
      </c>
      <c r="P213" s="228"/>
      <c r="Q213" s="228"/>
      <c r="R213" s="228"/>
      <c r="S213" s="228"/>
      <c r="T213" s="540" t="s">
        <v>166</v>
      </c>
      <c r="U213" s="545">
        <v>1</v>
      </c>
      <c r="V213" s="545">
        <v>1</v>
      </c>
      <c r="W213" s="545">
        <v>0</v>
      </c>
      <c r="X213" s="545">
        <v>0</v>
      </c>
      <c r="Y213" s="545">
        <v>0</v>
      </c>
      <c r="Z213" s="545" t="s">
        <v>729</v>
      </c>
      <c r="AA213" s="699">
        <v>1100000000</v>
      </c>
      <c r="AB213" s="775" t="s">
        <v>190</v>
      </c>
      <c r="AC213" s="542" t="s">
        <v>623</v>
      </c>
      <c r="AD213" s="543">
        <v>1</v>
      </c>
      <c r="AE213" s="543">
        <v>0</v>
      </c>
      <c r="AF213" s="543">
        <v>0</v>
      </c>
      <c r="AG213" s="543">
        <v>0</v>
      </c>
      <c r="AH213" s="536">
        <f t="shared" si="4"/>
        <v>1100000000</v>
      </c>
      <c r="AI213" s="536">
        <v>800000000</v>
      </c>
      <c r="AJ213" s="536">
        <f>800000000-AI213</f>
        <v>0</v>
      </c>
      <c r="AK213" s="696">
        <f>1100000000-AI213</f>
        <v>300000000</v>
      </c>
      <c r="AL213" s="696">
        <v>0</v>
      </c>
      <c r="AM213" s="536">
        <f t="shared" si="5"/>
        <v>1100000000</v>
      </c>
      <c r="AN213" s="536">
        <v>160000000</v>
      </c>
      <c r="AO213" s="536">
        <f>400000000-AN213</f>
        <v>240000000</v>
      </c>
      <c r="AP213" s="536">
        <f>640000000-AN213-AO213</f>
        <v>240000000</v>
      </c>
      <c r="AQ213" s="699">
        <f>1100000000-AN213-AO213-AP213</f>
        <v>460000000</v>
      </c>
    </row>
    <row r="214" spans="1:43" ht="105" customHeight="1" x14ac:dyDescent="0.25">
      <c r="A214" s="221" t="s">
        <v>892</v>
      </c>
      <c r="B214" s="222" t="s">
        <v>65</v>
      </c>
      <c r="C214" s="222" t="s">
        <v>850</v>
      </c>
      <c r="D214" s="76" t="s">
        <v>992</v>
      </c>
      <c r="E214" s="341" t="s">
        <v>1250</v>
      </c>
      <c r="F214" s="431" t="s">
        <v>275</v>
      </c>
      <c r="G214" s="218" t="s">
        <v>978</v>
      </c>
      <c r="H214" s="218" t="s">
        <v>989</v>
      </c>
      <c r="I214" s="215" t="s">
        <v>993</v>
      </c>
      <c r="J214" s="218" t="s">
        <v>994</v>
      </c>
      <c r="K214" s="143" t="s">
        <v>1096</v>
      </c>
      <c r="L214" s="699">
        <v>3255000000</v>
      </c>
      <c r="M214" s="228" t="s">
        <v>281</v>
      </c>
      <c r="N214" s="556" t="s">
        <v>156</v>
      </c>
      <c r="O214" s="228" t="s">
        <v>637</v>
      </c>
      <c r="P214" s="228"/>
      <c r="Q214" s="228"/>
      <c r="R214" s="228"/>
      <c r="S214" s="228"/>
      <c r="T214" s="540" t="s">
        <v>166</v>
      </c>
      <c r="U214" s="545">
        <v>1</v>
      </c>
      <c r="V214" s="545">
        <v>1</v>
      </c>
      <c r="W214" s="545">
        <v>0</v>
      </c>
      <c r="X214" s="545">
        <v>0</v>
      </c>
      <c r="Y214" s="545">
        <v>0</v>
      </c>
      <c r="Z214" s="545" t="s">
        <v>730</v>
      </c>
      <c r="AA214" s="699">
        <v>3255000000</v>
      </c>
      <c r="AB214" s="775" t="s">
        <v>190</v>
      </c>
      <c r="AC214" s="542" t="s">
        <v>623</v>
      </c>
      <c r="AD214" s="543">
        <v>1</v>
      </c>
      <c r="AE214" s="543">
        <v>0</v>
      </c>
      <c r="AF214" s="543">
        <v>0</v>
      </c>
      <c r="AG214" s="543">
        <v>0</v>
      </c>
      <c r="AH214" s="536">
        <f t="shared" si="4"/>
        <v>3155000000</v>
      </c>
      <c r="AI214" s="536">
        <v>1955000000</v>
      </c>
      <c r="AJ214" s="536">
        <f>1955000000-AI214</f>
        <v>0</v>
      </c>
      <c r="AK214" s="536">
        <f>3155000000-AI214</f>
        <v>1200000000</v>
      </c>
      <c r="AL214" s="536">
        <v>0</v>
      </c>
      <c r="AM214" s="536">
        <f t="shared" si="5"/>
        <v>3155000000</v>
      </c>
      <c r="AN214" s="536">
        <v>391000000</v>
      </c>
      <c r="AO214" s="536">
        <f>977500000-AN214</f>
        <v>586500000</v>
      </c>
      <c r="AP214" s="536">
        <f>1564000000-AN214-AO214</f>
        <v>586500000</v>
      </c>
      <c r="AQ214" s="696">
        <f>3155000000-AN214-AO214-AP214</f>
        <v>1591000000</v>
      </c>
    </row>
    <row r="215" spans="1:43" ht="105" customHeight="1" x14ac:dyDescent="0.25">
      <c r="A215" s="764"/>
      <c r="B215" s="741"/>
      <c r="C215" s="741"/>
      <c r="D215" s="76"/>
      <c r="E215" s="341" t="s">
        <v>1250</v>
      </c>
      <c r="F215" s="431" t="s">
        <v>275</v>
      </c>
      <c r="G215" s="415"/>
      <c r="H215" s="415"/>
      <c r="I215" s="742"/>
      <c r="J215" s="415"/>
      <c r="K215" s="158"/>
      <c r="L215" s="763">
        <v>7008534921</v>
      </c>
      <c r="M215" s="767" t="s">
        <v>1256</v>
      </c>
      <c r="N215" s="556"/>
      <c r="O215" s="228"/>
      <c r="P215" s="228"/>
      <c r="Q215" s="228"/>
      <c r="R215" s="228"/>
      <c r="S215" s="228"/>
      <c r="T215" s="747"/>
      <c r="U215" s="545"/>
      <c r="V215" s="545">
        <v>0</v>
      </c>
      <c r="W215" s="545">
        <v>0</v>
      </c>
      <c r="X215" s="545">
        <v>0</v>
      </c>
      <c r="Y215" s="545">
        <v>1</v>
      </c>
      <c r="Z215" s="766" t="s">
        <v>1257</v>
      </c>
      <c r="AA215" s="763">
        <v>7008534921</v>
      </c>
      <c r="AB215" s="775" t="s">
        <v>454</v>
      </c>
      <c r="AC215" s="743" t="s">
        <v>869</v>
      </c>
      <c r="AD215" s="748">
        <v>0</v>
      </c>
      <c r="AE215" s="748">
        <v>0</v>
      </c>
      <c r="AF215" s="543">
        <v>0</v>
      </c>
      <c r="AG215" s="543">
        <v>1</v>
      </c>
      <c r="AH215" s="536">
        <f t="shared" si="4"/>
        <v>7008534921</v>
      </c>
      <c r="AI215" s="536">
        <v>0</v>
      </c>
      <c r="AJ215" s="536">
        <v>0</v>
      </c>
      <c r="AK215" s="536">
        <v>0</v>
      </c>
      <c r="AL215" s="804">
        <v>7008534921</v>
      </c>
      <c r="AM215" s="536">
        <f t="shared" si="5"/>
        <v>7008534921</v>
      </c>
      <c r="AN215" s="536">
        <v>0</v>
      </c>
      <c r="AO215" s="536">
        <v>0</v>
      </c>
      <c r="AP215" s="536">
        <v>0</v>
      </c>
      <c r="AQ215" s="536">
        <v>7008534921</v>
      </c>
    </row>
    <row r="216" spans="1:43" ht="105" customHeight="1" x14ac:dyDescent="0.25">
      <c r="A216" s="428" t="s">
        <v>892</v>
      </c>
      <c r="B216" s="428" t="s">
        <v>65</v>
      </c>
      <c r="C216" s="428" t="s">
        <v>850</v>
      </c>
      <c r="D216" s="76" t="s">
        <v>992</v>
      </c>
      <c r="E216" s="341" t="s">
        <v>1250</v>
      </c>
      <c r="F216" s="452" t="s">
        <v>275</v>
      </c>
      <c r="G216" s="378" t="s">
        <v>978</v>
      </c>
      <c r="H216" s="378" t="s">
        <v>989</v>
      </c>
      <c r="I216" s="158" t="s">
        <v>993</v>
      </c>
      <c r="J216" s="378" t="s">
        <v>994</v>
      </c>
      <c r="K216" s="158" t="s">
        <v>1096</v>
      </c>
      <c r="L216" s="693">
        <v>12779841730</v>
      </c>
      <c r="M216" s="585" t="s">
        <v>549</v>
      </c>
      <c r="N216" s="568" t="s">
        <v>156</v>
      </c>
      <c r="O216" s="585" t="s">
        <v>637</v>
      </c>
      <c r="P216" s="228"/>
      <c r="Q216" s="228"/>
      <c r="R216" s="228"/>
      <c r="S216" s="228"/>
      <c r="T216" s="549" t="s">
        <v>166</v>
      </c>
      <c r="U216" s="571">
        <v>1</v>
      </c>
      <c r="V216" s="571">
        <v>0</v>
      </c>
      <c r="W216" s="571">
        <v>1</v>
      </c>
      <c r="X216" s="571">
        <v>0</v>
      </c>
      <c r="Y216" s="571">
        <v>0</v>
      </c>
      <c r="Z216" s="545" t="s">
        <v>731</v>
      </c>
      <c r="AA216" s="693">
        <v>12779841730</v>
      </c>
      <c r="AB216" s="775" t="s">
        <v>867</v>
      </c>
      <c r="AC216" s="542" t="s">
        <v>871</v>
      </c>
      <c r="AD216" s="551">
        <v>0</v>
      </c>
      <c r="AE216" s="551">
        <v>1</v>
      </c>
      <c r="AF216" s="543">
        <v>0</v>
      </c>
      <c r="AG216" s="543">
        <v>0</v>
      </c>
      <c r="AH216" s="536">
        <f t="shared" si="4"/>
        <v>12779841730</v>
      </c>
      <c r="AI216" s="536">
        <v>0</v>
      </c>
      <c r="AJ216" s="536">
        <f>5528581998-AI216</f>
        <v>5528581998</v>
      </c>
      <c r="AK216" s="536">
        <f>12779841730-AI216-AJ216</f>
        <v>7251259732</v>
      </c>
      <c r="AL216" s="536">
        <v>0</v>
      </c>
      <c r="AM216" s="536">
        <f t="shared" si="5"/>
        <v>12779841730</v>
      </c>
      <c r="AN216" s="536">
        <v>0</v>
      </c>
      <c r="AO216" s="536">
        <v>0</v>
      </c>
      <c r="AP216" s="536">
        <v>12779841730</v>
      </c>
      <c r="AQ216" s="536">
        <v>0</v>
      </c>
    </row>
    <row r="217" spans="1:43" ht="105" customHeight="1" x14ac:dyDescent="0.25">
      <c r="A217" s="428" t="s">
        <v>892</v>
      </c>
      <c r="B217" s="428" t="s">
        <v>65</v>
      </c>
      <c r="C217" s="428" t="s">
        <v>850</v>
      </c>
      <c r="D217" s="76" t="s">
        <v>992</v>
      </c>
      <c r="E217" s="341" t="s">
        <v>1250</v>
      </c>
      <c r="F217" s="452" t="s">
        <v>275</v>
      </c>
      <c r="G217" s="378" t="s">
        <v>978</v>
      </c>
      <c r="H217" s="378" t="s">
        <v>989</v>
      </c>
      <c r="I217" s="158" t="s">
        <v>993</v>
      </c>
      <c r="J217" s="378" t="s">
        <v>994</v>
      </c>
      <c r="K217" s="158" t="s">
        <v>1096</v>
      </c>
      <c r="L217" s="763">
        <v>176401488689</v>
      </c>
      <c r="M217" s="585" t="s">
        <v>549</v>
      </c>
      <c r="N217" s="568" t="s">
        <v>156</v>
      </c>
      <c r="O217" s="585" t="s">
        <v>637</v>
      </c>
      <c r="P217" s="228"/>
      <c r="Q217" s="228"/>
      <c r="R217" s="228"/>
      <c r="S217" s="228"/>
      <c r="T217" s="549" t="s">
        <v>166</v>
      </c>
      <c r="U217" s="571">
        <v>1</v>
      </c>
      <c r="V217" s="571">
        <v>0</v>
      </c>
      <c r="W217" s="571">
        <v>1</v>
      </c>
      <c r="X217" s="571">
        <v>0</v>
      </c>
      <c r="Y217" s="571">
        <v>0</v>
      </c>
      <c r="Z217" s="545" t="s">
        <v>733</v>
      </c>
      <c r="AA217" s="763">
        <v>176401488689</v>
      </c>
      <c r="AB217" s="783" t="s">
        <v>454</v>
      </c>
      <c r="AC217" s="540" t="s">
        <v>869</v>
      </c>
      <c r="AD217" s="551">
        <v>0</v>
      </c>
      <c r="AE217" s="551">
        <v>1</v>
      </c>
      <c r="AF217" s="543">
        <v>0</v>
      </c>
      <c r="AG217" s="543">
        <v>0</v>
      </c>
      <c r="AH217" s="536">
        <f t="shared" si="4"/>
        <v>176401488689</v>
      </c>
      <c r="AI217" s="536">
        <v>83885718610</v>
      </c>
      <c r="AJ217" s="536">
        <f>83885718610-AI217</f>
        <v>0</v>
      </c>
      <c r="AK217" s="536">
        <v>0</v>
      </c>
      <c r="AL217" s="536">
        <f>176401488689-AI217</f>
        <v>92515770079</v>
      </c>
      <c r="AM217" s="536">
        <f t="shared" si="5"/>
        <v>176401488689</v>
      </c>
      <c r="AN217" s="536">
        <v>64837691067</v>
      </c>
      <c r="AO217" s="536">
        <f>83885718610-AN217</f>
        <v>19048027543</v>
      </c>
      <c r="AP217" s="536">
        <v>0</v>
      </c>
      <c r="AQ217" s="536">
        <f>176401488689-AN217-AO217</f>
        <v>92515770079</v>
      </c>
    </row>
    <row r="218" spans="1:43" ht="81.75" customHeight="1" x14ac:dyDescent="0.25">
      <c r="A218" s="428" t="s">
        <v>892</v>
      </c>
      <c r="B218" s="428" t="s">
        <v>65</v>
      </c>
      <c r="C218" s="428" t="s">
        <v>850</v>
      </c>
      <c r="D218" s="76" t="s">
        <v>992</v>
      </c>
      <c r="E218" s="341" t="s">
        <v>1250</v>
      </c>
      <c r="F218" s="452" t="s">
        <v>275</v>
      </c>
      <c r="G218" s="378" t="s">
        <v>978</v>
      </c>
      <c r="H218" s="378" t="s">
        <v>989</v>
      </c>
      <c r="I218" s="158" t="s">
        <v>993</v>
      </c>
      <c r="J218" s="378" t="s">
        <v>994</v>
      </c>
      <c r="K218" s="158" t="s">
        <v>1096</v>
      </c>
      <c r="L218" s="693">
        <v>25490078744</v>
      </c>
      <c r="M218" s="585" t="s">
        <v>549</v>
      </c>
      <c r="N218" s="568" t="s">
        <v>156</v>
      </c>
      <c r="O218" s="585" t="s">
        <v>637</v>
      </c>
      <c r="P218" s="228"/>
      <c r="Q218" s="228"/>
      <c r="R218" s="228"/>
      <c r="S218" s="228"/>
      <c r="T218" s="549" t="s">
        <v>166</v>
      </c>
      <c r="U218" s="571">
        <v>1</v>
      </c>
      <c r="V218" s="571">
        <v>0</v>
      </c>
      <c r="W218" s="571">
        <v>1</v>
      </c>
      <c r="X218" s="571">
        <v>0</v>
      </c>
      <c r="Y218" s="571">
        <v>0</v>
      </c>
      <c r="Z218" s="545" t="s">
        <v>734</v>
      </c>
      <c r="AA218" s="693">
        <v>25490078744</v>
      </c>
      <c r="AB218" s="775" t="s">
        <v>190</v>
      </c>
      <c r="AC218" s="540" t="s">
        <v>190</v>
      </c>
      <c r="AD218" s="551">
        <v>0</v>
      </c>
      <c r="AE218" s="551">
        <v>1</v>
      </c>
      <c r="AF218" s="543">
        <v>0</v>
      </c>
      <c r="AG218" s="543">
        <v>0</v>
      </c>
      <c r="AH218" s="536">
        <f t="shared" si="4"/>
        <v>18931157577</v>
      </c>
      <c r="AI218" s="536">
        <v>0</v>
      </c>
      <c r="AJ218" s="536">
        <f>4612544314-AI218</f>
        <v>4612544314</v>
      </c>
      <c r="AK218" s="536">
        <f>17011864734-AJ218</f>
        <v>12399320420</v>
      </c>
      <c r="AL218" s="696">
        <f>18931157577-AJ218-AK218</f>
        <v>1919292843</v>
      </c>
      <c r="AM218" s="536">
        <f t="shared" si="5"/>
        <v>18931157577</v>
      </c>
      <c r="AN218" s="536">
        <v>0</v>
      </c>
      <c r="AO218" s="536">
        <f>2271001495-AN218</f>
        <v>2271001495</v>
      </c>
      <c r="AP218" s="536">
        <f>17011864734-AO218</f>
        <v>14740863239</v>
      </c>
      <c r="AQ218" s="696">
        <f>18931157577-AO218-AP218</f>
        <v>1919292843</v>
      </c>
    </row>
    <row r="219" spans="1:43" ht="105" customHeight="1" x14ac:dyDescent="0.25">
      <c r="A219" s="221" t="s">
        <v>892</v>
      </c>
      <c r="B219" s="222" t="s">
        <v>283</v>
      </c>
      <c r="C219" s="222" t="s">
        <v>847</v>
      </c>
      <c r="D219" s="16" t="s">
        <v>902</v>
      </c>
      <c r="E219" s="341" t="s">
        <v>1250</v>
      </c>
      <c r="F219" s="267" t="s">
        <v>284</v>
      </c>
      <c r="G219" s="218" t="s">
        <v>908</v>
      </c>
      <c r="H219" s="218" t="s">
        <v>903</v>
      </c>
      <c r="I219" s="215" t="s">
        <v>915</v>
      </c>
      <c r="J219" s="218" t="s">
        <v>908</v>
      </c>
      <c r="K219" s="256" t="s">
        <v>1097</v>
      </c>
      <c r="L219" s="479">
        <v>2000000000</v>
      </c>
      <c r="M219" s="700" t="s">
        <v>515</v>
      </c>
      <c r="N219" s="627" t="s">
        <v>156</v>
      </c>
      <c r="O219" s="701" t="s">
        <v>735</v>
      </c>
      <c r="P219" s="700"/>
      <c r="Q219" s="700"/>
      <c r="R219" s="700"/>
      <c r="S219" s="700"/>
      <c r="T219" s="540" t="s">
        <v>166</v>
      </c>
      <c r="U219" s="702">
        <v>40000</v>
      </c>
      <c r="V219" s="702">
        <v>10000</v>
      </c>
      <c r="W219" s="702">
        <v>10000</v>
      </c>
      <c r="X219" s="702">
        <v>10000</v>
      </c>
      <c r="Y219" s="702">
        <v>10000</v>
      </c>
      <c r="Z219" s="702" t="s">
        <v>736</v>
      </c>
      <c r="AA219" s="479">
        <v>2000000000</v>
      </c>
      <c r="AB219" s="775" t="s">
        <v>190</v>
      </c>
      <c r="AC219" s="681" t="s">
        <v>623</v>
      </c>
      <c r="AD219" s="543">
        <v>2914</v>
      </c>
      <c r="AE219" s="543">
        <v>10370</v>
      </c>
      <c r="AF219" s="543">
        <v>12169</v>
      </c>
      <c r="AG219" s="543">
        <v>10255</v>
      </c>
      <c r="AH219" s="536">
        <f t="shared" si="4"/>
        <v>1829010218</v>
      </c>
      <c r="AI219" s="536">
        <v>384800000</v>
      </c>
      <c r="AJ219" s="536">
        <v>0</v>
      </c>
      <c r="AK219" s="536">
        <f>1829010218-AI219</f>
        <v>1444210218</v>
      </c>
      <c r="AL219" s="536">
        <v>0</v>
      </c>
      <c r="AM219" s="536">
        <f t="shared" si="5"/>
        <v>1829010218</v>
      </c>
      <c r="AN219" s="536">
        <v>0</v>
      </c>
      <c r="AO219" s="536">
        <v>151112888</v>
      </c>
      <c r="AP219" s="537">
        <f>200000000-AO219</f>
        <v>48887112</v>
      </c>
      <c r="AQ219" s="536">
        <f>1829010218-AO219-AP219</f>
        <v>1629010218</v>
      </c>
    </row>
    <row r="220" spans="1:43" ht="105" customHeight="1" x14ac:dyDescent="0.25">
      <c r="A220" s="221" t="s">
        <v>892</v>
      </c>
      <c r="B220" s="222" t="s">
        <v>283</v>
      </c>
      <c r="C220" s="222" t="s">
        <v>847</v>
      </c>
      <c r="D220" s="76" t="s">
        <v>904</v>
      </c>
      <c r="E220" s="341" t="s">
        <v>1250</v>
      </c>
      <c r="F220" s="267" t="s">
        <v>284</v>
      </c>
      <c r="G220" s="196" t="s">
        <v>908</v>
      </c>
      <c r="H220" s="218" t="s">
        <v>903</v>
      </c>
      <c r="I220" s="215" t="s">
        <v>915</v>
      </c>
      <c r="J220" s="218" t="s">
        <v>908</v>
      </c>
      <c r="K220" s="249" t="s">
        <v>1097</v>
      </c>
      <c r="L220" s="479">
        <v>115607900</v>
      </c>
      <c r="M220" s="700" t="s">
        <v>512</v>
      </c>
      <c r="N220" s="556" t="s">
        <v>156</v>
      </c>
      <c r="O220" s="700" t="s">
        <v>572</v>
      </c>
      <c r="P220" s="700"/>
      <c r="Q220" s="700"/>
      <c r="R220" s="700"/>
      <c r="S220" s="700"/>
      <c r="T220" s="540" t="s">
        <v>166</v>
      </c>
      <c r="U220" s="545">
        <v>30</v>
      </c>
      <c r="V220" s="545">
        <v>0</v>
      </c>
      <c r="W220" s="545">
        <v>0</v>
      </c>
      <c r="X220" s="545">
        <v>15</v>
      </c>
      <c r="Y220" s="545">
        <v>15</v>
      </c>
      <c r="Z220" s="545" t="s">
        <v>737</v>
      </c>
      <c r="AA220" s="479">
        <v>115607900</v>
      </c>
      <c r="AB220" s="775" t="s">
        <v>190</v>
      </c>
      <c r="AC220" s="542" t="s">
        <v>623</v>
      </c>
      <c r="AD220" s="543">
        <v>0</v>
      </c>
      <c r="AE220" s="543">
        <v>0</v>
      </c>
      <c r="AF220" s="543">
        <v>11</v>
      </c>
      <c r="AG220" s="543">
        <v>19</v>
      </c>
      <c r="AH220" s="536">
        <f t="shared" si="4"/>
        <v>68607900</v>
      </c>
      <c r="AI220" s="536">
        <v>0</v>
      </c>
      <c r="AJ220" s="536">
        <v>0</v>
      </c>
      <c r="AK220" s="536">
        <v>36014480</v>
      </c>
      <c r="AL220" s="703">
        <f>68607900-AK220</f>
        <v>32593420</v>
      </c>
      <c r="AM220" s="536">
        <f t="shared" si="5"/>
        <v>68607900</v>
      </c>
      <c r="AN220" s="536">
        <v>0</v>
      </c>
      <c r="AO220" s="536">
        <v>0</v>
      </c>
      <c r="AP220" s="537">
        <v>32535941</v>
      </c>
      <c r="AQ220" s="799">
        <f>68607900-AP220</f>
        <v>36071959</v>
      </c>
    </row>
    <row r="221" spans="1:43" ht="105" customHeight="1" x14ac:dyDescent="0.25">
      <c r="A221" s="221" t="s">
        <v>892</v>
      </c>
      <c r="B221" s="222" t="s">
        <v>283</v>
      </c>
      <c r="C221" s="222" t="s">
        <v>847</v>
      </c>
      <c r="D221" s="241" t="s">
        <v>905</v>
      </c>
      <c r="E221" s="341" t="s">
        <v>1250</v>
      </c>
      <c r="F221" s="427" t="s">
        <v>284</v>
      </c>
      <c r="G221" s="196" t="s">
        <v>908</v>
      </c>
      <c r="H221" s="218" t="s">
        <v>903</v>
      </c>
      <c r="I221" s="215" t="s">
        <v>915</v>
      </c>
      <c r="J221" s="218" t="s">
        <v>908</v>
      </c>
      <c r="K221" s="256" t="s">
        <v>1097</v>
      </c>
      <c r="L221" s="777">
        <v>30588200</v>
      </c>
      <c r="M221" s="700" t="s">
        <v>514</v>
      </c>
      <c r="N221" s="627" t="s">
        <v>156</v>
      </c>
      <c r="O221" s="701" t="s">
        <v>584</v>
      </c>
      <c r="P221" s="700"/>
      <c r="Q221" s="700"/>
      <c r="R221" s="700"/>
      <c r="S221" s="700"/>
      <c r="T221" s="540" t="s">
        <v>166</v>
      </c>
      <c r="U221" s="545">
        <v>27</v>
      </c>
      <c r="V221" s="545">
        <v>27</v>
      </c>
      <c r="W221" s="545">
        <v>0</v>
      </c>
      <c r="X221" s="702">
        <v>0</v>
      </c>
      <c r="Y221" s="702">
        <v>0</v>
      </c>
      <c r="Z221" s="702" t="s">
        <v>739</v>
      </c>
      <c r="AA221" s="777">
        <v>30588200</v>
      </c>
      <c r="AB221" s="775" t="s">
        <v>190</v>
      </c>
      <c r="AC221" s="542" t="s">
        <v>623</v>
      </c>
      <c r="AD221" s="791">
        <v>27</v>
      </c>
      <c r="AE221" s="791">
        <v>0</v>
      </c>
      <c r="AF221" s="791">
        <v>0</v>
      </c>
      <c r="AG221" s="543">
        <v>0</v>
      </c>
      <c r="AH221" s="536">
        <f t="shared" si="4"/>
        <v>14588200</v>
      </c>
      <c r="AI221" s="536">
        <v>4862733</v>
      </c>
      <c r="AJ221" s="536">
        <f>7294100-AI221</f>
        <v>2431367</v>
      </c>
      <c r="AK221" s="703">
        <f>10941150-AI221-AJ221</f>
        <v>3647050</v>
      </c>
      <c r="AL221" s="703">
        <f>14588200-AI221-AJ221-AK221</f>
        <v>3647050</v>
      </c>
      <c r="AM221" s="536">
        <f t="shared" si="5"/>
        <v>14588200</v>
      </c>
      <c r="AN221" s="536">
        <v>4862733</v>
      </c>
      <c r="AO221" s="536">
        <f>7294100-AN221</f>
        <v>2431367</v>
      </c>
      <c r="AP221" s="537">
        <f>11102655-AN221-AO221</f>
        <v>3808555</v>
      </c>
      <c r="AQ221" s="536">
        <f>14588200-AN221-AO221-AP221</f>
        <v>3485545</v>
      </c>
    </row>
    <row r="222" spans="1:43" ht="105" customHeight="1" x14ac:dyDescent="0.25">
      <c r="A222" s="221" t="s">
        <v>892</v>
      </c>
      <c r="B222" s="222" t="s">
        <v>283</v>
      </c>
      <c r="C222" s="222" t="s">
        <v>847</v>
      </c>
      <c r="D222" s="76" t="s">
        <v>905</v>
      </c>
      <c r="E222" s="341" t="s">
        <v>1250</v>
      </c>
      <c r="F222" s="427" t="s">
        <v>284</v>
      </c>
      <c r="G222" s="196" t="s">
        <v>908</v>
      </c>
      <c r="H222" s="218" t="s">
        <v>903</v>
      </c>
      <c r="I222" s="215" t="s">
        <v>915</v>
      </c>
      <c r="J222" s="218" t="s">
        <v>908</v>
      </c>
      <c r="K222" s="249" t="s">
        <v>1098</v>
      </c>
      <c r="L222" s="777">
        <v>343928370</v>
      </c>
      <c r="M222" s="700" t="s">
        <v>516</v>
      </c>
      <c r="N222" s="627" t="s">
        <v>156</v>
      </c>
      <c r="O222" s="701" t="s">
        <v>643</v>
      </c>
      <c r="P222" s="700"/>
      <c r="Q222" s="700"/>
      <c r="R222" s="700"/>
      <c r="S222" s="700"/>
      <c r="T222" s="540" t="s">
        <v>166</v>
      </c>
      <c r="U222" s="545">
        <v>4000</v>
      </c>
      <c r="V222" s="702">
        <v>1000</v>
      </c>
      <c r="W222" s="702">
        <v>1000</v>
      </c>
      <c r="X222" s="702">
        <v>1000</v>
      </c>
      <c r="Y222" s="702">
        <v>1000</v>
      </c>
      <c r="Z222" s="702" t="s">
        <v>740</v>
      </c>
      <c r="AA222" s="777">
        <v>343928370</v>
      </c>
      <c r="AB222" s="775" t="s">
        <v>190</v>
      </c>
      <c r="AC222" s="542" t="s">
        <v>623</v>
      </c>
      <c r="AD222" s="543">
        <v>1265</v>
      </c>
      <c r="AE222" s="543">
        <v>989</v>
      </c>
      <c r="AF222" s="791">
        <v>1429</v>
      </c>
      <c r="AG222" s="543">
        <v>1473</v>
      </c>
      <c r="AH222" s="536">
        <f t="shared" si="4"/>
        <v>313379910</v>
      </c>
      <c r="AI222" s="536">
        <v>110412551</v>
      </c>
      <c r="AJ222" s="536">
        <f>161630091-AI222</f>
        <v>51217540</v>
      </c>
      <c r="AK222" s="703">
        <f>252301070-AI222-AJ222</f>
        <v>90670979</v>
      </c>
      <c r="AL222" s="703">
        <f>313379910-AI222-AJ222-AK222</f>
        <v>61078840</v>
      </c>
      <c r="AM222" s="536">
        <f t="shared" si="5"/>
        <v>313379910</v>
      </c>
      <c r="AN222" s="536">
        <v>90871860</v>
      </c>
      <c r="AO222" s="536">
        <f>142096413-AN222</f>
        <v>51224553</v>
      </c>
      <c r="AP222" s="536">
        <f>229991299-AN222-AO222</f>
        <v>87894886</v>
      </c>
      <c r="AQ222" s="536">
        <f>313379910-AN222-AO222-AP222</f>
        <v>83388611</v>
      </c>
    </row>
    <row r="223" spans="1:43" ht="105" customHeight="1" x14ac:dyDescent="0.25">
      <c r="A223" s="221" t="s">
        <v>892</v>
      </c>
      <c r="B223" s="222" t="s">
        <v>283</v>
      </c>
      <c r="C223" s="222" t="s">
        <v>847</v>
      </c>
      <c r="D223" s="196" t="s">
        <v>906</v>
      </c>
      <c r="E223" s="341" t="s">
        <v>1250</v>
      </c>
      <c r="F223" s="267" t="s">
        <v>284</v>
      </c>
      <c r="G223" s="196" t="s">
        <v>908</v>
      </c>
      <c r="H223" s="218" t="s">
        <v>903</v>
      </c>
      <c r="I223" s="215" t="s">
        <v>915</v>
      </c>
      <c r="J223" s="218" t="s">
        <v>908</v>
      </c>
      <c r="K223" s="249" t="s">
        <v>1098</v>
      </c>
      <c r="L223" s="479">
        <v>802499530</v>
      </c>
      <c r="M223" s="700" t="s">
        <v>517</v>
      </c>
      <c r="N223" s="556" t="s">
        <v>156</v>
      </c>
      <c r="O223" s="700" t="s">
        <v>1160</v>
      </c>
      <c r="P223" s="700"/>
      <c r="Q223" s="700"/>
      <c r="R223" s="700"/>
      <c r="S223" s="700"/>
      <c r="T223" s="540" t="s">
        <v>166</v>
      </c>
      <c r="U223" s="702">
        <v>12500</v>
      </c>
      <c r="V223" s="702">
        <v>30000</v>
      </c>
      <c r="W223" s="702">
        <v>30000</v>
      </c>
      <c r="X223" s="702">
        <v>35000</v>
      </c>
      <c r="Y223" s="702">
        <v>30000</v>
      </c>
      <c r="Z223" s="704" t="s">
        <v>741</v>
      </c>
      <c r="AA223" s="479">
        <v>802499530</v>
      </c>
      <c r="AB223" s="775" t="s">
        <v>190</v>
      </c>
      <c r="AC223" s="540" t="s">
        <v>190</v>
      </c>
      <c r="AD223" s="791">
        <v>37074</v>
      </c>
      <c r="AE223" s="791">
        <v>25327</v>
      </c>
      <c r="AF223" s="791">
        <v>32198</v>
      </c>
      <c r="AG223" s="543">
        <v>34377</v>
      </c>
      <c r="AH223" s="536">
        <f t="shared" si="4"/>
        <v>729822927</v>
      </c>
      <c r="AI223" s="536">
        <v>257629285</v>
      </c>
      <c r="AJ223" s="536">
        <f>377136879-AI223</f>
        <v>119507594</v>
      </c>
      <c r="AK223" s="703">
        <f>588702496-AI223-AJ223</f>
        <v>211565617</v>
      </c>
      <c r="AL223" s="703">
        <f>729822927-AI223-AJ223-AK223</f>
        <v>141120431</v>
      </c>
      <c r="AM223" s="536">
        <f t="shared" si="5"/>
        <v>729822927</v>
      </c>
      <c r="AN223" s="536">
        <v>212034341</v>
      </c>
      <c r="AO223" s="536">
        <f>331558296-AN223</f>
        <v>119523955</v>
      </c>
      <c r="AP223" s="536">
        <f>536646364-AN223-AO223</f>
        <v>205088068</v>
      </c>
      <c r="AQ223" s="536">
        <f>729822927-AN223-AO223-AP223</f>
        <v>193176563</v>
      </c>
    </row>
    <row r="224" spans="1:43" ht="105" customHeight="1" x14ac:dyDescent="0.25">
      <c r="A224" s="221" t="s">
        <v>892</v>
      </c>
      <c r="B224" s="222" t="s">
        <v>283</v>
      </c>
      <c r="C224" s="222" t="s">
        <v>847</v>
      </c>
      <c r="D224" s="196" t="s">
        <v>907</v>
      </c>
      <c r="E224" s="341" t="s">
        <v>1250</v>
      </c>
      <c r="F224" s="427" t="s">
        <v>284</v>
      </c>
      <c r="G224" s="196" t="s">
        <v>908</v>
      </c>
      <c r="H224" s="218" t="s">
        <v>903</v>
      </c>
      <c r="I224" s="215" t="s">
        <v>915</v>
      </c>
      <c r="J224" s="218" t="s">
        <v>908</v>
      </c>
      <c r="K224" s="249" t="s">
        <v>1097</v>
      </c>
      <c r="L224" s="777">
        <v>141422400</v>
      </c>
      <c r="M224" s="700" t="s">
        <v>518</v>
      </c>
      <c r="N224" s="627" t="s">
        <v>156</v>
      </c>
      <c r="O224" s="701" t="s">
        <v>571</v>
      </c>
      <c r="P224" s="700"/>
      <c r="Q224" s="700"/>
      <c r="R224" s="700"/>
      <c r="S224" s="700"/>
      <c r="T224" s="540" t="s">
        <v>166</v>
      </c>
      <c r="U224" s="545">
        <v>20</v>
      </c>
      <c r="V224" s="545">
        <v>0</v>
      </c>
      <c r="W224" s="545">
        <v>10</v>
      </c>
      <c r="X224" s="545">
        <v>10</v>
      </c>
      <c r="Y224" s="545">
        <v>0</v>
      </c>
      <c r="Z224" s="545" t="s">
        <v>743</v>
      </c>
      <c r="AA224" s="777">
        <v>141422400</v>
      </c>
      <c r="AB224" s="775" t="s">
        <v>190</v>
      </c>
      <c r="AC224" s="542" t="s">
        <v>623</v>
      </c>
      <c r="AD224" s="543">
        <v>2</v>
      </c>
      <c r="AE224" s="791">
        <v>4</v>
      </c>
      <c r="AF224" s="543">
        <v>0</v>
      </c>
      <c r="AG224" s="543">
        <v>4</v>
      </c>
      <c r="AH224" s="536">
        <f t="shared" si="4"/>
        <v>65899450</v>
      </c>
      <c r="AI224" s="536">
        <v>0</v>
      </c>
      <c r="AJ224" s="536">
        <v>0</v>
      </c>
      <c r="AK224" s="703">
        <v>38297840</v>
      </c>
      <c r="AL224" s="536">
        <f>65899450-AK224</f>
        <v>27601610</v>
      </c>
      <c r="AM224" s="536">
        <f t="shared" si="5"/>
        <v>65899450</v>
      </c>
      <c r="AN224" s="536">
        <v>0</v>
      </c>
      <c r="AO224" s="536">
        <v>0</v>
      </c>
      <c r="AP224" s="537">
        <v>38297840</v>
      </c>
      <c r="AQ224" s="651">
        <f>65899450-AP224</f>
        <v>27601610</v>
      </c>
    </row>
    <row r="225" spans="1:43" ht="105" customHeight="1" x14ac:dyDescent="0.25">
      <c r="A225" s="221" t="s">
        <v>892</v>
      </c>
      <c r="B225" s="222" t="s">
        <v>283</v>
      </c>
      <c r="C225" s="222" t="s">
        <v>847</v>
      </c>
      <c r="D225" s="196" t="s">
        <v>902</v>
      </c>
      <c r="E225" s="341" t="s">
        <v>1250</v>
      </c>
      <c r="F225" s="427" t="s">
        <v>284</v>
      </c>
      <c r="G225" s="196" t="s">
        <v>908</v>
      </c>
      <c r="H225" s="218" t="s">
        <v>903</v>
      </c>
      <c r="I225" s="215" t="s">
        <v>915</v>
      </c>
      <c r="J225" s="218" t="s">
        <v>908</v>
      </c>
      <c r="K225" s="249" t="s">
        <v>1098</v>
      </c>
      <c r="L225" s="777">
        <v>1470655196</v>
      </c>
      <c r="M225" s="228" t="s">
        <v>519</v>
      </c>
      <c r="N225" s="627" t="s">
        <v>156</v>
      </c>
      <c r="O225" s="582" t="s">
        <v>587</v>
      </c>
      <c r="P225" s="228"/>
      <c r="Q225" s="228"/>
      <c r="R225" s="228"/>
      <c r="S225" s="228"/>
      <c r="T225" s="540" t="s">
        <v>166</v>
      </c>
      <c r="U225" s="702">
        <v>8</v>
      </c>
      <c r="V225" s="545">
        <v>4</v>
      </c>
      <c r="W225" s="545">
        <v>1</v>
      </c>
      <c r="X225" s="545">
        <v>3</v>
      </c>
      <c r="Y225" s="545">
        <v>0</v>
      </c>
      <c r="Z225" s="545" t="s">
        <v>744</v>
      </c>
      <c r="AA225" s="777">
        <v>1470655196</v>
      </c>
      <c r="AB225" s="775" t="s">
        <v>190</v>
      </c>
      <c r="AC225" s="542" t="s">
        <v>623</v>
      </c>
      <c r="AD225" s="543">
        <v>4</v>
      </c>
      <c r="AE225" s="543">
        <v>1</v>
      </c>
      <c r="AF225" s="543">
        <v>1</v>
      </c>
      <c r="AG225" s="543">
        <v>1</v>
      </c>
      <c r="AH225" s="536">
        <f t="shared" ref="AH225:AH290" si="6">AI225+AJ225+AK225+AL225</f>
        <v>503918539</v>
      </c>
      <c r="AI225" s="536">
        <v>0</v>
      </c>
      <c r="AJ225" s="536">
        <v>0</v>
      </c>
      <c r="AK225" s="703">
        <v>396000000</v>
      </c>
      <c r="AL225" s="536">
        <f>503918539-AK225</f>
        <v>107918539</v>
      </c>
      <c r="AM225" s="536">
        <f t="shared" si="5"/>
        <v>404541528</v>
      </c>
      <c r="AN225" s="536">
        <v>0</v>
      </c>
      <c r="AO225" s="536">
        <v>0</v>
      </c>
      <c r="AP225" s="536">
        <v>0</v>
      </c>
      <c r="AQ225" s="651">
        <v>404541528</v>
      </c>
    </row>
    <row r="226" spans="1:43" ht="105" customHeight="1" x14ac:dyDescent="0.25">
      <c r="A226" s="221" t="s">
        <v>892</v>
      </c>
      <c r="B226" s="222" t="s">
        <v>283</v>
      </c>
      <c r="C226" s="222" t="s">
        <v>847</v>
      </c>
      <c r="D226" s="196" t="s">
        <v>904</v>
      </c>
      <c r="E226" s="341" t="s">
        <v>1250</v>
      </c>
      <c r="F226" s="427" t="s">
        <v>284</v>
      </c>
      <c r="G226" s="196" t="s">
        <v>908</v>
      </c>
      <c r="H226" s="218" t="s">
        <v>903</v>
      </c>
      <c r="I226" s="215" t="s">
        <v>915</v>
      </c>
      <c r="J226" s="218" t="s">
        <v>908</v>
      </c>
      <c r="K226" s="249" t="s">
        <v>1098</v>
      </c>
      <c r="L226" s="777">
        <v>1286897150</v>
      </c>
      <c r="M226" s="228" t="s">
        <v>745</v>
      </c>
      <c r="N226" s="556" t="s">
        <v>156</v>
      </c>
      <c r="O226" s="228" t="s">
        <v>637</v>
      </c>
      <c r="P226" s="228"/>
      <c r="Q226" s="228"/>
      <c r="R226" s="228"/>
      <c r="S226" s="228"/>
      <c r="T226" s="540" t="s">
        <v>166</v>
      </c>
      <c r="U226" s="702">
        <v>2</v>
      </c>
      <c r="V226" s="545">
        <v>0</v>
      </c>
      <c r="W226" s="545">
        <v>1</v>
      </c>
      <c r="X226" s="545">
        <v>1</v>
      </c>
      <c r="Y226" s="545">
        <v>0</v>
      </c>
      <c r="Z226" s="545" t="s">
        <v>746</v>
      </c>
      <c r="AA226" s="777">
        <v>1286897150</v>
      </c>
      <c r="AB226" s="775" t="s">
        <v>454</v>
      </c>
      <c r="AC226" s="540" t="s">
        <v>869</v>
      </c>
      <c r="AD226" s="543">
        <v>0</v>
      </c>
      <c r="AE226" s="543">
        <v>1</v>
      </c>
      <c r="AF226" s="543">
        <v>1</v>
      </c>
      <c r="AG226" s="543">
        <v>1</v>
      </c>
      <c r="AH226" s="536">
        <f t="shared" si="6"/>
        <v>1270753649</v>
      </c>
      <c r="AI226" s="536">
        <v>195242881</v>
      </c>
      <c r="AJ226" s="536">
        <f>195242881-AI226</f>
        <v>0</v>
      </c>
      <c r="AK226" s="537">
        <f>564446015-AI226</f>
        <v>369203134</v>
      </c>
      <c r="AL226" s="536">
        <f>1270753649-AK226-AI226</f>
        <v>706307634</v>
      </c>
      <c r="AM226" s="536">
        <f t="shared" ref="AM226:AM291" si="7">AN226+AO226+AP226+AQ226</f>
        <v>1270753649</v>
      </c>
      <c r="AN226" s="536">
        <v>195242881</v>
      </c>
      <c r="AO226" s="536">
        <f>195242881-AN226</f>
        <v>0</v>
      </c>
      <c r="AP226" s="536">
        <f>564446015-AN226</f>
        <v>369203134</v>
      </c>
      <c r="AQ226" s="536">
        <f>1270753649-AN226-AP226</f>
        <v>706307634</v>
      </c>
    </row>
    <row r="227" spans="1:43" ht="105" customHeight="1" x14ac:dyDescent="0.25">
      <c r="A227" s="221" t="s">
        <v>892</v>
      </c>
      <c r="B227" s="222" t="s">
        <v>283</v>
      </c>
      <c r="C227" s="222" t="s">
        <v>847</v>
      </c>
      <c r="D227" s="196" t="s">
        <v>905</v>
      </c>
      <c r="E227" s="341" t="s">
        <v>1250</v>
      </c>
      <c r="F227" s="427" t="s">
        <v>284</v>
      </c>
      <c r="G227" s="196" t="s">
        <v>908</v>
      </c>
      <c r="H227" s="218" t="s">
        <v>903</v>
      </c>
      <c r="I227" s="215" t="s">
        <v>915</v>
      </c>
      <c r="J227" s="218" t="s">
        <v>908</v>
      </c>
      <c r="K227" s="249" t="s">
        <v>1099</v>
      </c>
      <c r="L227" s="777">
        <v>83764600</v>
      </c>
      <c r="M227" s="228" t="s">
        <v>520</v>
      </c>
      <c r="N227" s="627" t="s">
        <v>156</v>
      </c>
      <c r="O227" s="582" t="s">
        <v>572</v>
      </c>
      <c r="P227" s="228"/>
      <c r="Q227" s="228"/>
      <c r="R227" s="228"/>
      <c r="S227" s="228"/>
      <c r="T227" s="540" t="s">
        <v>166</v>
      </c>
      <c r="U227" s="702">
        <v>118</v>
      </c>
      <c r="V227" s="702">
        <v>29</v>
      </c>
      <c r="W227" s="702">
        <v>30</v>
      </c>
      <c r="X227" s="702">
        <v>30</v>
      </c>
      <c r="Y227" s="702">
        <v>29</v>
      </c>
      <c r="Z227" s="702" t="s">
        <v>742</v>
      </c>
      <c r="AA227" s="777">
        <v>83764600</v>
      </c>
      <c r="AB227" s="775" t="s">
        <v>190</v>
      </c>
      <c r="AC227" s="542" t="s">
        <v>623</v>
      </c>
      <c r="AD227" s="543">
        <v>32</v>
      </c>
      <c r="AE227" s="543">
        <v>123</v>
      </c>
      <c r="AF227" s="543">
        <v>123</v>
      </c>
      <c r="AG227" s="543">
        <v>123</v>
      </c>
      <c r="AH227" s="536">
        <f t="shared" si="6"/>
        <v>43764600</v>
      </c>
      <c r="AI227" s="536">
        <v>14588200</v>
      </c>
      <c r="AJ227" s="536">
        <f>21882300-AI227</f>
        <v>7294100</v>
      </c>
      <c r="AK227" s="703">
        <f>32823450-AI227-AJ227</f>
        <v>10941150</v>
      </c>
      <c r="AL227" s="703">
        <f>43764600-AI227-AJ227-AK227</f>
        <v>10941150</v>
      </c>
      <c r="AM227" s="536">
        <f t="shared" si="7"/>
        <v>43764600</v>
      </c>
      <c r="AN227" s="536">
        <v>14588200</v>
      </c>
      <c r="AO227" s="536">
        <f>21882300-AN227</f>
        <v>7294100</v>
      </c>
      <c r="AP227" s="536">
        <f>32823450-AN227-AO227</f>
        <v>10941150</v>
      </c>
      <c r="AQ227" s="536">
        <f>43764600-AN227-AO227-AP227</f>
        <v>10941150</v>
      </c>
    </row>
    <row r="228" spans="1:43" ht="105" customHeight="1" x14ac:dyDescent="0.25">
      <c r="A228" s="116" t="s">
        <v>892</v>
      </c>
      <c r="B228" s="162" t="s">
        <v>65</v>
      </c>
      <c r="C228" s="428" t="s">
        <v>847</v>
      </c>
      <c r="D228" s="455" t="s">
        <v>995</v>
      </c>
      <c r="E228" s="341" t="s">
        <v>1249</v>
      </c>
      <c r="F228" s="397" t="s">
        <v>286</v>
      </c>
      <c r="G228" s="160" t="s">
        <v>996</v>
      </c>
      <c r="H228" s="160" t="s">
        <v>988</v>
      </c>
      <c r="I228" s="158" t="s">
        <v>997</v>
      </c>
      <c r="J228" s="160" t="s">
        <v>994</v>
      </c>
      <c r="K228" s="158" t="s">
        <v>999</v>
      </c>
      <c r="L228" s="750">
        <v>2366426134</v>
      </c>
      <c r="M228" s="901" t="s">
        <v>163</v>
      </c>
      <c r="N228" s="568" t="s">
        <v>156</v>
      </c>
      <c r="O228" s="585" t="s">
        <v>1199</v>
      </c>
      <c r="P228" s="408"/>
      <c r="Q228" s="408"/>
      <c r="R228" s="408"/>
      <c r="S228" s="408"/>
      <c r="T228" s="549" t="s">
        <v>166</v>
      </c>
      <c r="U228" s="571">
        <v>1</v>
      </c>
      <c r="V228" s="549">
        <v>1</v>
      </c>
      <c r="W228" s="549">
        <v>0</v>
      </c>
      <c r="X228" s="549">
        <v>0</v>
      </c>
      <c r="Y228" s="549">
        <v>0</v>
      </c>
      <c r="Z228" s="540" t="s">
        <v>748</v>
      </c>
      <c r="AA228" s="750">
        <v>2366426134</v>
      </c>
      <c r="AB228" s="775" t="s">
        <v>190</v>
      </c>
      <c r="AC228" s="542" t="s">
        <v>623</v>
      </c>
      <c r="AD228" s="551">
        <v>1</v>
      </c>
      <c r="AE228" s="551">
        <v>0</v>
      </c>
      <c r="AF228" s="543">
        <v>0</v>
      </c>
      <c r="AG228" s="543">
        <v>0</v>
      </c>
      <c r="AH228" s="536">
        <f t="shared" si="6"/>
        <v>1381866544</v>
      </c>
      <c r="AI228" s="536">
        <f>314759875+10991400</f>
        <v>325751275</v>
      </c>
      <c r="AJ228" s="536">
        <f>627001296-AI228</f>
        <v>301250021</v>
      </c>
      <c r="AK228" s="537">
        <f>993766280-AI228-AJ228</f>
        <v>366764984</v>
      </c>
      <c r="AL228" s="537">
        <f>1381866544-AI228-AJ228-AK228</f>
        <v>388100264</v>
      </c>
      <c r="AM228" s="536">
        <f t="shared" si="7"/>
        <v>1231866544</v>
      </c>
      <c r="AN228" s="536">
        <f>280689156+9585596</f>
        <v>290274752</v>
      </c>
      <c r="AO228" s="536">
        <f>561644539-AN228</f>
        <v>271369787</v>
      </c>
      <c r="AP228" s="536">
        <f>984440844-AN228-AO228</f>
        <v>422796305</v>
      </c>
      <c r="AQ228" s="885">
        <f>1381866544-AN228-AO228-AP228-150000000</f>
        <v>247425700</v>
      </c>
    </row>
    <row r="229" spans="1:43" ht="105" customHeight="1" x14ac:dyDescent="0.25">
      <c r="A229" s="116" t="s">
        <v>892</v>
      </c>
      <c r="B229" s="162" t="s">
        <v>65</v>
      </c>
      <c r="C229" s="428" t="s">
        <v>847</v>
      </c>
      <c r="D229" s="455" t="s">
        <v>995</v>
      </c>
      <c r="E229" s="341" t="s">
        <v>1249</v>
      </c>
      <c r="F229" s="397" t="s">
        <v>286</v>
      </c>
      <c r="G229" s="160" t="s">
        <v>996</v>
      </c>
      <c r="H229" s="160" t="s">
        <v>988</v>
      </c>
      <c r="I229" s="158" t="s">
        <v>997</v>
      </c>
      <c r="J229" s="160" t="s">
        <v>994</v>
      </c>
      <c r="K229" s="158" t="s">
        <v>999</v>
      </c>
      <c r="L229" s="750">
        <v>586435562</v>
      </c>
      <c r="M229" s="901" t="s">
        <v>163</v>
      </c>
      <c r="N229" s="568" t="s">
        <v>156</v>
      </c>
      <c r="O229" s="585" t="s">
        <v>1199</v>
      </c>
      <c r="P229" s="408"/>
      <c r="Q229" s="408"/>
      <c r="R229" s="408"/>
      <c r="S229" s="408"/>
      <c r="T229" s="549" t="s">
        <v>166</v>
      </c>
      <c r="U229" s="571">
        <v>1</v>
      </c>
      <c r="V229" s="549">
        <v>1</v>
      </c>
      <c r="W229" s="549">
        <v>0</v>
      </c>
      <c r="X229" s="549">
        <v>0</v>
      </c>
      <c r="Y229" s="549">
        <v>0</v>
      </c>
      <c r="Z229" s="540" t="s">
        <v>749</v>
      </c>
      <c r="AA229" s="750">
        <v>586435562</v>
      </c>
      <c r="AB229" s="775" t="s">
        <v>198</v>
      </c>
      <c r="AC229" s="542" t="s">
        <v>750</v>
      </c>
      <c r="AD229" s="551">
        <v>1</v>
      </c>
      <c r="AE229" s="551">
        <v>0</v>
      </c>
      <c r="AF229" s="543">
        <v>0</v>
      </c>
      <c r="AG229" s="543">
        <v>0</v>
      </c>
      <c r="AH229" s="536">
        <f t="shared" si="6"/>
        <v>406271902</v>
      </c>
      <c r="AI229" s="536">
        <v>0</v>
      </c>
      <c r="AJ229" s="536">
        <v>0</v>
      </c>
      <c r="AK229" s="536">
        <v>0</v>
      </c>
      <c r="AL229" s="537">
        <v>406271902</v>
      </c>
      <c r="AM229" s="536">
        <f t="shared" si="7"/>
        <v>284899902</v>
      </c>
      <c r="AN229" s="536">
        <v>0</v>
      </c>
      <c r="AO229" s="536">
        <v>0</v>
      </c>
      <c r="AP229" s="536">
        <v>0</v>
      </c>
      <c r="AQ229" s="537">
        <v>284899902</v>
      </c>
    </row>
    <row r="230" spans="1:43" ht="105" customHeight="1" x14ac:dyDescent="0.25">
      <c r="A230" s="221" t="s">
        <v>892</v>
      </c>
      <c r="B230" s="222" t="s">
        <v>65</v>
      </c>
      <c r="C230" s="222" t="s">
        <v>847</v>
      </c>
      <c r="D230" s="76" t="s">
        <v>995</v>
      </c>
      <c r="E230" s="341" t="s">
        <v>1249</v>
      </c>
      <c r="F230" s="419" t="s">
        <v>286</v>
      </c>
      <c r="G230" s="218" t="s">
        <v>996</v>
      </c>
      <c r="H230" s="218" t="s">
        <v>988</v>
      </c>
      <c r="I230" s="216" t="s">
        <v>997</v>
      </c>
      <c r="J230" s="218" t="s">
        <v>994</v>
      </c>
      <c r="K230" s="158" t="s">
        <v>999</v>
      </c>
      <c r="L230" s="777">
        <v>106171000</v>
      </c>
      <c r="M230" s="900" t="s">
        <v>287</v>
      </c>
      <c r="N230" s="556" t="s">
        <v>156</v>
      </c>
      <c r="O230" s="228" t="s">
        <v>571</v>
      </c>
      <c r="P230" s="228"/>
      <c r="Q230" s="228"/>
      <c r="R230" s="228"/>
      <c r="S230" s="228"/>
      <c r="T230" s="540" t="s">
        <v>166</v>
      </c>
      <c r="U230" s="545">
        <v>1</v>
      </c>
      <c r="V230" s="540">
        <v>1</v>
      </c>
      <c r="W230" s="540">
        <v>0</v>
      </c>
      <c r="X230" s="540">
        <v>0</v>
      </c>
      <c r="Y230" s="540">
        <v>0</v>
      </c>
      <c r="Z230" s="694" t="s">
        <v>751</v>
      </c>
      <c r="AA230" s="777">
        <v>106171000</v>
      </c>
      <c r="AB230" s="775" t="s">
        <v>867</v>
      </c>
      <c r="AC230" s="542" t="s">
        <v>868</v>
      </c>
      <c r="AD230" s="543">
        <v>1</v>
      </c>
      <c r="AE230" s="543">
        <v>0</v>
      </c>
      <c r="AF230" s="543">
        <v>0</v>
      </c>
      <c r="AG230" s="543">
        <v>0</v>
      </c>
      <c r="AH230" s="536">
        <f t="shared" si="6"/>
        <v>88279780</v>
      </c>
      <c r="AI230" s="536">
        <v>18802876</v>
      </c>
      <c r="AJ230" s="536">
        <f>37662154-AI230</f>
        <v>18859278</v>
      </c>
      <c r="AK230" s="885">
        <f>88279780-AI230-AJ230</f>
        <v>50617626</v>
      </c>
      <c r="AL230" s="536">
        <v>0</v>
      </c>
      <c r="AM230" s="536">
        <f t="shared" si="7"/>
        <v>88279780</v>
      </c>
      <c r="AN230" s="536">
        <v>16552805</v>
      </c>
      <c r="AO230" s="536">
        <f>33566052-AN230</f>
        <v>17013247</v>
      </c>
      <c r="AP230" s="536">
        <f>61385367-AN230-AO230</f>
        <v>27819315</v>
      </c>
      <c r="AQ230" s="537">
        <f>88279780-AN230-AO230-AP230</f>
        <v>26894413</v>
      </c>
    </row>
    <row r="231" spans="1:43" ht="105" customHeight="1" x14ac:dyDescent="0.25">
      <c r="A231" s="221" t="s">
        <v>892</v>
      </c>
      <c r="B231" s="222" t="s">
        <v>65</v>
      </c>
      <c r="C231" s="222" t="s">
        <v>847</v>
      </c>
      <c r="D231" s="76" t="s">
        <v>995</v>
      </c>
      <c r="E231" s="341" t="s">
        <v>1249</v>
      </c>
      <c r="F231" s="419" t="s">
        <v>286</v>
      </c>
      <c r="G231" s="218" t="s">
        <v>996</v>
      </c>
      <c r="H231" s="218" t="s">
        <v>988</v>
      </c>
      <c r="I231" s="216" t="s">
        <v>997</v>
      </c>
      <c r="J231" s="218" t="s">
        <v>994</v>
      </c>
      <c r="K231" s="143" t="s">
        <v>999</v>
      </c>
      <c r="L231" s="777">
        <v>0</v>
      </c>
      <c r="M231" s="900" t="s">
        <v>288</v>
      </c>
      <c r="N231" s="556" t="s">
        <v>156</v>
      </c>
      <c r="O231" s="228" t="s">
        <v>643</v>
      </c>
      <c r="P231" s="228"/>
      <c r="Q231" s="228"/>
      <c r="R231" s="228"/>
      <c r="S231" s="228"/>
      <c r="T231" s="540" t="s">
        <v>166</v>
      </c>
      <c r="U231" s="545">
        <v>1</v>
      </c>
      <c r="V231" s="540">
        <v>1</v>
      </c>
      <c r="W231" s="540">
        <v>0</v>
      </c>
      <c r="X231" s="540">
        <v>0</v>
      </c>
      <c r="Y231" s="540">
        <v>0</v>
      </c>
      <c r="Z231" s="540"/>
      <c r="AA231" s="777">
        <v>0</v>
      </c>
      <c r="AB231" s="775"/>
      <c r="AC231" s="540"/>
      <c r="AD231" s="543">
        <v>1</v>
      </c>
      <c r="AE231" s="543">
        <v>0</v>
      </c>
      <c r="AF231" s="543">
        <v>0</v>
      </c>
      <c r="AG231" s="543">
        <v>0</v>
      </c>
      <c r="AH231" s="536">
        <f t="shared" si="6"/>
        <v>0</v>
      </c>
      <c r="AI231" s="536">
        <v>0</v>
      </c>
      <c r="AJ231" s="536">
        <v>0</v>
      </c>
      <c r="AK231" s="536">
        <v>0</v>
      </c>
      <c r="AL231" s="536">
        <v>0</v>
      </c>
      <c r="AM231" s="536">
        <f t="shared" si="7"/>
        <v>0</v>
      </c>
      <c r="AN231" s="536">
        <v>0</v>
      </c>
      <c r="AO231" s="536">
        <v>0</v>
      </c>
      <c r="AP231" s="536">
        <v>0</v>
      </c>
      <c r="AQ231" s="536">
        <v>0</v>
      </c>
    </row>
    <row r="232" spans="1:43" ht="105" customHeight="1" x14ac:dyDescent="0.25">
      <c r="A232" s="221" t="s">
        <v>892</v>
      </c>
      <c r="B232" s="222" t="s">
        <v>65</v>
      </c>
      <c r="C232" s="222" t="s">
        <v>847</v>
      </c>
      <c r="D232" s="76" t="s">
        <v>995</v>
      </c>
      <c r="E232" s="341" t="s">
        <v>1249</v>
      </c>
      <c r="F232" s="265" t="s">
        <v>286</v>
      </c>
      <c r="G232" s="218" t="s">
        <v>996</v>
      </c>
      <c r="H232" s="218" t="s">
        <v>988</v>
      </c>
      <c r="I232" s="216" t="s">
        <v>997</v>
      </c>
      <c r="J232" s="218" t="s">
        <v>994</v>
      </c>
      <c r="K232" s="158" t="s">
        <v>999</v>
      </c>
      <c r="L232" s="752">
        <v>8907911232</v>
      </c>
      <c r="M232" s="900" t="s">
        <v>289</v>
      </c>
      <c r="N232" s="556" t="s">
        <v>156</v>
      </c>
      <c r="O232" s="228" t="s">
        <v>637</v>
      </c>
      <c r="P232" s="228"/>
      <c r="Q232" s="228"/>
      <c r="R232" s="228"/>
      <c r="S232" s="228"/>
      <c r="T232" s="540" t="s">
        <v>166</v>
      </c>
      <c r="U232" s="545">
        <v>4</v>
      </c>
      <c r="V232" s="540">
        <v>1</v>
      </c>
      <c r="W232" s="540">
        <v>1</v>
      </c>
      <c r="X232" s="540">
        <v>1</v>
      </c>
      <c r="Y232" s="540">
        <v>1</v>
      </c>
      <c r="Z232" s="694" t="s">
        <v>752</v>
      </c>
      <c r="AA232" s="752">
        <v>8907911232</v>
      </c>
      <c r="AB232" s="775" t="s">
        <v>454</v>
      </c>
      <c r="AC232" s="540" t="s">
        <v>869</v>
      </c>
      <c r="AD232" s="543">
        <v>1</v>
      </c>
      <c r="AE232" s="543">
        <v>1</v>
      </c>
      <c r="AF232" s="543">
        <v>1</v>
      </c>
      <c r="AG232" s="543">
        <v>1</v>
      </c>
      <c r="AH232" s="536">
        <f t="shared" si="6"/>
        <v>372086938</v>
      </c>
      <c r="AI232" s="536">
        <v>0</v>
      </c>
      <c r="AJ232" s="536">
        <v>0</v>
      </c>
      <c r="AK232" s="536">
        <v>0</v>
      </c>
      <c r="AL232" s="537">
        <v>372086938</v>
      </c>
      <c r="AM232" s="536">
        <f t="shared" si="7"/>
        <v>372086938</v>
      </c>
      <c r="AN232" s="536">
        <v>0</v>
      </c>
      <c r="AO232" s="536">
        <v>0</v>
      </c>
      <c r="AP232" s="536">
        <v>0</v>
      </c>
      <c r="AQ232" s="537">
        <v>372086938</v>
      </c>
    </row>
    <row r="233" spans="1:43" ht="105" customHeight="1" x14ac:dyDescent="0.25">
      <c r="A233" s="519"/>
      <c r="B233" s="527"/>
      <c r="C233" s="527"/>
      <c r="D233" s="76"/>
      <c r="E233" s="341" t="s">
        <v>1261</v>
      </c>
      <c r="F233" s="265" t="s">
        <v>286</v>
      </c>
      <c r="G233" s="774"/>
      <c r="H233" s="774"/>
      <c r="I233" s="742"/>
      <c r="J233" s="774"/>
      <c r="K233" s="158"/>
      <c r="L233" s="752">
        <v>2217205000</v>
      </c>
      <c r="M233" s="900" t="s">
        <v>289</v>
      </c>
      <c r="N233" s="556"/>
      <c r="O233" s="228"/>
      <c r="P233" s="228"/>
      <c r="Q233" s="228"/>
      <c r="R233" s="228"/>
      <c r="S233" s="228"/>
      <c r="T233" s="781" t="s">
        <v>166</v>
      </c>
      <c r="U233" s="545">
        <v>4</v>
      </c>
      <c r="V233" s="781">
        <v>1</v>
      </c>
      <c r="W233" s="781">
        <v>1</v>
      </c>
      <c r="X233" s="781">
        <v>1</v>
      </c>
      <c r="Y233" s="781">
        <v>1</v>
      </c>
      <c r="Z233" s="684" t="s">
        <v>1260</v>
      </c>
      <c r="AA233" s="752">
        <v>2217205000</v>
      </c>
      <c r="AB233" s="775" t="s">
        <v>190</v>
      </c>
      <c r="AC233" s="681" t="s">
        <v>623</v>
      </c>
      <c r="AD233" s="543">
        <v>1</v>
      </c>
      <c r="AE233" s="543">
        <v>1</v>
      </c>
      <c r="AF233" s="543">
        <v>1</v>
      </c>
      <c r="AG233" s="543">
        <v>1</v>
      </c>
      <c r="AH233" s="536">
        <f t="shared" si="6"/>
        <v>0</v>
      </c>
      <c r="AI233" s="536">
        <v>0</v>
      </c>
      <c r="AJ233" s="536">
        <v>0</v>
      </c>
      <c r="AK233" s="536">
        <v>0</v>
      </c>
      <c r="AL233" s="536">
        <v>0</v>
      </c>
      <c r="AM233" s="536">
        <f t="shared" si="7"/>
        <v>0</v>
      </c>
      <c r="AN233" s="536">
        <v>0</v>
      </c>
      <c r="AO233" s="536">
        <v>0</v>
      </c>
      <c r="AP233" s="536">
        <v>0</v>
      </c>
      <c r="AQ233" s="536">
        <v>0</v>
      </c>
    </row>
    <row r="234" spans="1:43" ht="105" customHeight="1" x14ac:dyDescent="0.25">
      <c r="A234" s="221" t="s">
        <v>892</v>
      </c>
      <c r="B234" s="222" t="s">
        <v>65</v>
      </c>
      <c r="C234" s="222" t="s">
        <v>847</v>
      </c>
      <c r="D234" s="76" t="s">
        <v>995</v>
      </c>
      <c r="E234" s="341" t="s">
        <v>1249</v>
      </c>
      <c r="F234" s="265" t="s">
        <v>286</v>
      </c>
      <c r="G234" s="218" t="s">
        <v>996</v>
      </c>
      <c r="H234" s="218" t="s">
        <v>988</v>
      </c>
      <c r="I234" s="216" t="s">
        <v>997</v>
      </c>
      <c r="J234" s="218" t="s">
        <v>994</v>
      </c>
      <c r="K234" s="143" t="s">
        <v>999</v>
      </c>
      <c r="L234" s="749">
        <v>31582694811</v>
      </c>
      <c r="M234" s="900" t="s">
        <v>290</v>
      </c>
      <c r="N234" s="556" t="s">
        <v>156</v>
      </c>
      <c r="O234" s="228" t="s">
        <v>637</v>
      </c>
      <c r="P234" s="228"/>
      <c r="Q234" s="228"/>
      <c r="R234" s="228"/>
      <c r="S234" s="228"/>
      <c r="T234" s="540" t="s">
        <v>166</v>
      </c>
      <c r="U234" s="545">
        <v>4</v>
      </c>
      <c r="V234" s="540">
        <v>1</v>
      </c>
      <c r="W234" s="540">
        <v>1</v>
      </c>
      <c r="X234" s="540">
        <v>1</v>
      </c>
      <c r="Y234" s="540">
        <v>1</v>
      </c>
      <c r="Z234" s="694" t="s">
        <v>753</v>
      </c>
      <c r="AA234" s="749">
        <v>31582694811</v>
      </c>
      <c r="AB234" s="775" t="s">
        <v>198</v>
      </c>
      <c r="AC234" s="681" t="s">
        <v>754</v>
      </c>
      <c r="AD234" s="543">
        <v>1</v>
      </c>
      <c r="AE234" s="543">
        <v>1</v>
      </c>
      <c r="AF234" s="543">
        <v>1</v>
      </c>
      <c r="AG234" s="543">
        <v>1</v>
      </c>
      <c r="AH234" s="536">
        <f t="shared" si="6"/>
        <v>21289562578</v>
      </c>
      <c r="AI234" s="536">
        <v>6231523795</v>
      </c>
      <c r="AJ234" s="536">
        <f>15648481417-AI234</f>
        <v>9416957622</v>
      </c>
      <c r="AK234" s="536">
        <f>21284339450-AI234-AJ234</f>
        <v>5635858033</v>
      </c>
      <c r="AL234" s="537">
        <f>21289562578-AI234-AJ234-AK234</f>
        <v>5223128</v>
      </c>
      <c r="AM234" s="536">
        <f t="shared" si="7"/>
        <v>21289562578</v>
      </c>
      <c r="AN234" s="536">
        <v>6231523795</v>
      </c>
      <c r="AO234" s="536">
        <f>15456939948-AN234</f>
        <v>9225416153</v>
      </c>
      <c r="AP234" s="536">
        <f>21240577443-AN234-AO234</f>
        <v>5783637495</v>
      </c>
      <c r="AQ234" s="537">
        <f>21289562578-AN234-AO234-AP234</f>
        <v>48985135</v>
      </c>
    </row>
    <row r="235" spans="1:43" ht="105" customHeight="1" x14ac:dyDescent="0.25">
      <c r="A235" s="221" t="s">
        <v>892</v>
      </c>
      <c r="B235" s="222" t="s">
        <v>65</v>
      </c>
      <c r="C235" s="222" t="s">
        <v>847</v>
      </c>
      <c r="D235" s="76" t="s">
        <v>995</v>
      </c>
      <c r="E235" s="341" t="s">
        <v>1249</v>
      </c>
      <c r="F235" s="265" t="s">
        <v>286</v>
      </c>
      <c r="G235" s="218" t="s">
        <v>996</v>
      </c>
      <c r="H235" s="218" t="s">
        <v>988</v>
      </c>
      <c r="I235" s="216" t="s">
        <v>997</v>
      </c>
      <c r="J235" s="218" t="s">
        <v>994</v>
      </c>
      <c r="K235" s="143" t="s">
        <v>999</v>
      </c>
      <c r="L235" s="749">
        <v>4165455879</v>
      </c>
      <c r="M235" s="900" t="s">
        <v>291</v>
      </c>
      <c r="N235" s="556" t="s">
        <v>156</v>
      </c>
      <c r="O235" s="228" t="s">
        <v>1160</v>
      </c>
      <c r="P235" s="228"/>
      <c r="Q235" s="228"/>
      <c r="R235" s="228"/>
      <c r="S235" s="228"/>
      <c r="T235" s="540" t="s">
        <v>166</v>
      </c>
      <c r="U235" s="545">
        <v>40</v>
      </c>
      <c r="V235" s="540">
        <v>0</v>
      </c>
      <c r="W235" s="540">
        <v>0</v>
      </c>
      <c r="X235" s="540">
        <v>20</v>
      </c>
      <c r="Y235" s="540">
        <v>20</v>
      </c>
      <c r="Z235" s="694" t="s">
        <v>755</v>
      </c>
      <c r="AA235" s="749">
        <v>4165455879</v>
      </c>
      <c r="AB235" s="775" t="s">
        <v>190</v>
      </c>
      <c r="AC235" s="681" t="s">
        <v>623</v>
      </c>
      <c r="AD235" s="543">
        <v>0</v>
      </c>
      <c r="AE235" s="543">
        <v>19</v>
      </c>
      <c r="AF235" s="543">
        <v>0</v>
      </c>
      <c r="AG235" s="543">
        <v>27</v>
      </c>
      <c r="AH235" s="536">
        <f t="shared" si="6"/>
        <v>3991725829</v>
      </c>
      <c r="AI235" s="536">
        <v>371893317</v>
      </c>
      <c r="AJ235" s="537">
        <f>3991725829-AI235</f>
        <v>3619832512</v>
      </c>
      <c r="AK235" s="536">
        <v>0</v>
      </c>
      <c r="AL235" s="536">
        <v>0</v>
      </c>
      <c r="AM235" s="536">
        <f t="shared" si="7"/>
        <v>3991725829</v>
      </c>
      <c r="AN235" s="536">
        <v>0</v>
      </c>
      <c r="AO235" s="537">
        <v>185946659</v>
      </c>
      <c r="AP235" s="536">
        <f>3917347167-AO235</f>
        <v>3731400508</v>
      </c>
      <c r="AQ235" s="537">
        <f>3991725829-AO235-AP235</f>
        <v>74378662</v>
      </c>
    </row>
    <row r="236" spans="1:43" ht="105" customHeight="1" x14ac:dyDescent="0.25">
      <c r="A236" s="221" t="s">
        <v>892</v>
      </c>
      <c r="B236" s="222" t="s">
        <v>65</v>
      </c>
      <c r="C236" s="222" t="s">
        <v>847</v>
      </c>
      <c r="D236" s="76" t="s">
        <v>995</v>
      </c>
      <c r="E236" s="341" t="s">
        <v>1249</v>
      </c>
      <c r="F236" s="419" t="s">
        <v>286</v>
      </c>
      <c r="G236" s="218" t="s">
        <v>996</v>
      </c>
      <c r="H236" s="218" t="s">
        <v>988</v>
      </c>
      <c r="I236" s="216" t="s">
        <v>997</v>
      </c>
      <c r="J236" s="218" t="s">
        <v>994</v>
      </c>
      <c r="K236" s="143" t="s">
        <v>999</v>
      </c>
      <c r="L236" s="750">
        <v>12000000000</v>
      </c>
      <c r="M236" s="900" t="s">
        <v>524</v>
      </c>
      <c r="N236" s="556" t="s">
        <v>156</v>
      </c>
      <c r="O236" s="228" t="s">
        <v>669</v>
      </c>
      <c r="P236" s="228"/>
      <c r="Q236" s="228"/>
      <c r="R236" s="228"/>
      <c r="S236" s="228"/>
      <c r="T236" s="540" t="s">
        <v>166</v>
      </c>
      <c r="U236" s="545">
        <v>60</v>
      </c>
      <c r="V236" s="545">
        <v>10</v>
      </c>
      <c r="W236" s="545">
        <v>20</v>
      </c>
      <c r="X236" s="545">
        <v>15</v>
      </c>
      <c r="Y236" s="545">
        <v>15</v>
      </c>
      <c r="Z236" s="545"/>
      <c r="AA236" s="750">
        <v>0</v>
      </c>
      <c r="AC236" s="540"/>
      <c r="AD236" s="543">
        <v>10</v>
      </c>
      <c r="AE236" s="543">
        <v>20</v>
      </c>
      <c r="AF236" s="543">
        <v>30</v>
      </c>
      <c r="AG236" s="543">
        <v>47</v>
      </c>
      <c r="AH236" s="536">
        <f t="shared" si="6"/>
        <v>0</v>
      </c>
      <c r="AI236" s="536">
        <v>0</v>
      </c>
      <c r="AJ236" s="536">
        <v>0</v>
      </c>
      <c r="AK236" s="536">
        <v>0</v>
      </c>
      <c r="AL236" s="536">
        <v>0</v>
      </c>
      <c r="AM236" s="536">
        <f t="shared" si="7"/>
        <v>0</v>
      </c>
      <c r="AN236" s="536">
        <v>0</v>
      </c>
      <c r="AO236" s="536">
        <v>0</v>
      </c>
      <c r="AP236" s="536">
        <v>0</v>
      </c>
      <c r="AQ236" s="536">
        <v>0</v>
      </c>
    </row>
    <row r="237" spans="1:43" ht="105" customHeight="1" x14ac:dyDescent="0.25">
      <c r="A237" s="764"/>
      <c r="B237" s="741"/>
      <c r="C237" s="741"/>
      <c r="D237" s="76"/>
      <c r="E237" s="341"/>
      <c r="F237" s="397" t="s">
        <v>286</v>
      </c>
      <c r="G237" s="415"/>
      <c r="H237" s="415"/>
      <c r="I237" s="742"/>
      <c r="J237" s="415"/>
      <c r="K237" s="158"/>
      <c r="L237" s="750"/>
      <c r="M237" s="901" t="s">
        <v>525</v>
      </c>
      <c r="N237" s="556"/>
      <c r="O237" s="228"/>
      <c r="P237" s="786"/>
      <c r="Q237" s="786"/>
      <c r="R237" s="786"/>
      <c r="S237" s="786"/>
      <c r="T237" s="549" t="s">
        <v>166</v>
      </c>
      <c r="U237" s="571">
        <v>40</v>
      </c>
      <c r="V237" s="571">
        <v>0</v>
      </c>
      <c r="W237" s="571">
        <v>0</v>
      </c>
      <c r="X237" s="571">
        <v>20</v>
      </c>
      <c r="Y237" s="571">
        <v>20</v>
      </c>
      <c r="Z237" s="537" t="s">
        <v>1254</v>
      </c>
      <c r="AA237" s="752">
        <v>12000000000</v>
      </c>
      <c r="AB237" s="775" t="s">
        <v>454</v>
      </c>
      <c r="AC237" s="787"/>
      <c r="AD237" s="551">
        <v>0</v>
      </c>
      <c r="AE237" s="788">
        <v>1</v>
      </c>
      <c r="AF237" s="543">
        <v>1</v>
      </c>
      <c r="AG237" s="543">
        <v>15</v>
      </c>
      <c r="AH237" s="536">
        <f t="shared" si="6"/>
        <v>0</v>
      </c>
      <c r="AI237" s="536">
        <v>0</v>
      </c>
      <c r="AJ237" s="536">
        <v>0</v>
      </c>
      <c r="AK237" s="536">
        <v>0</v>
      </c>
      <c r="AL237" s="617">
        <v>0</v>
      </c>
      <c r="AM237" s="536">
        <f t="shared" si="7"/>
        <v>0</v>
      </c>
      <c r="AN237" s="536">
        <v>0</v>
      </c>
      <c r="AO237" s="536">
        <v>0</v>
      </c>
      <c r="AP237" s="536">
        <v>0</v>
      </c>
      <c r="AQ237" s="536">
        <v>0</v>
      </c>
    </row>
    <row r="238" spans="1:43" ht="105" customHeight="1" x14ac:dyDescent="0.25">
      <c r="A238" s="368" t="s">
        <v>892</v>
      </c>
      <c r="B238" s="428" t="s">
        <v>65</v>
      </c>
      <c r="C238" s="428" t="s">
        <v>847</v>
      </c>
      <c r="D238" s="451" t="s">
        <v>995</v>
      </c>
      <c r="E238" s="341" t="s">
        <v>1249</v>
      </c>
      <c r="F238" s="397" t="s">
        <v>286</v>
      </c>
      <c r="G238" s="378" t="s">
        <v>996</v>
      </c>
      <c r="H238" s="378" t="s">
        <v>988</v>
      </c>
      <c r="I238" s="158" t="s">
        <v>997</v>
      </c>
      <c r="J238" s="378" t="s">
        <v>999</v>
      </c>
      <c r="K238" s="158" t="s">
        <v>999</v>
      </c>
      <c r="L238" s="752">
        <v>3730391000</v>
      </c>
      <c r="M238" s="901" t="s">
        <v>525</v>
      </c>
      <c r="N238" s="568" t="s">
        <v>156</v>
      </c>
      <c r="O238" s="585" t="s">
        <v>587</v>
      </c>
      <c r="P238" s="408"/>
      <c r="Q238" s="408"/>
      <c r="R238" s="408"/>
      <c r="S238" s="408"/>
      <c r="T238" s="549" t="s">
        <v>166</v>
      </c>
      <c r="U238" s="571">
        <v>40</v>
      </c>
      <c r="V238" s="571">
        <v>0</v>
      </c>
      <c r="W238" s="571">
        <v>0</v>
      </c>
      <c r="X238" s="571">
        <v>20</v>
      </c>
      <c r="Y238" s="571">
        <v>20</v>
      </c>
      <c r="Z238" s="694" t="s">
        <v>759</v>
      </c>
      <c r="AA238" s="752">
        <v>3730391000</v>
      </c>
      <c r="AB238" s="775" t="s">
        <v>198</v>
      </c>
      <c r="AC238" s="632" t="s">
        <v>695</v>
      </c>
      <c r="AD238" s="551">
        <v>0</v>
      </c>
      <c r="AE238" s="616">
        <v>1</v>
      </c>
      <c r="AF238" s="543">
        <v>1</v>
      </c>
      <c r="AG238" s="543">
        <v>15</v>
      </c>
      <c r="AH238" s="536">
        <f t="shared" si="6"/>
        <v>3690547465</v>
      </c>
      <c r="AI238" s="536">
        <v>0</v>
      </c>
      <c r="AJ238" s="536">
        <v>244600000</v>
      </c>
      <c r="AK238" s="536">
        <v>0</v>
      </c>
      <c r="AL238" s="789">
        <f>3690547465-AJ238</f>
        <v>3445947465</v>
      </c>
      <c r="AM238" s="536">
        <f t="shared" si="7"/>
        <v>3468273587</v>
      </c>
      <c r="AN238" s="536">
        <v>0</v>
      </c>
      <c r="AO238" s="536">
        <v>244600000</v>
      </c>
      <c r="AP238" s="536">
        <v>0</v>
      </c>
      <c r="AQ238" s="789">
        <f>3468273587-AO238</f>
        <v>3223673587</v>
      </c>
    </row>
    <row r="239" spans="1:43" ht="105" customHeight="1" x14ac:dyDescent="0.25">
      <c r="A239" s="368" t="s">
        <v>892</v>
      </c>
      <c r="B239" s="428" t="s">
        <v>65</v>
      </c>
      <c r="C239" s="428" t="s">
        <v>847</v>
      </c>
      <c r="D239" s="451" t="s">
        <v>995</v>
      </c>
      <c r="E239" s="341" t="s">
        <v>1249</v>
      </c>
      <c r="F239" s="397" t="s">
        <v>286</v>
      </c>
      <c r="G239" s="378" t="s">
        <v>996</v>
      </c>
      <c r="H239" s="378" t="s">
        <v>988</v>
      </c>
      <c r="I239" s="158" t="s">
        <v>997</v>
      </c>
      <c r="J239" s="378" t="s">
        <v>999</v>
      </c>
      <c r="K239" s="158" t="s">
        <v>999</v>
      </c>
      <c r="L239" s="750">
        <v>2419943534</v>
      </c>
      <c r="M239" s="901" t="s">
        <v>525</v>
      </c>
      <c r="N239" s="568" t="s">
        <v>156</v>
      </c>
      <c r="O239" s="585" t="s">
        <v>587</v>
      </c>
      <c r="P239" s="408"/>
      <c r="Q239" s="408"/>
      <c r="R239" s="408"/>
      <c r="S239" s="408"/>
      <c r="T239" s="549" t="s">
        <v>166</v>
      </c>
      <c r="U239" s="571">
        <v>40</v>
      </c>
      <c r="V239" s="571">
        <v>0</v>
      </c>
      <c r="W239" s="571">
        <v>0</v>
      </c>
      <c r="X239" s="571">
        <v>20</v>
      </c>
      <c r="Y239" s="571">
        <v>20</v>
      </c>
      <c r="Z239" s="545" t="s">
        <v>756</v>
      </c>
      <c r="AA239" s="752">
        <v>2419943534</v>
      </c>
      <c r="AB239" s="775" t="s">
        <v>190</v>
      </c>
      <c r="AC239" s="632" t="s">
        <v>757</v>
      </c>
      <c r="AD239" s="551">
        <v>0</v>
      </c>
      <c r="AE239" s="616">
        <v>1</v>
      </c>
      <c r="AF239" s="543">
        <v>1</v>
      </c>
      <c r="AG239" s="543">
        <v>15</v>
      </c>
      <c r="AH239" s="536">
        <f t="shared" si="6"/>
        <v>681195968</v>
      </c>
      <c r="AI239" s="536">
        <v>0</v>
      </c>
      <c r="AJ239" s="536">
        <v>0</v>
      </c>
      <c r="AK239" s="537">
        <v>588919320</v>
      </c>
      <c r="AL239" s="537">
        <f>681195968-AK239</f>
        <v>92276648</v>
      </c>
      <c r="AM239" s="536">
        <f t="shared" si="7"/>
        <v>651195968</v>
      </c>
      <c r="AN239" s="536">
        <v>0</v>
      </c>
      <c r="AO239" s="536">
        <v>0</v>
      </c>
      <c r="AP239" s="536">
        <v>0</v>
      </c>
      <c r="AQ239" s="537">
        <v>651195968</v>
      </c>
    </row>
    <row r="240" spans="1:43" ht="105" customHeight="1" x14ac:dyDescent="0.25">
      <c r="A240" s="221" t="s">
        <v>892</v>
      </c>
      <c r="B240" s="222" t="s">
        <v>65</v>
      </c>
      <c r="C240" s="222" t="s">
        <v>847</v>
      </c>
      <c r="D240" s="76" t="s">
        <v>995</v>
      </c>
      <c r="E240" s="341" t="s">
        <v>1249</v>
      </c>
      <c r="F240" s="419" t="s">
        <v>286</v>
      </c>
      <c r="G240" s="218" t="s">
        <v>996</v>
      </c>
      <c r="H240" s="218" t="s">
        <v>988</v>
      </c>
      <c r="I240" s="215" t="s">
        <v>997</v>
      </c>
      <c r="J240" s="218" t="s">
        <v>994</v>
      </c>
      <c r="K240" s="158" t="s">
        <v>999</v>
      </c>
      <c r="L240" s="777">
        <v>0</v>
      </c>
      <c r="M240" s="900" t="s">
        <v>526</v>
      </c>
      <c r="N240" s="556" t="s">
        <v>156</v>
      </c>
      <c r="O240" s="228" t="s">
        <v>637</v>
      </c>
      <c r="P240" s="228"/>
      <c r="Q240" s="228"/>
      <c r="R240" s="228"/>
      <c r="S240" s="228"/>
      <c r="T240" s="540" t="s">
        <v>166</v>
      </c>
      <c r="U240" s="545">
        <v>40</v>
      </c>
      <c r="V240" s="540">
        <v>5</v>
      </c>
      <c r="W240" s="540">
        <v>15</v>
      </c>
      <c r="X240" s="540">
        <v>10</v>
      </c>
      <c r="Y240" s="540">
        <v>10</v>
      </c>
      <c r="Z240" s="540"/>
      <c r="AA240" s="777">
        <v>0</v>
      </c>
      <c r="AB240" s="775"/>
      <c r="AC240" s="540"/>
      <c r="AD240" s="543">
        <v>5</v>
      </c>
      <c r="AE240" s="543">
        <v>15</v>
      </c>
      <c r="AF240" s="543">
        <v>30</v>
      </c>
      <c r="AG240" s="543">
        <v>17</v>
      </c>
      <c r="AH240" s="536">
        <f t="shared" si="6"/>
        <v>0</v>
      </c>
      <c r="AI240" s="536">
        <v>0</v>
      </c>
      <c r="AJ240" s="536">
        <v>0</v>
      </c>
      <c r="AK240" s="536">
        <v>0</v>
      </c>
      <c r="AL240" s="536">
        <v>0</v>
      </c>
      <c r="AM240" s="536">
        <f t="shared" si="7"/>
        <v>0</v>
      </c>
      <c r="AN240" s="536">
        <v>0</v>
      </c>
      <c r="AO240" s="536">
        <v>0</v>
      </c>
      <c r="AP240" s="536">
        <v>0</v>
      </c>
      <c r="AQ240" s="536">
        <v>0</v>
      </c>
    </row>
    <row r="241" spans="1:43" ht="105" customHeight="1" x14ac:dyDescent="0.25">
      <c r="A241" s="221" t="s">
        <v>892</v>
      </c>
      <c r="B241" s="222" t="s">
        <v>65</v>
      </c>
      <c r="C241" s="222" t="s">
        <v>847</v>
      </c>
      <c r="D241" s="76" t="s">
        <v>995</v>
      </c>
      <c r="E241" s="341" t="s">
        <v>1249</v>
      </c>
      <c r="F241" s="419" t="s">
        <v>286</v>
      </c>
      <c r="G241" s="218" t="s">
        <v>996</v>
      </c>
      <c r="H241" s="218" t="s">
        <v>988</v>
      </c>
      <c r="I241" s="215" t="s">
        <v>997</v>
      </c>
      <c r="J241" s="218" t="s">
        <v>994</v>
      </c>
      <c r="K241" s="143" t="s">
        <v>999</v>
      </c>
      <c r="L241" s="751">
        <v>2000000000</v>
      </c>
      <c r="M241" s="900" t="s">
        <v>527</v>
      </c>
      <c r="N241" s="556" t="s">
        <v>156</v>
      </c>
      <c r="O241" s="228" t="s">
        <v>637</v>
      </c>
      <c r="P241" s="228"/>
      <c r="Q241" s="228"/>
      <c r="R241" s="228"/>
      <c r="S241" s="228"/>
      <c r="T241" s="540" t="s">
        <v>166</v>
      </c>
      <c r="U241" s="545">
        <v>30</v>
      </c>
      <c r="V241" s="540">
        <v>0</v>
      </c>
      <c r="W241" s="540">
        <v>0</v>
      </c>
      <c r="X241" s="540">
        <v>15</v>
      </c>
      <c r="Y241" s="540">
        <v>15</v>
      </c>
      <c r="Z241" s="694" t="s">
        <v>755</v>
      </c>
      <c r="AA241" s="751">
        <v>2000000000</v>
      </c>
      <c r="AB241" s="775" t="s">
        <v>190</v>
      </c>
      <c r="AC241" s="681" t="s">
        <v>623</v>
      </c>
      <c r="AD241" s="543">
        <v>0</v>
      </c>
      <c r="AE241" s="543">
        <v>0</v>
      </c>
      <c r="AF241" s="543">
        <v>0</v>
      </c>
      <c r="AG241" s="543">
        <v>3</v>
      </c>
      <c r="AH241" s="536">
        <f t="shared" si="6"/>
        <v>2000000000</v>
      </c>
      <c r="AI241" s="536">
        <v>0</v>
      </c>
      <c r="AJ241" s="536">
        <v>0</v>
      </c>
      <c r="AK241" s="536"/>
      <c r="AL241" s="537">
        <v>2000000000</v>
      </c>
      <c r="AM241" s="536">
        <f t="shared" si="7"/>
        <v>2000000000</v>
      </c>
      <c r="AN241" s="536">
        <v>0</v>
      </c>
      <c r="AO241" s="536">
        <v>0</v>
      </c>
      <c r="AP241" s="536">
        <v>0</v>
      </c>
      <c r="AQ241" s="536">
        <v>2000000000</v>
      </c>
    </row>
    <row r="242" spans="1:43" ht="105" customHeight="1" x14ac:dyDescent="0.25">
      <c r="A242" s="221" t="s">
        <v>892</v>
      </c>
      <c r="B242" s="222" t="s">
        <v>65</v>
      </c>
      <c r="C242" s="222" t="s">
        <v>847</v>
      </c>
      <c r="D242" s="76" t="s">
        <v>995</v>
      </c>
      <c r="E242" s="341" t="s">
        <v>1249</v>
      </c>
      <c r="F242" s="419" t="s">
        <v>286</v>
      </c>
      <c r="G242" s="218" t="s">
        <v>996</v>
      </c>
      <c r="H242" s="218" t="s">
        <v>988</v>
      </c>
      <c r="I242" s="215" t="s">
        <v>997</v>
      </c>
      <c r="J242" s="218" t="s">
        <v>994</v>
      </c>
      <c r="K242" s="215" t="s">
        <v>999</v>
      </c>
      <c r="L242" s="777">
        <v>0</v>
      </c>
      <c r="M242" s="900" t="s">
        <v>760</v>
      </c>
      <c r="N242" s="556" t="s">
        <v>156</v>
      </c>
      <c r="O242" s="228" t="s">
        <v>572</v>
      </c>
      <c r="P242" s="228"/>
      <c r="Q242" s="228"/>
      <c r="R242" s="228"/>
      <c r="S242" s="228"/>
      <c r="T242" s="540" t="s">
        <v>166</v>
      </c>
      <c r="U242" s="545">
        <v>280</v>
      </c>
      <c r="V242" s="545">
        <v>50</v>
      </c>
      <c r="W242" s="545">
        <v>100</v>
      </c>
      <c r="X242" s="545">
        <v>80</v>
      </c>
      <c r="Y242" s="545">
        <v>50</v>
      </c>
      <c r="Z242" s="545"/>
      <c r="AA242" s="777">
        <v>0</v>
      </c>
      <c r="AB242" s="775"/>
      <c r="AC242" s="540"/>
      <c r="AD242" s="543">
        <v>78</v>
      </c>
      <c r="AE242" s="543">
        <v>145</v>
      </c>
      <c r="AF242" s="543">
        <v>80</v>
      </c>
      <c r="AG242" s="543">
        <v>50</v>
      </c>
      <c r="AH242" s="536">
        <f t="shared" si="6"/>
        <v>0</v>
      </c>
      <c r="AI242" s="536">
        <v>0</v>
      </c>
      <c r="AJ242" s="536">
        <v>0</v>
      </c>
      <c r="AK242" s="536"/>
      <c r="AL242" s="536">
        <v>0</v>
      </c>
      <c r="AM242" s="536">
        <f t="shared" si="7"/>
        <v>0</v>
      </c>
      <c r="AN242" s="536">
        <v>0</v>
      </c>
      <c r="AO242" s="536">
        <v>0</v>
      </c>
      <c r="AP242" s="536">
        <v>0</v>
      </c>
      <c r="AQ242" s="536">
        <v>0</v>
      </c>
    </row>
    <row r="243" spans="1:43" ht="105" customHeight="1" x14ac:dyDescent="0.25">
      <c r="A243" s="221" t="s">
        <v>892</v>
      </c>
      <c r="B243" s="222" t="s">
        <v>65</v>
      </c>
      <c r="C243" s="222" t="s">
        <v>847</v>
      </c>
      <c r="D243" s="238" t="s">
        <v>1002</v>
      </c>
      <c r="E243" s="341" t="s">
        <v>1249</v>
      </c>
      <c r="F243" s="427" t="s">
        <v>294</v>
      </c>
      <c r="G243" s="218" t="s">
        <v>996</v>
      </c>
      <c r="H243" s="218" t="s">
        <v>988</v>
      </c>
      <c r="I243" s="215" t="s">
        <v>997</v>
      </c>
      <c r="J243" s="218" t="s">
        <v>994</v>
      </c>
      <c r="K243" s="215" t="s">
        <v>1100</v>
      </c>
      <c r="L243" s="777">
        <v>0</v>
      </c>
      <c r="M243" s="228" t="s">
        <v>295</v>
      </c>
      <c r="N243" s="556" t="s">
        <v>156</v>
      </c>
      <c r="O243" s="228" t="s">
        <v>572</v>
      </c>
      <c r="P243" s="228"/>
      <c r="Q243" s="228"/>
      <c r="R243" s="228"/>
      <c r="S243" s="228"/>
      <c r="T243" s="540" t="s">
        <v>166</v>
      </c>
      <c r="U243" s="545">
        <v>110</v>
      </c>
      <c r="V243" s="545">
        <v>10</v>
      </c>
      <c r="W243" s="545">
        <v>30</v>
      </c>
      <c r="X243" s="545">
        <v>45</v>
      </c>
      <c r="Y243" s="545">
        <v>25</v>
      </c>
      <c r="Z243" s="545"/>
      <c r="AA243" s="777">
        <v>0</v>
      </c>
      <c r="AB243" s="775"/>
      <c r="AC243" s="540"/>
      <c r="AD243" s="543">
        <v>4</v>
      </c>
      <c r="AE243" s="543">
        <v>6</v>
      </c>
      <c r="AF243" s="543">
        <v>30</v>
      </c>
      <c r="AG243" s="543">
        <v>45</v>
      </c>
      <c r="AH243" s="536">
        <f t="shared" si="6"/>
        <v>0</v>
      </c>
      <c r="AI243" s="536">
        <v>0</v>
      </c>
      <c r="AJ243" s="536">
        <v>0</v>
      </c>
      <c r="AK243" s="536">
        <v>0</v>
      </c>
      <c r="AL243" s="536">
        <v>0</v>
      </c>
      <c r="AM243" s="536">
        <f t="shared" si="7"/>
        <v>0</v>
      </c>
      <c r="AN243" s="536">
        <v>0</v>
      </c>
      <c r="AO243" s="536">
        <v>0</v>
      </c>
      <c r="AP243" s="536">
        <v>0</v>
      </c>
      <c r="AQ243" s="536">
        <v>0</v>
      </c>
    </row>
    <row r="244" spans="1:43" ht="105" customHeight="1" x14ac:dyDescent="0.25">
      <c r="A244" s="221" t="s">
        <v>892</v>
      </c>
      <c r="B244" s="222" t="s">
        <v>65</v>
      </c>
      <c r="C244" s="222" t="s">
        <v>847</v>
      </c>
      <c r="D244" s="238" t="s">
        <v>1002</v>
      </c>
      <c r="E244" s="341" t="s">
        <v>1249</v>
      </c>
      <c r="F244" s="427" t="s">
        <v>294</v>
      </c>
      <c r="G244" s="218" t="s">
        <v>996</v>
      </c>
      <c r="H244" s="218" t="s">
        <v>988</v>
      </c>
      <c r="I244" s="215" t="s">
        <v>997</v>
      </c>
      <c r="J244" s="218" t="s">
        <v>994</v>
      </c>
      <c r="K244" s="215" t="s">
        <v>1100</v>
      </c>
      <c r="L244" s="777">
        <v>1415438000</v>
      </c>
      <c r="M244" s="228" t="s">
        <v>296</v>
      </c>
      <c r="N244" s="556" t="s">
        <v>156</v>
      </c>
      <c r="O244" s="228" t="s">
        <v>571</v>
      </c>
      <c r="P244" s="228"/>
      <c r="Q244" s="228"/>
      <c r="R244" s="228"/>
      <c r="S244" s="228"/>
      <c r="T244" s="540" t="s">
        <v>166</v>
      </c>
      <c r="U244" s="545">
        <v>12</v>
      </c>
      <c r="V244" s="545">
        <v>3</v>
      </c>
      <c r="W244" s="545">
        <v>3</v>
      </c>
      <c r="X244" s="545">
        <v>3</v>
      </c>
      <c r="Y244" s="545">
        <v>3</v>
      </c>
      <c r="Z244" s="545" t="s">
        <v>1164</v>
      </c>
      <c r="AA244" s="777">
        <v>1415438000</v>
      </c>
      <c r="AB244" s="775" t="s">
        <v>190</v>
      </c>
      <c r="AC244" s="681" t="s">
        <v>623</v>
      </c>
      <c r="AD244" s="543">
        <v>3</v>
      </c>
      <c r="AE244" s="543">
        <v>3</v>
      </c>
      <c r="AF244" s="543">
        <v>3</v>
      </c>
      <c r="AG244" s="543">
        <v>3</v>
      </c>
      <c r="AH244" s="536">
        <f t="shared" si="6"/>
        <v>1415438000</v>
      </c>
      <c r="AI244" s="536">
        <v>1415438000</v>
      </c>
      <c r="AJ244" s="536">
        <f>1415438000-AI244</f>
        <v>0</v>
      </c>
      <c r="AK244" s="536">
        <v>0</v>
      </c>
      <c r="AL244" s="536">
        <v>0</v>
      </c>
      <c r="AM244" s="536">
        <f t="shared" si="7"/>
        <v>1415438000</v>
      </c>
      <c r="AN244" s="536">
        <v>395172667</v>
      </c>
      <c r="AO244" s="536">
        <f>815201000-AN244</f>
        <v>420028333</v>
      </c>
      <c r="AP244" s="537">
        <f>1027658000-AN244-AO244</f>
        <v>212457000</v>
      </c>
      <c r="AQ244" s="537">
        <f>1415438000-AN244-AO244-AP244</f>
        <v>387780000</v>
      </c>
    </row>
    <row r="245" spans="1:43" ht="105" customHeight="1" x14ac:dyDescent="0.25">
      <c r="A245" s="221" t="s">
        <v>892</v>
      </c>
      <c r="B245" s="222" t="s">
        <v>65</v>
      </c>
      <c r="C245" s="222" t="s">
        <v>847</v>
      </c>
      <c r="D245" s="238" t="s">
        <v>1002</v>
      </c>
      <c r="E245" s="341" t="s">
        <v>1249</v>
      </c>
      <c r="F245" s="268" t="s">
        <v>294</v>
      </c>
      <c r="G245" s="218" t="s">
        <v>996</v>
      </c>
      <c r="H245" s="218" t="s">
        <v>988</v>
      </c>
      <c r="I245" s="215" t="s">
        <v>997</v>
      </c>
      <c r="J245" s="218" t="s">
        <v>994</v>
      </c>
      <c r="K245" s="215" t="s">
        <v>1100</v>
      </c>
      <c r="L245" s="481">
        <v>936742000</v>
      </c>
      <c r="M245" s="228" t="s">
        <v>297</v>
      </c>
      <c r="N245" s="556" t="s">
        <v>156</v>
      </c>
      <c r="O245" s="228" t="s">
        <v>571</v>
      </c>
      <c r="P245" s="228"/>
      <c r="Q245" s="228"/>
      <c r="R245" s="228"/>
      <c r="S245" s="228"/>
      <c r="T245" s="540" t="s">
        <v>166</v>
      </c>
      <c r="U245" s="545">
        <v>250</v>
      </c>
      <c r="V245" s="545">
        <v>40</v>
      </c>
      <c r="W245" s="545">
        <v>80</v>
      </c>
      <c r="X245" s="545">
        <v>80</v>
      </c>
      <c r="Y245" s="545">
        <v>50</v>
      </c>
      <c r="Z245" s="694" t="s">
        <v>762</v>
      </c>
      <c r="AA245" s="481">
        <v>936742000</v>
      </c>
      <c r="AB245" s="775" t="s">
        <v>190</v>
      </c>
      <c r="AC245" s="681" t="s">
        <v>623</v>
      </c>
      <c r="AD245" s="543">
        <v>30</v>
      </c>
      <c r="AE245" s="543">
        <v>5</v>
      </c>
      <c r="AF245" s="543">
        <v>125</v>
      </c>
      <c r="AG245" s="543">
        <v>45</v>
      </c>
      <c r="AH245" s="536">
        <f t="shared" si="6"/>
        <v>936742000</v>
      </c>
      <c r="AI245" s="536">
        <f>1436742000-500000000</f>
        <v>936742000</v>
      </c>
      <c r="AJ245" s="536">
        <f>936742000-AI245</f>
        <v>0</v>
      </c>
      <c r="AK245" s="536">
        <v>0</v>
      </c>
      <c r="AL245" s="536">
        <v>0</v>
      </c>
      <c r="AM245" s="536">
        <f t="shared" si="7"/>
        <v>936742000</v>
      </c>
      <c r="AN245" s="536">
        <v>223348400</v>
      </c>
      <c r="AO245" s="536">
        <f>348345617-AN245</f>
        <v>124997217</v>
      </c>
      <c r="AP245" s="536">
        <f>668151762-AN245-AO245</f>
        <v>319806145</v>
      </c>
      <c r="AQ245" s="537">
        <f>936742000-AN245-AO245-AP245</f>
        <v>268590238</v>
      </c>
    </row>
    <row r="246" spans="1:43" ht="105" customHeight="1" x14ac:dyDescent="0.25">
      <c r="A246" s="116" t="s">
        <v>892</v>
      </c>
      <c r="B246" s="162" t="s">
        <v>65</v>
      </c>
      <c r="C246" s="428" t="s">
        <v>847</v>
      </c>
      <c r="D246" s="447" t="s">
        <v>1002</v>
      </c>
      <c r="E246" s="341" t="s">
        <v>1249</v>
      </c>
      <c r="F246" s="394" t="s">
        <v>294</v>
      </c>
      <c r="G246" s="160" t="s">
        <v>996</v>
      </c>
      <c r="H246" s="160" t="s">
        <v>988</v>
      </c>
      <c r="I246" s="158" t="s">
        <v>997</v>
      </c>
      <c r="J246" s="160" t="s">
        <v>994</v>
      </c>
      <c r="K246" s="158" t="s">
        <v>1100</v>
      </c>
      <c r="L246" s="154">
        <v>3573610000</v>
      </c>
      <c r="M246" s="585" t="s">
        <v>180</v>
      </c>
      <c r="N246" s="568" t="s">
        <v>156</v>
      </c>
      <c r="O246" s="585" t="s">
        <v>571</v>
      </c>
      <c r="P246" s="408"/>
      <c r="Q246" s="408"/>
      <c r="R246" s="408"/>
      <c r="S246" s="408"/>
      <c r="T246" s="549" t="s">
        <v>166</v>
      </c>
      <c r="U246" s="571">
        <v>1</v>
      </c>
      <c r="V246" s="571">
        <v>1</v>
      </c>
      <c r="W246" s="571">
        <v>0</v>
      </c>
      <c r="X246" s="571">
        <v>0</v>
      </c>
      <c r="Y246" s="571">
        <v>0</v>
      </c>
      <c r="Z246" s="545" t="s">
        <v>1165</v>
      </c>
      <c r="AA246" s="154">
        <v>3573610000</v>
      </c>
      <c r="AB246" s="775" t="s">
        <v>190</v>
      </c>
      <c r="AC246" s="681" t="s">
        <v>623</v>
      </c>
      <c r="AD246" s="551">
        <v>1</v>
      </c>
      <c r="AE246" s="551">
        <v>0</v>
      </c>
      <c r="AF246" s="543">
        <v>0</v>
      </c>
      <c r="AG246" s="543">
        <v>0</v>
      </c>
      <c r="AH246" s="536">
        <f t="shared" si="6"/>
        <v>3240818911</v>
      </c>
      <c r="AI246" s="536">
        <f>561755139-AI247</f>
        <v>550832889</v>
      </c>
      <c r="AJ246" s="536">
        <f>1518318868-(AI246+AI247)-AJ247</f>
        <v>952979829</v>
      </c>
      <c r="AK246" s="536">
        <f>3056899006-AI246-AJ246</f>
        <v>1553086288</v>
      </c>
      <c r="AL246" s="536">
        <f>3240818911-AI246-AJ246-AK246</f>
        <v>183919905</v>
      </c>
      <c r="AM246" s="536">
        <f t="shared" si="7"/>
        <v>3240818911</v>
      </c>
      <c r="AN246" s="536">
        <f>501492791-AN247</f>
        <v>491079404</v>
      </c>
      <c r="AO246" s="536">
        <f>1171645172-(AN246+AN247)-AO247</f>
        <v>666422249</v>
      </c>
      <c r="AP246" s="536">
        <f>1945733837-AN246-AO246</f>
        <v>788232184</v>
      </c>
      <c r="AQ246" s="536">
        <f>3240818911-AN246-AO246-AP246</f>
        <v>1295085074</v>
      </c>
    </row>
    <row r="247" spans="1:43" ht="105" customHeight="1" x14ac:dyDescent="0.25">
      <c r="A247" s="116" t="s">
        <v>892</v>
      </c>
      <c r="B247" s="162" t="s">
        <v>65</v>
      </c>
      <c r="C247" s="428" t="s">
        <v>847</v>
      </c>
      <c r="D247" s="447" t="s">
        <v>1002</v>
      </c>
      <c r="E247" s="732" t="s">
        <v>1249</v>
      </c>
      <c r="F247" s="394" t="s">
        <v>294</v>
      </c>
      <c r="G247" s="160" t="s">
        <v>996</v>
      </c>
      <c r="H247" s="160" t="s">
        <v>988</v>
      </c>
      <c r="I247" s="158" t="s">
        <v>997</v>
      </c>
      <c r="J247" s="160" t="s">
        <v>994</v>
      </c>
      <c r="K247" s="158" t="s">
        <v>1100</v>
      </c>
      <c r="L247" s="777">
        <v>620000000</v>
      </c>
      <c r="M247" s="585" t="s">
        <v>180</v>
      </c>
      <c r="N247" s="568" t="s">
        <v>156</v>
      </c>
      <c r="O247" s="585" t="s">
        <v>571</v>
      </c>
      <c r="P247" s="408"/>
      <c r="Q247" s="408"/>
      <c r="R247" s="408"/>
      <c r="S247" s="408"/>
      <c r="T247" s="549" t="s">
        <v>166</v>
      </c>
      <c r="U247" s="571">
        <v>1</v>
      </c>
      <c r="V247" s="571">
        <v>1</v>
      </c>
      <c r="W247" s="571">
        <v>0</v>
      </c>
      <c r="X247" s="571">
        <v>0</v>
      </c>
      <c r="Y247" s="571">
        <v>0</v>
      </c>
      <c r="Z247" s="545" t="s">
        <v>1166</v>
      </c>
      <c r="AA247" s="777">
        <v>620000000</v>
      </c>
      <c r="AB247" s="775" t="s">
        <v>190</v>
      </c>
      <c r="AC247" s="540" t="s">
        <v>190</v>
      </c>
      <c r="AD247" s="551">
        <v>1</v>
      </c>
      <c r="AE247" s="551">
        <v>0</v>
      </c>
      <c r="AF247" s="543"/>
      <c r="AG247" s="543">
        <v>0</v>
      </c>
      <c r="AH247" s="536">
        <f t="shared" si="6"/>
        <v>520246050</v>
      </c>
      <c r="AI247" s="536">
        <v>10922250</v>
      </c>
      <c r="AJ247" s="574">
        <f>14506150-AI247</f>
        <v>3583900</v>
      </c>
      <c r="AK247" s="536"/>
      <c r="AL247" s="536">
        <f>520246050-AI247-AJ247</f>
        <v>505739900</v>
      </c>
      <c r="AM247" s="536">
        <f t="shared" si="7"/>
        <v>520246050</v>
      </c>
      <c r="AN247" s="536">
        <v>10413387</v>
      </c>
      <c r="AO247" s="574">
        <f>14143519-AN247</f>
        <v>3730132</v>
      </c>
      <c r="AP247" s="574">
        <v>0</v>
      </c>
      <c r="AQ247" s="574">
        <f>520246050-AN247-AO247</f>
        <v>506102531</v>
      </c>
    </row>
    <row r="248" spans="1:43" ht="105" customHeight="1" x14ac:dyDescent="0.25">
      <c r="A248" s="221" t="s">
        <v>892</v>
      </c>
      <c r="B248" s="222" t="s">
        <v>65</v>
      </c>
      <c r="C248" s="222" t="s">
        <v>847</v>
      </c>
      <c r="D248" s="238" t="s">
        <v>1002</v>
      </c>
      <c r="E248" s="341" t="s">
        <v>1249</v>
      </c>
      <c r="F248" s="427" t="s">
        <v>294</v>
      </c>
      <c r="G248" s="218" t="s">
        <v>996</v>
      </c>
      <c r="H248" s="218" t="s">
        <v>988</v>
      </c>
      <c r="I248" s="216" t="s">
        <v>997</v>
      </c>
      <c r="J248" s="218" t="s">
        <v>994</v>
      </c>
      <c r="K248" s="215" t="s">
        <v>1100</v>
      </c>
      <c r="L248" s="777">
        <v>0</v>
      </c>
      <c r="M248" s="228" t="s">
        <v>298</v>
      </c>
      <c r="N248" s="556" t="s">
        <v>156</v>
      </c>
      <c r="O248" s="228" t="s">
        <v>637</v>
      </c>
      <c r="P248" s="228"/>
      <c r="Q248" s="228"/>
      <c r="R248" s="228"/>
      <c r="S248" s="228"/>
      <c r="T248" s="540" t="s">
        <v>166</v>
      </c>
      <c r="U248" s="545">
        <v>240</v>
      </c>
      <c r="V248" s="545">
        <v>40</v>
      </c>
      <c r="W248" s="545">
        <v>80</v>
      </c>
      <c r="X248" s="545">
        <v>80</v>
      </c>
      <c r="Y248" s="545">
        <v>40</v>
      </c>
      <c r="Z248" s="545"/>
      <c r="AA248" s="777">
        <v>0</v>
      </c>
      <c r="AB248" s="775"/>
      <c r="AC248" s="540"/>
      <c r="AD248" s="543">
        <v>203</v>
      </c>
      <c r="AE248" s="543">
        <v>85</v>
      </c>
      <c r="AF248" s="543">
        <v>118</v>
      </c>
      <c r="AG248" s="543">
        <v>55</v>
      </c>
      <c r="AH248" s="536">
        <f t="shared" si="6"/>
        <v>0</v>
      </c>
      <c r="AI248" s="536">
        <v>0</v>
      </c>
      <c r="AJ248" s="536">
        <v>0</v>
      </c>
      <c r="AK248" s="536">
        <v>0</v>
      </c>
      <c r="AL248" s="536">
        <v>0</v>
      </c>
      <c r="AM248" s="536">
        <f t="shared" si="7"/>
        <v>0</v>
      </c>
      <c r="AN248" s="536">
        <v>0</v>
      </c>
      <c r="AO248" s="536">
        <v>0</v>
      </c>
      <c r="AP248" s="536">
        <v>0</v>
      </c>
      <c r="AQ248" s="536">
        <v>0</v>
      </c>
    </row>
    <row r="249" spans="1:43" ht="105" customHeight="1" x14ac:dyDescent="0.25">
      <c r="A249" s="221" t="s">
        <v>892</v>
      </c>
      <c r="B249" s="222" t="s">
        <v>65</v>
      </c>
      <c r="C249" s="222" t="s">
        <v>847</v>
      </c>
      <c r="D249" s="238" t="s">
        <v>1002</v>
      </c>
      <c r="E249" s="341" t="s">
        <v>1249</v>
      </c>
      <c r="F249" s="427" t="s">
        <v>294</v>
      </c>
      <c r="G249" s="218" t="s">
        <v>996</v>
      </c>
      <c r="H249" s="218" t="s">
        <v>988</v>
      </c>
      <c r="I249" s="216" t="s">
        <v>997</v>
      </c>
      <c r="J249" s="218" t="s">
        <v>994</v>
      </c>
      <c r="K249" s="215" t="s">
        <v>1101</v>
      </c>
      <c r="L249" s="777">
        <v>0</v>
      </c>
      <c r="M249" s="228" t="s">
        <v>299</v>
      </c>
      <c r="N249" s="556" t="s">
        <v>156</v>
      </c>
      <c r="O249" s="228" t="s">
        <v>1161</v>
      </c>
      <c r="P249" s="228"/>
      <c r="Q249" s="228"/>
      <c r="R249" s="228"/>
      <c r="S249" s="228"/>
      <c r="T249" s="540" t="s">
        <v>166</v>
      </c>
      <c r="U249" s="545">
        <v>25</v>
      </c>
      <c r="V249" s="545">
        <v>5</v>
      </c>
      <c r="W249" s="545">
        <v>11</v>
      </c>
      <c r="X249" s="545">
        <v>6</v>
      </c>
      <c r="Y249" s="545">
        <v>3</v>
      </c>
      <c r="Z249" s="545"/>
      <c r="AA249" s="777">
        <v>0</v>
      </c>
      <c r="AB249" s="775"/>
      <c r="AC249" s="540"/>
      <c r="AD249" s="543">
        <v>14</v>
      </c>
      <c r="AE249" s="543">
        <v>0</v>
      </c>
      <c r="AF249" s="791">
        <v>81</v>
      </c>
      <c r="AG249" s="543">
        <v>167</v>
      </c>
      <c r="AH249" s="536">
        <f t="shared" si="6"/>
        <v>0</v>
      </c>
      <c r="AI249" s="536">
        <v>0</v>
      </c>
      <c r="AJ249" s="536">
        <v>0</v>
      </c>
      <c r="AK249" s="536">
        <v>0</v>
      </c>
      <c r="AL249" s="536">
        <v>0</v>
      </c>
      <c r="AM249" s="536">
        <f t="shared" si="7"/>
        <v>0</v>
      </c>
      <c r="AN249" s="536">
        <v>0</v>
      </c>
      <c r="AO249" s="536">
        <v>0</v>
      </c>
      <c r="AP249" s="536">
        <v>0</v>
      </c>
      <c r="AQ249" s="536">
        <v>0</v>
      </c>
    </row>
    <row r="250" spans="1:43" ht="105" customHeight="1" x14ac:dyDescent="0.25">
      <c r="A250" s="221" t="s">
        <v>892</v>
      </c>
      <c r="B250" s="222" t="s">
        <v>65</v>
      </c>
      <c r="C250" s="222" t="s">
        <v>847</v>
      </c>
      <c r="D250" s="238" t="s">
        <v>1002</v>
      </c>
      <c r="E250" s="341" t="s">
        <v>1249</v>
      </c>
      <c r="F250" s="427" t="s">
        <v>294</v>
      </c>
      <c r="G250" s="218" t="s">
        <v>996</v>
      </c>
      <c r="H250" s="218" t="s">
        <v>988</v>
      </c>
      <c r="I250" s="216" t="s">
        <v>997</v>
      </c>
      <c r="J250" s="218" t="s">
        <v>994</v>
      </c>
      <c r="K250" s="215" t="s">
        <v>1100</v>
      </c>
      <c r="L250" s="777">
        <v>0</v>
      </c>
      <c r="M250" s="228" t="s">
        <v>300</v>
      </c>
      <c r="N250" s="556" t="s">
        <v>156</v>
      </c>
      <c r="O250" s="228" t="s">
        <v>637</v>
      </c>
      <c r="P250" s="228"/>
      <c r="Q250" s="228"/>
      <c r="R250" s="228"/>
      <c r="S250" s="228"/>
      <c r="T250" s="540" t="s">
        <v>166</v>
      </c>
      <c r="U250" s="545">
        <v>5000</v>
      </c>
      <c r="V250" s="545">
        <v>1250</v>
      </c>
      <c r="W250" s="545">
        <v>1250</v>
      </c>
      <c r="X250" s="545">
        <v>1250</v>
      </c>
      <c r="Y250" s="545">
        <v>1250</v>
      </c>
      <c r="Z250" s="545"/>
      <c r="AA250" s="777">
        <v>0</v>
      </c>
      <c r="AB250" s="775"/>
      <c r="AC250" s="540"/>
      <c r="AD250" s="543">
        <v>1952</v>
      </c>
      <c r="AE250" s="543">
        <v>3355</v>
      </c>
      <c r="AF250" s="543">
        <v>2071</v>
      </c>
      <c r="AG250" s="543">
        <v>2146</v>
      </c>
      <c r="AH250" s="536">
        <f t="shared" si="6"/>
        <v>0</v>
      </c>
      <c r="AI250" s="536">
        <v>0</v>
      </c>
      <c r="AJ250" s="536">
        <v>0</v>
      </c>
      <c r="AK250" s="536">
        <v>0</v>
      </c>
      <c r="AL250" s="536">
        <v>0</v>
      </c>
      <c r="AM250" s="536">
        <f t="shared" si="7"/>
        <v>0</v>
      </c>
      <c r="AN250" s="536">
        <v>0</v>
      </c>
      <c r="AO250" s="536">
        <v>0</v>
      </c>
      <c r="AP250" s="536">
        <v>0</v>
      </c>
      <c r="AQ250" s="536">
        <v>0</v>
      </c>
    </row>
    <row r="251" spans="1:43" ht="105" customHeight="1" x14ac:dyDescent="0.25">
      <c r="A251" s="116" t="s">
        <v>892</v>
      </c>
      <c r="B251" s="162" t="s">
        <v>65</v>
      </c>
      <c r="C251" s="428" t="s">
        <v>874</v>
      </c>
      <c r="D251" s="447" t="s">
        <v>1002</v>
      </c>
      <c r="E251" s="341" t="s">
        <v>1249</v>
      </c>
      <c r="F251" s="397" t="s">
        <v>302</v>
      </c>
      <c r="G251" s="160" t="s">
        <v>978</v>
      </c>
      <c r="H251" s="160" t="s">
        <v>988</v>
      </c>
      <c r="I251" s="158" t="s">
        <v>997</v>
      </c>
      <c r="J251" s="160" t="s">
        <v>994</v>
      </c>
      <c r="K251" s="158" t="s">
        <v>1102</v>
      </c>
      <c r="L251" s="777">
        <v>101677000</v>
      </c>
      <c r="M251" s="585" t="s">
        <v>180</v>
      </c>
      <c r="N251" s="568" t="s">
        <v>156</v>
      </c>
      <c r="O251" s="585" t="s">
        <v>669</v>
      </c>
      <c r="P251" s="408"/>
      <c r="Q251" s="408"/>
      <c r="R251" s="408"/>
      <c r="S251" s="408"/>
      <c r="T251" s="549" t="s">
        <v>166</v>
      </c>
      <c r="U251" s="571">
        <v>1</v>
      </c>
      <c r="V251" s="571">
        <v>1</v>
      </c>
      <c r="W251" s="571">
        <v>0</v>
      </c>
      <c r="X251" s="571">
        <v>0</v>
      </c>
      <c r="Y251" s="571">
        <v>0</v>
      </c>
      <c r="Z251" s="694" t="s">
        <v>765</v>
      </c>
      <c r="AA251" s="777">
        <v>101677000</v>
      </c>
      <c r="AB251" s="775" t="s">
        <v>190</v>
      </c>
      <c r="AC251" s="540" t="s">
        <v>190</v>
      </c>
      <c r="AD251" s="551">
        <v>1</v>
      </c>
      <c r="AE251" s="551">
        <v>0</v>
      </c>
      <c r="AF251" s="543">
        <v>0</v>
      </c>
      <c r="AG251" s="543">
        <v>0</v>
      </c>
      <c r="AH251" s="536">
        <f t="shared" si="6"/>
        <v>87955504</v>
      </c>
      <c r="AI251" s="536">
        <v>19605390</v>
      </c>
      <c r="AJ251" s="536">
        <v>18859278</v>
      </c>
      <c r="AK251" s="536">
        <f>59910056-AI251-AJ251</f>
        <v>21445388</v>
      </c>
      <c r="AL251" s="537">
        <f>87955504-AI251-AJ251-AK251</f>
        <v>28045448</v>
      </c>
      <c r="AM251" s="536">
        <f t="shared" si="7"/>
        <v>87955504</v>
      </c>
      <c r="AN251" s="536">
        <v>17355318</v>
      </c>
      <c r="AO251" s="536">
        <f>34368565-AN251</f>
        <v>17013247</v>
      </c>
      <c r="AP251" s="574">
        <f>59416400-AN251-AO251</f>
        <v>25047835</v>
      </c>
      <c r="AQ251" s="537">
        <f>87955504-AN251-AO251-AP251</f>
        <v>28539104</v>
      </c>
    </row>
    <row r="252" spans="1:43" ht="105" customHeight="1" x14ac:dyDescent="0.25">
      <c r="A252" s="116" t="s">
        <v>892</v>
      </c>
      <c r="B252" s="162" t="s">
        <v>65</v>
      </c>
      <c r="C252" s="428" t="s">
        <v>874</v>
      </c>
      <c r="D252" s="447" t="s">
        <v>1002</v>
      </c>
      <c r="E252" s="341" t="s">
        <v>1249</v>
      </c>
      <c r="F252" s="397" t="s">
        <v>302</v>
      </c>
      <c r="G252" s="160" t="s">
        <v>978</v>
      </c>
      <c r="H252" s="160" t="s">
        <v>988</v>
      </c>
      <c r="I252" s="158" t="s">
        <v>997</v>
      </c>
      <c r="J252" s="160" t="s">
        <v>994</v>
      </c>
      <c r="K252" s="158" t="s">
        <v>1102</v>
      </c>
      <c r="L252" s="777">
        <v>5000000</v>
      </c>
      <c r="M252" s="585" t="s">
        <v>180</v>
      </c>
      <c r="N252" s="568" t="s">
        <v>156</v>
      </c>
      <c r="O252" s="585" t="s">
        <v>669</v>
      </c>
      <c r="P252" s="408"/>
      <c r="Q252" s="408"/>
      <c r="R252" s="408"/>
      <c r="S252" s="408"/>
      <c r="T252" s="549" t="s">
        <v>166</v>
      </c>
      <c r="U252" s="571">
        <v>1</v>
      </c>
      <c r="V252" s="571">
        <v>1</v>
      </c>
      <c r="W252" s="571">
        <v>0</v>
      </c>
      <c r="X252" s="571">
        <v>0</v>
      </c>
      <c r="Y252" s="571">
        <v>0</v>
      </c>
      <c r="Z252" s="694" t="s">
        <v>766</v>
      </c>
      <c r="AA252" s="777">
        <v>5000000</v>
      </c>
      <c r="AB252" s="775" t="s">
        <v>190</v>
      </c>
      <c r="AC252" s="632" t="s">
        <v>623</v>
      </c>
      <c r="AD252" s="551">
        <v>1</v>
      </c>
      <c r="AE252" s="551">
        <v>0</v>
      </c>
      <c r="AF252" s="543">
        <v>0</v>
      </c>
      <c r="AG252" s="543">
        <v>0</v>
      </c>
      <c r="AH252" s="536">
        <f t="shared" si="6"/>
        <v>796900</v>
      </c>
      <c r="AI252" s="536">
        <v>0</v>
      </c>
      <c r="AJ252" s="536">
        <v>0</v>
      </c>
      <c r="AK252" s="574">
        <v>448600</v>
      </c>
      <c r="AL252" s="537">
        <f>796900-AK252</f>
        <v>348300</v>
      </c>
      <c r="AM252" s="536">
        <f t="shared" si="7"/>
        <v>796900</v>
      </c>
      <c r="AN252" s="536">
        <v>0</v>
      </c>
      <c r="AO252" s="536">
        <v>0</v>
      </c>
      <c r="AP252" s="574">
        <v>448601</v>
      </c>
      <c r="AQ252" s="537">
        <f>796900-AP252</f>
        <v>348299</v>
      </c>
    </row>
    <row r="253" spans="1:43" ht="105" customHeight="1" x14ac:dyDescent="0.25">
      <c r="A253" s="221" t="s">
        <v>892</v>
      </c>
      <c r="B253" s="222" t="s">
        <v>65</v>
      </c>
      <c r="C253" s="222" t="s">
        <v>874</v>
      </c>
      <c r="D253" s="238" t="s">
        <v>1002</v>
      </c>
      <c r="E253" s="341" t="s">
        <v>1249</v>
      </c>
      <c r="F253" s="419" t="s">
        <v>302</v>
      </c>
      <c r="G253" s="218" t="s">
        <v>978</v>
      </c>
      <c r="H253" s="218" t="s">
        <v>988</v>
      </c>
      <c r="I253" s="215" t="s">
        <v>997</v>
      </c>
      <c r="J253" s="218" t="s">
        <v>994</v>
      </c>
      <c r="K253" s="215" t="s">
        <v>1103</v>
      </c>
      <c r="L253" s="777">
        <v>600000000</v>
      </c>
      <c r="M253" s="228" t="s">
        <v>303</v>
      </c>
      <c r="N253" s="556" t="s">
        <v>156</v>
      </c>
      <c r="O253" s="228" t="s">
        <v>1200</v>
      </c>
      <c r="P253" s="228"/>
      <c r="Q253" s="228"/>
      <c r="R253" s="228"/>
      <c r="S253" s="228"/>
      <c r="T253" s="540" t="s">
        <v>166</v>
      </c>
      <c r="U253" s="545">
        <v>12</v>
      </c>
      <c r="V253" s="545">
        <v>0</v>
      </c>
      <c r="W253" s="545">
        <v>0</v>
      </c>
      <c r="X253" s="545">
        <v>6</v>
      </c>
      <c r="Y253" s="545">
        <v>6</v>
      </c>
      <c r="Z253" s="669" t="s">
        <v>767</v>
      </c>
      <c r="AA253" s="777">
        <v>600000000</v>
      </c>
      <c r="AB253" s="775" t="s">
        <v>190</v>
      </c>
      <c r="AC253" s="632" t="s">
        <v>623</v>
      </c>
      <c r="AD253" s="543">
        <v>0</v>
      </c>
      <c r="AE253" s="543">
        <v>0</v>
      </c>
      <c r="AF253" s="543">
        <v>0</v>
      </c>
      <c r="AG253" s="543">
        <v>0</v>
      </c>
      <c r="AH253" s="536">
        <f t="shared" si="6"/>
        <v>519500000</v>
      </c>
      <c r="AI253" s="536">
        <v>420000000</v>
      </c>
      <c r="AJ253" s="536">
        <f>420000000-AI253</f>
        <v>0</v>
      </c>
      <c r="AK253" s="536">
        <v>0</v>
      </c>
      <c r="AL253" s="537">
        <f>519500000-AI253</f>
        <v>99500000</v>
      </c>
      <c r="AM253" s="536">
        <f t="shared" si="7"/>
        <v>519500000</v>
      </c>
      <c r="AN253" s="536">
        <v>0</v>
      </c>
      <c r="AO253" s="536">
        <f>262500000-AN253</f>
        <v>262500000</v>
      </c>
      <c r="AP253" s="574">
        <f>420000000-AO253</f>
        <v>157500000</v>
      </c>
      <c r="AQ253" s="537">
        <f>519500000-AP253-AO253</f>
        <v>99500000</v>
      </c>
    </row>
    <row r="254" spans="1:43" ht="105" customHeight="1" x14ac:dyDescent="0.25">
      <c r="A254" s="428" t="s">
        <v>892</v>
      </c>
      <c r="B254" s="428" t="s">
        <v>65</v>
      </c>
      <c r="C254" s="428" t="s">
        <v>848</v>
      </c>
      <c r="D254" s="451" t="s">
        <v>1000</v>
      </c>
      <c r="E254" s="341" t="s">
        <v>1253</v>
      </c>
      <c r="F254" s="727" t="s">
        <v>304</v>
      </c>
      <c r="G254" s="378" t="s">
        <v>978</v>
      </c>
      <c r="H254" s="378" t="s">
        <v>988</v>
      </c>
      <c r="I254" s="158" t="s">
        <v>998</v>
      </c>
      <c r="J254" s="378" t="s">
        <v>1001</v>
      </c>
      <c r="K254" s="368" t="s">
        <v>1104</v>
      </c>
      <c r="L254" s="155">
        <v>509963000</v>
      </c>
      <c r="M254" s="585" t="s">
        <v>305</v>
      </c>
      <c r="N254" s="608" t="s">
        <v>1159</v>
      </c>
      <c r="O254" s="585" t="s">
        <v>637</v>
      </c>
      <c r="P254" s="408"/>
      <c r="Q254" s="408"/>
      <c r="R254" s="408"/>
      <c r="S254" s="408"/>
      <c r="T254" s="549" t="s">
        <v>166</v>
      </c>
      <c r="U254" s="571">
        <v>1</v>
      </c>
      <c r="V254" s="571">
        <v>1</v>
      </c>
      <c r="W254" s="571">
        <v>0</v>
      </c>
      <c r="X254" s="571">
        <v>0</v>
      </c>
      <c r="Y254" s="571">
        <v>0</v>
      </c>
      <c r="Z254" s="694" t="s">
        <v>768</v>
      </c>
      <c r="AA254" s="155">
        <v>509963000</v>
      </c>
      <c r="AB254" s="775" t="s">
        <v>190</v>
      </c>
      <c r="AC254" s="632" t="s">
        <v>623</v>
      </c>
      <c r="AD254" s="551">
        <v>1</v>
      </c>
      <c r="AE254" s="551">
        <v>0</v>
      </c>
      <c r="AF254" s="543">
        <v>0</v>
      </c>
      <c r="AG254" s="543">
        <v>0</v>
      </c>
      <c r="AH254" s="536">
        <f t="shared" si="6"/>
        <v>509963000</v>
      </c>
      <c r="AI254" s="705">
        <v>509963000</v>
      </c>
      <c r="AJ254" s="536">
        <v>0</v>
      </c>
      <c r="AK254" s="536">
        <f>509963000-AI254</f>
        <v>0</v>
      </c>
      <c r="AL254" s="536">
        <v>0</v>
      </c>
      <c r="AM254" s="536">
        <f t="shared" si="7"/>
        <v>509963000</v>
      </c>
      <c r="AN254" s="705">
        <v>101992600</v>
      </c>
      <c r="AO254" s="705">
        <f>254981500-AN254</f>
        <v>152988900</v>
      </c>
      <c r="AP254" s="705">
        <f>407970400-AO254-AN254</f>
        <v>152988900</v>
      </c>
      <c r="AQ254" s="807">
        <f>509963000-AN254-AO254-AP254</f>
        <v>101992600</v>
      </c>
    </row>
    <row r="255" spans="1:43" ht="105" customHeight="1" x14ac:dyDescent="0.25">
      <c r="A255" s="428" t="s">
        <v>892</v>
      </c>
      <c r="B255" s="428" t="s">
        <v>65</v>
      </c>
      <c r="C255" s="428" t="s">
        <v>848</v>
      </c>
      <c r="D255" s="451" t="s">
        <v>1000</v>
      </c>
      <c r="E255" s="341" t="s">
        <v>1253</v>
      </c>
      <c r="F255" s="727" t="s">
        <v>304</v>
      </c>
      <c r="G255" s="378" t="s">
        <v>978</v>
      </c>
      <c r="H255" s="378" t="s">
        <v>988</v>
      </c>
      <c r="I255" s="158" t="s">
        <v>998</v>
      </c>
      <c r="J255" s="378" t="s">
        <v>1001</v>
      </c>
      <c r="K255" s="368" t="s">
        <v>1104</v>
      </c>
      <c r="L255" s="155">
        <v>200000000</v>
      </c>
      <c r="M255" s="585" t="s">
        <v>305</v>
      </c>
      <c r="N255" s="608" t="s">
        <v>1159</v>
      </c>
      <c r="O255" s="585" t="s">
        <v>637</v>
      </c>
      <c r="P255" s="408"/>
      <c r="Q255" s="408"/>
      <c r="R255" s="408"/>
      <c r="S255" s="408"/>
      <c r="T255" s="549" t="s">
        <v>166</v>
      </c>
      <c r="U255" s="571">
        <v>1</v>
      </c>
      <c r="V255" s="571">
        <v>1</v>
      </c>
      <c r="W255" s="571">
        <v>0</v>
      </c>
      <c r="X255" s="571">
        <v>0</v>
      </c>
      <c r="Y255" s="571">
        <v>0</v>
      </c>
      <c r="Z255" s="694" t="s">
        <v>769</v>
      </c>
      <c r="AA255" s="155">
        <v>200000000</v>
      </c>
      <c r="AB255" s="775" t="s">
        <v>190</v>
      </c>
      <c r="AC255" s="632" t="s">
        <v>623</v>
      </c>
      <c r="AD255" s="551">
        <v>1</v>
      </c>
      <c r="AE255" s="551">
        <v>0</v>
      </c>
      <c r="AF255" s="543">
        <v>0</v>
      </c>
      <c r="AG255" s="543">
        <v>0</v>
      </c>
      <c r="AH255" s="536">
        <f t="shared" si="6"/>
        <v>0</v>
      </c>
      <c r="AI255" s="536">
        <v>0</v>
      </c>
      <c r="AJ255" s="536">
        <v>0</v>
      </c>
      <c r="AK255" s="536">
        <v>0</v>
      </c>
      <c r="AL255" s="536">
        <v>0</v>
      </c>
      <c r="AM255" s="536">
        <f t="shared" si="7"/>
        <v>0</v>
      </c>
      <c r="AN255" s="536">
        <v>0</v>
      </c>
      <c r="AO255" s="536">
        <v>0</v>
      </c>
      <c r="AP255" s="536">
        <v>0</v>
      </c>
      <c r="AQ255" s="536">
        <v>0</v>
      </c>
    </row>
    <row r="256" spans="1:43" ht="105" customHeight="1" x14ac:dyDescent="0.25">
      <c r="A256" s="116" t="s">
        <v>892</v>
      </c>
      <c r="B256" s="162" t="s">
        <v>65</v>
      </c>
      <c r="C256" s="428" t="s">
        <v>848</v>
      </c>
      <c r="D256" s="451" t="s">
        <v>1000</v>
      </c>
      <c r="E256" s="341" t="s">
        <v>1253</v>
      </c>
      <c r="F256" s="727" t="s">
        <v>304</v>
      </c>
      <c r="G256" s="116" t="s">
        <v>978</v>
      </c>
      <c r="H256" s="116" t="s">
        <v>988</v>
      </c>
      <c r="I256" s="368" t="s">
        <v>998</v>
      </c>
      <c r="J256" s="116" t="s">
        <v>1001</v>
      </c>
      <c r="K256" s="368" t="s">
        <v>1105</v>
      </c>
      <c r="L256" s="777">
        <v>200000000</v>
      </c>
      <c r="M256" s="585" t="s">
        <v>306</v>
      </c>
      <c r="N256" s="568" t="s">
        <v>154</v>
      </c>
      <c r="O256" s="585" t="s">
        <v>1162</v>
      </c>
      <c r="P256" s="408" t="s">
        <v>1201</v>
      </c>
      <c r="Q256" s="408" t="s">
        <v>1183</v>
      </c>
      <c r="R256" s="408" t="s">
        <v>1183</v>
      </c>
      <c r="S256" s="408"/>
      <c r="T256" s="549" t="s">
        <v>166</v>
      </c>
      <c r="U256" s="571">
        <v>4</v>
      </c>
      <c r="V256" s="571">
        <v>1</v>
      </c>
      <c r="W256" s="571">
        <v>1</v>
      </c>
      <c r="X256" s="571">
        <v>1</v>
      </c>
      <c r="Y256" s="571">
        <v>1</v>
      </c>
      <c r="Z256" s="694" t="s">
        <v>771</v>
      </c>
      <c r="AA256" s="777">
        <v>200000000</v>
      </c>
      <c r="AB256" s="775" t="s">
        <v>190</v>
      </c>
      <c r="AC256" s="632" t="s">
        <v>623</v>
      </c>
      <c r="AD256" s="551">
        <v>1</v>
      </c>
      <c r="AE256" s="551">
        <v>1</v>
      </c>
      <c r="AF256" s="791">
        <v>1</v>
      </c>
      <c r="AG256" s="543">
        <v>1</v>
      </c>
      <c r="AH256" s="536">
        <f t="shared" si="6"/>
        <v>192296544</v>
      </c>
      <c r="AI256" s="574">
        <v>192296544</v>
      </c>
      <c r="AJ256" s="536">
        <v>0</v>
      </c>
      <c r="AK256" s="536">
        <f>192296544-AI256</f>
        <v>0</v>
      </c>
      <c r="AL256" s="536">
        <v>0</v>
      </c>
      <c r="AM256" s="536">
        <f t="shared" si="7"/>
        <v>191200218</v>
      </c>
      <c r="AN256" s="536">
        <v>0</v>
      </c>
      <c r="AO256" s="536">
        <v>0</v>
      </c>
      <c r="AP256" s="536">
        <v>191200218</v>
      </c>
      <c r="AQ256" s="536">
        <v>0</v>
      </c>
    </row>
    <row r="257" spans="1:43" ht="105" customHeight="1" x14ac:dyDescent="0.25">
      <c r="A257" s="116" t="s">
        <v>892</v>
      </c>
      <c r="B257" s="162" t="s">
        <v>65</v>
      </c>
      <c r="C257" s="428" t="s">
        <v>848</v>
      </c>
      <c r="D257" s="451" t="s">
        <v>1000</v>
      </c>
      <c r="E257" s="341" t="s">
        <v>1253</v>
      </c>
      <c r="F257" s="727" t="s">
        <v>304</v>
      </c>
      <c r="G257" s="116" t="s">
        <v>978</v>
      </c>
      <c r="H257" s="116" t="s">
        <v>988</v>
      </c>
      <c r="I257" s="368" t="s">
        <v>998</v>
      </c>
      <c r="J257" s="116" t="s">
        <v>1001</v>
      </c>
      <c r="K257" s="368" t="s">
        <v>1105</v>
      </c>
      <c r="L257" s="150">
        <v>500000000</v>
      </c>
      <c r="M257" s="585" t="s">
        <v>306</v>
      </c>
      <c r="N257" s="568" t="s">
        <v>154</v>
      </c>
      <c r="O257" s="585" t="s">
        <v>1162</v>
      </c>
      <c r="P257" s="408" t="s">
        <v>1201</v>
      </c>
      <c r="Q257" s="408" t="s">
        <v>1183</v>
      </c>
      <c r="R257" s="408" t="s">
        <v>1183</v>
      </c>
      <c r="S257" s="408"/>
      <c r="T257" s="549" t="s">
        <v>166</v>
      </c>
      <c r="U257" s="571">
        <v>4</v>
      </c>
      <c r="V257" s="571">
        <v>1</v>
      </c>
      <c r="W257" s="571">
        <v>1</v>
      </c>
      <c r="X257" s="571">
        <v>1</v>
      </c>
      <c r="Y257" s="571">
        <v>1</v>
      </c>
      <c r="Z257" s="694" t="s">
        <v>770</v>
      </c>
      <c r="AA257" s="150">
        <v>500000000</v>
      </c>
      <c r="AB257" s="775" t="s">
        <v>867</v>
      </c>
      <c r="AC257" s="542" t="s">
        <v>868</v>
      </c>
      <c r="AD257" s="551">
        <v>1</v>
      </c>
      <c r="AE257" s="551">
        <v>1</v>
      </c>
      <c r="AF257" s="543">
        <v>1</v>
      </c>
      <c r="AG257" s="543">
        <v>1</v>
      </c>
      <c r="AH257" s="536">
        <f t="shared" si="6"/>
        <v>500000000</v>
      </c>
      <c r="AI257" s="574">
        <v>80000000</v>
      </c>
      <c r="AJ257" s="536">
        <v>0</v>
      </c>
      <c r="AK257" s="536">
        <f>500000000-AI257</f>
        <v>420000000</v>
      </c>
      <c r="AL257" s="536">
        <v>0</v>
      </c>
      <c r="AM257" s="536">
        <f t="shared" si="7"/>
        <v>368924299</v>
      </c>
      <c r="AN257" s="536">
        <v>0</v>
      </c>
      <c r="AO257" s="536">
        <v>0</v>
      </c>
      <c r="AP257" s="536">
        <v>80000000</v>
      </c>
      <c r="AQ257" s="807">
        <f>368924299-AP257</f>
        <v>288924299</v>
      </c>
    </row>
    <row r="258" spans="1:43" ht="105" customHeight="1" x14ac:dyDescent="0.25">
      <c r="A258" s="221" t="s">
        <v>892</v>
      </c>
      <c r="B258" s="222" t="s">
        <v>65</v>
      </c>
      <c r="C258" s="222" t="s">
        <v>848</v>
      </c>
      <c r="D258" s="76" t="s">
        <v>1000</v>
      </c>
      <c r="E258" s="341" t="s">
        <v>1253</v>
      </c>
      <c r="F258" s="727" t="s">
        <v>304</v>
      </c>
      <c r="G258" s="120" t="s">
        <v>978</v>
      </c>
      <c r="H258" s="120" t="s">
        <v>988</v>
      </c>
      <c r="I258" s="211" t="s">
        <v>998</v>
      </c>
      <c r="J258" s="120" t="s">
        <v>1001</v>
      </c>
      <c r="K258" s="211" t="s">
        <v>1105</v>
      </c>
      <c r="L258" s="777">
        <v>100000000</v>
      </c>
      <c r="M258" s="228" t="s">
        <v>307</v>
      </c>
      <c r="N258" s="627" t="s">
        <v>154</v>
      </c>
      <c r="O258" s="630" t="s">
        <v>1163</v>
      </c>
      <c r="P258" s="228"/>
      <c r="Q258" s="228"/>
      <c r="R258" s="228"/>
      <c r="S258" s="228"/>
      <c r="T258" s="540" t="s">
        <v>166</v>
      </c>
      <c r="U258" s="545">
        <v>2</v>
      </c>
      <c r="V258" s="540">
        <v>0</v>
      </c>
      <c r="W258" s="540">
        <v>0</v>
      </c>
      <c r="X258" s="540">
        <v>1</v>
      </c>
      <c r="Y258" s="540">
        <v>1</v>
      </c>
      <c r="Z258" s="694" t="s">
        <v>770</v>
      </c>
      <c r="AA258" s="777">
        <v>100000000</v>
      </c>
      <c r="AB258" s="775" t="s">
        <v>867</v>
      </c>
      <c r="AC258" s="542" t="s">
        <v>868</v>
      </c>
      <c r="AD258" s="543">
        <v>0</v>
      </c>
      <c r="AE258" s="543">
        <v>0</v>
      </c>
      <c r="AF258" s="543">
        <v>0</v>
      </c>
      <c r="AG258" s="543">
        <v>0</v>
      </c>
      <c r="AH258" s="536">
        <f t="shared" si="6"/>
        <v>100000000</v>
      </c>
      <c r="AI258" s="536">
        <v>0</v>
      </c>
      <c r="AJ258" s="536">
        <v>0</v>
      </c>
      <c r="AK258" s="536">
        <v>100000000</v>
      </c>
      <c r="AL258" s="536">
        <v>0</v>
      </c>
      <c r="AM258" s="536">
        <f t="shared" si="7"/>
        <v>0</v>
      </c>
      <c r="AN258" s="536">
        <v>0</v>
      </c>
      <c r="AO258" s="536">
        <v>0</v>
      </c>
      <c r="AP258" s="536">
        <v>0</v>
      </c>
      <c r="AQ258" s="536">
        <v>0</v>
      </c>
    </row>
    <row r="259" spans="1:43" ht="105" customHeight="1" x14ac:dyDescent="0.25">
      <c r="A259" s="221" t="s">
        <v>892</v>
      </c>
      <c r="B259" s="222" t="s">
        <v>65</v>
      </c>
      <c r="C259" s="222" t="s">
        <v>848</v>
      </c>
      <c r="D259" s="76" t="s">
        <v>1000</v>
      </c>
      <c r="E259" s="341" t="s">
        <v>1253</v>
      </c>
      <c r="F259" s="446" t="s">
        <v>309</v>
      </c>
      <c r="G259" s="218" t="s">
        <v>978</v>
      </c>
      <c r="H259" s="218" t="s">
        <v>988</v>
      </c>
      <c r="I259" s="215" t="s">
        <v>998</v>
      </c>
      <c r="J259" s="218" t="s">
        <v>1001</v>
      </c>
      <c r="K259" s="215" t="s">
        <v>1106</v>
      </c>
      <c r="L259" s="124">
        <v>30000000</v>
      </c>
      <c r="M259" s="228" t="s">
        <v>310</v>
      </c>
      <c r="N259" s="556" t="s">
        <v>156</v>
      </c>
      <c r="O259" s="585" t="s">
        <v>572</v>
      </c>
      <c r="P259" s="228"/>
      <c r="Q259" s="228"/>
      <c r="R259" s="228"/>
      <c r="S259" s="228"/>
      <c r="T259" s="540" t="s">
        <v>166</v>
      </c>
      <c r="U259" s="545">
        <v>6</v>
      </c>
      <c r="V259" s="545">
        <v>0</v>
      </c>
      <c r="W259" s="545">
        <v>0</v>
      </c>
      <c r="X259" s="545">
        <v>6</v>
      </c>
      <c r="Y259" s="545">
        <v>0</v>
      </c>
      <c r="Z259" s="681" t="s">
        <v>774</v>
      </c>
      <c r="AA259" s="124">
        <v>30000000</v>
      </c>
      <c r="AB259" s="775" t="s">
        <v>190</v>
      </c>
      <c r="AC259" s="540" t="s">
        <v>190</v>
      </c>
      <c r="AD259" s="543">
        <v>0</v>
      </c>
      <c r="AE259" s="543">
        <v>0</v>
      </c>
      <c r="AF259" s="543">
        <v>0</v>
      </c>
      <c r="AG259" s="543">
        <v>6</v>
      </c>
      <c r="AH259" s="536">
        <f t="shared" si="6"/>
        <v>30000000</v>
      </c>
      <c r="AI259" s="536">
        <v>0</v>
      </c>
      <c r="AJ259" s="536">
        <v>0</v>
      </c>
      <c r="AK259" s="536">
        <v>0</v>
      </c>
      <c r="AL259" s="574">
        <v>30000000</v>
      </c>
      <c r="AM259" s="536">
        <f t="shared" si="7"/>
        <v>30000000</v>
      </c>
      <c r="AN259" s="536">
        <v>0</v>
      </c>
      <c r="AO259" s="536">
        <v>0</v>
      </c>
      <c r="AP259" s="536">
        <v>0</v>
      </c>
      <c r="AQ259" s="574">
        <v>30000000</v>
      </c>
    </row>
    <row r="260" spans="1:43" ht="105" customHeight="1" x14ac:dyDescent="0.25">
      <c r="A260" s="368" t="s">
        <v>892</v>
      </c>
      <c r="B260" s="428" t="s">
        <v>65</v>
      </c>
      <c r="C260" s="428" t="s">
        <v>848</v>
      </c>
      <c r="D260" s="447" t="s">
        <v>1002</v>
      </c>
      <c r="E260" s="732" t="s">
        <v>1252</v>
      </c>
      <c r="F260" s="394" t="s">
        <v>311</v>
      </c>
      <c r="G260" s="378" t="s">
        <v>978</v>
      </c>
      <c r="H260" s="378" t="s">
        <v>1003</v>
      </c>
      <c r="I260" s="158" t="s">
        <v>1004</v>
      </c>
      <c r="J260" s="378" t="s">
        <v>1005</v>
      </c>
      <c r="K260" s="158" t="s">
        <v>1107</v>
      </c>
      <c r="L260" s="153">
        <v>1251234352</v>
      </c>
      <c r="M260" s="901" t="s">
        <v>775</v>
      </c>
      <c r="N260" s="568" t="s">
        <v>156</v>
      </c>
      <c r="O260" s="585" t="s">
        <v>584</v>
      </c>
      <c r="P260" s="408"/>
      <c r="Q260" s="408"/>
      <c r="R260" s="408"/>
      <c r="S260" s="408"/>
      <c r="T260" s="549" t="s">
        <v>436</v>
      </c>
      <c r="U260" s="549">
        <v>59</v>
      </c>
      <c r="V260" s="549">
        <v>1</v>
      </c>
      <c r="W260" s="549">
        <v>14</v>
      </c>
      <c r="X260" s="549">
        <v>22</v>
      </c>
      <c r="Y260" s="549">
        <v>22</v>
      </c>
      <c r="Z260" s="706" t="s">
        <v>777</v>
      </c>
      <c r="AA260" s="153">
        <v>1251234352</v>
      </c>
      <c r="AB260" s="775" t="s">
        <v>198</v>
      </c>
      <c r="AC260" s="681" t="s">
        <v>776</v>
      </c>
      <c r="AD260" s="551">
        <v>3</v>
      </c>
      <c r="AE260" s="551">
        <v>14</v>
      </c>
      <c r="AF260" s="543">
        <v>1</v>
      </c>
      <c r="AG260" s="543">
        <v>53</v>
      </c>
      <c r="AH260" s="536">
        <f t="shared" si="6"/>
        <v>148470967</v>
      </c>
      <c r="AI260" s="536">
        <v>0</v>
      </c>
      <c r="AJ260" s="536">
        <v>0</v>
      </c>
      <c r="AK260" s="885">
        <v>148470967</v>
      </c>
      <c r="AL260" s="536">
        <v>0</v>
      </c>
      <c r="AM260" s="536">
        <f t="shared" si="7"/>
        <v>148470967</v>
      </c>
      <c r="AN260" s="536">
        <v>0</v>
      </c>
      <c r="AO260" s="536">
        <v>0</v>
      </c>
      <c r="AP260" s="544"/>
      <c r="AQ260" s="537">
        <v>148470967</v>
      </c>
    </row>
    <row r="261" spans="1:43" ht="105" customHeight="1" x14ac:dyDescent="0.25">
      <c r="A261" s="368" t="s">
        <v>892</v>
      </c>
      <c r="B261" s="428" t="s">
        <v>65</v>
      </c>
      <c r="C261" s="428" t="s">
        <v>848</v>
      </c>
      <c r="D261" s="447" t="s">
        <v>1002</v>
      </c>
      <c r="E261" s="732" t="s">
        <v>1252</v>
      </c>
      <c r="F261" s="394" t="s">
        <v>311</v>
      </c>
      <c r="G261" s="378" t="s">
        <v>978</v>
      </c>
      <c r="H261" s="378" t="s">
        <v>1003</v>
      </c>
      <c r="I261" s="158" t="s">
        <v>1004</v>
      </c>
      <c r="J261" s="378" t="s">
        <v>1005</v>
      </c>
      <c r="K261" s="158" t="s">
        <v>1107</v>
      </c>
      <c r="L261" s="153">
        <v>80000000</v>
      </c>
      <c r="M261" s="901" t="s">
        <v>775</v>
      </c>
      <c r="N261" s="568" t="s">
        <v>156</v>
      </c>
      <c r="O261" s="585" t="s">
        <v>584</v>
      </c>
      <c r="P261" s="408"/>
      <c r="Q261" s="408"/>
      <c r="R261" s="408"/>
      <c r="S261" s="408"/>
      <c r="T261" s="549" t="s">
        <v>436</v>
      </c>
      <c r="U261" s="549">
        <v>59</v>
      </c>
      <c r="V261" s="549">
        <v>1</v>
      </c>
      <c r="W261" s="549">
        <v>14</v>
      </c>
      <c r="X261" s="549">
        <v>22</v>
      </c>
      <c r="Y261" s="549">
        <v>22</v>
      </c>
      <c r="Z261" s="694" t="s">
        <v>778</v>
      </c>
      <c r="AA261" s="153">
        <v>80000000</v>
      </c>
      <c r="AB261" s="775" t="s">
        <v>190</v>
      </c>
      <c r="AC261" s="540" t="s">
        <v>190</v>
      </c>
      <c r="AD261" s="551">
        <v>3</v>
      </c>
      <c r="AE261" s="551">
        <v>14</v>
      </c>
      <c r="AF261" s="543">
        <v>1</v>
      </c>
      <c r="AG261" s="543">
        <v>53</v>
      </c>
      <c r="AH261" s="536">
        <f t="shared" si="6"/>
        <v>0</v>
      </c>
      <c r="AI261" s="536">
        <v>0</v>
      </c>
      <c r="AJ261" s="536">
        <v>0</v>
      </c>
      <c r="AK261" s="536">
        <v>0</v>
      </c>
      <c r="AL261" s="536">
        <v>0</v>
      </c>
      <c r="AM261" s="536">
        <f t="shared" si="7"/>
        <v>0</v>
      </c>
      <c r="AN261" s="536">
        <v>0</v>
      </c>
      <c r="AO261" s="536">
        <v>0</v>
      </c>
      <c r="AP261" s="544"/>
      <c r="AQ261" s="544"/>
    </row>
    <row r="262" spans="1:43" ht="105" customHeight="1" x14ac:dyDescent="0.25">
      <c r="A262" s="221" t="s">
        <v>892</v>
      </c>
      <c r="B262" s="222" t="s">
        <v>65</v>
      </c>
      <c r="C262" s="222" t="s">
        <v>848</v>
      </c>
      <c r="D262" s="238" t="s">
        <v>1002</v>
      </c>
      <c r="E262" s="732" t="s">
        <v>1252</v>
      </c>
      <c r="F262" s="427" t="s">
        <v>311</v>
      </c>
      <c r="G262" s="218" t="s">
        <v>978</v>
      </c>
      <c r="H262" s="219" t="s">
        <v>1003</v>
      </c>
      <c r="I262" s="215" t="s">
        <v>1004</v>
      </c>
      <c r="J262" s="218" t="s">
        <v>1005</v>
      </c>
      <c r="K262" s="215" t="s">
        <v>1107</v>
      </c>
      <c r="L262" s="777">
        <v>120000000</v>
      </c>
      <c r="M262" s="900" t="s">
        <v>312</v>
      </c>
      <c r="N262" s="556" t="s">
        <v>156</v>
      </c>
      <c r="O262" s="228" t="s">
        <v>584</v>
      </c>
      <c r="P262" s="228"/>
      <c r="Q262" s="228"/>
      <c r="R262" s="228"/>
      <c r="S262" s="228"/>
      <c r="T262" s="540" t="s">
        <v>436</v>
      </c>
      <c r="U262" s="540">
        <v>16</v>
      </c>
      <c r="V262" s="545">
        <v>2</v>
      </c>
      <c r="W262" s="545">
        <v>4</v>
      </c>
      <c r="X262" s="545">
        <v>4</v>
      </c>
      <c r="Y262" s="545">
        <v>6</v>
      </c>
      <c r="Z262" s="694" t="s">
        <v>779</v>
      </c>
      <c r="AA262" s="777">
        <v>120000000</v>
      </c>
      <c r="AB262" s="775" t="s">
        <v>190</v>
      </c>
      <c r="AC262" s="681" t="s">
        <v>623</v>
      </c>
      <c r="AD262" s="543">
        <v>2</v>
      </c>
      <c r="AE262" s="543">
        <v>4</v>
      </c>
      <c r="AF262" s="543">
        <v>4</v>
      </c>
      <c r="AG262" s="543">
        <v>6</v>
      </c>
      <c r="AH262" s="536">
        <f t="shared" si="6"/>
        <v>83293464</v>
      </c>
      <c r="AI262" s="536">
        <v>0</v>
      </c>
      <c r="AJ262" s="536">
        <v>0</v>
      </c>
      <c r="AK262" s="536">
        <v>0</v>
      </c>
      <c r="AL262" s="537">
        <v>83293464</v>
      </c>
      <c r="AM262" s="536">
        <f t="shared" si="7"/>
        <v>83293464</v>
      </c>
      <c r="AN262" s="536">
        <v>0</v>
      </c>
      <c r="AO262" s="536">
        <v>0</v>
      </c>
      <c r="AP262" s="544"/>
      <c r="AQ262" s="537">
        <v>83293464</v>
      </c>
    </row>
    <row r="263" spans="1:43" ht="105" customHeight="1" x14ac:dyDescent="0.25">
      <c r="A263" s="368" t="s">
        <v>892</v>
      </c>
      <c r="B263" s="428" t="s">
        <v>65</v>
      </c>
      <c r="C263" s="428" t="s">
        <v>848</v>
      </c>
      <c r="D263" s="447" t="s">
        <v>1002</v>
      </c>
      <c r="E263" s="732" t="s">
        <v>1252</v>
      </c>
      <c r="F263" s="394" t="s">
        <v>311</v>
      </c>
      <c r="G263" s="378" t="s">
        <v>978</v>
      </c>
      <c r="H263" s="378" t="s">
        <v>1003</v>
      </c>
      <c r="I263" s="158" t="s">
        <v>1004</v>
      </c>
      <c r="J263" s="378" t="s">
        <v>1005</v>
      </c>
      <c r="K263" s="158" t="s">
        <v>1108</v>
      </c>
      <c r="L263" s="154">
        <v>1900000000</v>
      </c>
      <c r="M263" s="901" t="s">
        <v>536</v>
      </c>
      <c r="N263" s="568" t="s">
        <v>156</v>
      </c>
      <c r="O263" s="585" t="s">
        <v>637</v>
      </c>
      <c r="P263" s="408"/>
      <c r="Q263" s="408"/>
      <c r="R263" s="408"/>
      <c r="S263" s="408"/>
      <c r="T263" s="549" t="s">
        <v>166</v>
      </c>
      <c r="U263" s="707">
        <v>1</v>
      </c>
      <c r="V263" s="549">
        <v>1</v>
      </c>
      <c r="W263" s="549">
        <v>0</v>
      </c>
      <c r="X263" s="549">
        <v>0</v>
      </c>
      <c r="Y263" s="549">
        <v>0</v>
      </c>
      <c r="Z263" s="694" t="s">
        <v>780</v>
      </c>
      <c r="AA263" s="154">
        <v>1900000000</v>
      </c>
      <c r="AB263" s="775" t="s">
        <v>190</v>
      </c>
      <c r="AC263" s="632" t="s">
        <v>623</v>
      </c>
      <c r="AD263" s="551">
        <v>1</v>
      </c>
      <c r="AE263" s="551">
        <v>0</v>
      </c>
      <c r="AF263" s="543">
        <v>0</v>
      </c>
      <c r="AG263" s="543">
        <v>0</v>
      </c>
      <c r="AH263" s="536">
        <f t="shared" si="6"/>
        <v>1900000000</v>
      </c>
      <c r="AI263" s="536">
        <v>0</v>
      </c>
      <c r="AJ263" s="536">
        <v>0</v>
      </c>
      <c r="AK263" s="537">
        <v>1900000000</v>
      </c>
      <c r="AL263" s="536">
        <v>0</v>
      </c>
      <c r="AM263" s="536">
        <f t="shared" si="7"/>
        <v>1560000000</v>
      </c>
      <c r="AN263" s="536">
        <v>0</v>
      </c>
      <c r="AO263" s="536">
        <v>0</v>
      </c>
      <c r="AP263" s="544"/>
      <c r="AQ263" s="537">
        <v>1560000000</v>
      </c>
    </row>
    <row r="264" spans="1:43" ht="105" customHeight="1" x14ac:dyDescent="0.25">
      <c r="A264" s="368" t="s">
        <v>892</v>
      </c>
      <c r="B264" s="428" t="s">
        <v>65</v>
      </c>
      <c r="C264" s="428" t="s">
        <v>848</v>
      </c>
      <c r="D264" s="447" t="s">
        <v>1002</v>
      </c>
      <c r="E264" s="732" t="s">
        <v>1252</v>
      </c>
      <c r="F264" s="394" t="s">
        <v>311</v>
      </c>
      <c r="G264" s="378" t="s">
        <v>978</v>
      </c>
      <c r="H264" s="378" t="s">
        <v>1003</v>
      </c>
      <c r="I264" s="158" t="s">
        <v>1004</v>
      </c>
      <c r="J264" s="378" t="s">
        <v>1005</v>
      </c>
      <c r="K264" s="158" t="s">
        <v>1108</v>
      </c>
      <c r="L264" s="777">
        <v>416149000</v>
      </c>
      <c r="M264" s="901" t="s">
        <v>536</v>
      </c>
      <c r="N264" s="568" t="s">
        <v>156</v>
      </c>
      <c r="O264" s="585" t="s">
        <v>637</v>
      </c>
      <c r="P264" s="408"/>
      <c r="Q264" s="408"/>
      <c r="R264" s="408"/>
      <c r="S264" s="408"/>
      <c r="T264" s="549" t="s">
        <v>166</v>
      </c>
      <c r="U264" s="707">
        <v>1</v>
      </c>
      <c r="V264" s="549">
        <v>1</v>
      </c>
      <c r="W264" s="549">
        <v>0</v>
      </c>
      <c r="X264" s="549">
        <v>0</v>
      </c>
      <c r="Y264" s="549">
        <v>0</v>
      </c>
      <c r="Z264" s="694" t="s">
        <v>781</v>
      </c>
      <c r="AA264" s="777">
        <v>416149000</v>
      </c>
      <c r="AB264" s="775" t="s">
        <v>190</v>
      </c>
      <c r="AC264" s="540" t="s">
        <v>190</v>
      </c>
      <c r="AD264" s="551">
        <v>1</v>
      </c>
      <c r="AE264" s="551">
        <v>0</v>
      </c>
      <c r="AF264" s="543">
        <v>0</v>
      </c>
      <c r="AG264" s="543">
        <v>0</v>
      </c>
      <c r="AH264" s="536">
        <f t="shared" si="6"/>
        <v>416149000</v>
      </c>
      <c r="AI264" s="537">
        <v>416149000</v>
      </c>
      <c r="AJ264" s="536">
        <v>0</v>
      </c>
      <c r="AK264" s="536">
        <v>0</v>
      </c>
      <c r="AL264" s="536">
        <v>0</v>
      </c>
      <c r="AM264" s="536">
        <f t="shared" si="7"/>
        <v>416149000</v>
      </c>
      <c r="AN264" s="537">
        <v>83229800</v>
      </c>
      <c r="AO264" s="536">
        <f>208074500-AN264</f>
        <v>124844700</v>
      </c>
      <c r="AP264" s="537">
        <f>332919200-AN264-AO264</f>
        <v>124844700</v>
      </c>
      <c r="AQ264" s="537">
        <f>416149000-AN264-AO264-AP264</f>
        <v>83229800</v>
      </c>
    </row>
    <row r="265" spans="1:43" ht="105" customHeight="1" x14ac:dyDescent="0.25">
      <c r="A265" s="221" t="s">
        <v>892</v>
      </c>
      <c r="B265" s="222" t="s">
        <v>65</v>
      </c>
      <c r="C265" s="222" t="s">
        <v>848</v>
      </c>
      <c r="D265" s="238" t="s">
        <v>1002</v>
      </c>
      <c r="E265" s="732" t="s">
        <v>1252</v>
      </c>
      <c r="F265" s="419" t="s">
        <v>314</v>
      </c>
      <c r="G265" s="218" t="s">
        <v>978</v>
      </c>
      <c r="H265" s="218" t="s">
        <v>1003</v>
      </c>
      <c r="I265" s="215" t="s">
        <v>1004</v>
      </c>
      <c r="J265" s="218" t="s">
        <v>1005</v>
      </c>
      <c r="K265" s="158" t="s">
        <v>1108</v>
      </c>
      <c r="L265" s="777">
        <v>80000000</v>
      </c>
      <c r="M265" s="900" t="s">
        <v>318</v>
      </c>
      <c r="N265" s="556" t="s">
        <v>156</v>
      </c>
      <c r="O265" s="228" t="s">
        <v>637</v>
      </c>
      <c r="P265" s="228"/>
      <c r="Q265" s="228"/>
      <c r="R265" s="228"/>
      <c r="S265" s="228"/>
      <c r="T265" s="540" t="s">
        <v>436</v>
      </c>
      <c r="U265" s="708">
        <v>1</v>
      </c>
      <c r="V265" s="540">
        <v>0</v>
      </c>
      <c r="W265" s="540">
        <v>0</v>
      </c>
      <c r="X265" s="540">
        <v>1</v>
      </c>
      <c r="Y265" s="540">
        <v>0</v>
      </c>
      <c r="Z265" s="706" t="s">
        <v>782</v>
      </c>
      <c r="AA265" s="777">
        <v>80000000</v>
      </c>
      <c r="AB265" s="775" t="s">
        <v>190</v>
      </c>
      <c r="AC265" s="540" t="s">
        <v>190</v>
      </c>
      <c r="AD265" s="543">
        <v>0</v>
      </c>
      <c r="AE265" s="543">
        <v>0</v>
      </c>
      <c r="AF265" s="543">
        <v>0</v>
      </c>
      <c r="AG265" s="543">
        <v>0</v>
      </c>
      <c r="AH265" s="536">
        <f t="shared" si="6"/>
        <v>0</v>
      </c>
      <c r="AI265" s="536">
        <v>0</v>
      </c>
      <c r="AJ265" s="536">
        <v>0</v>
      </c>
      <c r="AK265" s="536">
        <v>0</v>
      </c>
      <c r="AL265" s="536">
        <v>0</v>
      </c>
      <c r="AM265" s="536">
        <f t="shared" si="7"/>
        <v>0</v>
      </c>
      <c r="AN265" s="536">
        <v>0</v>
      </c>
      <c r="AO265" s="536">
        <v>0</v>
      </c>
      <c r="AP265" s="536">
        <v>0</v>
      </c>
      <c r="AQ265" s="536">
        <v>0</v>
      </c>
    </row>
    <row r="266" spans="1:43" ht="105" customHeight="1" x14ac:dyDescent="0.25">
      <c r="A266" s="221" t="s">
        <v>892</v>
      </c>
      <c r="B266" s="222" t="s">
        <v>65</v>
      </c>
      <c r="C266" s="222" t="s">
        <v>848</v>
      </c>
      <c r="D266" s="238" t="s">
        <v>1002</v>
      </c>
      <c r="E266" s="732" t="s">
        <v>1252</v>
      </c>
      <c r="F266" s="265" t="s">
        <v>314</v>
      </c>
      <c r="G266" s="218" t="s">
        <v>978</v>
      </c>
      <c r="H266" s="218" t="s">
        <v>1003</v>
      </c>
      <c r="I266" s="215" t="s">
        <v>1004</v>
      </c>
      <c r="J266" s="218" t="s">
        <v>1005</v>
      </c>
      <c r="K266" s="158" t="s">
        <v>1108</v>
      </c>
      <c r="L266" s="479">
        <v>200000000</v>
      </c>
      <c r="M266" s="900" t="s">
        <v>783</v>
      </c>
      <c r="N266" s="556" t="s">
        <v>156</v>
      </c>
      <c r="O266" s="228" t="s">
        <v>637</v>
      </c>
      <c r="P266" s="228"/>
      <c r="Q266" s="228"/>
      <c r="R266" s="228"/>
      <c r="S266" s="228"/>
      <c r="T266" s="540" t="s">
        <v>436</v>
      </c>
      <c r="U266" s="708">
        <v>1</v>
      </c>
      <c r="V266" s="540">
        <v>0</v>
      </c>
      <c r="W266" s="540">
        <v>0</v>
      </c>
      <c r="X266" s="540">
        <v>1</v>
      </c>
      <c r="Y266" s="540">
        <v>0</v>
      </c>
      <c r="Z266" s="694" t="s">
        <v>784</v>
      </c>
      <c r="AA266" s="479">
        <v>200000000</v>
      </c>
      <c r="AB266" s="775" t="s">
        <v>190</v>
      </c>
      <c r="AC266" s="540" t="s">
        <v>190</v>
      </c>
      <c r="AD266" s="543">
        <v>0</v>
      </c>
      <c r="AE266" s="543">
        <v>1</v>
      </c>
      <c r="AF266" s="543">
        <v>0</v>
      </c>
      <c r="AG266" s="543">
        <v>0</v>
      </c>
      <c r="AH266" s="536">
        <f t="shared" si="6"/>
        <v>35934771</v>
      </c>
      <c r="AI266" s="536">
        <v>0</v>
      </c>
      <c r="AJ266" s="785">
        <v>0</v>
      </c>
      <c r="AK266" s="536">
        <v>0</v>
      </c>
      <c r="AL266" s="709">
        <v>35934771</v>
      </c>
      <c r="AM266" s="536">
        <f t="shared" si="7"/>
        <v>35934771</v>
      </c>
      <c r="AN266" s="536">
        <v>0</v>
      </c>
      <c r="AO266" s="709">
        <v>7963814</v>
      </c>
      <c r="AP266" s="536">
        <v>0</v>
      </c>
      <c r="AQ266" s="709">
        <f>35934771-AO266</f>
        <v>27970957</v>
      </c>
    </row>
    <row r="267" spans="1:43" ht="105" customHeight="1" x14ac:dyDescent="0.25">
      <c r="A267" s="368" t="s">
        <v>892</v>
      </c>
      <c r="B267" s="428" t="s">
        <v>65</v>
      </c>
      <c r="C267" s="428" t="s">
        <v>848</v>
      </c>
      <c r="D267" s="447" t="s">
        <v>1002</v>
      </c>
      <c r="E267" s="732" t="s">
        <v>1252</v>
      </c>
      <c r="F267" s="397" t="s">
        <v>314</v>
      </c>
      <c r="G267" s="378" t="s">
        <v>978</v>
      </c>
      <c r="H267" s="378" t="s">
        <v>1003</v>
      </c>
      <c r="I267" s="158" t="s">
        <v>1004</v>
      </c>
      <c r="J267" s="378" t="s">
        <v>1005</v>
      </c>
      <c r="K267" s="158" t="s">
        <v>1108</v>
      </c>
      <c r="L267" s="749">
        <v>13271722575</v>
      </c>
      <c r="M267" s="901" t="s">
        <v>319</v>
      </c>
      <c r="N267" s="568" t="s">
        <v>156</v>
      </c>
      <c r="O267" s="585" t="s">
        <v>637</v>
      </c>
      <c r="P267" s="408"/>
      <c r="Q267" s="408"/>
      <c r="R267" s="408"/>
      <c r="S267" s="408"/>
      <c r="T267" s="549" t="s">
        <v>436</v>
      </c>
      <c r="U267" s="707">
        <v>1</v>
      </c>
      <c r="V267" s="549">
        <v>0</v>
      </c>
      <c r="W267" s="549">
        <v>0</v>
      </c>
      <c r="X267" s="549">
        <v>0</v>
      </c>
      <c r="Y267" s="549">
        <v>1</v>
      </c>
      <c r="Z267" s="694" t="s">
        <v>785</v>
      </c>
      <c r="AA267" s="749">
        <v>13271722575</v>
      </c>
      <c r="AB267" s="775" t="s">
        <v>198</v>
      </c>
      <c r="AC267" s="632" t="s">
        <v>319</v>
      </c>
      <c r="AD267" s="551">
        <v>0</v>
      </c>
      <c r="AE267" s="551">
        <v>0</v>
      </c>
      <c r="AF267" s="543">
        <v>1</v>
      </c>
      <c r="AG267" s="543">
        <v>0</v>
      </c>
      <c r="AH267" s="536">
        <f t="shared" si="6"/>
        <v>0</v>
      </c>
      <c r="AI267" s="536">
        <v>0</v>
      </c>
      <c r="AJ267" s="536">
        <v>0</v>
      </c>
      <c r="AK267" s="536"/>
      <c r="AL267" s="536"/>
      <c r="AM267" s="536">
        <f>AN267+AO267+AP267+AQ267</f>
        <v>0</v>
      </c>
      <c r="AN267" s="536">
        <v>0</v>
      </c>
      <c r="AO267" s="536">
        <v>0</v>
      </c>
      <c r="AP267" s="536">
        <v>0</v>
      </c>
      <c r="AQ267" s="709">
        <v>0</v>
      </c>
    </row>
    <row r="268" spans="1:43" ht="105" customHeight="1" x14ac:dyDescent="0.25">
      <c r="A268" s="368" t="s">
        <v>892</v>
      </c>
      <c r="B268" s="428" t="s">
        <v>65</v>
      </c>
      <c r="C268" s="428" t="s">
        <v>848</v>
      </c>
      <c r="D268" s="447" t="s">
        <v>1002</v>
      </c>
      <c r="E268" s="732" t="s">
        <v>1252</v>
      </c>
      <c r="F268" s="397" t="s">
        <v>314</v>
      </c>
      <c r="G268" s="378" t="s">
        <v>978</v>
      </c>
      <c r="H268" s="378" t="s">
        <v>1003</v>
      </c>
      <c r="I268" s="158" t="s">
        <v>1004</v>
      </c>
      <c r="J268" s="378" t="s">
        <v>1005</v>
      </c>
      <c r="K268" s="158" t="s">
        <v>1108</v>
      </c>
      <c r="L268" s="154">
        <v>4461120000</v>
      </c>
      <c r="M268" s="901" t="s">
        <v>319</v>
      </c>
      <c r="N268" s="568" t="s">
        <v>156</v>
      </c>
      <c r="O268" s="585" t="s">
        <v>637</v>
      </c>
      <c r="P268" s="408"/>
      <c r="Q268" s="408"/>
      <c r="R268" s="408"/>
      <c r="S268" s="408"/>
      <c r="T268" s="549" t="s">
        <v>436</v>
      </c>
      <c r="U268" s="707">
        <v>1</v>
      </c>
      <c r="V268" s="549">
        <v>0</v>
      </c>
      <c r="W268" s="549">
        <v>0</v>
      </c>
      <c r="X268" s="549">
        <v>0</v>
      </c>
      <c r="Y268" s="549">
        <v>1</v>
      </c>
      <c r="Z268" s="694" t="s">
        <v>786</v>
      </c>
      <c r="AA268" s="154">
        <v>4461120000</v>
      </c>
      <c r="AB268" s="775" t="s">
        <v>198</v>
      </c>
      <c r="AC268" s="632" t="s">
        <v>319</v>
      </c>
      <c r="AD268" s="551">
        <v>0</v>
      </c>
      <c r="AE268" s="551">
        <v>0</v>
      </c>
      <c r="AF268" s="543">
        <v>1</v>
      </c>
      <c r="AG268" s="543">
        <v>0</v>
      </c>
      <c r="AH268" s="536">
        <f t="shared" si="6"/>
        <v>98931517</v>
      </c>
      <c r="AI268" s="536">
        <v>0</v>
      </c>
      <c r="AJ268" s="709">
        <v>68800000</v>
      </c>
      <c r="AK268" s="536"/>
      <c r="AL268" s="709">
        <f>98931517-AJ268</f>
        <v>30131517</v>
      </c>
      <c r="AM268" s="536">
        <f>AN268+AO268+AP268+AQ268</f>
        <v>68800000</v>
      </c>
      <c r="AN268" s="536">
        <v>0</v>
      </c>
      <c r="AO268" s="536">
        <v>0</v>
      </c>
      <c r="AP268" s="536">
        <v>68800000</v>
      </c>
      <c r="AQ268" s="895"/>
    </row>
    <row r="269" spans="1:43" ht="105" customHeight="1" x14ac:dyDescent="0.25">
      <c r="A269" s="368" t="s">
        <v>892</v>
      </c>
      <c r="B269" s="428" t="s">
        <v>65</v>
      </c>
      <c r="C269" s="428" t="s">
        <v>848</v>
      </c>
      <c r="D269" s="447" t="s">
        <v>1002</v>
      </c>
      <c r="E269" s="732" t="s">
        <v>1252</v>
      </c>
      <c r="F269" s="397" t="s">
        <v>314</v>
      </c>
      <c r="G269" s="378" t="s">
        <v>978</v>
      </c>
      <c r="H269" s="378" t="s">
        <v>1003</v>
      </c>
      <c r="I269" s="158" t="s">
        <v>1004</v>
      </c>
      <c r="J269" s="378" t="s">
        <v>1005</v>
      </c>
      <c r="K269" s="158" t="s">
        <v>1108</v>
      </c>
      <c r="L269" s="750">
        <f>5000000000</f>
        <v>5000000000</v>
      </c>
      <c r="M269" s="901" t="s">
        <v>320</v>
      </c>
      <c r="N269" s="568" t="s">
        <v>156</v>
      </c>
      <c r="O269" s="585" t="s">
        <v>637</v>
      </c>
      <c r="P269" s="408"/>
      <c r="Q269" s="408"/>
      <c r="R269" s="408"/>
      <c r="S269" s="408"/>
      <c r="T269" s="549" t="s">
        <v>436</v>
      </c>
      <c r="U269" s="707">
        <v>1</v>
      </c>
      <c r="V269" s="549">
        <v>0</v>
      </c>
      <c r="W269" s="549">
        <v>0</v>
      </c>
      <c r="X269" s="549">
        <v>1</v>
      </c>
      <c r="Y269" s="549">
        <v>0</v>
      </c>
      <c r="Z269" s="694" t="s">
        <v>787</v>
      </c>
      <c r="AA269" s="750">
        <f>5000000000</f>
        <v>5000000000</v>
      </c>
      <c r="AB269" s="775" t="s">
        <v>190</v>
      </c>
      <c r="AC269" s="681" t="s">
        <v>623</v>
      </c>
      <c r="AD269" s="551">
        <v>0</v>
      </c>
      <c r="AE269" s="551">
        <v>0</v>
      </c>
      <c r="AF269" s="543">
        <v>1</v>
      </c>
      <c r="AG269" s="543">
        <v>0</v>
      </c>
      <c r="AH269" s="536">
        <f t="shared" si="6"/>
        <v>2154516506</v>
      </c>
      <c r="AI269" s="536">
        <v>0</v>
      </c>
      <c r="AJ269" s="537">
        <v>1855000000</v>
      </c>
      <c r="AK269" s="537">
        <f>1955000000-AJ269</f>
        <v>100000000</v>
      </c>
      <c r="AL269" s="537">
        <f>2154516506-AJ269-AK269</f>
        <v>199516506</v>
      </c>
      <c r="AM269" s="536">
        <f t="shared" si="7"/>
        <v>2154516506</v>
      </c>
      <c r="AN269" s="536">
        <v>0</v>
      </c>
      <c r="AO269" s="537">
        <v>1855000000</v>
      </c>
      <c r="AP269" s="537">
        <f>1955000000-AO269</f>
        <v>100000000</v>
      </c>
      <c r="AQ269" s="537">
        <f>2154516506-AO269-AP269</f>
        <v>199516506</v>
      </c>
    </row>
    <row r="270" spans="1:43" ht="105" customHeight="1" x14ac:dyDescent="0.25">
      <c r="A270" s="368" t="s">
        <v>892</v>
      </c>
      <c r="B270" s="428" t="s">
        <v>65</v>
      </c>
      <c r="C270" s="428" t="s">
        <v>848</v>
      </c>
      <c r="D270" s="447" t="s">
        <v>1002</v>
      </c>
      <c r="E270" s="732" t="s">
        <v>1252</v>
      </c>
      <c r="F270" s="397" t="s">
        <v>314</v>
      </c>
      <c r="G270" s="378" t="s">
        <v>978</v>
      </c>
      <c r="H270" s="378" t="s">
        <v>1003</v>
      </c>
      <c r="I270" s="158" t="s">
        <v>1004</v>
      </c>
      <c r="J270" s="378" t="s">
        <v>1005</v>
      </c>
      <c r="K270" s="158" t="s">
        <v>1108</v>
      </c>
      <c r="L270" s="750">
        <f>50000000+386425716</f>
        <v>436425716</v>
      </c>
      <c r="M270" s="901" t="s">
        <v>320</v>
      </c>
      <c r="N270" s="568" t="s">
        <v>156</v>
      </c>
      <c r="O270" s="585" t="s">
        <v>637</v>
      </c>
      <c r="P270" s="408"/>
      <c r="Q270" s="408"/>
      <c r="R270" s="408"/>
      <c r="S270" s="408"/>
      <c r="T270" s="549" t="s">
        <v>436</v>
      </c>
      <c r="U270" s="707">
        <v>1</v>
      </c>
      <c r="V270" s="549">
        <v>0</v>
      </c>
      <c r="W270" s="549">
        <v>0</v>
      </c>
      <c r="X270" s="549">
        <v>1</v>
      </c>
      <c r="Y270" s="549">
        <v>0</v>
      </c>
      <c r="Z270" s="694" t="s">
        <v>788</v>
      </c>
      <c r="AA270" s="750">
        <f>50000000+386425716</f>
        <v>436425716</v>
      </c>
      <c r="AB270" s="775" t="s">
        <v>198</v>
      </c>
      <c r="AC270" s="542" t="s">
        <v>750</v>
      </c>
      <c r="AD270" s="551">
        <v>0</v>
      </c>
      <c r="AE270" s="551">
        <v>0</v>
      </c>
      <c r="AF270" s="543">
        <v>1</v>
      </c>
      <c r="AG270" s="543">
        <v>0</v>
      </c>
      <c r="AH270" s="536">
        <f t="shared" si="6"/>
        <v>0</v>
      </c>
      <c r="AI270" s="536">
        <v>0</v>
      </c>
      <c r="AJ270" s="536">
        <v>0</v>
      </c>
      <c r="AK270" s="536"/>
      <c r="AL270" s="536"/>
      <c r="AM270" s="536">
        <f t="shared" si="7"/>
        <v>0</v>
      </c>
      <c r="AN270" s="536">
        <v>0</v>
      </c>
      <c r="AO270" s="536">
        <v>0</v>
      </c>
      <c r="AP270" s="537">
        <v>0</v>
      </c>
      <c r="AQ270" s="544"/>
    </row>
    <row r="271" spans="1:43" ht="105" customHeight="1" x14ac:dyDescent="0.25">
      <c r="A271" s="368" t="s">
        <v>892</v>
      </c>
      <c r="B271" s="428" t="s">
        <v>65</v>
      </c>
      <c r="C271" s="428" t="s">
        <v>848</v>
      </c>
      <c r="D271" s="447" t="s">
        <v>1002</v>
      </c>
      <c r="E271" s="732" t="s">
        <v>1252</v>
      </c>
      <c r="F271" s="397" t="s">
        <v>314</v>
      </c>
      <c r="G271" s="378" t="s">
        <v>978</v>
      </c>
      <c r="H271" s="378" t="s">
        <v>1003</v>
      </c>
      <c r="I271" s="158" t="s">
        <v>1004</v>
      </c>
      <c r="J271" s="378" t="s">
        <v>1005</v>
      </c>
      <c r="K271" s="158" t="s">
        <v>1108</v>
      </c>
      <c r="L271" s="154">
        <v>5669577000</v>
      </c>
      <c r="M271" s="901" t="s">
        <v>321</v>
      </c>
      <c r="N271" s="568" t="s">
        <v>156</v>
      </c>
      <c r="O271" s="585" t="s">
        <v>637</v>
      </c>
      <c r="P271" s="408"/>
      <c r="Q271" s="408"/>
      <c r="R271" s="408"/>
      <c r="S271" s="408"/>
      <c r="T271" s="549" t="s">
        <v>436</v>
      </c>
      <c r="U271" s="707">
        <v>1</v>
      </c>
      <c r="V271" s="549">
        <v>1</v>
      </c>
      <c r="W271" s="549">
        <v>0</v>
      </c>
      <c r="X271" s="549">
        <v>0</v>
      </c>
      <c r="Y271" s="549">
        <v>0</v>
      </c>
      <c r="Z271" s="694" t="s">
        <v>789</v>
      </c>
      <c r="AA271" s="154">
        <v>5669577000</v>
      </c>
      <c r="AB271" s="775" t="s">
        <v>190</v>
      </c>
      <c r="AC271" s="632" t="s">
        <v>791</v>
      </c>
      <c r="AD271" s="551">
        <v>1</v>
      </c>
      <c r="AE271" s="551">
        <v>0</v>
      </c>
      <c r="AF271" s="543">
        <v>0</v>
      </c>
      <c r="AG271" s="543">
        <v>0</v>
      </c>
      <c r="AH271" s="536">
        <f t="shared" si="6"/>
        <v>455579989</v>
      </c>
      <c r="AI271" s="574">
        <v>372739858</v>
      </c>
      <c r="AJ271" s="574">
        <f>398737989-AI271</f>
        <v>25998131</v>
      </c>
      <c r="AK271" s="536">
        <v>0</v>
      </c>
      <c r="AL271" s="709">
        <f>455579989-AI271-AJ271</f>
        <v>56842000</v>
      </c>
      <c r="AM271" s="536">
        <f t="shared" si="7"/>
        <v>430394321</v>
      </c>
      <c r="AN271" s="574">
        <v>372739858</v>
      </c>
      <c r="AO271" s="574">
        <f>398737989-AN271</f>
        <v>25998131</v>
      </c>
      <c r="AP271" s="537">
        <v>0</v>
      </c>
      <c r="AQ271" s="709">
        <f>430394321-AN271-AO271</f>
        <v>31656332</v>
      </c>
    </row>
    <row r="272" spans="1:43" ht="105" customHeight="1" x14ac:dyDescent="0.25">
      <c r="A272" s="368" t="s">
        <v>892</v>
      </c>
      <c r="B272" s="428" t="s">
        <v>65</v>
      </c>
      <c r="C272" s="428" t="s">
        <v>848</v>
      </c>
      <c r="D272" s="447" t="s">
        <v>1002</v>
      </c>
      <c r="E272" s="732" t="s">
        <v>1252</v>
      </c>
      <c r="F272" s="397" t="s">
        <v>314</v>
      </c>
      <c r="G272" s="378" t="s">
        <v>978</v>
      </c>
      <c r="H272" s="378" t="s">
        <v>1003</v>
      </c>
      <c r="I272" s="158" t="s">
        <v>1004</v>
      </c>
      <c r="J272" s="378" t="s">
        <v>1005</v>
      </c>
      <c r="K272" s="158" t="s">
        <v>1108</v>
      </c>
      <c r="L272" s="154">
        <v>113163161</v>
      </c>
      <c r="M272" s="901" t="s">
        <v>321</v>
      </c>
      <c r="N272" s="568" t="s">
        <v>156</v>
      </c>
      <c r="O272" s="585" t="s">
        <v>637</v>
      </c>
      <c r="P272" s="408"/>
      <c r="Q272" s="408"/>
      <c r="R272" s="408"/>
      <c r="S272" s="408"/>
      <c r="T272" s="549" t="s">
        <v>436</v>
      </c>
      <c r="U272" s="707">
        <v>1</v>
      </c>
      <c r="V272" s="549">
        <v>1</v>
      </c>
      <c r="W272" s="549">
        <v>0</v>
      </c>
      <c r="X272" s="549">
        <v>0</v>
      </c>
      <c r="Y272" s="549">
        <v>0</v>
      </c>
      <c r="Z272" s="694" t="s">
        <v>792</v>
      </c>
      <c r="AA272" s="154">
        <v>113163161</v>
      </c>
      <c r="AB272" s="775" t="s">
        <v>190</v>
      </c>
      <c r="AC272" s="632" t="s">
        <v>791</v>
      </c>
      <c r="AD272" s="551">
        <v>1</v>
      </c>
      <c r="AE272" s="551">
        <v>0</v>
      </c>
      <c r="AF272" s="543">
        <v>0</v>
      </c>
      <c r="AG272" s="543">
        <v>0</v>
      </c>
      <c r="AH272" s="536">
        <f t="shared" si="6"/>
        <v>113163161</v>
      </c>
      <c r="AI272" s="536">
        <v>0</v>
      </c>
      <c r="AJ272" s="709">
        <v>113163161</v>
      </c>
      <c r="AK272" s="536">
        <v>0</v>
      </c>
      <c r="AL272" s="536">
        <v>0</v>
      </c>
      <c r="AM272" s="536">
        <f t="shared" si="7"/>
        <v>113163161</v>
      </c>
      <c r="AN272" s="536">
        <v>0</v>
      </c>
      <c r="AO272" s="537">
        <v>113163161</v>
      </c>
      <c r="AP272" s="537">
        <v>0</v>
      </c>
      <c r="AQ272" s="537">
        <v>0</v>
      </c>
    </row>
    <row r="273" spans="1:43" ht="105" customHeight="1" x14ac:dyDescent="0.25">
      <c r="A273" s="368" t="s">
        <v>892</v>
      </c>
      <c r="B273" s="428" t="s">
        <v>65</v>
      </c>
      <c r="C273" s="428" t="s">
        <v>848</v>
      </c>
      <c r="D273" s="447" t="s">
        <v>1002</v>
      </c>
      <c r="E273" s="732" t="s">
        <v>1252</v>
      </c>
      <c r="F273" s="397" t="s">
        <v>314</v>
      </c>
      <c r="G273" s="378" t="s">
        <v>978</v>
      </c>
      <c r="H273" s="378" t="s">
        <v>1003</v>
      </c>
      <c r="I273" s="158" t="s">
        <v>1004</v>
      </c>
      <c r="J273" s="378" t="s">
        <v>1005</v>
      </c>
      <c r="K273" s="158" t="s">
        <v>1108</v>
      </c>
      <c r="L273" s="154">
        <v>2929402522</v>
      </c>
      <c r="M273" s="901" t="s">
        <v>321</v>
      </c>
      <c r="N273" s="568" t="s">
        <v>156</v>
      </c>
      <c r="O273" s="585" t="s">
        <v>637</v>
      </c>
      <c r="P273" s="408"/>
      <c r="Q273" s="408"/>
      <c r="R273" s="408"/>
      <c r="S273" s="408"/>
      <c r="T273" s="549" t="s">
        <v>436</v>
      </c>
      <c r="U273" s="707">
        <v>1</v>
      </c>
      <c r="V273" s="549">
        <v>1</v>
      </c>
      <c r="W273" s="549">
        <v>0</v>
      </c>
      <c r="X273" s="549">
        <v>0</v>
      </c>
      <c r="Y273" s="549">
        <v>0</v>
      </c>
      <c r="Z273" s="540" t="s">
        <v>790</v>
      </c>
      <c r="AA273" s="154">
        <v>2929402522</v>
      </c>
      <c r="AB273" s="775" t="s">
        <v>190</v>
      </c>
      <c r="AC273" s="632" t="s">
        <v>710</v>
      </c>
      <c r="AD273" s="551">
        <v>1</v>
      </c>
      <c r="AE273" s="551">
        <v>0</v>
      </c>
      <c r="AF273" s="543">
        <v>0</v>
      </c>
      <c r="AG273" s="543">
        <v>0</v>
      </c>
      <c r="AH273" s="536">
        <f t="shared" si="6"/>
        <v>2929402522</v>
      </c>
      <c r="AI273" s="536">
        <v>0</v>
      </c>
      <c r="AJ273" s="536">
        <v>0</v>
      </c>
      <c r="AK273" s="537">
        <v>2929402522</v>
      </c>
      <c r="AL273" s="536">
        <v>0</v>
      </c>
      <c r="AM273" s="536">
        <f t="shared" si="7"/>
        <v>2929402522</v>
      </c>
      <c r="AN273" s="536">
        <v>0</v>
      </c>
      <c r="AO273" s="536">
        <v>0</v>
      </c>
      <c r="AP273" s="537">
        <v>2929402522</v>
      </c>
      <c r="AQ273" s="537">
        <v>0</v>
      </c>
    </row>
    <row r="274" spans="1:43" ht="105" customHeight="1" x14ac:dyDescent="0.25">
      <c r="A274" s="221" t="s">
        <v>892</v>
      </c>
      <c r="B274" s="222" t="s">
        <v>65</v>
      </c>
      <c r="C274" s="222" t="s">
        <v>848</v>
      </c>
      <c r="D274" s="238" t="s">
        <v>1002</v>
      </c>
      <c r="E274" s="732" t="s">
        <v>1252</v>
      </c>
      <c r="F274" s="131" t="s">
        <v>314</v>
      </c>
      <c r="G274" s="218" t="s">
        <v>978</v>
      </c>
      <c r="H274" s="218" t="s">
        <v>1003</v>
      </c>
      <c r="I274" s="215" t="s">
        <v>1004</v>
      </c>
      <c r="J274" s="218" t="s">
        <v>1005</v>
      </c>
      <c r="K274" s="215" t="s">
        <v>1108</v>
      </c>
      <c r="L274" s="149">
        <v>194358280</v>
      </c>
      <c r="M274" s="900" t="s">
        <v>322</v>
      </c>
      <c r="N274" s="556" t="s">
        <v>156</v>
      </c>
      <c r="O274" s="228" t="s">
        <v>637</v>
      </c>
      <c r="P274" s="228"/>
      <c r="Q274" s="228"/>
      <c r="R274" s="228"/>
      <c r="S274" s="228"/>
      <c r="T274" s="540" t="s">
        <v>166</v>
      </c>
      <c r="U274" s="540">
        <v>1</v>
      </c>
      <c r="V274" s="540">
        <v>1</v>
      </c>
      <c r="W274" s="540">
        <v>0</v>
      </c>
      <c r="X274" s="540">
        <v>0</v>
      </c>
      <c r="Y274" s="540">
        <v>0</v>
      </c>
      <c r="Z274" s="694" t="s">
        <v>793</v>
      </c>
      <c r="AA274" s="149">
        <v>194358280</v>
      </c>
      <c r="AB274" s="775" t="s">
        <v>190</v>
      </c>
      <c r="AC274" s="540" t="s">
        <v>190</v>
      </c>
      <c r="AD274" s="543">
        <v>1</v>
      </c>
      <c r="AE274" s="543">
        <v>0</v>
      </c>
      <c r="AF274" s="543">
        <v>0</v>
      </c>
      <c r="AG274" s="543">
        <v>0</v>
      </c>
      <c r="AH274" s="536">
        <f t="shared" si="6"/>
        <v>102891724</v>
      </c>
      <c r="AI274" s="574">
        <v>49936938</v>
      </c>
      <c r="AJ274" s="574">
        <f>76369488-AI274</f>
        <v>26432550</v>
      </c>
      <c r="AK274" s="709">
        <v>9808620</v>
      </c>
      <c r="AL274" s="536">
        <f>102891724-AI274-AJ274-AK274</f>
        <v>16713616</v>
      </c>
      <c r="AM274" s="536">
        <f t="shared" si="7"/>
        <v>102891724</v>
      </c>
      <c r="AN274" s="574">
        <v>49936938</v>
      </c>
      <c r="AO274" s="574">
        <f>76369488-AN274</f>
        <v>26432550</v>
      </c>
      <c r="AP274" s="709">
        <v>9808620</v>
      </c>
      <c r="AQ274" s="574">
        <f>102891724-AO274-AN274-AP274</f>
        <v>16713616</v>
      </c>
    </row>
    <row r="275" spans="1:43" ht="105" customHeight="1" x14ac:dyDescent="0.25">
      <c r="A275" s="116" t="s">
        <v>894</v>
      </c>
      <c r="B275" s="428" t="s">
        <v>237</v>
      </c>
      <c r="C275" s="428" t="s">
        <v>852</v>
      </c>
      <c r="D275" s="451" t="s">
        <v>959</v>
      </c>
      <c r="E275" s="341" t="s">
        <v>1253</v>
      </c>
      <c r="F275" s="727" t="s">
        <v>324</v>
      </c>
      <c r="G275" s="160" t="s">
        <v>960</v>
      </c>
      <c r="H275" s="160" t="s">
        <v>961</v>
      </c>
      <c r="I275" s="158" t="s">
        <v>963</v>
      </c>
      <c r="J275" s="160" t="s">
        <v>964</v>
      </c>
      <c r="K275" s="158" t="s">
        <v>1109</v>
      </c>
      <c r="L275" s="777">
        <v>329268000</v>
      </c>
      <c r="M275" s="585" t="s">
        <v>226</v>
      </c>
      <c r="N275" s="568" t="s">
        <v>156</v>
      </c>
      <c r="O275" s="585" t="s">
        <v>1152</v>
      </c>
      <c r="P275" s="408"/>
      <c r="Q275" s="408"/>
      <c r="R275" s="408"/>
      <c r="S275" s="408"/>
      <c r="T275" s="549" t="s">
        <v>166</v>
      </c>
      <c r="U275" s="571">
        <v>3</v>
      </c>
      <c r="V275" s="571">
        <v>3</v>
      </c>
      <c r="W275" s="571">
        <v>0</v>
      </c>
      <c r="X275" s="571">
        <v>0</v>
      </c>
      <c r="Y275" s="571">
        <v>0</v>
      </c>
      <c r="Z275" s="710" t="s">
        <v>794</v>
      </c>
      <c r="AA275" s="777">
        <v>329268000</v>
      </c>
      <c r="AB275" s="775" t="s">
        <v>867</v>
      </c>
      <c r="AC275" s="542" t="s">
        <v>868</v>
      </c>
      <c r="AD275" s="551">
        <v>3</v>
      </c>
      <c r="AE275" s="551">
        <v>0</v>
      </c>
      <c r="AF275" s="543">
        <v>0</v>
      </c>
      <c r="AG275" s="543">
        <v>0</v>
      </c>
      <c r="AH275" s="536">
        <f t="shared" si="6"/>
        <v>321019643</v>
      </c>
      <c r="AI275" s="705">
        <v>81094936</v>
      </c>
      <c r="AJ275" s="705">
        <f>151167222-AI275</f>
        <v>70072286</v>
      </c>
      <c r="AK275" s="797">
        <f>321019643-AJ275-AI275</f>
        <v>169852421</v>
      </c>
      <c r="AL275" s="536">
        <v>0</v>
      </c>
      <c r="AM275" s="536">
        <f t="shared" si="7"/>
        <v>279101199</v>
      </c>
      <c r="AN275" s="705">
        <v>73782942</v>
      </c>
      <c r="AO275" s="705">
        <f>136663974-AN275</f>
        <v>62881032</v>
      </c>
      <c r="AP275" s="574">
        <f>216568200-AN275-AO275</f>
        <v>79904226</v>
      </c>
      <c r="AQ275" s="536">
        <f>279101199-AN275-AO275-AP275</f>
        <v>62532999</v>
      </c>
    </row>
    <row r="276" spans="1:43" ht="105" customHeight="1" x14ac:dyDescent="0.25">
      <c r="A276" s="116" t="s">
        <v>894</v>
      </c>
      <c r="B276" s="428" t="s">
        <v>237</v>
      </c>
      <c r="C276" s="428" t="s">
        <v>852</v>
      </c>
      <c r="D276" s="451" t="s">
        <v>959</v>
      </c>
      <c r="E276" s="341" t="s">
        <v>1253</v>
      </c>
      <c r="F276" s="727" t="s">
        <v>324</v>
      </c>
      <c r="G276" s="160" t="s">
        <v>960</v>
      </c>
      <c r="H276" s="160" t="s">
        <v>961</v>
      </c>
      <c r="I276" s="158" t="s">
        <v>963</v>
      </c>
      <c r="J276" s="160" t="s">
        <v>964</v>
      </c>
      <c r="K276" s="158" t="s">
        <v>1109</v>
      </c>
      <c r="L276" s="777">
        <v>8000000</v>
      </c>
      <c r="M276" s="585" t="s">
        <v>226</v>
      </c>
      <c r="N276" s="568" t="s">
        <v>156</v>
      </c>
      <c r="O276" s="585" t="s">
        <v>1152</v>
      </c>
      <c r="P276" s="408"/>
      <c r="Q276" s="408"/>
      <c r="R276" s="408"/>
      <c r="S276" s="408"/>
      <c r="T276" s="549" t="s">
        <v>166</v>
      </c>
      <c r="U276" s="571">
        <v>3</v>
      </c>
      <c r="V276" s="571">
        <v>3</v>
      </c>
      <c r="W276" s="571">
        <v>0</v>
      </c>
      <c r="X276" s="571">
        <v>0</v>
      </c>
      <c r="Y276" s="571">
        <v>0</v>
      </c>
      <c r="Z276" s="677" t="s">
        <v>795</v>
      </c>
      <c r="AA276" s="777">
        <v>8000000</v>
      </c>
      <c r="AB276" s="775" t="s">
        <v>190</v>
      </c>
      <c r="AC276" s="540" t="s">
        <v>190</v>
      </c>
      <c r="AD276" s="551">
        <v>3</v>
      </c>
      <c r="AE276" s="551">
        <v>0</v>
      </c>
      <c r="AF276" s="543">
        <v>0</v>
      </c>
      <c r="AG276" s="543">
        <v>0</v>
      </c>
      <c r="AH276" s="536">
        <f t="shared" si="6"/>
        <v>0</v>
      </c>
      <c r="AI276" s="536">
        <v>0</v>
      </c>
      <c r="AJ276" s="536">
        <v>0</v>
      </c>
      <c r="AK276" s="536">
        <v>0</v>
      </c>
      <c r="AL276" s="536">
        <v>0</v>
      </c>
      <c r="AM276" s="536">
        <f t="shared" si="7"/>
        <v>0</v>
      </c>
      <c r="AN276" s="536">
        <v>0</v>
      </c>
      <c r="AO276" s="536">
        <v>0</v>
      </c>
      <c r="AP276" s="536">
        <v>0</v>
      </c>
      <c r="AQ276" s="536">
        <v>0</v>
      </c>
    </row>
    <row r="277" spans="1:43" ht="105" customHeight="1" x14ac:dyDescent="0.25">
      <c r="A277" s="221" t="s">
        <v>894</v>
      </c>
      <c r="B277" s="222" t="s">
        <v>237</v>
      </c>
      <c r="C277" s="222" t="s">
        <v>852</v>
      </c>
      <c r="D277" s="76" t="s">
        <v>959</v>
      </c>
      <c r="E277" s="341" t="s">
        <v>1253</v>
      </c>
      <c r="F277" s="736" t="s">
        <v>324</v>
      </c>
      <c r="G277" s="218" t="s">
        <v>960</v>
      </c>
      <c r="H277" s="218" t="s">
        <v>962</v>
      </c>
      <c r="I277" s="215" t="s">
        <v>963</v>
      </c>
      <c r="J277" s="218" t="s">
        <v>964</v>
      </c>
      <c r="K277" s="250" t="s">
        <v>1110</v>
      </c>
      <c r="L277" s="484">
        <v>389015727</v>
      </c>
      <c r="M277" s="228" t="s">
        <v>325</v>
      </c>
      <c r="N277" s="627" t="s">
        <v>156</v>
      </c>
      <c r="O277" s="228"/>
      <c r="P277" s="228"/>
      <c r="Q277" s="228"/>
      <c r="R277" s="228"/>
      <c r="S277" s="228"/>
      <c r="T277" s="540" t="s">
        <v>166</v>
      </c>
      <c r="U277" s="545">
        <v>1</v>
      </c>
      <c r="V277" s="545">
        <v>0</v>
      </c>
      <c r="W277" s="545">
        <v>0</v>
      </c>
      <c r="X277" s="545">
        <v>0</v>
      </c>
      <c r="Y277" s="545">
        <v>1</v>
      </c>
      <c r="Z277" s="545" t="s">
        <v>796</v>
      </c>
      <c r="AA277" s="484">
        <v>389015727</v>
      </c>
      <c r="AB277" s="775" t="s">
        <v>198</v>
      </c>
      <c r="AC277" s="542" t="s">
        <v>750</v>
      </c>
      <c r="AD277" s="543">
        <v>0</v>
      </c>
      <c r="AE277" s="543">
        <v>0</v>
      </c>
      <c r="AF277" s="543">
        <v>0</v>
      </c>
      <c r="AG277" s="543">
        <v>0</v>
      </c>
      <c r="AH277" s="536">
        <f t="shared" si="6"/>
        <v>0</v>
      </c>
      <c r="AI277" s="536">
        <v>0</v>
      </c>
      <c r="AJ277" s="536">
        <v>0</v>
      </c>
      <c r="AK277" s="536">
        <v>0</v>
      </c>
      <c r="AL277" s="536">
        <v>0</v>
      </c>
      <c r="AM277" s="536">
        <f t="shared" si="7"/>
        <v>0</v>
      </c>
      <c r="AN277" s="536">
        <v>0</v>
      </c>
      <c r="AO277" s="536">
        <v>0</v>
      </c>
      <c r="AP277" s="536">
        <v>0</v>
      </c>
      <c r="AQ277" s="536">
        <v>0</v>
      </c>
    </row>
    <row r="278" spans="1:43" ht="105" customHeight="1" x14ac:dyDescent="0.25">
      <c r="A278" s="162" t="s">
        <v>894</v>
      </c>
      <c r="B278" s="162" t="s">
        <v>237</v>
      </c>
      <c r="C278" s="428" t="s">
        <v>852</v>
      </c>
      <c r="D278" s="447" t="s">
        <v>959</v>
      </c>
      <c r="E278" s="341" t="s">
        <v>1253</v>
      </c>
      <c r="F278" s="727" t="s">
        <v>324</v>
      </c>
      <c r="G278" s="160" t="s">
        <v>960</v>
      </c>
      <c r="H278" s="160" t="s">
        <v>961</v>
      </c>
      <c r="I278" s="158" t="s">
        <v>963</v>
      </c>
      <c r="J278" s="160" t="s">
        <v>964</v>
      </c>
      <c r="K278" s="158" t="s">
        <v>1111</v>
      </c>
      <c r="L278" s="750">
        <v>323312000</v>
      </c>
      <c r="M278" s="585" t="s">
        <v>797</v>
      </c>
      <c r="N278" s="568" t="s">
        <v>156</v>
      </c>
      <c r="O278" s="585" t="s">
        <v>572</v>
      </c>
      <c r="P278" s="408"/>
      <c r="Q278" s="408"/>
      <c r="R278" s="408"/>
      <c r="S278" s="408"/>
      <c r="T278" s="549" t="s">
        <v>166</v>
      </c>
      <c r="U278" s="571">
        <v>40</v>
      </c>
      <c r="V278" s="571">
        <v>0</v>
      </c>
      <c r="W278" s="571">
        <v>5</v>
      </c>
      <c r="X278" s="571">
        <v>15</v>
      </c>
      <c r="Y278" s="571">
        <v>20</v>
      </c>
      <c r="Z278" s="545" t="s">
        <v>799</v>
      </c>
      <c r="AA278" s="750">
        <v>323312000</v>
      </c>
      <c r="AB278" s="775" t="s">
        <v>454</v>
      </c>
      <c r="AC278" s="540" t="s">
        <v>869</v>
      </c>
      <c r="AD278" s="806">
        <v>1</v>
      </c>
      <c r="AE278" s="551">
        <v>15</v>
      </c>
      <c r="AF278" s="543">
        <v>16</v>
      </c>
      <c r="AG278" s="543">
        <v>5</v>
      </c>
      <c r="AH278" s="536">
        <f t="shared" si="6"/>
        <v>87743150</v>
      </c>
      <c r="AI278" s="536">
        <v>0</v>
      </c>
      <c r="AJ278" s="536">
        <v>0</v>
      </c>
      <c r="AK278" s="536">
        <v>0</v>
      </c>
      <c r="AL278" s="537">
        <v>87743150</v>
      </c>
      <c r="AM278" s="536">
        <f t="shared" si="7"/>
        <v>87743150</v>
      </c>
      <c r="AN278" s="536">
        <v>0</v>
      </c>
      <c r="AO278" s="536">
        <v>0</v>
      </c>
      <c r="AP278" s="544"/>
      <c r="AQ278" s="805">
        <v>87743150</v>
      </c>
    </row>
    <row r="279" spans="1:43" ht="105" customHeight="1" x14ac:dyDescent="0.25">
      <c r="A279" s="162" t="s">
        <v>894</v>
      </c>
      <c r="B279" s="162" t="s">
        <v>237</v>
      </c>
      <c r="C279" s="428" t="s">
        <v>852</v>
      </c>
      <c r="D279" s="447" t="s">
        <v>959</v>
      </c>
      <c r="E279" s="341" t="s">
        <v>1253</v>
      </c>
      <c r="F279" s="727" t="s">
        <v>324</v>
      </c>
      <c r="G279" s="160" t="s">
        <v>960</v>
      </c>
      <c r="H279" s="160" t="s">
        <v>961</v>
      </c>
      <c r="I279" s="158" t="s">
        <v>963</v>
      </c>
      <c r="J279" s="160" t="s">
        <v>964</v>
      </c>
      <c r="K279" s="158" t="s">
        <v>1111</v>
      </c>
      <c r="L279" s="156">
        <f>200000000</f>
        <v>200000000</v>
      </c>
      <c r="M279" s="585" t="s">
        <v>797</v>
      </c>
      <c r="N279" s="568" t="s">
        <v>156</v>
      </c>
      <c r="O279" s="585" t="s">
        <v>572</v>
      </c>
      <c r="P279" s="408"/>
      <c r="Q279" s="408"/>
      <c r="R279" s="408"/>
      <c r="S279" s="408"/>
      <c r="T279" s="549" t="s">
        <v>166</v>
      </c>
      <c r="U279" s="571">
        <v>40</v>
      </c>
      <c r="V279" s="571">
        <v>0</v>
      </c>
      <c r="W279" s="571">
        <v>5</v>
      </c>
      <c r="X279" s="571">
        <v>15</v>
      </c>
      <c r="Y279" s="571">
        <v>20</v>
      </c>
      <c r="Z279" s="676" t="s">
        <v>798</v>
      </c>
      <c r="AA279" s="156">
        <f>200000000</f>
        <v>200000000</v>
      </c>
      <c r="AB279" s="775" t="s">
        <v>190</v>
      </c>
      <c r="AC279" s="540" t="s">
        <v>190</v>
      </c>
      <c r="AD279" s="806">
        <v>1</v>
      </c>
      <c r="AE279" s="551">
        <v>15</v>
      </c>
      <c r="AF279" s="543">
        <v>16</v>
      </c>
      <c r="AG279" s="543">
        <v>5</v>
      </c>
      <c r="AH279" s="536">
        <f t="shared" si="6"/>
        <v>0</v>
      </c>
      <c r="AI279" s="536">
        <v>0</v>
      </c>
      <c r="AJ279" s="536">
        <v>0</v>
      </c>
      <c r="AK279" s="536">
        <v>0</v>
      </c>
      <c r="AL279" s="536">
        <v>0</v>
      </c>
      <c r="AM279" s="536">
        <f t="shared" si="7"/>
        <v>0</v>
      </c>
      <c r="AN279" s="536">
        <v>0</v>
      </c>
      <c r="AO279" s="536">
        <v>0</v>
      </c>
      <c r="AP279" s="536">
        <v>0</v>
      </c>
      <c r="AQ279" s="536">
        <v>0</v>
      </c>
    </row>
    <row r="280" spans="1:43" ht="105" customHeight="1" x14ac:dyDescent="0.25">
      <c r="A280" s="162" t="s">
        <v>894</v>
      </c>
      <c r="B280" s="428" t="s">
        <v>237</v>
      </c>
      <c r="C280" s="428" t="s">
        <v>852</v>
      </c>
      <c r="D280" s="451" t="s">
        <v>959</v>
      </c>
      <c r="E280" s="341" t="s">
        <v>1253</v>
      </c>
      <c r="F280" s="727" t="s">
        <v>324</v>
      </c>
      <c r="G280" s="378" t="s">
        <v>960</v>
      </c>
      <c r="H280" s="378" t="s">
        <v>962</v>
      </c>
      <c r="I280" s="158" t="s">
        <v>963</v>
      </c>
      <c r="J280" s="378" t="s">
        <v>964</v>
      </c>
      <c r="K280" s="158" t="s">
        <v>1112</v>
      </c>
      <c r="L280" s="156">
        <f>260000000</f>
        <v>260000000</v>
      </c>
      <c r="M280" s="585" t="s">
        <v>539</v>
      </c>
      <c r="N280" s="568" t="s">
        <v>156</v>
      </c>
      <c r="O280" s="585" t="s">
        <v>572</v>
      </c>
      <c r="P280" s="408"/>
      <c r="Q280" s="408"/>
      <c r="R280" s="408"/>
      <c r="S280" s="408"/>
      <c r="T280" s="549" t="s">
        <v>166</v>
      </c>
      <c r="U280" s="571">
        <v>20</v>
      </c>
      <c r="V280" s="571">
        <v>0</v>
      </c>
      <c r="W280" s="571">
        <v>0</v>
      </c>
      <c r="X280" s="571">
        <v>5</v>
      </c>
      <c r="Y280" s="571">
        <v>15</v>
      </c>
      <c r="Z280" s="676" t="s">
        <v>800</v>
      </c>
      <c r="AA280" s="156">
        <f>260000000</f>
        <v>260000000</v>
      </c>
      <c r="AB280" s="775" t="s">
        <v>867</v>
      </c>
      <c r="AC280" s="542" t="s">
        <v>868</v>
      </c>
      <c r="AD280" s="551">
        <v>0</v>
      </c>
      <c r="AE280" s="551">
        <v>0</v>
      </c>
      <c r="AF280" s="791">
        <v>0</v>
      </c>
      <c r="AG280" s="543">
        <v>0</v>
      </c>
      <c r="AH280" s="536">
        <f t="shared" si="6"/>
        <v>0</v>
      </c>
      <c r="AI280" s="536">
        <v>0</v>
      </c>
      <c r="AJ280" s="536">
        <v>0</v>
      </c>
      <c r="AK280" s="536">
        <v>0</v>
      </c>
      <c r="AL280" s="536">
        <v>0</v>
      </c>
      <c r="AM280" s="536">
        <f t="shared" si="7"/>
        <v>0</v>
      </c>
      <c r="AN280" s="536">
        <v>0</v>
      </c>
      <c r="AO280" s="536">
        <v>0</v>
      </c>
      <c r="AP280" s="536">
        <v>0</v>
      </c>
      <c r="AQ280" s="536">
        <v>0</v>
      </c>
    </row>
    <row r="281" spans="1:43" ht="105" customHeight="1" x14ac:dyDescent="0.25">
      <c r="A281" s="162" t="s">
        <v>894</v>
      </c>
      <c r="B281" s="428" t="s">
        <v>237</v>
      </c>
      <c r="C281" s="428" t="s">
        <v>852</v>
      </c>
      <c r="D281" s="451" t="s">
        <v>959</v>
      </c>
      <c r="E281" s="341" t="s">
        <v>1253</v>
      </c>
      <c r="F281" s="727" t="s">
        <v>324</v>
      </c>
      <c r="G281" s="378" t="s">
        <v>960</v>
      </c>
      <c r="H281" s="378" t="s">
        <v>962</v>
      </c>
      <c r="I281" s="158" t="s">
        <v>963</v>
      </c>
      <c r="J281" s="378" t="s">
        <v>964</v>
      </c>
      <c r="K281" s="158" t="s">
        <v>1112</v>
      </c>
      <c r="L281" s="153"/>
      <c r="M281" s="585" t="s">
        <v>539</v>
      </c>
      <c r="N281" s="568" t="s">
        <v>156</v>
      </c>
      <c r="O281" s="585" t="s">
        <v>572</v>
      </c>
      <c r="P281" s="408"/>
      <c r="Q281" s="408"/>
      <c r="R281" s="408"/>
      <c r="S281" s="408"/>
      <c r="T281" s="549" t="s">
        <v>166</v>
      </c>
      <c r="U281" s="571">
        <v>20</v>
      </c>
      <c r="V281" s="571">
        <v>0</v>
      </c>
      <c r="W281" s="571">
        <v>0</v>
      </c>
      <c r="X281" s="571">
        <v>5</v>
      </c>
      <c r="Y281" s="571">
        <v>15</v>
      </c>
      <c r="Z281" s="676" t="s">
        <v>801</v>
      </c>
      <c r="AA281" s="153"/>
      <c r="AB281" s="775" t="s">
        <v>454</v>
      </c>
      <c r="AC281" s="540" t="s">
        <v>869</v>
      </c>
      <c r="AD281" s="551">
        <v>0</v>
      </c>
      <c r="AE281" s="551">
        <v>0</v>
      </c>
      <c r="AF281" s="791">
        <v>0</v>
      </c>
      <c r="AG281" s="543">
        <v>0</v>
      </c>
      <c r="AH281" s="536">
        <f t="shared" si="6"/>
        <v>0</v>
      </c>
      <c r="AI281" s="536">
        <v>0</v>
      </c>
      <c r="AJ281" s="536">
        <v>0</v>
      </c>
      <c r="AK281" s="536">
        <v>0</v>
      </c>
      <c r="AL281" s="536">
        <v>0</v>
      </c>
      <c r="AM281" s="536">
        <f t="shared" si="7"/>
        <v>0</v>
      </c>
      <c r="AN281" s="536">
        <v>0</v>
      </c>
      <c r="AO281" s="536">
        <v>0</v>
      </c>
      <c r="AP281" s="536">
        <v>0</v>
      </c>
      <c r="AQ281" s="536">
        <v>0</v>
      </c>
    </row>
    <row r="282" spans="1:43" ht="105" customHeight="1" x14ac:dyDescent="0.25">
      <c r="A282" s="162"/>
      <c r="B282" s="428"/>
      <c r="C282" s="428"/>
      <c r="D282" s="771"/>
      <c r="E282" s="341" t="s">
        <v>1253</v>
      </c>
      <c r="F282" s="740" t="s">
        <v>324</v>
      </c>
      <c r="G282" s="378"/>
      <c r="H282" s="378"/>
      <c r="I282" s="158"/>
      <c r="J282" s="378"/>
      <c r="K282" s="158"/>
      <c r="L282" s="750">
        <v>370000000</v>
      </c>
      <c r="M282" s="772" t="s">
        <v>1258</v>
      </c>
      <c r="N282" s="568"/>
      <c r="O282" s="585"/>
      <c r="P282" s="408"/>
      <c r="Q282" s="408"/>
      <c r="R282" s="408"/>
      <c r="S282" s="408"/>
      <c r="T282" s="549"/>
      <c r="U282" s="571"/>
      <c r="V282" s="571">
        <v>0</v>
      </c>
      <c r="W282" s="571">
        <v>0</v>
      </c>
      <c r="X282" s="571">
        <v>0</v>
      </c>
      <c r="Y282" s="571">
        <v>1</v>
      </c>
      <c r="Z282" s="773" t="s">
        <v>1259</v>
      </c>
      <c r="AA282" s="750">
        <v>370000000</v>
      </c>
      <c r="AB282" s="775" t="s">
        <v>454</v>
      </c>
      <c r="AC282" s="743" t="s">
        <v>869</v>
      </c>
      <c r="AD282" s="551">
        <v>0</v>
      </c>
      <c r="AE282" s="551">
        <v>0</v>
      </c>
      <c r="AF282" s="543">
        <v>0</v>
      </c>
      <c r="AG282" s="543">
        <v>1</v>
      </c>
      <c r="AH282" s="536">
        <f t="shared" si="6"/>
        <v>0</v>
      </c>
      <c r="AI282" s="536"/>
      <c r="AJ282" s="536"/>
      <c r="AK282" s="536"/>
      <c r="AL282" s="536"/>
      <c r="AM282" s="536">
        <f t="shared" si="7"/>
        <v>0</v>
      </c>
      <c r="AN282" s="536">
        <v>0</v>
      </c>
      <c r="AO282" s="536">
        <v>0</v>
      </c>
      <c r="AP282" s="536">
        <v>0</v>
      </c>
      <c r="AQ282" s="536">
        <v>0</v>
      </c>
    </row>
    <row r="283" spans="1:43" ht="105" customHeight="1" x14ac:dyDescent="0.25">
      <c r="A283" s="221" t="s">
        <v>894</v>
      </c>
      <c r="B283" s="222" t="s">
        <v>237</v>
      </c>
      <c r="C283" s="222" t="s">
        <v>852</v>
      </c>
      <c r="D283" s="76" t="s">
        <v>959</v>
      </c>
      <c r="E283" s="341" t="s">
        <v>1253</v>
      </c>
      <c r="F283" s="736" t="s">
        <v>324</v>
      </c>
      <c r="G283" s="218" t="s">
        <v>960</v>
      </c>
      <c r="H283" s="218" t="s">
        <v>961</v>
      </c>
      <c r="I283" s="215" t="s">
        <v>963</v>
      </c>
      <c r="J283" s="218" t="s">
        <v>964</v>
      </c>
      <c r="K283" s="256" t="s">
        <v>1113</v>
      </c>
      <c r="L283" s="484">
        <f>40000000</f>
        <v>40000000</v>
      </c>
      <c r="M283" s="228" t="s">
        <v>538</v>
      </c>
      <c r="N283" s="556" t="s">
        <v>212</v>
      </c>
      <c r="O283" s="228" t="s">
        <v>1162</v>
      </c>
      <c r="P283" s="228" t="s">
        <v>1180</v>
      </c>
      <c r="Q283" s="228" t="s">
        <v>1183</v>
      </c>
      <c r="R283" s="228" t="s">
        <v>1183</v>
      </c>
      <c r="S283" s="228"/>
      <c r="T283" s="540" t="s">
        <v>166</v>
      </c>
      <c r="U283" s="545">
        <v>1</v>
      </c>
      <c r="V283" s="545">
        <v>0</v>
      </c>
      <c r="W283" s="545">
        <v>0</v>
      </c>
      <c r="X283" s="545">
        <v>0</v>
      </c>
      <c r="Y283" s="545">
        <v>1</v>
      </c>
      <c r="Z283" s="676" t="s">
        <v>800</v>
      </c>
      <c r="AA283" s="484">
        <f>40000000</f>
        <v>40000000</v>
      </c>
      <c r="AB283" s="775" t="s">
        <v>867</v>
      </c>
      <c r="AC283" s="542" t="s">
        <v>868</v>
      </c>
      <c r="AD283" s="543">
        <v>0</v>
      </c>
      <c r="AE283" s="543">
        <v>0</v>
      </c>
      <c r="AF283" s="543">
        <v>0</v>
      </c>
      <c r="AG283" s="543">
        <v>1</v>
      </c>
      <c r="AH283" s="536">
        <f t="shared" si="6"/>
        <v>40000000</v>
      </c>
      <c r="AI283" s="536">
        <v>0</v>
      </c>
      <c r="AJ283" s="536">
        <v>0</v>
      </c>
      <c r="AK283" s="536">
        <v>40000000</v>
      </c>
      <c r="AL283" s="537">
        <v>0</v>
      </c>
      <c r="AM283" s="536">
        <f t="shared" si="7"/>
        <v>34865673</v>
      </c>
      <c r="AN283" s="536">
        <v>0</v>
      </c>
      <c r="AO283" s="536">
        <v>0</v>
      </c>
      <c r="AP283" s="536">
        <v>0</v>
      </c>
      <c r="AQ283" s="805">
        <v>34865673</v>
      </c>
    </row>
    <row r="284" spans="1:43" ht="105" customHeight="1" x14ac:dyDescent="0.25">
      <c r="A284" s="162" t="s">
        <v>894</v>
      </c>
      <c r="B284" s="162" t="s">
        <v>237</v>
      </c>
      <c r="C284" s="428" t="s">
        <v>851</v>
      </c>
      <c r="D284" s="451" t="s">
        <v>965</v>
      </c>
      <c r="E284" s="341" t="s">
        <v>1253</v>
      </c>
      <c r="F284" s="419" t="s">
        <v>328</v>
      </c>
      <c r="G284" s="160" t="s">
        <v>966</v>
      </c>
      <c r="H284" s="160" t="s">
        <v>967</v>
      </c>
      <c r="I284" s="158" t="s">
        <v>968</v>
      </c>
      <c r="J284" s="160" t="s">
        <v>969</v>
      </c>
      <c r="K284" s="158" t="s">
        <v>1114</v>
      </c>
      <c r="L284" s="777">
        <v>915093000</v>
      </c>
      <c r="M284" s="585" t="s">
        <v>229</v>
      </c>
      <c r="N284" s="608" t="s">
        <v>156</v>
      </c>
      <c r="O284" s="585" t="s">
        <v>1152</v>
      </c>
      <c r="P284" s="408"/>
      <c r="Q284" s="408"/>
      <c r="R284" s="408"/>
      <c r="S284" s="408"/>
      <c r="T284" s="549" t="s">
        <v>166</v>
      </c>
      <c r="U284" s="571">
        <v>9</v>
      </c>
      <c r="V284" s="571">
        <v>9</v>
      </c>
      <c r="W284" s="571">
        <v>0</v>
      </c>
      <c r="X284" s="571">
        <v>0</v>
      </c>
      <c r="Y284" s="571">
        <v>0</v>
      </c>
      <c r="Z284" s="541" t="s">
        <v>802</v>
      </c>
      <c r="AA284" s="777">
        <v>915093000</v>
      </c>
      <c r="AB284" s="775" t="s">
        <v>190</v>
      </c>
      <c r="AC284" s="540" t="s">
        <v>190</v>
      </c>
      <c r="AD284" s="551">
        <v>9</v>
      </c>
      <c r="AE284" s="551">
        <v>0</v>
      </c>
      <c r="AF284" s="543">
        <v>0</v>
      </c>
      <c r="AG284" s="543">
        <v>0</v>
      </c>
      <c r="AH284" s="536">
        <f t="shared" si="6"/>
        <v>847538132</v>
      </c>
      <c r="AI284" s="705">
        <v>187774982</v>
      </c>
      <c r="AJ284" s="705">
        <v>186157491</v>
      </c>
      <c r="AK284" s="705">
        <f>580007686-AJ284-AI284</f>
        <v>206075213</v>
      </c>
      <c r="AL284" s="506">
        <f>847538132-AI284-AJ284-AK284</f>
        <v>267530446</v>
      </c>
      <c r="AM284" s="536">
        <f t="shared" si="7"/>
        <v>847538132</v>
      </c>
      <c r="AN284" s="705">
        <v>167812741</v>
      </c>
      <c r="AO284" s="705">
        <f>336268821-AN284</f>
        <v>168456080</v>
      </c>
      <c r="AP284" s="574">
        <f>574708143-AN284-AO284</f>
        <v>238439322</v>
      </c>
      <c r="AQ284" s="811">
        <f>847538132-AN284-AO284-AP284</f>
        <v>272829989</v>
      </c>
    </row>
    <row r="285" spans="1:43" ht="105" customHeight="1" x14ac:dyDescent="0.25">
      <c r="A285" s="162" t="s">
        <v>894</v>
      </c>
      <c r="B285" s="162" t="s">
        <v>237</v>
      </c>
      <c r="C285" s="428" t="s">
        <v>851</v>
      </c>
      <c r="D285" s="451" t="s">
        <v>965</v>
      </c>
      <c r="E285" s="341" t="s">
        <v>1253</v>
      </c>
      <c r="F285" s="419" t="s">
        <v>328</v>
      </c>
      <c r="G285" s="160" t="s">
        <v>966</v>
      </c>
      <c r="H285" s="160" t="s">
        <v>967</v>
      </c>
      <c r="I285" s="158" t="s">
        <v>968</v>
      </c>
      <c r="J285" s="160" t="s">
        <v>969</v>
      </c>
      <c r="K285" s="158" t="s">
        <v>1114</v>
      </c>
      <c r="L285" s="777">
        <v>60000000</v>
      </c>
      <c r="M285" s="585" t="s">
        <v>229</v>
      </c>
      <c r="N285" s="608" t="s">
        <v>156</v>
      </c>
      <c r="O285" s="585" t="s">
        <v>1152</v>
      </c>
      <c r="P285" s="408"/>
      <c r="Q285" s="408"/>
      <c r="R285" s="408"/>
      <c r="S285" s="408"/>
      <c r="T285" s="549" t="s">
        <v>166</v>
      </c>
      <c r="U285" s="571">
        <v>9</v>
      </c>
      <c r="V285" s="571">
        <v>9</v>
      </c>
      <c r="W285" s="571">
        <v>0</v>
      </c>
      <c r="X285" s="571">
        <v>0</v>
      </c>
      <c r="Y285" s="571">
        <v>0</v>
      </c>
      <c r="Z285" s="541" t="s">
        <v>803</v>
      </c>
      <c r="AA285" s="777">
        <v>60000000</v>
      </c>
      <c r="AB285" s="775" t="s">
        <v>190</v>
      </c>
      <c r="AC285" s="540" t="s">
        <v>190</v>
      </c>
      <c r="AD285" s="551">
        <v>9</v>
      </c>
      <c r="AE285" s="551">
        <v>0</v>
      </c>
      <c r="AF285" s="543">
        <v>0</v>
      </c>
      <c r="AG285" s="543">
        <v>0</v>
      </c>
      <c r="AH285" s="536">
        <f t="shared" si="6"/>
        <v>10192209</v>
      </c>
      <c r="AI285" s="536">
        <v>0</v>
      </c>
      <c r="AJ285" s="536">
        <v>0</v>
      </c>
      <c r="AK285" s="536">
        <v>9098406</v>
      </c>
      <c r="AL285" s="506">
        <f>10192209-AK285</f>
        <v>1093803</v>
      </c>
      <c r="AM285" s="536">
        <f t="shared" si="7"/>
        <v>10192209</v>
      </c>
      <c r="AN285" s="536">
        <v>0</v>
      </c>
      <c r="AO285" s="536">
        <v>0</v>
      </c>
      <c r="AP285" s="574">
        <v>9098826</v>
      </c>
      <c r="AQ285" s="506">
        <f>10192209-AP285</f>
        <v>1093383</v>
      </c>
    </row>
    <row r="286" spans="1:43" ht="105" customHeight="1" x14ac:dyDescent="0.25">
      <c r="A286" s="221" t="s">
        <v>894</v>
      </c>
      <c r="B286" s="222" t="s">
        <v>237</v>
      </c>
      <c r="C286" s="222" t="s">
        <v>851</v>
      </c>
      <c r="D286" s="76" t="s">
        <v>965</v>
      </c>
      <c r="E286" s="341" t="s">
        <v>1253</v>
      </c>
      <c r="F286" s="419" t="s">
        <v>328</v>
      </c>
      <c r="G286" s="218" t="s">
        <v>966</v>
      </c>
      <c r="H286" s="218" t="s">
        <v>967</v>
      </c>
      <c r="I286" s="215" t="s">
        <v>968</v>
      </c>
      <c r="J286" s="218" t="s">
        <v>969</v>
      </c>
      <c r="K286" s="215" t="s">
        <v>1115</v>
      </c>
      <c r="L286" s="777">
        <v>60000000</v>
      </c>
      <c r="M286" s="565" t="s">
        <v>804</v>
      </c>
      <c r="N286" s="627" t="s">
        <v>156</v>
      </c>
      <c r="O286" s="582" t="s">
        <v>585</v>
      </c>
      <c r="P286" s="228"/>
      <c r="Q286" s="228"/>
      <c r="R286" s="228" t="s">
        <v>831</v>
      </c>
      <c r="S286" s="228"/>
      <c r="T286" s="540" t="s">
        <v>166</v>
      </c>
      <c r="U286" s="545">
        <v>1</v>
      </c>
      <c r="V286" s="545">
        <v>0</v>
      </c>
      <c r="W286" s="545">
        <v>0</v>
      </c>
      <c r="X286" s="545">
        <v>0</v>
      </c>
      <c r="Y286" s="545">
        <v>1</v>
      </c>
      <c r="Z286" s="711" t="s">
        <v>805</v>
      </c>
      <c r="AA286" s="777">
        <v>60000000</v>
      </c>
      <c r="AB286" s="775" t="s">
        <v>190</v>
      </c>
      <c r="AC286" s="540" t="s">
        <v>190</v>
      </c>
      <c r="AD286" s="543">
        <v>0</v>
      </c>
      <c r="AE286" s="543">
        <v>0</v>
      </c>
      <c r="AF286" s="543">
        <v>0</v>
      </c>
      <c r="AG286" s="543">
        <v>0</v>
      </c>
      <c r="AH286" s="536">
        <f t="shared" si="6"/>
        <v>0</v>
      </c>
      <c r="AI286" s="536">
        <v>0</v>
      </c>
      <c r="AJ286" s="536">
        <v>0</v>
      </c>
      <c r="AK286" s="536">
        <v>0</v>
      </c>
      <c r="AL286" s="536">
        <v>0</v>
      </c>
      <c r="AM286" s="536">
        <f t="shared" si="7"/>
        <v>0</v>
      </c>
      <c r="AN286" s="536">
        <v>0</v>
      </c>
      <c r="AO286" s="536">
        <v>0</v>
      </c>
      <c r="AP286" s="536">
        <v>0</v>
      </c>
      <c r="AQ286" s="536">
        <v>0</v>
      </c>
    </row>
    <row r="287" spans="1:43" ht="105" customHeight="1" x14ac:dyDescent="0.25">
      <c r="A287" s="368" t="s">
        <v>894</v>
      </c>
      <c r="B287" s="428" t="s">
        <v>237</v>
      </c>
      <c r="C287" s="428" t="s">
        <v>851</v>
      </c>
      <c r="D287" s="451" t="s">
        <v>965</v>
      </c>
      <c r="E287" s="341" t="s">
        <v>1253</v>
      </c>
      <c r="F287" s="419" t="s">
        <v>328</v>
      </c>
      <c r="G287" s="378" t="s">
        <v>966</v>
      </c>
      <c r="H287" s="378" t="s">
        <v>967</v>
      </c>
      <c r="I287" s="158" t="s">
        <v>968</v>
      </c>
      <c r="J287" s="378" t="s">
        <v>969</v>
      </c>
      <c r="K287" s="158" t="s">
        <v>1116</v>
      </c>
      <c r="L287" s="128">
        <v>1401382461</v>
      </c>
      <c r="M287" s="585" t="s">
        <v>807</v>
      </c>
      <c r="N287" s="665" t="s">
        <v>156</v>
      </c>
      <c r="O287" s="630" t="s">
        <v>637</v>
      </c>
      <c r="P287" s="408"/>
      <c r="Q287" s="408"/>
      <c r="R287" s="408" t="s">
        <v>831</v>
      </c>
      <c r="S287" s="408"/>
      <c r="T287" s="549" t="s">
        <v>166</v>
      </c>
      <c r="U287" s="571">
        <v>5</v>
      </c>
      <c r="V287" s="571">
        <v>0</v>
      </c>
      <c r="W287" s="571">
        <v>0</v>
      </c>
      <c r="X287" s="571">
        <v>0</v>
      </c>
      <c r="Y287" s="571">
        <v>5</v>
      </c>
      <c r="Z287" s="712" t="s">
        <v>1263</v>
      </c>
      <c r="AA287" s="128">
        <v>1401382461</v>
      </c>
      <c r="AB287" s="775" t="s">
        <v>198</v>
      </c>
      <c r="AC287" s="540" t="s">
        <v>190</v>
      </c>
      <c r="AD287" s="551">
        <v>0</v>
      </c>
      <c r="AE287" s="551">
        <v>0</v>
      </c>
      <c r="AF287" s="543">
        <v>1</v>
      </c>
      <c r="AG287" s="543">
        <v>9</v>
      </c>
      <c r="AH287" s="536">
        <f t="shared" si="6"/>
        <v>1401382461</v>
      </c>
      <c r="AI287" s="536">
        <v>0</v>
      </c>
      <c r="AJ287" s="536">
        <v>0</v>
      </c>
      <c r="AK287" s="536">
        <v>0</v>
      </c>
      <c r="AL287" s="810">
        <v>1401382461</v>
      </c>
      <c r="AM287" s="536">
        <f t="shared" si="7"/>
        <v>1401382461</v>
      </c>
      <c r="AN287" s="536">
        <v>0</v>
      </c>
      <c r="AO287" s="536">
        <v>0</v>
      </c>
      <c r="AP287" s="536">
        <v>0</v>
      </c>
      <c r="AQ287" s="506">
        <v>1401382461</v>
      </c>
    </row>
    <row r="288" spans="1:43" ht="105" customHeight="1" x14ac:dyDescent="0.25">
      <c r="A288" s="368" t="s">
        <v>894</v>
      </c>
      <c r="B288" s="428" t="s">
        <v>237</v>
      </c>
      <c r="C288" s="428" t="s">
        <v>851</v>
      </c>
      <c r="D288" s="451" t="s">
        <v>965</v>
      </c>
      <c r="E288" s="341" t="s">
        <v>1253</v>
      </c>
      <c r="F288" s="419" t="s">
        <v>328</v>
      </c>
      <c r="G288" s="378" t="s">
        <v>966</v>
      </c>
      <c r="H288" s="378" t="s">
        <v>967</v>
      </c>
      <c r="I288" s="158" t="s">
        <v>968</v>
      </c>
      <c r="J288" s="378" t="s">
        <v>969</v>
      </c>
      <c r="K288" s="158" t="s">
        <v>1116</v>
      </c>
      <c r="L288" s="751">
        <v>7728299671</v>
      </c>
      <c r="M288" s="585" t="s">
        <v>807</v>
      </c>
      <c r="N288" s="665" t="s">
        <v>156</v>
      </c>
      <c r="O288" s="630" t="s">
        <v>637</v>
      </c>
      <c r="P288" s="408"/>
      <c r="Q288" s="408"/>
      <c r="R288" s="408" t="s">
        <v>831</v>
      </c>
      <c r="S288" s="408"/>
      <c r="T288" s="549" t="s">
        <v>166</v>
      </c>
      <c r="U288" s="571">
        <v>5</v>
      </c>
      <c r="V288" s="571">
        <v>0</v>
      </c>
      <c r="W288" s="571">
        <v>0</v>
      </c>
      <c r="X288" s="571">
        <v>0</v>
      </c>
      <c r="Y288" s="571">
        <v>5</v>
      </c>
      <c r="Z288" s="572" t="s">
        <v>806</v>
      </c>
      <c r="AA288" s="751">
        <v>7728299671</v>
      </c>
      <c r="AB288" s="775" t="s">
        <v>198</v>
      </c>
      <c r="AC288" s="681" t="s">
        <v>808</v>
      </c>
      <c r="AD288" s="551">
        <v>0</v>
      </c>
      <c r="AE288" s="551">
        <v>0</v>
      </c>
      <c r="AF288" s="543">
        <v>1</v>
      </c>
      <c r="AG288" s="543">
        <v>9</v>
      </c>
      <c r="AH288" s="536">
        <f t="shared" si="6"/>
        <v>7671492318</v>
      </c>
      <c r="AI288" s="536">
        <v>0</v>
      </c>
      <c r="AJ288" s="536">
        <v>0</v>
      </c>
      <c r="AK288" s="536">
        <v>0</v>
      </c>
      <c r="AL288" s="506">
        <v>7671492318</v>
      </c>
      <c r="AM288" s="536">
        <f t="shared" si="7"/>
        <v>7671492318</v>
      </c>
      <c r="AN288" s="536">
        <v>0</v>
      </c>
      <c r="AO288" s="536">
        <v>0</v>
      </c>
      <c r="AP288" s="536">
        <v>0</v>
      </c>
      <c r="AQ288" s="506">
        <v>7671492318</v>
      </c>
    </row>
    <row r="289" spans="1:44" ht="105" customHeight="1" x14ac:dyDescent="0.25">
      <c r="A289" s="236" t="s">
        <v>894</v>
      </c>
      <c r="B289" s="222" t="s">
        <v>237</v>
      </c>
      <c r="C289" s="222" t="s">
        <v>851</v>
      </c>
      <c r="D289" s="76" t="s">
        <v>965</v>
      </c>
      <c r="E289" s="341" t="s">
        <v>1253</v>
      </c>
      <c r="F289" s="419" t="s">
        <v>328</v>
      </c>
      <c r="G289" s="218" t="s">
        <v>966</v>
      </c>
      <c r="H289" s="218" t="s">
        <v>967</v>
      </c>
      <c r="I289" s="215" t="s">
        <v>968</v>
      </c>
      <c r="J289" s="218" t="s">
        <v>969</v>
      </c>
      <c r="K289" s="215" t="s">
        <v>1114</v>
      </c>
      <c r="L289" s="777">
        <v>40000000</v>
      </c>
      <c r="M289" s="662" t="s">
        <v>809</v>
      </c>
      <c r="N289" s="627" t="s">
        <v>156</v>
      </c>
      <c r="O289" s="582" t="s">
        <v>571</v>
      </c>
      <c r="P289" s="228"/>
      <c r="Q289" s="228"/>
      <c r="R289" s="228" t="s">
        <v>831</v>
      </c>
      <c r="S289" s="228"/>
      <c r="T289" s="540" t="s">
        <v>166</v>
      </c>
      <c r="U289" s="545">
        <v>125</v>
      </c>
      <c r="V289" s="545">
        <v>0</v>
      </c>
      <c r="W289" s="545">
        <v>0</v>
      </c>
      <c r="X289" s="545">
        <v>62</v>
      </c>
      <c r="Y289" s="545">
        <v>63</v>
      </c>
      <c r="Z289" s="711" t="s">
        <v>805</v>
      </c>
      <c r="AA289" s="777">
        <v>40000000</v>
      </c>
      <c r="AB289" s="775" t="s">
        <v>190</v>
      </c>
      <c r="AC289" s="540" t="s">
        <v>190</v>
      </c>
      <c r="AD289" s="543">
        <v>0</v>
      </c>
      <c r="AE289" s="543">
        <v>0</v>
      </c>
      <c r="AF289" s="543">
        <v>63</v>
      </c>
      <c r="AG289" s="543">
        <v>56</v>
      </c>
      <c r="AH289" s="536">
        <f t="shared" si="6"/>
        <v>40000000</v>
      </c>
      <c r="AI289" s="705">
        <v>20000000</v>
      </c>
      <c r="AJ289" s="536">
        <v>0</v>
      </c>
      <c r="AK289" s="536">
        <f>40000000-AI289</f>
        <v>20000000</v>
      </c>
      <c r="AL289" s="536">
        <v>0</v>
      </c>
      <c r="AM289" s="536">
        <f t="shared" si="7"/>
        <v>32056150</v>
      </c>
      <c r="AN289" s="536">
        <v>0</v>
      </c>
      <c r="AO289" s="536">
        <v>0</v>
      </c>
      <c r="AP289" s="536">
        <v>1259334</v>
      </c>
      <c r="AQ289" s="506">
        <f>32056150-AP289</f>
        <v>30796816</v>
      </c>
    </row>
    <row r="290" spans="1:44" ht="105" customHeight="1" x14ac:dyDescent="0.25">
      <c r="A290" s="428" t="s">
        <v>894</v>
      </c>
      <c r="B290" s="428" t="s">
        <v>237</v>
      </c>
      <c r="C290" s="428" t="s">
        <v>851</v>
      </c>
      <c r="D290" s="451" t="s">
        <v>965</v>
      </c>
      <c r="E290" s="341" t="s">
        <v>1253</v>
      </c>
      <c r="F290" s="419" t="s">
        <v>328</v>
      </c>
      <c r="G290" s="378" t="s">
        <v>966</v>
      </c>
      <c r="H290" s="378" t="s">
        <v>967</v>
      </c>
      <c r="I290" s="158" t="s">
        <v>968</v>
      </c>
      <c r="J290" s="378" t="s">
        <v>969</v>
      </c>
      <c r="K290" s="158" t="s">
        <v>969</v>
      </c>
      <c r="L290" s="770">
        <v>11592450506</v>
      </c>
      <c r="M290" s="585" t="s">
        <v>810</v>
      </c>
      <c r="N290" s="665" t="s">
        <v>156</v>
      </c>
      <c r="O290" s="630" t="s">
        <v>637</v>
      </c>
      <c r="P290" s="408"/>
      <c r="Q290" s="408"/>
      <c r="R290" s="408" t="s">
        <v>831</v>
      </c>
      <c r="S290" s="408"/>
      <c r="T290" s="549" t="s">
        <v>166</v>
      </c>
      <c r="U290" s="571">
        <v>60</v>
      </c>
      <c r="V290" s="571">
        <v>0</v>
      </c>
      <c r="W290" s="571">
        <v>0</v>
      </c>
      <c r="X290" s="571">
        <v>30</v>
      </c>
      <c r="Y290" s="571">
        <v>30</v>
      </c>
      <c r="Z290" s="541" t="s">
        <v>811</v>
      </c>
      <c r="AA290" s="770">
        <v>11592450506</v>
      </c>
      <c r="AB290" s="775" t="s">
        <v>198</v>
      </c>
      <c r="AC290" s="681" t="s">
        <v>808</v>
      </c>
      <c r="AD290" s="551">
        <v>0</v>
      </c>
      <c r="AE290" s="551">
        <v>0</v>
      </c>
      <c r="AF290" s="543">
        <v>54</v>
      </c>
      <c r="AG290" s="543">
        <v>33</v>
      </c>
      <c r="AH290" s="536">
        <f t="shared" si="6"/>
        <v>8774756828</v>
      </c>
      <c r="AI290" s="536">
        <v>0</v>
      </c>
      <c r="AJ290" s="536">
        <v>0</v>
      </c>
      <c r="AK290" s="536">
        <v>0</v>
      </c>
      <c r="AL290" s="506">
        <v>8774756828</v>
      </c>
      <c r="AM290" s="536">
        <f t="shared" si="7"/>
        <v>8774756828</v>
      </c>
      <c r="AN290" s="536">
        <v>0</v>
      </c>
      <c r="AO290" s="536">
        <v>0</v>
      </c>
      <c r="AP290" s="536">
        <v>0</v>
      </c>
      <c r="AQ290" s="506">
        <v>8774756828</v>
      </c>
    </row>
    <row r="291" spans="1:44" ht="105" customHeight="1" x14ac:dyDescent="0.25">
      <c r="A291" s="428" t="s">
        <v>894</v>
      </c>
      <c r="B291" s="428" t="s">
        <v>237</v>
      </c>
      <c r="C291" s="428" t="s">
        <v>851</v>
      </c>
      <c r="D291" s="451" t="s">
        <v>965</v>
      </c>
      <c r="E291" s="341" t="s">
        <v>1253</v>
      </c>
      <c r="F291" s="419" t="s">
        <v>328</v>
      </c>
      <c r="G291" s="378" t="s">
        <v>966</v>
      </c>
      <c r="H291" s="378" t="s">
        <v>967</v>
      </c>
      <c r="I291" s="158" t="s">
        <v>968</v>
      </c>
      <c r="J291" s="378" t="s">
        <v>969</v>
      </c>
      <c r="K291" s="158" t="s">
        <v>969</v>
      </c>
      <c r="L291" s="128">
        <v>2102073692</v>
      </c>
      <c r="M291" s="585" t="s">
        <v>810</v>
      </c>
      <c r="N291" s="665" t="s">
        <v>156</v>
      </c>
      <c r="O291" s="630" t="s">
        <v>637</v>
      </c>
      <c r="P291" s="408"/>
      <c r="Q291" s="408"/>
      <c r="R291" s="408" t="s">
        <v>831</v>
      </c>
      <c r="S291" s="408"/>
      <c r="T291" s="549" t="s">
        <v>166</v>
      </c>
      <c r="U291" s="571">
        <v>60</v>
      </c>
      <c r="V291" s="571">
        <v>0</v>
      </c>
      <c r="W291" s="571">
        <v>0</v>
      </c>
      <c r="X291" s="571">
        <v>30</v>
      </c>
      <c r="Y291" s="571">
        <v>30</v>
      </c>
      <c r="Z291" s="712" t="s">
        <v>1210</v>
      </c>
      <c r="AA291" s="128">
        <v>2102073692</v>
      </c>
      <c r="AB291" s="775" t="s">
        <v>198</v>
      </c>
      <c r="AC291" s="540" t="s">
        <v>190</v>
      </c>
      <c r="AD291" s="551">
        <v>0</v>
      </c>
      <c r="AE291" s="551">
        <v>0</v>
      </c>
      <c r="AF291" s="543">
        <v>54</v>
      </c>
      <c r="AG291" s="543">
        <v>33</v>
      </c>
      <c r="AH291" s="536">
        <f t="shared" ref="AH291:AH313" si="8">AI291+AJ291+AK291+AL291</f>
        <v>2102073692</v>
      </c>
      <c r="AI291" s="536">
        <v>0</v>
      </c>
      <c r="AJ291" s="536">
        <v>0</v>
      </c>
      <c r="AK291" s="536">
        <v>0</v>
      </c>
      <c r="AL291" s="810">
        <v>2102073692</v>
      </c>
      <c r="AM291" s="536">
        <f t="shared" si="7"/>
        <v>2102073692</v>
      </c>
      <c r="AN291" s="536">
        <v>0</v>
      </c>
      <c r="AO291" s="536">
        <v>0</v>
      </c>
      <c r="AP291" s="536">
        <v>0</v>
      </c>
      <c r="AQ291" s="810">
        <v>2102073692</v>
      </c>
    </row>
    <row r="292" spans="1:44" ht="105" customHeight="1" x14ac:dyDescent="0.25">
      <c r="A292" s="116" t="s">
        <v>892</v>
      </c>
      <c r="B292" s="162" t="s">
        <v>65</v>
      </c>
      <c r="C292" s="428" t="s">
        <v>848</v>
      </c>
      <c r="D292" s="447" t="s">
        <v>1002</v>
      </c>
      <c r="E292" s="341" t="s">
        <v>1253</v>
      </c>
      <c r="F292" s="733" t="s">
        <v>330</v>
      </c>
      <c r="G292" s="160" t="s">
        <v>978</v>
      </c>
      <c r="H292" s="160" t="s">
        <v>1003</v>
      </c>
      <c r="I292" s="158" t="s">
        <v>1004</v>
      </c>
      <c r="J292" s="160" t="s">
        <v>1005</v>
      </c>
      <c r="K292" s="158" t="s">
        <v>1117</v>
      </c>
      <c r="L292" s="506">
        <v>1331677000</v>
      </c>
      <c r="M292" s="882" t="s">
        <v>1215</v>
      </c>
      <c r="N292" s="568" t="s">
        <v>156</v>
      </c>
      <c r="O292" s="713" t="s">
        <v>572</v>
      </c>
      <c r="P292" s="714"/>
      <c r="Q292" s="714"/>
      <c r="R292" s="714"/>
      <c r="S292" s="714"/>
      <c r="T292" s="549" t="s">
        <v>166</v>
      </c>
      <c r="U292" s="547">
        <v>241</v>
      </c>
      <c r="V292" s="547">
        <v>60</v>
      </c>
      <c r="W292" s="547">
        <v>60</v>
      </c>
      <c r="X292" s="547">
        <v>61</v>
      </c>
      <c r="Y292" s="547">
        <v>60</v>
      </c>
      <c r="Z292" s="715" t="s">
        <v>1226</v>
      </c>
      <c r="AA292" s="506">
        <v>1331677000</v>
      </c>
      <c r="AB292" s="775" t="s">
        <v>867</v>
      </c>
      <c r="AC292" s="603" t="s">
        <v>868</v>
      </c>
      <c r="AD292" s="551">
        <v>0</v>
      </c>
      <c r="AE292" s="806">
        <v>0</v>
      </c>
      <c r="AF292" s="791">
        <v>206</v>
      </c>
      <c r="AG292" s="543">
        <v>204</v>
      </c>
      <c r="AH292" s="536">
        <f t="shared" si="8"/>
        <v>1327009462</v>
      </c>
      <c r="AI292" s="574">
        <v>1264761734</v>
      </c>
      <c r="AJ292" s="574">
        <f>1290049047-AI292</f>
        <v>25287313</v>
      </c>
      <c r="AK292" s="797">
        <f>1327009462-AJ292-AI292</f>
        <v>36960415</v>
      </c>
      <c r="AL292" s="536">
        <v>0</v>
      </c>
      <c r="AM292" s="536">
        <f t="shared" ref="AM292:AM313" si="9">AN292+AO292+AP292+AQ292</f>
        <v>1327009462</v>
      </c>
      <c r="AN292" s="574">
        <v>302660163</v>
      </c>
      <c r="AO292" s="574">
        <f>685845949-AN292</f>
        <v>383185786</v>
      </c>
      <c r="AP292" s="536">
        <f>1065439824-AO292-AN292</f>
        <v>379593875</v>
      </c>
      <c r="AQ292" s="506">
        <f>1327009462-AN292-AO292-AP292</f>
        <v>261569638</v>
      </c>
    </row>
    <row r="293" spans="1:44" ht="105" customHeight="1" x14ac:dyDescent="0.25">
      <c r="A293" s="116" t="s">
        <v>892</v>
      </c>
      <c r="B293" s="162" t="s">
        <v>65</v>
      </c>
      <c r="C293" s="428" t="s">
        <v>848</v>
      </c>
      <c r="D293" s="447" t="s">
        <v>1002</v>
      </c>
      <c r="E293" s="341" t="s">
        <v>1253</v>
      </c>
      <c r="F293" s="733" t="s">
        <v>330</v>
      </c>
      <c r="G293" s="160" t="s">
        <v>978</v>
      </c>
      <c r="H293" s="160" t="s">
        <v>1003</v>
      </c>
      <c r="I293" s="158" t="s">
        <v>1004</v>
      </c>
      <c r="J293" s="160" t="s">
        <v>1005</v>
      </c>
      <c r="K293" s="158" t="s">
        <v>1117</v>
      </c>
      <c r="L293" s="128">
        <v>20000000</v>
      </c>
      <c r="M293" s="882" t="s">
        <v>1215</v>
      </c>
      <c r="N293" s="568" t="s">
        <v>156</v>
      </c>
      <c r="O293" s="713" t="s">
        <v>572</v>
      </c>
      <c r="P293" s="714"/>
      <c r="Q293" s="714"/>
      <c r="R293" s="714"/>
      <c r="S293" s="714"/>
      <c r="T293" s="549" t="s">
        <v>166</v>
      </c>
      <c r="U293" s="547">
        <v>241</v>
      </c>
      <c r="V293" s="547">
        <v>60</v>
      </c>
      <c r="W293" s="547">
        <v>60</v>
      </c>
      <c r="X293" s="547">
        <v>61</v>
      </c>
      <c r="Y293" s="547">
        <v>60</v>
      </c>
      <c r="Z293" s="715" t="s">
        <v>812</v>
      </c>
      <c r="AA293" s="128">
        <v>20000000</v>
      </c>
      <c r="AB293" s="775" t="s">
        <v>190</v>
      </c>
      <c r="AC293" s="539" t="s">
        <v>190</v>
      </c>
      <c r="AD293" s="551">
        <v>0</v>
      </c>
      <c r="AE293" s="806">
        <v>0</v>
      </c>
      <c r="AF293" s="791">
        <v>206</v>
      </c>
      <c r="AG293" s="543">
        <v>204</v>
      </c>
      <c r="AH293" s="536">
        <f t="shared" si="8"/>
        <v>0</v>
      </c>
      <c r="AI293" s="536">
        <v>0</v>
      </c>
      <c r="AJ293" s="536">
        <v>0</v>
      </c>
      <c r="AK293" s="536">
        <v>0</v>
      </c>
      <c r="AL293" s="536">
        <v>0</v>
      </c>
      <c r="AM293" s="536">
        <f t="shared" si="9"/>
        <v>0</v>
      </c>
      <c r="AN293" s="536">
        <v>0</v>
      </c>
      <c r="AO293" s="536">
        <v>0</v>
      </c>
      <c r="AP293" s="536">
        <v>0</v>
      </c>
      <c r="AQ293" s="536">
        <v>0</v>
      </c>
    </row>
    <row r="294" spans="1:44" ht="105" customHeight="1" x14ac:dyDescent="0.25">
      <c r="A294" s="347" t="s">
        <v>892</v>
      </c>
      <c r="B294" s="348" t="s">
        <v>65</v>
      </c>
      <c r="C294" s="340" t="s">
        <v>848</v>
      </c>
      <c r="D294" s="349" t="s">
        <v>1002</v>
      </c>
      <c r="E294" s="341" t="s">
        <v>1253</v>
      </c>
      <c r="F294" s="727" t="s">
        <v>330</v>
      </c>
      <c r="G294" s="346" t="s">
        <v>978</v>
      </c>
      <c r="H294" s="346" t="s">
        <v>988</v>
      </c>
      <c r="I294" s="342" t="s">
        <v>998</v>
      </c>
      <c r="J294" s="346" t="s">
        <v>1001</v>
      </c>
      <c r="K294" s="342" t="s">
        <v>1118</v>
      </c>
      <c r="L294" s="486">
        <v>550000000</v>
      </c>
      <c r="M294" s="883" t="s">
        <v>1216</v>
      </c>
      <c r="N294" s="556" t="s">
        <v>156</v>
      </c>
      <c r="O294" s="566" t="s">
        <v>572</v>
      </c>
      <c r="P294" s="716"/>
      <c r="Q294" s="716"/>
      <c r="R294" s="716"/>
      <c r="S294" s="716"/>
      <c r="T294" s="540" t="s">
        <v>166</v>
      </c>
      <c r="U294" s="717">
        <v>376</v>
      </c>
      <c r="V294" s="718">
        <v>56</v>
      </c>
      <c r="W294" s="718">
        <v>188</v>
      </c>
      <c r="X294" s="718">
        <v>75</v>
      </c>
      <c r="Y294" s="718">
        <v>56</v>
      </c>
      <c r="Z294" s="715" t="s">
        <v>813</v>
      </c>
      <c r="AA294" s="486">
        <v>550000000</v>
      </c>
      <c r="AB294" s="775" t="s">
        <v>190</v>
      </c>
      <c r="AC294" s="603" t="s">
        <v>623</v>
      </c>
      <c r="AD294" s="812">
        <v>2</v>
      </c>
      <c r="AE294" s="616">
        <v>133</v>
      </c>
      <c r="AF294" s="791">
        <v>106</v>
      </c>
      <c r="AG294" s="543">
        <v>164</v>
      </c>
      <c r="AH294" s="536">
        <f t="shared" si="8"/>
        <v>513176120</v>
      </c>
      <c r="AI294" s="574">
        <v>513081449</v>
      </c>
      <c r="AJ294" s="536">
        <v>0</v>
      </c>
      <c r="AK294" s="536">
        <f>513176120-AI294</f>
        <v>94671</v>
      </c>
      <c r="AL294" s="536">
        <v>0</v>
      </c>
      <c r="AM294" s="536">
        <f t="shared" si="9"/>
        <v>513176120</v>
      </c>
      <c r="AN294" s="536">
        <v>113036875</v>
      </c>
      <c r="AO294" s="536">
        <f>263036875-AN294</f>
        <v>150000000</v>
      </c>
      <c r="AP294" s="536">
        <f>413178721-AO294-AN294</f>
        <v>150141846</v>
      </c>
      <c r="AQ294" s="506">
        <f>513176120-AN294-AO294-AP294</f>
        <v>99997399</v>
      </c>
      <c r="AR294" s="331"/>
    </row>
    <row r="295" spans="1:44" ht="105" customHeight="1" x14ac:dyDescent="0.25">
      <c r="A295" s="221" t="s">
        <v>892</v>
      </c>
      <c r="B295" s="222" t="s">
        <v>65</v>
      </c>
      <c r="C295" s="222" t="s">
        <v>846</v>
      </c>
      <c r="D295" s="238" t="s">
        <v>1002</v>
      </c>
      <c r="E295" s="341" t="s">
        <v>1253</v>
      </c>
      <c r="F295" s="125" t="s">
        <v>333</v>
      </c>
      <c r="G295" s="218" t="s">
        <v>978</v>
      </c>
      <c r="H295" s="218" t="s">
        <v>988</v>
      </c>
      <c r="I295" s="216" t="s">
        <v>997</v>
      </c>
      <c r="J295" s="218" t="s">
        <v>994</v>
      </c>
      <c r="K295" s="215" t="s">
        <v>1119</v>
      </c>
      <c r="L295" s="145">
        <v>0</v>
      </c>
      <c r="M295" s="228" t="s">
        <v>334</v>
      </c>
      <c r="N295" s="556" t="s">
        <v>156</v>
      </c>
      <c r="O295" s="228" t="s">
        <v>669</v>
      </c>
      <c r="P295" s="228"/>
      <c r="Q295" s="228"/>
      <c r="R295" s="228"/>
      <c r="S295" s="228"/>
      <c r="T295" s="540" t="s">
        <v>166</v>
      </c>
      <c r="U295" s="545">
        <v>12</v>
      </c>
      <c r="V295" s="545">
        <v>0</v>
      </c>
      <c r="W295" s="545">
        <v>0</v>
      </c>
      <c r="X295" s="545">
        <v>6</v>
      </c>
      <c r="Y295" s="545">
        <v>6</v>
      </c>
      <c r="Z295" s="545"/>
      <c r="AA295" s="145">
        <v>0</v>
      </c>
      <c r="AB295" s="775"/>
      <c r="AC295" s="540"/>
      <c r="AD295" s="543">
        <v>0</v>
      </c>
      <c r="AE295" s="543">
        <v>0</v>
      </c>
      <c r="AF295" s="791">
        <v>1</v>
      </c>
      <c r="AG295" s="543">
        <v>3</v>
      </c>
      <c r="AH295" s="536">
        <f t="shared" si="8"/>
        <v>0</v>
      </c>
      <c r="AI295" s="536">
        <v>0</v>
      </c>
      <c r="AJ295" s="536">
        <v>0</v>
      </c>
      <c r="AK295" s="536">
        <v>0</v>
      </c>
      <c r="AL295" s="536">
        <v>0</v>
      </c>
      <c r="AM295" s="536">
        <f t="shared" si="9"/>
        <v>0</v>
      </c>
      <c r="AN295" s="536">
        <v>0</v>
      </c>
      <c r="AO295" s="536">
        <v>0</v>
      </c>
      <c r="AP295" s="536">
        <v>0</v>
      </c>
      <c r="AQ295" s="536">
        <v>0</v>
      </c>
    </row>
    <row r="296" spans="1:44" ht="105" customHeight="1" x14ac:dyDescent="0.25">
      <c r="A296" s="221" t="s">
        <v>892</v>
      </c>
      <c r="B296" s="222" t="s">
        <v>65</v>
      </c>
      <c r="C296" s="222" t="s">
        <v>846</v>
      </c>
      <c r="D296" s="238" t="s">
        <v>1002</v>
      </c>
      <c r="E296" s="341" t="s">
        <v>1253</v>
      </c>
      <c r="F296" s="419" t="s">
        <v>333</v>
      </c>
      <c r="G296" s="218" t="s">
        <v>978</v>
      </c>
      <c r="H296" s="218" t="s">
        <v>988</v>
      </c>
      <c r="I296" s="216" t="s">
        <v>997</v>
      </c>
      <c r="J296" s="218" t="s">
        <v>994</v>
      </c>
      <c r="K296" s="215" t="s">
        <v>1119</v>
      </c>
      <c r="L296" s="777">
        <v>0</v>
      </c>
      <c r="M296" s="228" t="s">
        <v>335</v>
      </c>
      <c r="N296" s="556" t="s">
        <v>156</v>
      </c>
      <c r="O296" s="228" t="s">
        <v>669</v>
      </c>
      <c r="P296" s="228"/>
      <c r="Q296" s="228"/>
      <c r="R296" s="228"/>
      <c r="S296" s="228"/>
      <c r="T296" s="540" t="s">
        <v>166</v>
      </c>
      <c r="U296" s="545">
        <v>6</v>
      </c>
      <c r="V296" s="545">
        <v>0</v>
      </c>
      <c r="W296" s="545">
        <v>0</v>
      </c>
      <c r="X296" s="545">
        <v>3</v>
      </c>
      <c r="Y296" s="545">
        <v>3</v>
      </c>
      <c r="Z296" s="545"/>
      <c r="AA296" s="777">
        <v>0</v>
      </c>
      <c r="AB296" s="775"/>
      <c r="AC296" s="540"/>
      <c r="AD296" s="543">
        <v>0</v>
      </c>
      <c r="AE296" s="543">
        <v>0</v>
      </c>
      <c r="AF296" s="791">
        <v>1</v>
      </c>
      <c r="AG296" s="543">
        <v>2</v>
      </c>
      <c r="AH296" s="536">
        <f t="shared" si="8"/>
        <v>0</v>
      </c>
      <c r="AI296" s="536">
        <v>0</v>
      </c>
      <c r="AJ296" s="536">
        <v>0</v>
      </c>
      <c r="AK296" s="536">
        <v>0</v>
      </c>
      <c r="AL296" s="536">
        <v>0</v>
      </c>
      <c r="AM296" s="536">
        <f t="shared" si="9"/>
        <v>0</v>
      </c>
      <c r="AN296" s="536">
        <v>0</v>
      </c>
      <c r="AO296" s="536">
        <v>0</v>
      </c>
      <c r="AP296" s="536">
        <v>0</v>
      </c>
      <c r="AQ296" s="536">
        <v>0</v>
      </c>
    </row>
    <row r="297" spans="1:44" ht="105" customHeight="1" x14ac:dyDescent="0.25">
      <c r="A297" s="221" t="s">
        <v>892</v>
      </c>
      <c r="B297" s="222" t="s">
        <v>65</v>
      </c>
      <c r="C297" s="222" t="s">
        <v>846</v>
      </c>
      <c r="D297" s="238" t="s">
        <v>1002</v>
      </c>
      <c r="E297" s="341" t="s">
        <v>1253</v>
      </c>
      <c r="F297" s="419" t="s">
        <v>333</v>
      </c>
      <c r="G297" s="218" t="s">
        <v>978</v>
      </c>
      <c r="H297" s="218" t="s">
        <v>988</v>
      </c>
      <c r="I297" s="216" t="s">
        <v>997</v>
      </c>
      <c r="J297" s="218" t="s">
        <v>994</v>
      </c>
      <c r="K297" s="215" t="s">
        <v>1119</v>
      </c>
      <c r="L297" s="777">
        <v>0</v>
      </c>
      <c r="M297" s="228" t="s">
        <v>336</v>
      </c>
      <c r="N297" s="556" t="s">
        <v>156</v>
      </c>
      <c r="O297" s="228" t="s">
        <v>669</v>
      </c>
      <c r="P297" s="228"/>
      <c r="Q297" s="228"/>
      <c r="R297" s="228"/>
      <c r="S297" s="228"/>
      <c r="T297" s="540" t="s">
        <v>166</v>
      </c>
      <c r="U297" s="545">
        <v>3</v>
      </c>
      <c r="V297" s="545">
        <v>0</v>
      </c>
      <c r="W297" s="545">
        <v>1</v>
      </c>
      <c r="X297" s="545">
        <v>1</v>
      </c>
      <c r="Y297" s="545">
        <v>1</v>
      </c>
      <c r="Z297" s="545"/>
      <c r="AA297" s="777">
        <v>0</v>
      </c>
      <c r="AB297" s="775"/>
      <c r="AC297" s="540"/>
      <c r="AD297" s="543">
        <v>0</v>
      </c>
      <c r="AE297" s="543">
        <v>0</v>
      </c>
      <c r="AF297" s="543">
        <v>0</v>
      </c>
      <c r="AG297" s="543">
        <v>1</v>
      </c>
      <c r="AH297" s="536">
        <f t="shared" si="8"/>
        <v>0</v>
      </c>
      <c r="AI297" s="536">
        <v>0</v>
      </c>
      <c r="AJ297" s="536">
        <v>0</v>
      </c>
      <c r="AK297" s="536">
        <v>0</v>
      </c>
      <c r="AL297" s="536">
        <v>0</v>
      </c>
      <c r="AM297" s="536">
        <f t="shared" si="9"/>
        <v>0</v>
      </c>
      <c r="AN297" s="536">
        <v>0</v>
      </c>
      <c r="AO297" s="536">
        <v>0</v>
      </c>
      <c r="AP297" s="536">
        <v>0</v>
      </c>
      <c r="AQ297" s="536">
        <v>0</v>
      </c>
    </row>
    <row r="298" spans="1:44" ht="105" customHeight="1" x14ac:dyDescent="0.25">
      <c r="A298" s="221" t="s">
        <v>892</v>
      </c>
      <c r="B298" s="222" t="s">
        <v>65</v>
      </c>
      <c r="C298" s="222" t="s">
        <v>846</v>
      </c>
      <c r="D298" s="238" t="s">
        <v>1002</v>
      </c>
      <c r="E298" s="341" t="s">
        <v>1253</v>
      </c>
      <c r="F298" s="419" t="s">
        <v>333</v>
      </c>
      <c r="G298" s="218" t="s">
        <v>978</v>
      </c>
      <c r="H298" s="218" t="s">
        <v>988</v>
      </c>
      <c r="I298" s="216" t="s">
        <v>997</v>
      </c>
      <c r="J298" s="218" t="s">
        <v>994</v>
      </c>
      <c r="K298" s="215" t="s">
        <v>1119</v>
      </c>
      <c r="L298" s="777">
        <v>0</v>
      </c>
      <c r="M298" s="228" t="s">
        <v>337</v>
      </c>
      <c r="N298" s="556" t="s">
        <v>156</v>
      </c>
      <c r="O298" s="228" t="s">
        <v>669</v>
      </c>
      <c r="P298" s="228"/>
      <c r="Q298" s="228"/>
      <c r="R298" s="228"/>
      <c r="S298" s="228"/>
      <c r="T298" s="540" t="s">
        <v>166</v>
      </c>
      <c r="U298" s="545">
        <v>1</v>
      </c>
      <c r="V298" s="545">
        <v>0</v>
      </c>
      <c r="W298" s="545">
        <v>0</v>
      </c>
      <c r="X298" s="545">
        <v>0</v>
      </c>
      <c r="Y298" s="545">
        <v>1</v>
      </c>
      <c r="Z298" s="545"/>
      <c r="AA298" s="777">
        <v>0</v>
      </c>
      <c r="AB298" s="775"/>
      <c r="AC298" s="540"/>
      <c r="AD298" s="543">
        <v>0</v>
      </c>
      <c r="AE298" s="543">
        <v>0</v>
      </c>
      <c r="AF298" s="543">
        <v>0</v>
      </c>
      <c r="AG298" s="543">
        <v>0</v>
      </c>
      <c r="AH298" s="536">
        <f t="shared" si="8"/>
        <v>0</v>
      </c>
      <c r="AI298" s="536">
        <v>0</v>
      </c>
      <c r="AJ298" s="536">
        <v>0</v>
      </c>
      <c r="AK298" s="536">
        <v>0</v>
      </c>
      <c r="AL298" s="536">
        <v>0</v>
      </c>
      <c r="AM298" s="536">
        <f t="shared" si="9"/>
        <v>0</v>
      </c>
      <c r="AN298" s="536">
        <v>0</v>
      </c>
      <c r="AO298" s="536">
        <v>0</v>
      </c>
      <c r="AP298" s="536">
        <v>0</v>
      </c>
      <c r="AQ298" s="536">
        <v>0</v>
      </c>
    </row>
    <row r="299" spans="1:44" ht="105" customHeight="1" x14ac:dyDescent="0.25">
      <c r="A299" s="368" t="s">
        <v>892</v>
      </c>
      <c r="B299" s="428" t="s">
        <v>65</v>
      </c>
      <c r="C299" s="428" t="s">
        <v>846</v>
      </c>
      <c r="D299" s="447" t="s">
        <v>1002</v>
      </c>
      <c r="E299" s="341" t="s">
        <v>1253</v>
      </c>
      <c r="F299" s="419" t="s">
        <v>333</v>
      </c>
      <c r="G299" s="378" t="s">
        <v>978</v>
      </c>
      <c r="H299" s="378" t="s">
        <v>988</v>
      </c>
      <c r="I299" s="158" t="s">
        <v>1006</v>
      </c>
      <c r="J299" s="378" t="s">
        <v>994</v>
      </c>
      <c r="K299" s="158" t="s">
        <v>1119</v>
      </c>
      <c r="L299" s="128">
        <v>1000000000</v>
      </c>
      <c r="M299" s="585" t="s">
        <v>338</v>
      </c>
      <c r="N299" s="608" t="s">
        <v>156</v>
      </c>
      <c r="O299" s="408" t="s">
        <v>1202</v>
      </c>
      <c r="P299" s="408"/>
      <c r="Q299" s="408"/>
      <c r="R299" s="408"/>
      <c r="S299" s="408"/>
      <c r="T299" s="549" t="s">
        <v>166</v>
      </c>
      <c r="U299" s="571">
        <v>1</v>
      </c>
      <c r="V299" s="571">
        <v>1</v>
      </c>
      <c r="W299" s="571">
        <v>0</v>
      </c>
      <c r="X299" s="571">
        <v>0</v>
      </c>
      <c r="Y299" s="571">
        <v>0</v>
      </c>
      <c r="Z299" s="572" t="s">
        <v>814</v>
      </c>
      <c r="AA299" s="128">
        <v>1000000000</v>
      </c>
      <c r="AB299" s="775" t="s">
        <v>190</v>
      </c>
      <c r="AC299" s="542" t="s">
        <v>623</v>
      </c>
      <c r="AD299" s="551">
        <v>1</v>
      </c>
      <c r="AE299" s="551">
        <v>0</v>
      </c>
      <c r="AF299" s="543">
        <v>0</v>
      </c>
      <c r="AG299" s="543">
        <v>0</v>
      </c>
      <c r="AH299" s="536">
        <f>AI299+AJ299+AK299+AL299</f>
        <v>818433456</v>
      </c>
      <c r="AI299" s="809">
        <v>818433455</v>
      </c>
      <c r="AJ299" s="536">
        <v>0</v>
      </c>
      <c r="AK299" s="536">
        <v>1</v>
      </c>
      <c r="AL299" s="536">
        <v>0</v>
      </c>
      <c r="AM299" s="536">
        <f t="shared" si="9"/>
        <v>775127419</v>
      </c>
      <c r="AN299" s="705">
        <v>131223281</v>
      </c>
      <c r="AO299" s="536">
        <v>0</v>
      </c>
      <c r="AP299" s="577">
        <f>405551990-AN299</f>
        <v>274328709</v>
      </c>
      <c r="AQ299" s="536">
        <f>775127419-AN299-AP299</f>
        <v>369575429</v>
      </c>
    </row>
    <row r="300" spans="1:44" ht="105" customHeight="1" x14ac:dyDescent="0.25">
      <c r="A300" s="368" t="s">
        <v>892</v>
      </c>
      <c r="B300" s="428" t="s">
        <v>65</v>
      </c>
      <c r="C300" s="428" t="s">
        <v>846</v>
      </c>
      <c r="D300" s="447" t="s">
        <v>1002</v>
      </c>
      <c r="E300" s="341" t="s">
        <v>1253</v>
      </c>
      <c r="F300" s="419" t="s">
        <v>333</v>
      </c>
      <c r="G300" s="378" t="s">
        <v>978</v>
      </c>
      <c r="H300" s="378" t="s">
        <v>988</v>
      </c>
      <c r="I300" s="158" t="s">
        <v>1006</v>
      </c>
      <c r="J300" s="378" t="s">
        <v>994</v>
      </c>
      <c r="K300" s="158" t="s">
        <v>1119</v>
      </c>
      <c r="L300" s="128">
        <v>835034831</v>
      </c>
      <c r="M300" s="585" t="s">
        <v>338</v>
      </c>
      <c r="N300" s="608" t="s">
        <v>156</v>
      </c>
      <c r="O300" s="408" t="s">
        <v>1202</v>
      </c>
      <c r="P300" s="408"/>
      <c r="Q300" s="408"/>
      <c r="R300" s="408"/>
      <c r="S300" s="408"/>
      <c r="T300" s="549" t="s">
        <v>166</v>
      </c>
      <c r="U300" s="571">
        <v>1</v>
      </c>
      <c r="V300" s="571">
        <v>1</v>
      </c>
      <c r="W300" s="571">
        <v>0</v>
      </c>
      <c r="X300" s="571">
        <v>0</v>
      </c>
      <c r="Y300" s="571">
        <v>0</v>
      </c>
      <c r="Z300" s="572" t="s">
        <v>815</v>
      </c>
      <c r="AA300" s="518">
        <v>852999998</v>
      </c>
      <c r="AB300" s="775" t="s">
        <v>190</v>
      </c>
      <c r="AC300" s="540" t="s">
        <v>190</v>
      </c>
      <c r="AD300" s="551">
        <v>1</v>
      </c>
      <c r="AE300" s="551">
        <v>0</v>
      </c>
      <c r="AF300" s="543">
        <v>0</v>
      </c>
      <c r="AG300" s="543">
        <v>0</v>
      </c>
      <c r="AH300" s="536">
        <f t="shared" si="8"/>
        <v>852999998</v>
      </c>
      <c r="AI300" s="536">
        <v>0</v>
      </c>
      <c r="AJ300" s="536">
        <v>0</v>
      </c>
      <c r="AK300" s="536">
        <f>288811388</f>
        <v>288811388</v>
      </c>
      <c r="AL300" s="574">
        <f>852999998-AK300</f>
        <v>564188610</v>
      </c>
      <c r="AM300" s="536">
        <f t="shared" si="9"/>
        <v>852999998</v>
      </c>
      <c r="AN300" s="536">
        <v>0</v>
      </c>
      <c r="AO300" s="536">
        <v>0</v>
      </c>
      <c r="AP300" s="536">
        <v>0</v>
      </c>
      <c r="AQ300" s="506">
        <v>852999998</v>
      </c>
    </row>
    <row r="301" spans="1:44" ht="105" customHeight="1" x14ac:dyDescent="0.25">
      <c r="A301" s="368" t="s">
        <v>892</v>
      </c>
      <c r="B301" s="428" t="s">
        <v>65</v>
      </c>
      <c r="C301" s="428" t="s">
        <v>846</v>
      </c>
      <c r="D301" s="447" t="s">
        <v>1002</v>
      </c>
      <c r="E301" s="341" t="s">
        <v>1253</v>
      </c>
      <c r="F301" s="419" t="s">
        <v>333</v>
      </c>
      <c r="G301" s="378" t="s">
        <v>978</v>
      </c>
      <c r="H301" s="378" t="s">
        <v>988</v>
      </c>
      <c r="I301" s="158" t="s">
        <v>1006</v>
      </c>
      <c r="J301" s="378" t="s">
        <v>994</v>
      </c>
      <c r="K301" s="158" t="s">
        <v>1119</v>
      </c>
      <c r="L301" s="128">
        <v>500000000</v>
      </c>
      <c r="M301" s="585" t="s">
        <v>338</v>
      </c>
      <c r="N301" s="608" t="s">
        <v>156</v>
      </c>
      <c r="O301" s="408" t="s">
        <v>1202</v>
      </c>
      <c r="P301" s="408"/>
      <c r="Q301" s="408"/>
      <c r="R301" s="408"/>
      <c r="S301" s="408"/>
      <c r="T301" s="549" t="s">
        <v>166</v>
      </c>
      <c r="U301" s="571">
        <v>1</v>
      </c>
      <c r="V301" s="571">
        <v>1</v>
      </c>
      <c r="W301" s="571">
        <v>0</v>
      </c>
      <c r="X301" s="571">
        <v>0</v>
      </c>
      <c r="Y301" s="571">
        <v>0</v>
      </c>
      <c r="Z301" s="572" t="s">
        <v>816</v>
      </c>
      <c r="AA301" s="128">
        <v>500000000</v>
      </c>
      <c r="AB301" s="775" t="s">
        <v>190</v>
      </c>
      <c r="AC301" s="540" t="s">
        <v>190</v>
      </c>
      <c r="AD301" s="551">
        <v>1</v>
      </c>
      <c r="AE301" s="551">
        <v>0</v>
      </c>
      <c r="AF301" s="543">
        <v>0</v>
      </c>
      <c r="AG301" s="543">
        <v>0</v>
      </c>
      <c r="AH301" s="536">
        <f t="shared" si="8"/>
        <v>476939120</v>
      </c>
      <c r="AI301" s="536">
        <v>108815197</v>
      </c>
      <c r="AJ301" s="536">
        <v>0</v>
      </c>
      <c r="AK301" s="536">
        <f>108815197-AI301</f>
        <v>0</v>
      </c>
      <c r="AL301" s="537">
        <f>476939120-AI301</f>
        <v>368123923</v>
      </c>
      <c r="AM301" s="536">
        <f t="shared" si="9"/>
        <v>441585721</v>
      </c>
      <c r="AN301" s="536">
        <v>0</v>
      </c>
      <c r="AO301" s="536">
        <v>0</v>
      </c>
      <c r="AP301" s="536">
        <v>100846525</v>
      </c>
      <c r="AQ301" s="506">
        <f>441585721-AP301</f>
        <v>340739196</v>
      </c>
    </row>
    <row r="302" spans="1:44" ht="105" customHeight="1" x14ac:dyDescent="0.25">
      <c r="A302" s="368" t="s">
        <v>892</v>
      </c>
      <c r="B302" s="428" t="s">
        <v>65</v>
      </c>
      <c r="C302" s="428" t="s">
        <v>846</v>
      </c>
      <c r="D302" s="447" t="s">
        <v>1002</v>
      </c>
      <c r="E302" s="341" t="s">
        <v>1253</v>
      </c>
      <c r="F302" s="419" t="s">
        <v>333</v>
      </c>
      <c r="G302" s="378" t="s">
        <v>978</v>
      </c>
      <c r="H302" s="378" t="s">
        <v>988</v>
      </c>
      <c r="I302" s="158" t="s">
        <v>1006</v>
      </c>
      <c r="J302" s="378" t="s">
        <v>994</v>
      </c>
      <c r="K302" s="158" t="s">
        <v>1120</v>
      </c>
      <c r="L302" s="128">
        <v>40000000</v>
      </c>
      <c r="M302" s="585" t="s">
        <v>339</v>
      </c>
      <c r="N302" s="568" t="s">
        <v>156</v>
      </c>
      <c r="O302" s="585" t="s">
        <v>1145</v>
      </c>
      <c r="P302" s="408"/>
      <c r="Q302" s="408"/>
      <c r="R302" s="408"/>
      <c r="S302" s="408"/>
      <c r="T302" s="549" t="s">
        <v>166</v>
      </c>
      <c r="U302" s="571">
        <v>4</v>
      </c>
      <c r="V302" s="571">
        <v>1</v>
      </c>
      <c r="W302" s="571">
        <v>1</v>
      </c>
      <c r="X302" s="571">
        <v>1</v>
      </c>
      <c r="Y302" s="571">
        <v>1</v>
      </c>
      <c r="Z302" s="572" t="s">
        <v>1244</v>
      </c>
      <c r="AA302" s="128">
        <v>40000000</v>
      </c>
      <c r="AB302" s="775" t="s">
        <v>190</v>
      </c>
      <c r="AC302" s="540" t="s">
        <v>190</v>
      </c>
      <c r="AD302" s="551">
        <v>1</v>
      </c>
      <c r="AE302" s="551">
        <v>1</v>
      </c>
      <c r="AF302" s="543">
        <v>1</v>
      </c>
      <c r="AG302" s="543">
        <v>1</v>
      </c>
      <c r="AH302" s="536">
        <v>0</v>
      </c>
      <c r="AI302" s="536">
        <v>0</v>
      </c>
      <c r="AJ302" s="536">
        <v>0</v>
      </c>
      <c r="AK302" s="536">
        <v>0</v>
      </c>
      <c r="AL302" s="536"/>
      <c r="AM302" s="536">
        <f t="shared" si="9"/>
        <v>0</v>
      </c>
      <c r="AN302" s="536">
        <v>0</v>
      </c>
      <c r="AO302" s="536">
        <v>0</v>
      </c>
      <c r="AP302" s="577">
        <v>0</v>
      </c>
      <c r="AQ302" s="577">
        <v>0</v>
      </c>
    </row>
    <row r="303" spans="1:44" ht="105" customHeight="1" x14ac:dyDescent="0.25">
      <c r="A303" s="368" t="s">
        <v>892</v>
      </c>
      <c r="B303" s="428" t="s">
        <v>65</v>
      </c>
      <c r="C303" s="428" t="s">
        <v>846</v>
      </c>
      <c r="D303" s="447" t="s">
        <v>1002</v>
      </c>
      <c r="E303" s="341" t="s">
        <v>1253</v>
      </c>
      <c r="F303" s="419" t="s">
        <v>333</v>
      </c>
      <c r="G303" s="378" t="s">
        <v>978</v>
      </c>
      <c r="H303" s="378" t="s">
        <v>988</v>
      </c>
      <c r="I303" s="158" t="s">
        <v>1006</v>
      </c>
      <c r="J303" s="378" t="s">
        <v>994</v>
      </c>
      <c r="K303" s="158" t="s">
        <v>1120</v>
      </c>
      <c r="L303" s="128">
        <v>1724677000</v>
      </c>
      <c r="M303" s="585" t="s">
        <v>339</v>
      </c>
      <c r="N303" s="568" t="s">
        <v>156</v>
      </c>
      <c r="O303" s="585" t="s">
        <v>1145</v>
      </c>
      <c r="P303" s="408"/>
      <c r="Q303" s="408"/>
      <c r="R303" s="408"/>
      <c r="S303" s="408"/>
      <c r="T303" s="549" t="s">
        <v>166</v>
      </c>
      <c r="U303" s="571">
        <v>4</v>
      </c>
      <c r="V303" s="571">
        <v>1</v>
      </c>
      <c r="W303" s="571">
        <v>1</v>
      </c>
      <c r="X303" s="571">
        <v>1</v>
      </c>
      <c r="Y303" s="571">
        <v>1</v>
      </c>
      <c r="Z303" s="572" t="s">
        <v>817</v>
      </c>
      <c r="AA303" s="128">
        <v>1724677000</v>
      </c>
      <c r="AB303" s="775" t="s">
        <v>190</v>
      </c>
      <c r="AC303" s="540" t="s">
        <v>190</v>
      </c>
      <c r="AD303" s="551">
        <v>1</v>
      </c>
      <c r="AE303" s="551">
        <v>1</v>
      </c>
      <c r="AF303" s="543">
        <v>1</v>
      </c>
      <c r="AG303" s="543">
        <v>1</v>
      </c>
      <c r="AH303" s="536">
        <f>+AI303+AJ303+AK303+AL303</f>
        <v>1336991114</v>
      </c>
      <c r="AI303" s="705">
        <v>313066678</v>
      </c>
      <c r="AJ303" s="705">
        <f>584814922-AI303</f>
        <v>271748244</v>
      </c>
      <c r="AK303" s="536">
        <f>961891298-AJ303-AI303</f>
        <v>377076376</v>
      </c>
      <c r="AL303" s="537">
        <f>1336991114-AI303-AJ303-AK303</f>
        <v>375099816</v>
      </c>
      <c r="AM303" s="536">
        <f t="shared" si="9"/>
        <v>1336991114</v>
      </c>
      <c r="AN303" s="705">
        <v>281061769</v>
      </c>
      <c r="AO303" s="705">
        <f>525944018-AN303</f>
        <v>244882249</v>
      </c>
      <c r="AP303" s="574">
        <f>953305524-AN303-AO303</f>
        <v>427361506</v>
      </c>
      <c r="AQ303" s="506">
        <f>1336991114-AN303-AO303-AP303</f>
        <v>383685590</v>
      </c>
    </row>
    <row r="304" spans="1:44" ht="105" customHeight="1" x14ac:dyDescent="0.25">
      <c r="A304" s="221" t="s">
        <v>892</v>
      </c>
      <c r="B304" s="222" t="s">
        <v>65</v>
      </c>
      <c r="C304" s="222" t="s">
        <v>846</v>
      </c>
      <c r="D304" s="238" t="s">
        <v>1002</v>
      </c>
      <c r="E304" s="341" t="s">
        <v>1253</v>
      </c>
      <c r="F304" s="258" t="s">
        <v>333</v>
      </c>
      <c r="G304" s="218" t="s">
        <v>978</v>
      </c>
      <c r="H304" s="218" t="s">
        <v>988</v>
      </c>
      <c r="I304" s="215" t="s">
        <v>1006</v>
      </c>
      <c r="J304" s="218" t="s">
        <v>994</v>
      </c>
      <c r="K304" s="215" t="s">
        <v>1119</v>
      </c>
      <c r="L304" s="489">
        <v>64965169</v>
      </c>
      <c r="M304" s="228" t="s">
        <v>818</v>
      </c>
      <c r="N304" s="556" t="s">
        <v>156</v>
      </c>
      <c r="O304" s="228" t="s">
        <v>637</v>
      </c>
      <c r="P304" s="228"/>
      <c r="Q304" s="228"/>
      <c r="R304" s="228"/>
      <c r="S304" s="228"/>
      <c r="T304" s="540" t="s">
        <v>166</v>
      </c>
      <c r="U304" s="545">
        <v>1</v>
      </c>
      <c r="V304" s="545">
        <v>0</v>
      </c>
      <c r="W304" s="545">
        <v>0</v>
      </c>
      <c r="X304" s="545">
        <v>0</v>
      </c>
      <c r="Y304" s="545">
        <v>1</v>
      </c>
      <c r="Z304" s="629" t="s">
        <v>815</v>
      </c>
      <c r="AA304" s="808">
        <v>47000002</v>
      </c>
      <c r="AB304" s="775" t="s">
        <v>190</v>
      </c>
      <c r="AC304" s="540" t="s">
        <v>190</v>
      </c>
      <c r="AD304" s="543">
        <v>0</v>
      </c>
      <c r="AE304" s="543">
        <v>0</v>
      </c>
      <c r="AF304" s="543">
        <v>0</v>
      </c>
      <c r="AG304" s="543">
        <v>0</v>
      </c>
      <c r="AH304" s="536">
        <f t="shared" si="8"/>
        <v>0</v>
      </c>
      <c r="AI304" s="536">
        <v>0</v>
      </c>
      <c r="AJ304" s="536">
        <v>0</v>
      </c>
      <c r="AK304" s="536">
        <v>0</v>
      </c>
      <c r="AL304" s="536">
        <v>0</v>
      </c>
      <c r="AM304" s="536">
        <f t="shared" si="9"/>
        <v>0</v>
      </c>
      <c r="AN304" s="536">
        <v>0</v>
      </c>
      <c r="AO304" s="536">
        <v>0</v>
      </c>
      <c r="AP304" s="536">
        <v>0</v>
      </c>
      <c r="AQ304" s="536">
        <v>0</v>
      </c>
    </row>
    <row r="305" spans="1:44" ht="105" customHeight="1" x14ac:dyDescent="0.25">
      <c r="A305" s="221" t="s">
        <v>892</v>
      </c>
      <c r="B305" s="222" t="s">
        <v>65</v>
      </c>
      <c r="C305" s="222" t="s">
        <v>848</v>
      </c>
      <c r="D305" s="238" t="s">
        <v>1002</v>
      </c>
      <c r="E305" s="341" t="s">
        <v>1253</v>
      </c>
      <c r="F305" s="121" t="s">
        <v>340</v>
      </c>
      <c r="G305" s="218" t="s">
        <v>978</v>
      </c>
      <c r="H305" s="218" t="s">
        <v>1003</v>
      </c>
      <c r="I305" s="215" t="s">
        <v>998</v>
      </c>
      <c r="J305" s="218" t="s">
        <v>1001</v>
      </c>
      <c r="K305" s="215" t="s">
        <v>1121</v>
      </c>
      <c r="L305" s="490">
        <v>0</v>
      </c>
      <c r="M305" s="900" t="s">
        <v>342</v>
      </c>
      <c r="N305" s="556" t="s">
        <v>156</v>
      </c>
      <c r="O305" s="228" t="s">
        <v>1203</v>
      </c>
      <c r="P305" s="228"/>
      <c r="Q305" s="228"/>
      <c r="R305" s="228"/>
      <c r="S305" s="228"/>
      <c r="T305" s="540" t="s">
        <v>166</v>
      </c>
      <c r="U305" s="545">
        <v>1</v>
      </c>
      <c r="V305" s="545">
        <v>0</v>
      </c>
      <c r="W305" s="545">
        <v>0</v>
      </c>
      <c r="X305" s="545">
        <v>1</v>
      </c>
      <c r="Y305" s="545">
        <v>0</v>
      </c>
      <c r="Z305" s="545"/>
      <c r="AA305" s="490">
        <v>0</v>
      </c>
      <c r="AB305" s="775"/>
      <c r="AC305" s="540"/>
      <c r="AD305" s="543">
        <v>0</v>
      </c>
      <c r="AE305" s="543">
        <v>0</v>
      </c>
      <c r="AF305" s="543">
        <v>0</v>
      </c>
      <c r="AG305" s="543">
        <v>0</v>
      </c>
      <c r="AH305" s="536">
        <f t="shared" si="8"/>
        <v>0</v>
      </c>
      <c r="AI305" s="536">
        <v>0</v>
      </c>
      <c r="AJ305" s="536">
        <v>0</v>
      </c>
      <c r="AK305" s="536">
        <v>0</v>
      </c>
      <c r="AL305" s="536">
        <v>0</v>
      </c>
      <c r="AM305" s="536">
        <f t="shared" si="9"/>
        <v>0</v>
      </c>
      <c r="AN305" s="536">
        <v>0</v>
      </c>
      <c r="AO305" s="536">
        <v>0</v>
      </c>
      <c r="AP305" s="536">
        <v>0</v>
      </c>
      <c r="AQ305" s="536">
        <v>0</v>
      </c>
    </row>
    <row r="306" spans="1:44" ht="105" customHeight="1" x14ac:dyDescent="0.25">
      <c r="A306" s="116" t="s">
        <v>892</v>
      </c>
      <c r="B306" s="162" t="s">
        <v>65</v>
      </c>
      <c r="C306" s="428" t="s">
        <v>848</v>
      </c>
      <c r="D306" s="447" t="s">
        <v>1002</v>
      </c>
      <c r="E306" s="341" t="s">
        <v>1253</v>
      </c>
      <c r="F306" s="727" t="s">
        <v>340</v>
      </c>
      <c r="G306" s="160" t="s">
        <v>978</v>
      </c>
      <c r="H306" s="160" t="s">
        <v>1003</v>
      </c>
      <c r="I306" s="158" t="s">
        <v>998</v>
      </c>
      <c r="J306" s="160" t="s">
        <v>1001</v>
      </c>
      <c r="K306" s="408" t="s">
        <v>1122</v>
      </c>
      <c r="L306" s="128">
        <v>550228000</v>
      </c>
      <c r="M306" s="901" t="s">
        <v>343</v>
      </c>
      <c r="N306" s="568" t="s">
        <v>156</v>
      </c>
      <c r="O306" s="585" t="s">
        <v>585</v>
      </c>
      <c r="P306" s="408"/>
      <c r="Q306" s="408"/>
      <c r="R306" s="408"/>
      <c r="S306" s="408"/>
      <c r="T306" s="549" t="s">
        <v>550</v>
      </c>
      <c r="U306" s="571">
        <v>96</v>
      </c>
      <c r="V306" s="571">
        <v>65</v>
      </c>
      <c r="W306" s="571">
        <v>10</v>
      </c>
      <c r="X306" s="571">
        <v>15</v>
      </c>
      <c r="Y306" s="571">
        <v>6</v>
      </c>
      <c r="Z306" s="572" t="s">
        <v>819</v>
      </c>
      <c r="AA306" s="128">
        <v>550228000</v>
      </c>
      <c r="AB306" s="775" t="s">
        <v>867</v>
      </c>
      <c r="AC306" s="542" t="s">
        <v>868</v>
      </c>
      <c r="AD306" s="719">
        <v>0.65</v>
      </c>
      <c r="AE306" s="719">
        <v>0.1</v>
      </c>
      <c r="AF306" s="720">
        <v>0.15</v>
      </c>
      <c r="AG306" s="816">
        <v>0.02</v>
      </c>
      <c r="AH306" s="536">
        <f t="shared" si="8"/>
        <v>476260000</v>
      </c>
      <c r="AI306" s="537">
        <f>108678661</f>
        <v>108678661</v>
      </c>
      <c r="AJ306" s="537">
        <f>202295192-AI306</f>
        <v>93616531</v>
      </c>
      <c r="AK306" s="886">
        <f>476260000-AJ306-AI306</f>
        <v>273964808</v>
      </c>
      <c r="AL306" s="536">
        <v>0</v>
      </c>
      <c r="AM306" s="536">
        <f t="shared" si="9"/>
        <v>476260000</v>
      </c>
      <c r="AN306" s="537">
        <v>98120108</v>
      </c>
      <c r="AO306" s="537">
        <f>184256101-AN306</f>
        <v>86135993</v>
      </c>
      <c r="AP306" s="574">
        <f>306845911-AN306-AO306</f>
        <v>122589810</v>
      </c>
      <c r="AQ306" s="885">
        <f>476260000-AN306-AO306-AP306</f>
        <v>169414089</v>
      </c>
    </row>
    <row r="307" spans="1:44" ht="105" customHeight="1" x14ac:dyDescent="0.25">
      <c r="A307" s="116" t="s">
        <v>892</v>
      </c>
      <c r="B307" s="162" t="s">
        <v>65</v>
      </c>
      <c r="C307" s="428" t="s">
        <v>848</v>
      </c>
      <c r="D307" s="447" t="s">
        <v>1002</v>
      </c>
      <c r="E307" s="341" t="s">
        <v>1253</v>
      </c>
      <c r="F307" s="727" t="s">
        <v>340</v>
      </c>
      <c r="G307" s="160" t="s">
        <v>978</v>
      </c>
      <c r="H307" s="160" t="s">
        <v>1003</v>
      </c>
      <c r="I307" s="158" t="s">
        <v>998</v>
      </c>
      <c r="J307" s="160" t="s">
        <v>1001</v>
      </c>
      <c r="K307" s="408" t="s">
        <v>1122</v>
      </c>
      <c r="L307" s="128">
        <f>1297135000-13800000</f>
        <v>1283335000</v>
      </c>
      <c r="M307" s="901" t="s">
        <v>343</v>
      </c>
      <c r="N307" s="568" t="s">
        <v>156</v>
      </c>
      <c r="O307" s="585" t="s">
        <v>585</v>
      </c>
      <c r="P307" s="408"/>
      <c r="Q307" s="408"/>
      <c r="R307" s="408"/>
      <c r="S307" s="408"/>
      <c r="T307" s="549" t="s">
        <v>550</v>
      </c>
      <c r="U307" s="571">
        <v>96</v>
      </c>
      <c r="V307" s="571">
        <v>65</v>
      </c>
      <c r="W307" s="571">
        <v>10</v>
      </c>
      <c r="X307" s="571">
        <v>15</v>
      </c>
      <c r="Y307" s="571">
        <v>6</v>
      </c>
      <c r="Z307" s="572" t="s">
        <v>820</v>
      </c>
      <c r="AA307" s="128">
        <f>1297135000-13800000</f>
        <v>1283335000</v>
      </c>
      <c r="AB307" s="775" t="s">
        <v>190</v>
      </c>
      <c r="AC307" s="542" t="s">
        <v>623</v>
      </c>
      <c r="AD307" s="719">
        <v>0.65</v>
      </c>
      <c r="AE307" s="719">
        <v>0.1</v>
      </c>
      <c r="AF307" s="720">
        <v>0.15</v>
      </c>
      <c r="AG307" s="816">
        <v>0.02</v>
      </c>
      <c r="AH307" s="536">
        <f t="shared" si="8"/>
        <v>1261024149</v>
      </c>
      <c r="AI307" s="537">
        <v>286541725</v>
      </c>
      <c r="AJ307" s="537">
        <f>531675217-AI307</f>
        <v>245133492</v>
      </c>
      <c r="AK307" s="660">
        <f>838486644-AJ307-AI307</f>
        <v>306811427</v>
      </c>
      <c r="AL307" s="537">
        <f>1209890997-AI307-AJ307-AK307+51133152</f>
        <v>422537505</v>
      </c>
      <c r="AM307" s="536">
        <f t="shared" si="9"/>
        <v>1064722451</v>
      </c>
      <c r="AN307" s="537">
        <v>258750837</v>
      </c>
      <c r="AO307" s="537">
        <f>479736910-AN307</f>
        <v>220986073</v>
      </c>
      <c r="AP307" s="574">
        <f>832262320-AN307-AO307</f>
        <v>352525410</v>
      </c>
      <c r="AQ307" s="885">
        <f>1064722451-AN307-AO307-AP307</f>
        <v>232460131</v>
      </c>
    </row>
    <row r="308" spans="1:44" ht="105" customHeight="1" x14ac:dyDescent="0.25">
      <c r="A308" s="116" t="s">
        <v>892</v>
      </c>
      <c r="B308" s="162" t="s">
        <v>65</v>
      </c>
      <c r="C308" s="428" t="s">
        <v>848</v>
      </c>
      <c r="D308" s="447" t="s">
        <v>1002</v>
      </c>
      <c r="E308" s="341" t="s">
        <v>1253</v>
      </c>
      <c r="F308" s="727" t="s">
        <v>340</v>
      </c>
      <c r="G308" s="160" t="s">
        <v>978</v>
      </c>
      <c r="H308" s="160" t="s">
        <v>1003</v>
      </c>
      <c r="I308" s="158" t="s">
        <v>998</v>
      </c>
      <c r="J308" s="160" t="s">
        <v>1001</v>
      </c>
      <c r="K308" s="408" t="s">
        <v>1123</v>
      </c>
      <c r="L308" s="128">
        <f>70923369 +50000000</f>
        <v>120923369</v>
      </c>
      <c r="M308" s="901" t="s">
        <v>344</v>
      </c>
      <c r="N308" s="568" t="s">
        <v>156</v>
      </c>
      <c r="O308" s="585" t="s">
        <v>585</v>
      </c>
      <c r="P308" s="408"/>
      <c r="Q308" s="408"/>
      <c r="R308" s="408"/>
      <c r="S308" s="408"/>
      <c r="T308" s="549" t="s">
        <v>166</v>
      </c>
      <c r="U308" s="571">
        <v>41</v>
      </c>
      <c r="V308" s="571">
        <v>34</v>
      </c>
      <c r="W308" s="571">
        <v>2</v>
      </c>
      <c r="X308" s="571">
        <v>3</v>
      </c>
      <c r="Y308" s="571">
        <v>2</v>
      </c>
      <c r="Z308" s="572" t="s">
        <v>821</v>
      </c>
      <c r="AA308" s="752">
        <f>76000000</f>
        <v>76000000</v>
      </c>
      <c r="AB308" s="775" t="s">
        <v>867</v>
      </c>
      <c r="AC308" s="542" t="s">
        <v>868</v>
      </c>
      <c r="AD308" s="551">
        <v>34</v>
      </c>
      <c r="AE308" s="551">
        <v>1</v>
      </c>
      <c r="AF308" s="543">
        <v>4</v>
      </c>
      <c r="AG308" s="543">
        <v>1</v>
      </c>
      <c r="AH308" s="536">
        <f t="shared" si="8"/>
        <v>75232205</v>
      </c>
      <c r="AI308" s="536">
        <v>0</v>
      </c>
      <c r="AJ308" s="705">
        <v>75232205</v>
      </c>
      <c r="AK308" s="705">
        <f>75232205-AJ308</f>
        <v>0</v>
      </c>
      <c r="AL308" s="536">
        <v>0</v>
      </c>
      <c r="AM308" s="536">
        <f t="shared" si="9"/>
        <v>53885109</v>
      </c>
      <c r="AN308" s="536">
        <v>0</v>
      </c>
      <c r="AO308" s="705">
        <v>15074494</v>
      </c>
      <c r="AP308" s="577">
        <f>17107251-AO308</f>
        <v>2032757</v>
      </c>
      <c r="AQ308" s="885">
        <f>53885109-AO308-AP308</f>
        <v>36777858</v>
      </c>
    </row>
    <row r="309" spans="1:44" ht="105" customHeight="1" x14ac:dyDescent="0.25">
      <c r="A309" s="116" t="s">
        <v>892</v>
      </c>
      <c r="B309" s="162" t="s">
        <v>65</v>
      </c>
      <c r="C309" s="428" t="s">
        <v>848</v>
      </c>
      <c r="D309" s="447" t="s">
        <v>1002</v>
      </c>
      <c r="E309" s="341" t="s">
        <v>1253</v>
      </c>
      <c r="F309" s="727" t="s">
        <v>340</v>
      </c>
      <c r="G309" s="160" t="s">
        <v>978</v>
      </c>
      <c r="H309" s="160" t="s">
        <v>1003</v>
      </c>
      <c r="I309" s="158" t="s">
        <v>998</v>
      </c>
      <c r="J309" s="160" t="s">
        <v>1001</v>
      </c>
      <c r="K309" s="408" t="s">
        <v>1123</v>
      </c>
      <c r="L309" s="356">
        <v>325161210</v>
      </c>
      <c r="M309" s="901" t="s">
        <v>345</v>
      </c>
      <c r="N309" s="571">
        <v>15</v>
      </c>
      <c r="O309" s="571">
        <v>15</v>
      </c>
      <c r="P309" s="571">
        <v>20</v>
      </c>
      <c r="Q309" s="571">
        <v>40</v>
      </c>
      <c r="R309" s="408"/>
      <c r="S309" s="408"/>
      <c r="T309" s="549" t="s">
        <v>166</v>
      </c>
      <c r="U309" s="571">
        <v>41</v>
      </c>
      <c r="V309" s="815">
        <v>34</v>
      </c>
      <c r="W309" s="815">
        <v>2</v>
      </c>
      <c r="X309" s="815">
        <v>3</v>
      </c>
      <c r="Y309" s="815">
        <v>2</v>
      </c>
      <c r="Z309" s="572" t="s">
        <v>1225</v>
      </c>
      <c r="AA309" s="753">
        <v>325161210</v>
      </c>
      <c r="AB309" s="775" t="s">
        <v>198</v>
      </c>
      <c r="AC309" s="542" t="s">
        <v>750</v>
      </c>
      <c r="AD309" s="721">
        <v>0.15</v>
      </c>
      <c r="AE309" s="721">
        <v>0.1</v>
      </c>
      <c r="AF309" s="720">
        <v>0.32</v>
      </c>
      <c r="AG309" s="816">
        <v>0.19</v>
      </c>
      <c r="AH309" s="536">
        <f t="shared" si="8"/>
        <v>273614624</v>
      </c>
      <c r="AI309" s="536">
        <v>0</v>
      </c>
      <c r="AJ309" s="705">
        <v>0</v>
      </c>
      <c r="AK309" s="536">
        <v>0</v>
      </c>
      <c r="AL309" s="574">
        <v>273614624</v>
      </c>
      <c r="AM309" s="536">
        <f t="shared" si="9"/>
        <v>273614624</v>
      </c>
      <c r="AN309" s="536">
        <v>0</v>
      </c>
      <c r="AO309" s="705">
        <v>0</v>
      </c>
      <c r="AP309" s="536">
        <v>0</v>
      </c>
      <c r="AQ309" s="506">
        <v>273614624</v>
      </c>
    </row>
    <row r="310" spans="1:44" ht="105" customHeight="1" x14ac:dyDescent="0.25">
      <c r="A310" s="116" t="s">
        <v>892</v>
      </c>
      <c r="B310" s="162" t="s">
        <v>65</v>
      </c>
      <c r="C310" s="428" t="s">
        <v>848</v>
      </c>
      <c r="D310" s="447" t="s">
        <v>1002</v>
      </c>
      <c r="E310" s="341" t="s">
        <v>1253</v>
      </c>
      <c r="F310" s="727" t="s">
        <v>340</v>
      </c>
      <c r="G310" s="160" t="s">
        <v>978</v>
      </c>
      <c r="H310" s="160" t="s">
        <v>1003</v>
      </c>
      <c r="I310" s="158" t="s">
        <v>998</v>
      </c>
      <c r="J310" s="160" t="s">
        <v>1001</v>
      </c>
      <c r="K310" s="408" t="s">
        <v>1123</v>
      </c>
      <c r="L310" s="128">
        <v>302707395</v>
      </c>
      <c r="M310" s="901" t="s">
        <v>344</v>
      </c>
      <c r="N310" s="568" t="s">
        <v>156</v>
      </c>
      <c r="O310" s="585" t="s">
        <v>585</v>
      </c>
      <c r="P310" s="408"/>
      <c r="Q310" s="408"/>
      <c r="R310" s="408"/>
      <c r="S310" s="408"/>
      <c r="T310" s="549" t="s">
        <v>166</v>
      </c>
      <c r="U310" s="571">
        <v>41</v>
      </c>
      <c r="V310" s="571">
        <v>34</v>
      </c>
      <c r="W310" s="571">
        <v>2</v>
      </c>
      <c r="X310" s="571">
        <v>3</v>
      </c>
      <c r="Y310" s="571">
        <v>2</v>
      </c>
      <c r="Z310" s="684" t="s">
        <v>1245</v>
      </c>
      <c r="AA310" s="752">
        <f>48907395+150000000+45000000+45000000+325161210+13800000-63188522</f>
        <v>564680083</v>
      </c>
      <c r="AB310" s="775" t="s">
        <v>190</v>
      </c>
      <c r="AC310" s="542" t="s">
        <v>623</v>
      </c>
      <c r="AD310" s="551">
        <v>34</v>
      </c>
      <c r="AE310" s="551">
        <v>1</v>
      </c>
      <c r="AF310" s="543">
        <v>4</v>
      </c>
      <c r="AG310" s="543">
        <v>1</v>
      </c>
      <c r="AH310" s="536">
        <f t="shared" si="8"/>
        <v>45668939</v>
      </c>
      <c r="AI310" s="536">
        <v>0</v>
      </c>
      <c r="AJ310" s="536">
        <v>0</v>
      </c>
      <c r="AK310" s="537">
        <v>45668939</v>
      </c>
      <c r="AL310" s="536">
        <v>0</v>
      </c>
      <c r="AM310" s="536">
        <f t="shared" si="9"/>
        <v>0</v>
      </c>
      <c r="AN310" s="536">
        <v>0</v>
      </c>
      <c r="AO310" s="536">
        <v>0</v>
      </c>
      <c r="AP310" s="886"/>
      <c r="AQ310" s="899"/>
    </row>
    <row r="311" spans="1:44" ht="105" customHeight="1" x14ac:dyDescent="0.25">
      <c r="A311" s="116" t="s">
        <v>892</v>
      </c>
      <c r="B311" s="162" t="s">
        <v>65</v>
      </c>
      <c r="C311" s="428" t="s">
        <v>848</v>
      </c>
      <c r="D311" s="447" t="s">
        <v>1002</v>
      </c>
      <c r="E311" s="341" t="s">
        <v>1253</v>
      </c>
      <c r="F311" s="727" t="s">
        <v>340</v>
      </c>
      <c r="G311" s="160" t="s">
        <v>978</v>
      </c>
      <c r="H311" s="160" t="s">
        <v>1003</v>
      </c>
      <c r="I311" s="158" t="s">
        <v>998</v>
      </c>
      <c r="J311" s="160" t="s">
        <v>1001</v>
      </c>
      <c r="K311" s="408" t="s">
        <v>1124</v>
      </c>
      <c r="L311" s="128">
        <f>229076631-50000000</f>
        <v>179076631</v>
      </c>
      <c r="M311" s="901" t="s">
        <v>345</v>
      </c>
      <c r="N311" s="568" t="s">
        <v>156</v>
      </c>
      <c r="O311" s="585" t="s">
        <v>637</v>
      </c>
      <c r="P311" s="408"/>
      <c r="Q311" s="408"/>
      <c r="R311" s="408"/>
      <c r="S311" s="408"/>
      <c r="T311" s="549" t="s">
        <v>550</v>
      </c>
      <c r="U311" s="571">
        <v>90</v>
      </c>
      <c r="V311" s="571">
        <v>15</v>
      </c>
      <c r="W311" s="571">
        <v>15</v>
      </c>
      <c r="X311" s="571">
        <v>20</v>
      </c>
      <c r="Y311" s="571">
        <v>40</v>
      </c>
      <c r="Z311" s="572" t="s">
        <v>821</v>
      </c>
      <c r="AA311" s="752">
        <f>224000000</f>
        <v>224000000</v>
      </c>
      <c r="AB311" s="775" t="s">
        <v>867</v>
      </c>
      <c r="AC311" s="542" t="s">
        <v>868</v>
      </c>
      <c r="AD311" s="721">
        <v>0.15</v>
      </c>
      <c r="AE311" s="721">
        <v>0.1</v>
      </c>
      <c r="AF311" s="720">
        <v>0.32</v>
      </c>
      <c r="AG311" s="816">
        <v>0.19</v>
      </c>
      <c r="AH311" s="536">
        <f t="shared" si="8"/>
        <v>203420698</v>
      </c>
      <c r="AI311" s="705"/>
      <c r="AJ311" s="705"/>
      <c r="AK311" s="537">
        <f>203420698</f>
        <v>203420698</v>
      </c>
      <c r="AL311" s="537">
        <v>0</v>
      </c>
      <c r="AM311" s="536">
        <f t="shared" si="9"/>
        <v>0</v>
      </c>
      <c r="AN311" s="536">
        <v>0</v>
      </c>
      <c r="AO311" s="705"/>
      <c r="AP311" s="536">
        <v>0</v>
      </c>
      <c r="AQ311" s="885"/>
    </row>
    <row r="312" spans="1:44" ht="105" customHeight="1" x14ac:dyDescent="0.25">
      <c r="A312" s="116" t="s">
        <v>892</v>
      </c>
      <c r="B312" s="162" t="s">
        <v>65</v>
      </c>
      <c r="C312" s="428" t="s">
        <v>848</v>
      </c>
      <c r="D312" s="447" t="s">
        <v>1002</v>
      </c>
      <c r="E312" s="341" t="s">
        <v>1253</v>
      </c>
      <c r="F312" s="727" t="s">
        <v>340</v>
      </c>
      <c r="G312" s="160" t="s">
        <v>978</v>
      </c>
      <c r="H312" s="160" t="s">
        <v>1003</v>
      </c>
      <c r="I312" s="158" t="s">
        <v>998</v>
      </c>
      <c r="J312" s="160" t="s">
        <v>1001</v>
      </c>
      <c r="K312" s="408" t="s">
        <v>1124</v>
      </c>
      <c r="L312" s="128">
        <f>291092605+620000000+925718873+1600000000</f>
        <v>3436811478</v>
      </c>
      <c r="M312" s="901" t="s">
        <v>345</v>
      </c>
      <c r="N312" s="568" t="s">
        <v>156</v>
      </c>
      <c r="O312" s="585" t="s">
        <v>637</v>
      </c>
      <c r="P312" s="408"/>
      <c r="Q312" s="408"/>
      <c r="R312" s="408"/>
      <c r="S312" s="408"/>
      <c r="T312" s="549" t="s">
        <v>550</v>
      </c>
      <c r="U312" s="571">
        <v>90</v>
      </c>
      <c r="V312" s="571">
        <v>15</v>
      </c>
      <c r="W312" s="571">
        <v>15</v>
      </c>
      <c r="X312" s="571">
        <v>20</v>
      </c>
      <c r="Y312" s="571">
        <v>40</v>
      </c>
      <c r="Z312" s="572" t="s">
        <v>829</v>
      </c>
      <c r="AA312" s="752">
        <v>3174838790</v>
      </c>
      <c r="AB312" s="775" t="s">
        <v>190</v>
      </c>
      <c r="AC312" s="542" t="s">
        <v>623</v>
      </c>
      <c r="AD312" s="721">
        <v>0.15</v>
      </c>
      <c r="AE312" s="721">
        <v>0.1</v>
      </c>
      <c r="AF312" s="720">
        <v>0.32</v>
      </c>
      <c r="AG312" s="816">
        <v>0.19</v>
      </c>
      <c r="AH312" s="536">
        <f t="shared" si="8"/>
        <v>3170496014</v>
      </c>
      <c r="AI312" s="536">
        <v>0</v>
      </c>
      <c r="AJ312" s="536">
        <v>805152764</v>
      </c>
      <c r="AK312" s="536">
        <f>875779979-AJ312</f>
        <v>70627215</v>
      </c>
      <c r="AL312" s="886">
        <f>3225971942-AJ312-AK312-51133152-4342776</f>
        <v>2294716035</v>
      </c>
      <c r="AM312" s="536">
        <f t="shared" si="9"/>
        <v>1268227677</v>
      </c>
      <c r="AN312" s="536">
        <v>0</v>
      </c>
      <c r="AO312" s="536">
        <f>90421179-AO311</f>
        <v>90421179</v>
      </c>
      <c r="AP312" s="577">
        <f>443413126-AO312</f>
        <v>352991947</v>
      </c>
      <c r="AQ312" s="885">
        <f>1356560805-AO312-AP312-88333128</f>
        <v>824814551</v>
      </c>
    </row>
    <row r="313" spans="1:44" ht="105" customHeight="1" x14ac:dyDescent="0.25">
      <c r="A313" s="221" t="s">
        <v>892</v>
      </c>
      <c r="B313" s="222" t="s">
        <v>65</v>
      </c>
      <c r="C313" s="222" t="s">
        <v>848</v>
      </c>
      <c r="D313" s="238" t="s">
        <v>1002</v>
      </c>
      <c r="E313" s="341" t="s">
        <v>1253</v>
      </c>
      <c r="F313" s="727" t="s">
        <v>340</v>
      </c>
      <c r="G313" s="218" t="s">
        <v>978</v>
      </c>
      <c r="H313" s="218" t="s">
        <v>1003</v>
      </c>
      <c r="I313" s="215" t="s">
        <v>998</v>
      </c>
      <c r="J313" s="218" t="s">
        <v>1001</v>
      </c>
      <c r="K313" s="249" t="s">
        <v>1125</v>
      </c>
      <c r="L313" s="777">
        <v>45000000</v>
      </c>
      <c r="M313" s="900" t="s">
        <v>346</v>
      </c>
      <c r="N313" s="556" t="s">
        <v>156</v>
      </c>
      <c r="O313" s="228" t="s">
        <v>637</v>
      </c>
      <c r="P313" s="228"/>
      <c r="Q313" s="228"/>
      <c r="R313" s="228"/>
      <c r="S313" s="228"/>
      <c r="T313" s="540" t="s">
        <v>166</v>
      </c>
      <c r="U313" s="545">
        <v>125</v>
      </c>
      <c r="V313" s="545">
        <v>10</v>
      </c>
      <c r="W313" s="545">
        <v>20</v>
      </c>
      <c r="X313" s="545">
        <v>45</v>
      </c>
      <c r="Y313" s="545">
        <v>50</v>
      </c>
      <c r="Z313" s="572" t="s">
        <v>822</v>
      </c>
      <c r="AA313" s="777">
        <v>45000000</v>
      </c>
      <c r="AB313" s="775" t="s">
        <v>190</v>
      </c>
      <c r="AC313" s="542" t="s">
        <v>623</v>
      </c>
      <c r="AD313" s="543">
        <v>10</v>
      </c>
      <c r="AE313" s="543">
        <v>15</v>
      </c>
      <c r="AF313" s="791">
        <v>100</v>
      </c>
      <c r="AG313" s="543">
        <v>0</v>
      </c>
      <c r="AH313" s="536">
        <f t="shared" si="8"/>
        <v>702000</v>
      </c>
      <c r="AI313" s="705">
        <v>702000</v>
      </c>
      <c r="AJ313" s="536">
        <v>0</v>
      </c>
      <c r="AK313" s="536">
        <f>702000-AI313</f>
        <v>0</v>
      </c>
      <c r="AL313" s="536">
        <v>0</v>
      </c>
      <c r="AM313" s="536">
        <f t="shared" si="9"/>
        <v>702000</v>
      </c>
      <c r="AN313" s="705">
        <v>591299</v>
      </c>
      <c r="AO313" s="753">
        <f>702000-AN313</f>
        <v>110701</v>
      </c>
      <c r="AP313" s="577">
        <v>0</v>
      </c>
      <c r="AQ313" s="577">
        <v>0</v>
      </c>
      <c r="AR313" s="331"/>
    </row>
    <row r="314" spans="1:44" ht="15" customHeight="1" x14ac:dyDescent="0.25">
      <c r="A314" s="318"/>
      <c r="B314" s="318"/>
      <c r="C314" s="318"/>
      <c r="D314" s="318"/>
      <c r="E314" s="318"/>
      <c r="F314" s="737"/>
      <c r="G314" s="318"/>
      <c r="H314" s="318"/>
      <c r="I314" s="318"/>
      <c r="J314" s="318"/>
      <c r="K314" s="318"/>
      <c r="L314" s="122">
        <f>SUM(L20:L313)</f>
        <v>978388352690</v>
      </c>
      <c r="M314" s="722"/>
      <c r="N314" s="722"/>
      <c r="O314" s="722"/>
      <c r="P314" s="722"/>
      <c r="Q314" s="722"/>
      <c r="R314" s="722"/>
      <c r="S314" s="722"/>
      <c r="T314" s="722"/>
      <c r="U314" s="722"/>
      <c r="V314" s="723"/>
      <c r="W314" s="723"/>
      <c r="X314" s="723"/>
      <c r="Y314" s="723"/>
      <c r="Z314" s="723"/>
      <c r="AA314" s="840">
        <f>SUM(AA20:AA313)</f>
        <v>978388352690</v>
      </c>
      <c r="AB314" s="723"/>
      <c r="AC314" s="723"/>
      <c r="AD314" s="724"/>
      <c r="AE314" s="724" t="s">
        <v>1228</v>
      </c>
      <c r="AF314" s="724"/>
      <c r="AG314" s="724"/>
      <c r="AH314" s="858">
        <f>SUM(AH20:AH313)</f>
        <v>792624063942</v>
      </c>
      <c r="AI314" s="660"/>
      <c r="AJ314" s="660"/>
      <c r="AK314" s="660"/>
      <c r="AL314" s="660">
        <f t="shared" ref="AL314" si="10">SUM(AL20:AL313)</f>
        <v>304387412568</v>
      </c>
      <c r="AM314" s="858">
        <f>SUM(AM20:AM313)</f>
        <v>767551736622</v>
      </c>
      <c r="AN314" s="660"/>
      <c r="AO314" s="660"/>
      <c r="AP314" s="725"/>
      <c r="AQ314" s="725"/>
    </row>
    <row r="315" spans="1:44" ht="16.5" customHeight="1" x14ac:dyDescent="0.3">
      <c r="A315" s="311"/>
      <c r="B315" s="311"/>
      <c r="C315" s="311"/>
      <c r="D315" s="311"/>
      <c r="E315" s="311"/>
      <c r="F315" s="738"/>
      <c r="L315" s="319"/>
      <c r="M315" s="319"/>
      <c r="N315" s="319"/>
      <c r="O315" s="319"/>
      <c r="P315" s="319"/>
      <c r="Q315" s="319"/>
      <c r="R315" s="319"/>
      <c r="S315" s="319"/>
      <c r="T315" s="319"/>
      <c r="U315" s="319"/>
      <c r="V315" s="311"/>
      <c r="W315" s="311"/>
      <c r="X315" s="311"/>
      <c r="Y315" s="311"/>
      <c r="Z315" s="311"/>
      <c r="AA315" s="311"/>
      <c r="AB315" s="311"/>
      <c r="AC315" s="311"/>
      <c r="AH315" s="358"/>
      <c r="AI315" s="358"/>
      <c r="AJ315" s="358"/>
      <c r="AM315" s="358"/>
      <c r="AN315" s="358"/>
      <c r="AO315" s="358"/>
    </row>
    <row r="316" spans="1:44" ht="15" customHeight="1" x14ac:dyDescent="0.25">
      <c r="A316" s="311"/>
      <c r="B316" s="311"/>
      <c r="C316" s="311"/>
      <c r="D316" s="311"/>
      <c r="E316" s="311"/>
      <c r="F316" s="738"/>
      <c r="G316" s="311"/>
      <c r="H316" s="311"/>
      <c r="I316" s="311"/>
      <c r="J316" s="311"/>
      <c r="K316" s="311"/>
      <c r="L316" s="320"/>
      <c r="M316" s="320"/>
      <c r="N316" s="320"/>
      <c r="O316" s="320"/>
      <c r="P316" s="320"/>
      <c r="Q316" s="320"/>
      <c r="R316" s="320"/>
      <c r="S316" s="320"/>
      <c r="T316" s="320"/>
      <c r="U316" s="320"/>
      <c r="V316" s="311"/>
      <c r="W316" s="311"/>
      <c r="X316" s="311"/>
      <c r="Y316" s="311"/>
      <c r="Z316" s="311"/>
      <c r="AA316" s="311"/>
      <c r="AB316" s="311"/>
      <c r="AC316" s="311"/>
      <c r="AE316" s="273" t="s">
        <v>1246</v>
      </c>
      <c r="AH316" s="884"/>
      <c r="AM316" s="535"/>
      <c r="AN316" s="274">
        <f>AN314-AN315</f>
        <v>0</v>
      </c>
      <c r="AO316" s="274">
        <f>AO314-AO315</f>
        <v>0</v>
      </c>
    </row>
    <row r="317" spans="1:44" ht="23.25" customHeight="1" x14ac:dyDescent="0.35">
      <c r="A317" s="311"/>
      <c r="B317" s="311"/>
      <c r="C317" s="311"/>
      <c r="D317" s="311"/>
      <c r="E317" s="311"/>
      <c r="F317" s="738"/>
      <c r="G317" s="321" t="s">
        <v>434</v>
      </c>
      <c r="H317" s="321"/>
      <c r="I317" s="321"/>
      <c r="J317" s="321"/>
      <c r="K317" s="321"/>
      <c r="L317" s="322">
        <v>54057770421</v>
      </c>
      <c r="M317" s="323"/>
      <c r="N317" s="323"/>
      <c r="O317" s="323"/>
      <c r="P317" s="323"/>
      <c r="Q317" s="323"/>
      <c r="R317" s="323"/>
      <c r="S317" s="323"/>
      <c r="T317" s="323"/>
      <c r="U317" s="323"/>
      <c r="V317" s="311"/>
      <c r="W317" s="311"/>
      <c r="X317" s="311"/>
      <c r="Y317" s="311"/>
      <c r="Z317" s="311"/>
      <c r="AA317" s="311"/>
      <c r="AB317" s="311"/>
      <c r="AC317" s="311"/>
      <c r="AH317" s="273"/>
      <c r="AI317" s="273"/>
    </row>
    <row r="318" spans="1:44" s="273" customFormat="1" ht="15" customHeight="1" x14ac:dyDescent="0.25">
      <c r="A318" s="311"/>
      <c r="B318" s="311"/>
      <c r="C318" s="311"/>
      <c r="D318" s="311"/>
      <c r="E318" s="311"/>
      <c r="F318" s="738"/>
      <c r="G318" s="311"/>
      <c r="H318" s="311"/>
      <c r="I318" s="311"/>
      <c r="J318" s="311"/>
      <c r="K318" s="311"/>
      <c r="L318" s="323">
        <f>+L317+L316+L314</f>
        <v>1032446123111</v>
      </c>
      <c r="M318" s="323"/>
      <c r="N318" s="323"/>
      <c r="O318" s="323"/>
      <c r="P318" s="323"/>
      <c r="Q318" s="323"/>
      <c r="R318" s="323"/>
      <c r="S318" s="323"/>
      <c r="T318" s="323"/>
      <c r="U318" s="323"/>
      <c r="V318" s="311"/>
      <c r="W318" s="311"/>
      <c r="X318" s="311"/>
      <c r="Y318" s="311"/>
      <c r="Z318" s="311"/>
      <c r="AA318" s="311"/>
      <c r="AB318" s="311"/>
      <c r="AC318" s="311"/>
      <c r="AI318" s="274"/>
      <c r="AJ318" s="274"/>
      <c r="AK318" s="274"/>
      <c r="AL318" s="274"/>
      <c r="AM318" s="274"/>
      <c r="AN318" s="274"/>
      <c r="AO318" s="274"/>
      <c r="AP318" s="272"/>
      <c r="AQ318" s="272"/>
      <c r="AR318" s="272"/>
    </row>
    <row r="319" spans="1:44" s="273" customFormat="1" x14ac:dyDescent="0.25">
      <c r="A319" s="311"/>
      <c r="B319" s="311"/>
      <c r="C319" s="311"/>
      <c r="D319" s="311"/>
      <c r="E319" s="311"/>
      <c r="F319" s="738"/>
      <c r="G319" s="311"/>
      <c r="H319" s="311"/>
      <c r="I319" s="311"/>
      <c r="J319" s="311"/>
      <c r="K319" s="311"/>
      <c r="L319" s="324"/>
      <c r="M319" s="324"/>
      <c r="N319" s="324"/>
      <c r="O319" s="324"/>
      <c r="P319" s="324"/>
      <c r="Q319" s="324"/>
      <c r="R319" s="324"/>
      <c r="S319" s="324"/>
      <c r="T319" s="324"/>
      <c r="U319" s="324"/>
      <c r="V319" s="311"/>
      <c r="W319" s="311"/>
      <c r="X319" s="311"/>
      <c r="Y319" s="311"/>
      <c r="Z319" s="311"/>
      <c r="AA319" s="311"/>
      <c r="AB319" s="311"/>
      <c r="AC319" s="311"/>
      <c r="AI319" s="274"/>
      <c r="AJ319" s="274"/>
      <c r="AK319" s="274"/>
      <c r="AL319" s="274"/>
      <c r="AM319" s="274"/>
      <c r="AN319" s="274"/>
      <c r="AO319" s="274"/>
      <c r="AP319" s="316"/>
      <c r="AQ319" s="272"/>
      <c r="AR319" s="272"/>
    </row>
    <row r="320" spans="1:44" s="273" customFormat="1" x14ac:dyDescent="0.25">
      <c r="A320" s="311"/>
      <c r="B320" s="311"/>
      <c r="C320" s="311"/>
      <c r="D320" s="311"/>
      <c r="E320" s="311"/>
      <c r="F320" s="738"/>
      <c r="G320" s="311"/>
      <c r="H320" s="311"/>
      <c r="I320" s="311"/>
      <c r="J320" s="311"/>
      <c r="K320" s="311"/>
      <c r="L320" s="311"/>
      <c r="M320" s="311"/>
      <c r="N320" s="311"/>
      <c r="O320" s="311"/>
      <c r="P320" s="311"/>
      <c r="Q320" s="311"/>
      <c r="R320" s="311"/>
      <c r="S320" s="311"/>
      <c r="T320" s="311"/>
      <c r="U320" s="311"/>
      <c r="V320" s="311"/>
      <c r="W320" s="311"/>
      <c r="X320" s="311"/>
      <c r="Y320" s="311"/>
      <c r="Z320" s="311"/>
      <c r="AA320" s="311"/>
      <c r="AB320" s="311"/>
      <c r="AC320" s="311"/>
      <c r="AI320" s="274"/>
      <c r="AJ320" s="274"/>
      <c r="AK320" s="274"/>
      <c r="AL320" s="274"/>
      <c r="AM320" s="274"/>
      <c r="AN320" s="274"/>
      <c r="AO320" s="274"/>
      <c r="AP320" s="272"/>
      <c r="AQ320" s="272"/>
      <c r="AR320" s="272"/>
    </row>
    <row r="321" spans="1:44" s="273" customFormat="1" x14ac:dyDescent="0.25">
      <c r="A321" s="311"/>
      <c r="B321" s="311"/>
      <c r="C321" s="311"/>
      <c r="D321" s="311"/>
      <c r="E321" s="311"/>
      <c r="F321" s="738"/>
      <c r="G321" s="311"/>
      <c r="H321" s="311"/>
      <c r="I321" s="311"/>
      <c r="J321" s="311"/>
      <c r="K321" s="311"/>
      <c r="L321" s="311"/>
      <c r="M321" s="311"/>
      <c r="N321" s="311"/>
      <c r="O321" s="311"/>
      <c r="P321" s="311"/>
      <c r="Q321" s="311"/>
      <c r="R321" s="311"/>
      <c r="S321" s="311"/>
      <c r="T321" s="311"/>
      <c r="U321" s="311"/>
      <c r="V321" s="311"/>
      <c r="W321" s="311"/>
      <c r="X321" s="311"/>
      <c r="Y321" s="311"/>
      <c r="Z321" s="311"/>
      <c r="AA321" s="311"/>
      <c r="AB321" s="311"/>
      <c r="AC321" s="311"/>
      <c r="AH321" s="874"/>
      <c r="AI321" s="274"/>
      <c r="AJ321" s="274"/>
      <c r="AK321" s="274"/>
      <c r="AL321" s="274"/>
      <c r="AM321" s="274"/>
      <c r="AN321" s="274"/>
      <c r="AO321" s="274"/>
      <c r="AP321" s="272"/>
      <c r="AQ321" s="272"/>
      <c r="AR321" s="272"/>
    </row>
    <row r="322" spans="1:44" s="273" customFormat="1" x14ac:dyDescent="0.25">
      <c r="A322" s="311"/>
      <c r="B322" s="311"/>
      <c r="C322" s="311"/>
      <c r="D322" s="311"/>
      <c r="E322" s="311"/>
      <c r="F322" s="738"/>
      <c r="G322" s="311"/>
      <c r="H322" s="311"/>
      <c r="I322" s="311"/>
      <c r="J322" s="311"/>
      <c r="K322" s="311"/>
      <c r="L322" s="311"/>
      <c r="M322" s="311"/>
      <c r="N322" s="311"/>
      <c r="O322" s="311"/>
      <c r="P322" s="311"/>
      <c r="Q322" s="311"/>
      <c r="R322" s="311"/>
      <c r="S322" s="311"/>
      <c r="T322" s="311"/>
      <c r="U322" s="311"/>
      <c r="V322" s="311"/>
      <c r="W322" s="311"/>
      <c r="X322" s="311"/>
      <c r="Y322" s="311"/>
      <c r="Z322" s="311"/>
      <c r="AA322" s="311"/>
      <c r="AB322" s="311"/>
      <c r="AC322" s="311"/>
      <c r="AH322" s="274"/>
      <c r="AI322" s="274"/>
      <c r="AJ322" s="274"/>
      <c r="AK322" s="274"/>
      <c r="AL322" s="274"/>
      <c r="AM322" s="274"/>
      <c r="AN322" s="274"/>
      <c r="AO322" s="274"/>
      <c r="AP322" s="272"/>
      <c r="AQ322" s="272"/>
      <c r="AR322" s="272"/>
    </row>
    <row r="323" spans="1:44" s="273" customFormat="1" x14ac:dyDescent="0.25">
      <c r="A323" s="311"/>
      <c r="B323" s="311"/>
      <c r="C323" s="311"/>
      <c r="D323" s="311"/>
      <c r="E323" s="311"/>
      <c r="F323" s="738"/>
      <c r="G323" s="311"/>
      <c r="H323" s="311"/>
      <c r="I323" s="311"/>
      <c r="J323" s="311"/>
      <c r="K323" s="311"/>
      <c r="L323" s="311"/>
      <c r="M323" s="311"/>
      <c r="N323" s="311"/>
      <c r="O323" s="311"/>
      <c r="P323" s="311"/>
      <c r="Q323" s="311"/>
      <c r="R323" s="311"/>
      <c r="S323" s="311"/>
      <c r="T323" s="311"/>
      <c r="U323" s="311"/>
      <c r="V323" s="311"/>
      <c r="W323" s="311"/>
      <c r="X323" s="311"/>
      <c r="Y323" s="311"/>
      <c r="Z323" s="311"/>
      <c r="AA323" s="311"/>
      <c r="AB323" s="311"/>
      <c r="AC323" s="311"/>
      <c r="AH323" s="274"/>
      <c r="AI323" s="274"/>
      <c r="AJ323" s="274"/>
      <c r="AK323" s="274"/>
      <c r="AL323" s="274"/>
      <c r="AM323" s="274"/>
      <c r="AN323" s="274"/>
      <c r="AO323" s="274"/>
      <c r="AP323" s="272"/>
      <c r="AQ323" s="272"/>
      <c r="AR323" s="272"/>
    </row>
    <row r="324" spans="1:44" s="273" customFormat="1" x14ac:dyDescent="0.25">
      <c r="A324" s="311"/>
      <c r="B324" s="311"/>
      <c r="C324" s="311"/>
      <c r="D324" s="311"/>
      <c r="E324" s="311"/>
      <c r="F324" s="738"/>
      <c r="G324" s="311"/>
      <c r="H324" s="311"/>
      <c r="I324" s="311"/>
      <c r="J324" s="311"/>
      <c r="K324" s="311"/>
      <c r="L324" s="311"/>
      <c r="M324" s="311"/>
      <c r="N324" s="311"/>
      <c r="O324" s="311"/>
      <c r="P324" s="311"/>
      <c r="Q324" s="311"/>
      <c r="R324" s="311"/>
      <c r="S324" s="311"/>
      <c r="T324" s="311"/>
      <c r="U324" s="311"/>
      <c r="V324" s="311"/>
      <c r="W324" s="311"/>
      <c r="X324" s="311"/>
      <c r="Y324" s="311"/>
      <c r="Z324" s="311"/>
      <c r="AA324" s="311"/>
      <c r="AB324" s="311"/>
      <c r="AC324" s="311"/>
      <c r="AH324" s="274"/>
      <c r="AI324" s="274"/>
      <c r="AJ324" s="274"/>
      <c r="AK324" s="274"/>
      <c r="AL324" s="274"/>
      <c r="AM324" s="274"/>
      <c r="AN324" s="274"/>
      <c r="AO324" s="274"/>
      <c r="AP324" s="272"/>
      <c r="AQ324" s="272"/>
      <c r="AR324" s="272"/>
    </row>
    <row r="325" spans="1:44" s="273" customFormat="1" x14ac:dyDescent="0.25">
      <c r="A325" s="311"/>
      <c r="B325" s="311"/>
      <c r="C325" s="311"/>
      <c r="D325" s="311"/>
      <c r="E325" s="311"/>
      <c r="F325" s="738"/>
      <c r="G325" s="311"/>
      <c r="H325" s="311"/>
      <c r="I325" s="311"/>
      <c r="J325" s="311"/>
      <c r="K325" s="311"/>
      <c r="L325" s="311"/>
      <c r="M325" s="311"/>
      <c r="N325" s="311"/>
      <c r="O325" s="311"/>
      <c r="P325" s="311"/>
      <c r="Q325" s="311"/>
      <c r="R325" s="311"/>
      <c r="S325" s="311"/>
      <c r="T325" s="311"/>
      <c r="U325" s="311"/>
      <c r="V325" s="311"/>
      <c r="W325" s="311"/>
      <c r="X325" s="311"/>
      <c r="Y325" s="311"/>
      <c r="Z325" s="311"/>
      <c r="AA325" s="311"/>
      <c r="AB325" s="311"/>
      <c r="AC325" s="311"/>
      <c r="AH325" s="274"/>
      <c r="AI325" s="274"/>
      <c r="AJ325" s="274"/>
      <c r="AK325" s="274"/>
      <c r="AL325" s="274"/>
      <c r="AM325" s="274"/>
      <c r="AN325" s="274"/>
      <c r="AO325" s="274"/>
      <c r="AP325" s="272"/>
      <c r="AQ325" s="272"/>
      <c r="AR325" s="272"/>
    </row>
    <row r="326" spans="1:44" s="273" customFormat="1" x14ac:dyDescent="0.25">
      <c r="A326" s="311"/>
      <c r="B326" s="311"/>
      <c r="C326" s="311"/>
      <c r="D326" s="311"/>
      <c r="E326" s="311"/>
      <c r="F326" s="738"/>
      <c r="G326" s="311"/>
      <c r="H326" s="311"/>
      <c r="I326" s="311"/>
      <c r="J326" s="311"/>
      <c r="K326" s="311"/>
      <c r="L326" s="311"/>
      <c r="M326" s="311"/>
      <c r="N326" s="311"/>
      <c r="O326" s="311"/>
      <c r="P326" s="311"/>
      <c r="Q326" s="311"/>
      <c r="R326" s="311"/>
      <c r="S326" s="311"/>
      <c r="T326" s="311"/>
      <c r="U326" s="311"/>
      <c r="V326" s="311"/>
      <c r="W326" s="311"/>
      <c r="X326" s="311"/>
      <c r="Y326" s="311"/>
      <c r="Z326" s="311"/>
      <c r="AA326" s="311"/>
      <c r="AB326" s="311"/>
      <c r="AC326" s="311"/>
      <c r="AH326" s="274"/>
      <c r="AI326" s="274"/>
      <c r="AJ326" s="274"/>
      <c r="AK326" s="274"/>
      <c r="AL326" s="274"/>
      <c r="AM326" s="274"/>
      <c r="AN326" s="274"/>
      <c r="AO326" s="274"/>
      <c r="AP326" s="272"/>
      <c r="AQ326" s="272"/>
      <c r="AR326" s="272"/>
    </row>
    <row r="327" spans="1:44" s="273" customFormat="1" x14ac:dyDescent="0.25">
      <c r="A327" s="311"/>
      <c r="B327" s="311"/>
      <c r="C327" s="311"/>
      <c r="D327" s="311"/>
      <c r="E327" s="311"/>
      <c r="F327" s="738"/>
      <c r="G327" s="311"/>
      <c r="H327" s="311"/>
      <c r="I327" s="311"/>
      <c r="J327" s="311"/>
      <c r="K327" s="311"/>
      <c r="L327" s="311"/>
      <c r="M327" s="311"/>
      <c r="N327" s="311"/>
      <c r="O327" s="311"/>
      <c r="P327" s="311"/>
      <c r="Q327" s="311"/>
      <c r="R327" s="311"/>
      <c r="S327" s="311"/>
      <c r="T327" s="311"/>
      <c r="U327" s="311"/>
      <c r="V327" s="311"/>
      <c r="W327" s="311"/>
      <c r="X327" s="311"/>
      <c r="Y327" s="311"/>
      <c r="Z327" s="311"/>
      <c r="AA327" s="311"/>
      <c r="AB327" s="311"/>
      <c r="AC327" s="311"/>
      <c r="AH327" s="274"/>
      <c r="AI327" s="274"/>
      <c r="AJ327" s="274"/>
      <c r="AK327" s="274"/>
      <c r="AL327" s="274"/>
      <c r="AM327" s="274"/>
      <c r="AN327" s="274"/>
      <c r="AO327" s="274"/>
      <c r="AP327" s="272"/>
      <c r="AQ327" s="272"/>
      <c r="AR327" s="272"/>
    </row>
    <row r="328" spans="1:44" s="273" customFormat="1" x14ac:dyDescent="0.25">
      <c r="A328" s="311"/>
      <c r="B328" s="311"/>
      <c r="C328" s="311"/>
      <c r="D328" s="311"/>
      <c r="E328" s="311"/>
      <c r="F328" s="738"/>
      <c r="G328" s="311"/>
      <c r="H328" s="311"/>
      <c r="I328" s="311"/>
      <c r="J328" s="311"/>
      <c r="K328" s="311"/>
      <c r="L328" s="311"/>
      <c r="M328" s="311"/>
      <c r="N328" s="311"/>
      <c r="O328" s="311"/>
      <c r="P328" s="311"/>
      <c r="Q328" s="311"/>
      <c r="R328" s="311"/>
      <c r="S328" s="311"/>
      <c r="T328" s="311"/>
      <c r="U328" s="311"/>
      <c r="V328" s="311"/>
      <c r="W328" s="311"/>
      <c r="X328" s="311"/>
      <c r="Y328" s="311"/>
      <c r="Z328" s="311"/>
      <c r="AA328" s="311"/>
      <c r="AB328" s="311"/>
      <c r="AC328" s="311"/>
      <c r="AH328" s="274"/>
      <c r="AI328" s="274"/>
      <c r="AJ328" s="274"/>
      <c r="AK328" s="274"/>
      <c r="AL328" s="274"/>
      <c r="AM328" s="274"/>
      <c r="AN328" s="274"/>
      <c r="AO328" s="274"/>
      <c r="AP328" s="272"/>
      <c r="AQ328" s="272"/>
      <c r="AR328" s="272"/>
    </row>
    <row r="329" spans="1:44" s="273" customFormat="1" x14ac:dyDescent="0.25">
      <c r="A329" s="311"/>
      <c r="B329" s="311"/>
      <c r="C329" s="311"/>
      <c r="D329" s="311"/>
      <c r="E329" s="311"/>
      <c r="F329" s="738"/>
      <c r="G329" s="311"/>
      <c r="H329" s="311"/>
      <c r="I329" s="311"/>
      <c r="J329" s="311"/>
      <c r="K329" s="311"/>
      <c r="L329" s="311"/>
      <c r="M329" s="311"/>
      <c r="N329" s="311"/>
      <c r="O329" s="311"/>
      <c r="P329" s="311"/>
      <c r="Q329" s="311"/>
      <c r="R329" s="311"/>
      <c r="S329" s="311"/>
      <c r="T329" s="311"/>
      <c r="U329" s="311"/>
      <c r="V329" s="311"/>
      <c r="W329" s="311"/>
      <c r="X329" s="311"/>
      <c r="Y329" s="311"/>
      <c r="Z329" s="311"/>
      <c r="AA329" s="311"/>
      <c r="AB329" s="311"/>
      <c r="AC329" s="311"/>
      <c r="AH329" s="274"/>
      <c r="AI329" s="274"/>
      <c r="AJ329" s="274"/>
      <c r="AK329" s="274"/>
      <c r="AL329" s="274"/>
      <c r="AM329" s="274"/>
      <c r="AN329" s="274"/>
      <c r="AO329" s="274"/>
      <c r="AP329" s="272"/>
      <c r="AQ329" s="272"/>
      <c r="AR329" s="272"/>
    </row>
    <row r="330" spans="1:44" s="273" customFormat="1" x14ac:dyDescent="0.25">
      <c r="A330" s="311"/>
      <c r="B330" s="311"/>
      <c r="C330" s="311"/>
      <c r="D330" s="311"/>
      <c r="E330" s="311"/>
      <c r="F330" s="738"/>
      <c r="G330" s="311"/>
      <c r="H330" s="311"/>
      <c r="I330" s="311"/>
      <c r="J330" s="311"/>
      <c r="K330" s="311"/>
      <c r="L330" s="311"/>
      <c r="M330" s="311"/>
      <c r="N330" s="311"/>
      <c r="O330" s="311"/>
      <c r="P330" s="311"/>
      <c r="Q330" s="311"/>
      <c r="R330" s="311"/>
      <c r="S330" s="311"/>
      <c r="T330" s="311"/>
      <c r="U330" s="311"/>
      <c r="V330" s="311"/>
      <c r="W330" s="311"/>
      <c r="X330" s="311"/>
      <c r="Y330" s="311"/>
      <c r="Z330" s="311"/>
      <c r="AA330" s="311"/>
      <c r="AB330" s="311"/>
      <c r="AC330" s="311"/>
      <c r="AH330" s="274"/>
      <c r="AI330" s="274"/>
      <c r="AJ330" s="274"/>
      <c r="AK330" s="274"/>
      <c r="AL330" s="274"/>
      <c r="AM330" s="274"/>
      <c r="AN330" s="274"/>
      <c r="AO330" s="274"/>
      <c r="AP330" s="272"/>
      <c r="AQ330" s="272"/>
      <c r="AR330" s="272"/>
    </row>
    <row r="331" spans="1:44" s="273" customFormat="1" x14ac:dyDescent="0.25">
      <c r="A331" s="311"/>
      <c r="B331" s="311"/>
      <c r="C331" s="311"/>
      <c r="D331" s="311"/>
      <c r="E331" s="311"/>
      <c r="F331" s="738"/>
      <c r="G331" s="311"/>
      <c r="H331" s="311"/>
      <c r="I331" s="311"/>
      <c r="J331" s="311"/>
      <c r="K331" s="311"/>
      <c r="L331" s="311"/>
      <c r="M331" s="311"/>
      <c r="N331" s="311"/>
      <c r="O331" s="311"/>
      <c r="P331" s="311"/>
      <c r="Q331" s="311"/>
      <c r="R331" s="311"/>
      <c r="S331" s="311"/>
      <c r="T331" s="311"/>
      <c r="U331" s="311"/>
      <c r="V331" s="311"/>
      <c r="W331" s="311"/>
      <c r="X331" s="311"/>
      <c r="Y331" s="311"/>
      <c r="Z331" s="311"/>
      <c r="AA331" s="311"/>
      <c r="AB331" s="311"/>
      <c r="AC331" s="311"/>
      <c r="AH331" s="274"/>
      <c r="AI331" s="274"/>
      <c r="AJ331" s="274"/>
      <c r="AK331" s="274"/>
      <c r="AL331" s="274"/>
      <c r="AM331" s="274"/>
      <c r="AN331" s="274"/>
      <c r="AO331" s="274"/>
      <c r="AP331" s="272"/>
      <c r="AQ331" s="272"/>
      <c r="AR331" s="272"/>
    </row>
    <row r="332" spans="1:44" s="273" customFormat="1" x14ac:dyDescent="0.25">
      <c r="A332" s="311"/>
      <c r="B332" s="311"/>
      <c r="C332" s="311"/>
      <c r="D332" s="311"/>
      <c r="E332" s="311"/>
      <c r="F332" s="738"/>
      <c r="G332" s="311"/>
      <c r="H332" s="311"/>
      <c r="I332" s="311"/>
      <c r="J332" s="311"/>
      <c r="K332" s="311"/>
      <c r="L332" s="311"/>
      <c r="M332" s="311"/>
      <c r="N332" s="311"/>
      <c r="O332" s="311"/>
      <c r="P332" s="311"/>
      <c r="Q332" s="311"/>
      <c r="R332" s="311"/>
      <c r="S332" s="311"/>
      <c r="T332" s="311"/>
      <c r="U332" s="311"/>
      <c r="V332" s="311"/>
      <c r="W332" s="311"/>
      <c r="X332" s="311"/>
      <c r="Y332" s="311"/>
      <c r="Z332" s="311"/>
      <c r="AA332" s="311"/>
      <c r="AB332" s="311"/>
      <c r="AC332" s="311"/>
      <c r="AH332" s="274"/>
      <c r="AI332" s="274"/>
      <c r="AJ332" s="274"/>
      <c r="AK332" s="274"/>
      <c r="AL332" s="274"/>
      <c r="AM332" s="274"/>
      <c r="AN332" s="274"/>
      <c r="AO332" s="274"/>
      <c r="AP332" s="272"/>
      <c r="AQ332" s="272"/>
      <c r="AR332" s="272"/>
    </row>
    <row r="333" spans="1:44" s="273" customFormat="1" x14ac:dyDescent="0.25">
      <c r="A333" s="311"/>
      <c r="B333" s="311"/>
      <c r="C333" s="311"/>
      <c r="D333" s="311"/>
      <c r="E333" s="311"/>
      <c r="F333" s="738"/>
      <c r="G333" s="311"/>
      <c r="H333" s="311"/>
      <c r="I333" s="311"/>
      <c r="J333" s="311"/>
      <c r="K333" s="311"/>
      <c r="L333" s="311"/>
      <c r="M333" s="311"/>
      <c r="N333" s="311"/>
      <c r="O333" s="311"/>
      <c r="P333" s="311"/>
      <c r="Q333" s="311"/>
      <c r="R333" s="311"/>
      <c r="S333" s="311"/>
      <c r="T333" s="311"/>
      <c r="U333" s="311"/>
      <c r="V333" s="311"/>
      <c r="W333" s="311"/>
      <c r="X333" s="311"/>
      <c r="Y333" s="311"/>
      <c r="Z333" s="311"/>
      <c r="AA333" s="311"/>
      <c r="AB333" s="311"/>
      <c r="AC333" s="311"/>
      <c r="AH333" s="274"/>
      <c r="AI333" s="274"/>
      <c r="AJ333" s="274"/>
      <c r="AK333" s="274"/>
      <c r="AL333" s="274"/>
      <c r="AM333" s="274"/>
      <c r="AN333" s="274"/>
      <c r="AO333" s="274"/>
      <c r="AP333" s="272"/>
      <c r="AQ333" s="272"/>
      <c r="AR333" s="272"/>
    </row>
    <row r="334" spans="1:44" s="273" customFormat="1" x14ac:dyDescent="0.25">
      <c r="A334" s="311"/>
      <c r="B334" s="311"/>
      <c r="C334" s="311"/>
      <c r="D334" s="311"/>
      <c r="E334" s="311"/>
      <c r="F334" s="738"/>
      <c r="G334" s="311"/>
      <c r="H334" s="311"/>
      <c r="I334" s="311"/>
      <c r="J334" s="311"/>
      <c r="K334" s="311"/>
      <c r="L334" s="311"/>
      <c r="M334" s="311"/>
      <c r="N334" s="311"/>
      <c r="O334" s="311"/>
      <c r="P334" s="311"/>
      <c r="Q334" s="311"/>
      <c r="R334" s="311"/>
      <c r="S334" s="311"/>
      <c r="T334" s="311"/>
      <c r="U334" s="311"/>
      <c r="V334" s="311"/>
      <c r="W334" s="311"/>
      <c r="X334" s="311"/>
      <c r="Y334" s="311"/>
      <c r="Z334" s="311"/>
      <c r="AA334" s="311"/>
      <c r="AB334" s="311"/>
      <c r="AC334" s="311"/>
      <c r="AH334" s="274"/>
      <c r="AI334" s="274"/>
      <c r="AJ334" s="274"/>
      <c r="AK334" s="274"/>
      <c r="AL334" s="274"/>
      <c r="AM334" s="274"/>
      <c r="AN334" s="274"/>
      <c r="AO334" s="274"/>
      <c r="AP334" s="272"/>
      <c r="AQ334" s="272"/>
      <c r="AR334" s="272"/>
    </row>
    <row r="335" spans="1:44" s="273" customFormat="1" x14ac:dyDescent="0.25">
      <c r="A335" s="311"/>
      <c r="B335" s="311"/>
      <c r="C335" s="311"/>
      <c r="D335" s="311"/>
      <c r="E335" s="311"/>
      <c r="F335" s="738"/>
      <c r="G335" s="311"/>
      <c r="H335" s="311"/>
      <c r="I335" s="311"/>
      <c r="J335" s="311"/>
      <c r="K335" s="311"/>
      <c r="L335" s="311"/>
      <c r="M335" s="311"/>
      <c r="N335" s="311"/>
      <c r="O335" s="311"/>
      <c r="P335" s="311"/>
      <c r="Q335" s="311"/>
      <c r="R335" s="311"/>
      <c r="S335" s="311"/>
      <c r="T335" s="311"/>
      <c r="U335" s="311"/>
      <c r="V335" s="311"/>
      <c r="W335" s="311"/>
      <c r="X335" s="311"/>
      <c r="Y335" s="311"/>
      <c r="Z335" s="311"/>
      <c r="AA335" s="311"/>
      <c r="AB335" s="311"/>
      <c r="AC335" s="311"/>
      <c r="AH335" s="274"/>
      <c r="AI335" s="274"/>
      <c r="AJ335" s="274"/>
      <c r="AK335" s="274"/>
      <c r="AL335" s="274"/>
      <c r="AM335" s="274"/>
      <c r="AN335" s="274"/>
      <c r="AO335" s="274"/>
      <c r="AP335" s="272"/>
      <c r="AQ335" s="272"/>
      <c r="AR335" s="272"/>
    </row>
    <row r="336" spans="1:44" s="273" customFormat="1" x14ac:dyDescent="0.25">
      <c r="A336" s="311"/>
      <c r="B336" s="311"/>
      <c r="C336" s="311"/>
      <c r="D336" s="311"/>
      <c r="E336" s="311"/>
      <c r="F336" s="738"/>
      <c r="G336" s="311"/>
      <c r="H336" s="311"/>
      <c r="I336" s="311"/>
      <c r="J336" s="311"/>
      <c r="K336" s="311"/>
      <c r="L336" s="311"/>
      <c r="M336" s="311"/>
      <c r="N336" s="311"/>
      <c r="O336" s="311"/>
      <c r="P336" s="311"/>
      <c r="Q336" s="311"/>
      <c r="R336" s="311"/>
      <c r="S336" s="311"/>
      <c r="T336" s="311"/>
      <c r="U336" s="311"/>
      <c r="V336" s="311"/>
      <c r="W336" s="311"/>
      <c r="X336" s="311"/>
      <c r="Y336" s="311"/>
      <c r="Z336" s="311"/>
      <c r="AA336" s="311"/>
      <c r="AB336" s="311"/>
      <c r="AC336" s="311"/>
      <c r="AH336" s="274"/>
      <c r="AI336" s="274"/>
      <c r="AJ336" s="274"/>
      <c r="AK336" s="274"/>
      <c r="AL336" s="274"/>
      <c r="AM336" s="274"/>
      <c r="AN336" s="274"/>
      <c r="AO336" s="274"/>
      <c r="AP336" s="272"/>
      <c r="AQ336" s="272"/>
      <c r="AR336" s="272"/>
    </row>
    <row r="337" spans="1:44" s="273" customFormat="1" x14ac:dyDescent="0.25">
      <c r="A337" s="311"/>
      <c r="B337" s="311"/>
      <c r="C337" s="311"/>
      <c r="D337" s="311"/>
      <c r="E337" s="311"/>
      <c r="F337" s="738"/>
      <c r="G337" s="311"/>
      <c r="H337" s="311"/>
      <c r="I337" s="311"/>
      <c r="J337" s="311"/>
      <c r="K337" s="311"/>
      <c r="L337" s="311"/>
      <c r="M337" s="311"/>
      <c r="N337" s="311"/>
      <c r="O337" s="311"/>
      <c r="P337" s="311"/>
      <c r="Q337" s="311"/>
      <c r="R337" s="311"/>
      <c r="S337" s="311"/>
      <c r="T337" s="311"/>
      <c r="U337" s="311"/>
      <c r="V337" s="311"/>
      <c r="W337" s="311"/>
      <c r="X337" s="311"/>
      <c r="Y337" s="311"/>
      <c r="Z337" s="311"/>
      <c r="AA337" s="311"/>
      <c r="AB337" s="311"/>
      <c r="AC337" s="311"/>
      <c r="AH337" s="274"/>
      <c r="AI337" s="274"/>
      <c r="AJ337" s="274"/>
      <c r="AK337" s="274"/>
      <c r="AL337" s="274"/>
      <c r="AM337" s="274"/>
      <c r="AN337" s="274"/>
      <c r="AO337" s="274"/>
      <c r="AP337" s="272"/>
      <c r="AQ337" s="272"/>
      <c r="AR337" s="272"/>
    </row>
    <row r="338" spans="1:44" s="273" customFormat="1" x14ac:dyDescent="0.25">
      <c r="A338" s="311"/>
      <c r="B338" s="311"/>
      <c r="C338" s="311"/>
      <c r="D338" s="311"/>
      <c r="E338" s="311"/>
      <c r="F338" s="738"/>
      <c r="G338" s="311"/>
      <c r="H338" s="311"/>
      <c r="I338" s="311"/>
      <c r="J338" s="311"/>
      <c r="K338" s="311"/>
      <c r="L338" s="311"/>
      <c r="M338" s="311"/>
      <c r="N338" s="311"/>
      <c r="O338" s="311"/>
      <c r="P338" s="311"/>
      <c r="Q338" s="311"/>
      <c r="R338" s="311"/>
      <c r="S338" s="311"/>
      <c r="T338" s="311"/>
      <c r="U338" s="311"/>
      <c r="V338" s="311"/>
      <c r="W338" s="311"/>
      <c r="X338" s="311"/>
      <c r="Y338" s="311"/>
      <c r="Z338" s="311"/>
      <c r="AA338" s="311"/>
      <c r="AB338" s="311"/>
      <c r="AC338" s="311"/>
      <c r="AH338" s="274"/>
      <c r="AI338" s="274"/>
      <c r="AJ338" s="274"/>
      <c r="AK338" s="274"/>
      <c r="AL338" s="274"/>
      <c r="AM338" s="274"/>
      <c r="AN338" s="274"/>
      <c r="AO338" s="274"/>
      <c r="AP338" s="272"/>
      <c r="AQ338" s="272"/>
      <c r="AR338" s="272"/>
    </row>
    <row r="339" spans="1:44" s="273" customFormat="1" x14ac:dyDescent="0.25">
      <c r="A339" s="311"/>
      <c r="B339" s="311"/>
      <c r="C339" s="311"/>
      <c r="D339" s="311"/>
      <c r="E339" s="311"/>
      <c r="F339" s="738"/>
      <c r="G339" s="311"/>
      <c r="H339" s="311"/>
      <c r="I339" s="311"/>
      <c r="J339" s="311"/>
      <c r="K339" s="311"/>
      <c r="L339" s="311"/>
      <c r="M339" s="311"/>
      <c r="N339" s="311"/>
      <c r="O339" s="311"/>
      <c r="P339" s="311"/>
      <c r="Q339" s="311"/>
      <c r="R339" s="311"/>
      <c r="S339" s="311"/>
      <c r="T339" s="311"/>
      <c r="U339" s="311"/>
      <c r="V339" s="311"/>
      <c r="W339" s="311"/>
      <c r="X339" s="311"/>
      <c r="Y339" s="311"/>
      <c r="Z339" s="311"/>
      <c r="AA339" s="311"/>
      <c r="AB339" s="311"/>
      <c r="AC339" s="311"/>
      <c r="AH339" s="274"/>
      <c r="AI339" s="274"/>
      <c r="AJ339" s="274"/>
      <c r="AK339" s="274"/>
      <c r="AL339" s="274"/>
      <c r="AM339" s="274"/>
      <c r="AN339" s="274"/>
      <c r="AO339" s="274"/>
      <c r="AP339" s="272"/>
      <c r="AQ339" s="272"/>
      <c r="AR339" s="272"/>
    </row>
    <row r="340" spans="1:44" s="273" customFormat="1" x14ac:dyDescent="0.25">
      <c r="A340" s="311"/>
      <c r="B340" s="311"/>
      <c r="C340" s="311"/>
      <c r="D340" s="311"/>
      <c r="E340" s="311"/>
      <c r="F340" s="738"/>
      <c r="G340" s="311"/>
      <c r="H340" s="311"/>
      <c r="I340" s="311"/>
      <c r="J340" s="311"/>
      <c r="K340" s="311"/>
      <c r="L340" s="311"/>
      <c r="M340" s="311"/>
      <c r="N340" s="311"/>
      <c r="O340" s="311"/>
      <c r="P340" s="311"/>
      <c r="Q340" s="311"/>
      <c r="R340" s="311"/>
      <c r="S340" s="311"/>
      <c r="T340" s="311"/>
      <c r="U340" s="311"/>
      <c r="V340" s="311"/>
      <c r="W340" s="311"/>
      <c r="X340" s="311"/>
      <c r="Y340" s="311"/>
      <c r="Z340" s="311"/>
      <c r="AA340" s="311"/>
      <c r="AB340" s="311"/>
      <c r="AC340" s="311"/>
      <c r="AH340" s="274"/>
      <c r="AI340" s="274"/>
      <c r="AJ340" s="274"/>
      <c r="AK340" s="274"/>
      <c r="AL340" s="274"/>
      <c r="AM340" s="274"/>
      <c r="AN340" s="274"/>
      <c r="AO340" s="274"/>
      <c r="AP340" s="272"/>
      <c r="AQ340" s="272"/>
      <c r="AR340" s="272"/>
    </row>
    <row r="341" spans="1:44" s="273" customFormat="1" x14ac:dyDescent="0.25">
      <c r="A341" s="311"/>
      <c r="B341" s="311"/>
      <c r="C341" s="311"/>
      <c r="D341" s="311"/>
      <c r="E341" s="311"/>
      <c r="F341" s="738"/>
      <c r="G341" s="311"/>
      <c r="H341" s="311"/>
      <c r="I341" s="311"/>
      <c r="J341" s="311"/>
      <c r="K341" s="311"/>
      <c r="L341" s="311"/>
      <c r="M341" s="311"/>
      <c r="N341" s="311"/>
      <c r="O341" s="311"/>
      <c r="P341" s="311"/>
      <c r="Q341" s="311"/>
      <c r="R341" s="311"/>
      <c r="S341" s="311"/>
      <c r="T341" s="311"/>
      <c r="U341" s="311"/>
      <c r="V341" s="311"/>
      <c r="W341" s="311"/>
      <c r="X341" s="311"/>
      <c r="Y341" s="311"/>
      <c r="Z341" s="311"/>
      <c r="AA341" s="311"/>
      <c r="AB341" s="311"/>
      <c r="AC341" s="311"/>
      <c r="AH341" s="274"/>
      <c r="AI341" s="274"/>
      <c r="AJ341" s="274"/>
      <c r="AK341" s="274"/>
      <c r="AL341" s="274"/>
      <c r="AM341" s="274"/>
      <c r="AN341" s="274"/>
      <c r="AO341" s="274"/>
      <c r="AP341" s="272"/>
      <c r="AQ341" s="272"/>
      <c r="AR341" s="272"/>
    </row>
    <row r="342" spans="1:44" s="273" customFormat="1" x14ac:dyDescent="0.25">
      <c r="A342" s="311"/>
      <c r="B342" s="311"/>
      <c r="C342" s="311"/>
      <c r="D342" s="311"/>
      <c r="E342" s="311"/>
      <c r="F342" s="738"/>
      <c r="G342" s="311"/>
      <c r="H342" s="311"/>
      <c r="I342" s="311"/>
      <c r="J342" s="311"/>
      <c r="K342" s="311"/>
      <c r="L342" s="311"/>
      <c r="M342" s="311"/>
      <c r="N342" s="311"/>
      <c r="O342" s="311"/>
      <c r="P342" s="311"/>
      <c r="Q342" s="311"/>
      <c r="R342" s="311"/>
      <c r="S342" s="311"/>
      <c r="T342" s="311"/>
      <c r="U342" s="311"/>
      <c r="V342" s="311"/>
      <c r="W342" s="311"/>
      <c r="X342" s="311"/>
      <c r="Y342" s="311"/>
      <c r="Z342" s="311"/>
      <c r="AA342" s="311"/>
      <c r="AB342" s="311"/>
      <c r="AC342" s="311"/>
      <c r="AH342" s="274"/>
      <c r="AI342" s="274"/>
      <c r="AJ342" s="274"/>
      <c r="AK342" s="274"/>
      <c r="AL342" s="274"/>
      <c r="AM342" s="274"/>
      <c r="AN342" s="274"/>
      <c r="AO342" s="274"/>
      <c r="AP342" s="272"/>
      <c r="AQ342" s="272"/>
      <c r="AR342" s="272"/>
    </row>
    <row r="343" spans="1:44" s="273" customFormat="1" x14ac:dyDescent="0.25">
      <c r="A343" s="311"/>
      <c r="B343" s="311"/>
      <c r="C343" s="311"/>
      <c r="D343" s="311"/>
      <c r="E343" s="311"/>
      <c r="F343" s="738"/>
      <c r="G343" s="311"/>
      <c r="H343" s="311"/>
      <c r="I343" s="311"/>
      <c r="J343" s="311"/>
      <c r="K343" s="311"/>
      <c r="L343" s="311"/>
      <c r="M343" s="311"/>
      <c r="N343" s="311"/>
      <c r="O343" s="311"/>
      <c r="P343" s="311"/>
      <c r="Q343" s="311"/>
      <c r="R343" s="311"/>
      <c r="S343" s="311"/>
      <c r="T343" s="311"/>
      <c r="U343" s="311"/>
      <c r="V343" s="311"/>
      <c r="W343" s="311"/>
      <c r="X343" s="311"/>
      <c r="Y343" s="311"/>
      <c r="Z343" s="311"/>
      <c r="AA343" s="311"/>
      <c r="AB343" s="311"/>
      <c r="AC343" s="311"/>
      <c r="AH343" s="274"/>
      <c r="AI343" s="274"/>
      <c r="AJ343" s="274"/>
      <c r="AK343" s="274"/>
      <c r="AL343" s="274"/>
      <c r="AM343" s="274"/>
      <c r="AN343" s="274"/>
      <c r="AO343" s="274"/>
      <c r="AP343" s="272"/>
      <c r="AQ343" s="272"/>
      <c r="AR343" s="272"/>
    </row>
    <row r="344" spans="1:44" s="273" customFormat="1" x14ac:dyDescent="0.25">
      <c r="A344" s="311"/>
      <c r="B344" s="311"/>
      <c r="C344" s="311"/>
      <c r="D344" s="311"/>
      <c r="E344" s="311"/>
      <c r="F344" s="738"/>
      <c r="G344" s="311"/>
      <c r="H344" s="311"/>
      <c r="I344" s="311"/>
      <c r="J344" s="311"/>
      <c r="K344" s="311"/>
      <c r="L344" s="311"/>
      <c r="M344" s="311"/>
      <c r="N344" s="311"/>
      <c r="O344" s="311"/>
      <c r="P344" s="311"/>
      <c r="Q344" s="311"/>
      <c r="R344" s="311"/>
      <c r="S344" s="311"/>
      <c r="T344" s="311"/>
      <c r="U344" s="311"/>
      <c r="V344" s="311"/>
      <c r="W344" s="311"/>
      <c r="X344" s="311"/>
      <c r="Y344" s="311"/>
      <c r="Z344" s="311"/>
      <c r="AA344" s="311"/>
      <c r="AB344" s="311"/>
      <c r="AC344" s="311"/>
      <c r="AH344" s="274"/>
      <c r="AI344" s="274"/>
      <c r="AJ344" s="274"/>
      <c r="AK344" s="274"/>
      <c r="AL344" s="274"/>
      <c r="AM344" s="274"/>
      <c r="AN344" s="274"/>
      <c r="AO344" s="274"/>
      <c r="AP344" s="272"/>
      <c r="AQ344" s="272"/>
      <c r="AR344" s="272"/>
    </row>
    <row r="345" spans="1:44" s="273" customFormat="1" x14ac:dyDescent="0.25">
      <c r="A345" s="311"/>
      <c r="B345" s="311"/>
      <c r="C345" s="311"/>
      <c r="D345" s="311"/>
      <c r="E345" s="311"/>
      <c r="F345" s="738"/>
      <c r="G345" s="311"/>
      <c r="H345" s="311"/>
      <c r="I345" s="311"/>
      <c r="J345" s="311"/>
      <c r="K345" s="311"/>
      <c r="L345" s="311"/>
      <c r="M345" s="311"/>
      <c r="N345" s="311"/>
      <c r="O345" s="311"/>
      <c r="P345" s="311"/>
      <c r="Q345" s="311"/>
      <c r="R345" s="311"/>
      <c r="S345" s="311"/>
      <c r="T345" s="311"/>
      <c r="U345" s="311"/>
      <c r="V345" s="311"/>
      <c r="W345" s="311"/>
      <c r="X345" s="311"/>
      <c r="Y345" s="311"/>
      <c r="Z345" s="311"/>
      <c r="AA345" s="311"/>
      <c r="AB345" s="311"/>
      <c r="AC345" s="311"/>
      <c r="AH345" s="274"/>
      <c r="AI345" s="274"/>
      <c r="AJ345" s="274"/>
      <c r="AK345" s="274"/>
      <c r="AL345" s="274"/>
      <c r="AM345" s="274"/>
      <c r="AN345" s="274"/>
      <c r="AO345" s="274"/>
      <c r="AP345" s="272"/>
      <c r="AQ345" s="272"/>
      <c r="AR345" s="272"/>
    </row>
    <row r="346" spans="1:44" s="273" customFormat="1" x14ac:dyDescent="0.25">
      <c r="A346" s="311"/>
      <c r="B346" s="311"/>
      <c r="C346" s="311"/>
      <c r="D346" s="311"/>
      <c r="E346" s="311"/>
      <c r="F346" s="738"/>
      <c r="G346" s="311"/>
      <c r="H346" s="311"/>
      <c r="I346" s="311"/>
      <c r="J346" s="311"/>
      <c r="K346" s="311"/>
      <c r="L346" s="311"/>
      <c r="M346" s="311"/>
      <c r="N346" s="311"/>
      <c r="O346" s="311"/>
      <c r="P346" s="311"/>
      <c r="Q346" s="311"/>
      <c r="R346" s="311"/>
      <c r="S346" s="311"/>
      <c r="T346" s="311"/>
      <c r="U346" s="311"/>
      <c r="V346" s="311"/>
      <c r="W346" s="311"/>
      <c r="X346" s="311"/>
      <c r="Y346" s="311"/>
      <c r="Z346" s="311"/>
      <c r="AA346" s="311"/>
      <c r="AB346" s="311"/>
      <c r="AC346" s="311"/>
      <c r="AH346" s="274"/>
      <c r="AI346" s="274"/>
      <c r="AJ346" s="274"/>
      <c r="AK346" s="274"/>
      <c r="AL346" s="274"/>
      <c r="AM346" s="274"/>
      <c r="AN346" s="274"/>
      <c r="AO346" s="274"/>
      <c r="AP346" s="272"/>
      <c r="AQ346" s="272"/>
      <c r="AR346" s="272"/>
    </row>
    <row r="347" spans="1:44" s="273" customFormat="1" x14ac:dyDescent="0.25">
      <c r="A347" s="311"/>
      <c r="B347" s="311"/>
      <c r="C347" s="311"/>
      <c r="D347" s="311"/>
      <c r="E347" s="311"/>
      <c r="F347" s="738"/>
      <c r="G347" s="311"/>
      <c r="H347" s="311"/>
      <c r="I347" s="311"/>
      <c r="J347" s="311"/>
      <c r="K347" s="311"/>
      <c r="L347" s="311"/>
      <c r="M347" s="311"/>
      <c r="N347" s="311"/>
      <c r="O347" s="311"/>
      <c r="P347" s="311"/>
      <c r="Q347" s="311"/>
      <c r="R347" s="311"/>
      <c r="S347" s="311"/>
      <c r="T347" s="311"/>
      <c r="U347" s="311"/>
      <c r="V347" s="311"/>
      <c r="W347" s="311"/>
      <c r="X347" s="311"/>
      <c r="Y347" s="311"/>
      <c r="Z347" s="311"/>
      <c r="AA347" s="311"/>
      <c r="AB347" s="311"/>
      <c r="AC347" s="311"/>
      <c r="AH347" s="274"/>
      <c r="AI347" s="274"/>
      <c r="AJ347" s="274"/>
      <c r="AK347" s="274"/>
      <c r="AL347" s="274"/>
      <c r="AM347" s="274"/>
      <c r="AN347" s="274"/>
      <c r="AO347" s="274"/>
      <c r="AP347" s="272"/>
      <c r="AQ347" s="272"/>
      <c r="AR347" s="272"/>
    </row>
    <row r="348" spans="1:44" s="273" customFormat="1" x14ac:dyDescent="0.25">
      <c r="A348" s="311"/>
      <c r="B348" s="311"/>
      <c r="C348" s="311"/>
      <c r="D348" s="311"/>
      <c r="E348" s="311"/>
      <c r="F348" s="738"/>
      <c r="G348" s="311"/>
      <c r="H348" s="311"/>
      <c r="I348" s="311"/>
      <c r="J348" s="311"/>
      <c r="K348" s="311"/>
      <c r="L348" s="311"/>
      <c r="M348" s="311"/>
      <c r="N348" s="311"/>
      <c r="O348" s="311"/>
      <c r="P348" s="311"/>
      <c r="Q348" s="311"/>
      <c r="R348" s="311"/>
      <c r="S348" s="311"/>
      <c r="T348" s="311"/>
      <c r="U348" s="311"/>
      <c r="V348" s="311"/>
      <c r="W348" s="311"/>
      <c r="X348" s="311"/>
      <c r="Y348" s="311"/>
      <c r="Z348" s="311"/>
      <c r="AA348" s="311"/>
      <c r="AB348" s="311"/>
      <c r="AC348" s="311"/>
      <c r="AH348" s="274"/>
      <c r="AI348" s="274"/>
      <c r="AJ348" s="274"/>
      <c r="AK348" s="274"/>
      <c r="AL348" s="274"/>
      <c r="AM348" s="274"/>
      <c r="AN348" s="274"/>
      <c r="AO348" s="274"/>
      <c r="AP348" s="272"/>
      <c r="AQ348" s="272"/>
      <c r="AR348" s="272"/>
    </row>
    <row r="349" spans="1:44" s="273" customFormat="1" x14ac:dyDescent="0.25">
      <c r="A349" s="311"/>
      <c r="B349" s="311"/>
      <c r="C349" s="311"/>
      <c r="D349" s="311"/>
      <c r="E349" s="311"/>
      <c r="F349" s="738"/>
      <c r="G349" s="311"/>
      <c r="H349" s="311"/>
      <c r="I349" s="311"/>
      <c r="J349" s="311"/>
      <c r="K349" s="311"/>
      <c r="L349" s="311"/>
      <c r="M349" s="311"/>
      <c r="N349" s="311"/>
      <c r="O349" s="311"/>
      <c r="P349" s="311"/>
      <c r="Q349" s="311"/>
      <c r="R349" s="311"/>
      <c r="S349" s="311"/>
      <c r="T349" s="311"/>
      <c r="U349" s="311"/>
      <c r="V349" s="311"/>
      <c r="W349" s="311"/>
      <c r="X349" s="311"/>
      <c r="Y349" s="311"/>
      <c r="Z349" s="311"/>
      <c r="AA349" s="311"/>
      <c r="AB349" s="311"/>
      <c r="AC349" s="311"/>
      <c r="AH349" s="274"/>
      <c r="AI349" s="274"/>
      <c r="AJ349" s="274"/>
      <c r="AK349" s="274"/>
      <c r="AL349" s="274"/>
      <c r="AM349" s="274"/>
      <c r="AN349" s="274"/>
      <c r="AO349" s="274"/>
      <c r="AP349" s="272"/>
      <c r="AQ349" s="272"/>
      <c r="AR349" s="272"/>
    </row>
    <row r="350" spans="1:44" s="273" customFormat="1" x14ac:dyDescent="0.25">
      <c r="A350" s="311"/>
      <c r="B350" s="311"/>
      <c r="C350" s="311"/>
      <c r="D350" s="311"/>
      <c r="E350" s="311"/>
      <c r="F350" s="738"/>
      <c r="G350" s="311"/>
      <c r="H350" s="311"/>
      <c r="I350" s="311"/>
      <c r="J350" s="311"/>
      <c r="K350" s="311"/>
      <c r="L350" s="311"/>
      <c r="M350" s="311"/>
      <c r="N350" s="311"/>
      <c r="O350" s="311"/>
      <c r="P350" s="311"/>
      <c r="Q350" s="311"/>
      <c r="R350" s="311"/>
      <c r="S350" s="311"/>
      <c r="T350" s="311"/>
      <c r="U350" s="311"/>
      <c r="V350" s="311"/>
      <c r="W350" s="311"/>
      <c r="X350" s="311"/>
      <c r="Y350" s="311"/>
      <c r="Z350" s="311"/>
      <c r="AA350" s="311"/>
      <c r="AB350" s="311"/>
      <c r="AC350" s="311"/>
      <c r="AH350" s="274"/>
      <c r="AI350" s="274"/>
      <c r="AJ350" s="274"/>
      <c r="AK350" s="274"/>
      <c r="AL350" s="274"/>
      <c r="AM350" s="274"/>
      <c r="AN350" s="274"/>
      <c r="AO350" s="274"/>
      <c r="AP350" s="272"/>
      <c r="AQ350" s="272"/>
      <c r="AR350" s="272"/>
    </row>
    <row r="351" spans="1:44" s="273" customFormat="1" x14ac:dyDescent="0.25">
      <c r="A351" s="311"/>
      <c r="B351" s="311"/>
      <c r="C351" s="311"/>
      <c r="D351" s="311"/>
      <c r="E351" s="311"/>
      <c r="F351" s="738"/>
      <c r="G351" s="311"/>
      <c r="H351" s="311"/>
      <c r="I351" s="311"/>
      <c r="J351" s="311"/>
      <c r="K351" s="311"/>
      <c r="L351" s="311"/>
      <c r="M351" s="311"/>
      <c r="N351" s="311"/>
      <c r="O351" s="311"/>
      <c r="P351" s="311"/>
      <c r="Q351" s="311"/>
      <c r="R351" s="311"/>
      <c r="S351" s="311"/>
      <c r="T351" s="311"/>
      <c r="U351" s="311"/>
      <c r="V351" s="311"/>
      <c r="W351" s="311"/>
      <c r="X351" s="311"/>
      <c r="Y351" s="311"/>
      <c r="Z351" s="311"/>
      <c r="AA351" s="311"/>
      <c r="AB351" s="311"/>
      <c r="AC351" s="311"/>
      <c r="AH351" s="274"/>
      <c r="AI351" s="274"/>
      <c r="AJ351" s="274"/>
      <c r="AK351" s="274"/>
      <c r="AL351" s="274"/>
      <c r="AM351" s="274"/>
      <c r="AN351" s="274"/>
      <c r="AO351" s="274"/>
      <c r="AP351" s="272"/>
      <c r="AQ351" s="272"/>
      <c r="AR351" s="272"/>
    </row>
    <row r="352" spans="1:44" s="273" customFormat="1" x14ac:dyDescent="0.25">
      <c r="A352" s="311"/>
      <c r="B352" s="311"/>
      <c r="C352" s="311"/>
      <c r="D352" s="311"/>
      <c r="E352" s="311"/>
      <c r="F352" s="738"/>
      <c r="G352" s="311"/>
      <c r="H352" s="311"/>
      <c r="I352" s="311"/>
      <c r="J352" s="311"/>
      <c r="K352" s="311"/>
      <c r="L352" s="311"/>
      <c r="M352" s="311"/>
      <c r="N352" s="311"/>
      <c r="O352" s="311"/>
      <c r="P352" s="311"/>
      <c r="Q352" s="311"/>
      <c r="R352" s="311"/>
      <c r="S352" s="311"/>
      <c r="T352" s="311"/>
      <c r="U352" s="311"/>
      <c r="V352" s="311"/>
      <c r="W352" s="311"/>
      <c r="X352" s="311"/>
      <c r="Y352" s="311"/>
      <c r="Z352" s="311"/>
      <c r="AA352" s="311"/>
      <c r="AB352" s="311"/>
      <c r="AC352" s="311"/>
      <c r="AH352" s="274"/>
      <c r="AI352" s="274"/>
      <c r="AJ352" s="274"/>
      <c r="AK352" s="274"/>
      <c r="AL352" s="274"/>
      <c r="AM352" s="274"/>
      <c r="AN352" s="274"/>
      <c r="AO352" s="274"/>
      <c r="AP352" s="272"/>
      <c r="AQ352" s="272"/>
      <c r="AR352" s="272"/>
    </row>
    <row r="353" spans="1:44" s="273" customFormat="1" x14ac:dyDescent="0.25">
      <c r="A353" s="311"/>
      <c r="B353" s="311"/>
      <c r="C353" s="311"/>
      <c r="D353" s="311"/>
      <c r="E353" s="311"/>
      <c r="F353" s="738"/>
      <c r="G353" s="311"/>
      <c r="H353" s="311"/>
      <c r="I353" s="311"/>
      <c r="J353" s="311"/>
      <c r="K353" s="311"/>
      <c r="L353" s="311"/>
      <c r="M353" s="311"/>
      <c r="N353" s="311"/>
      <c r="O353" s="311"/>
      <c r="P353" s="311"/>
      <c r="Q353" s="311"/>
      <c r="R353" s="311"/>
      <c r="S353" s="311"/>
      <c r="T353" s="311"/>
      <c r="U353" s="311"/>
      <c r="V353" s="311"/>
      <c r="W353" s="311"/>
      <c r="X353" s="311"/>
      <c r="Y353" s="311"/>
      <c r="Z353" s="311"/>
      <c r="AA353" s="311"/>
      <c r="AB353" s="311"/>
      <c r="AC353" s="311"/>
      <c r="AH353" s="274"/>
      <c r="AI353" s="274"/>
      <c r="AJ353" s="274"/>
      <c r="AK353" s="274"/>
      <c r="AL353" s="274"/>
      <c r="AM353" s="274"/>
      <c r="AN353" s="274"/>
      <c r="AO353" s="274"/>
      <c r="AP353" s="272"/>
      <c r="AQ353" s="272"/>
      <c r="AR353" s="272"/>
    </row>
    <row r="354" spans="1:44" s="273" customFormat="1" x14ac:dyDescent="0.25">
      <c r="A354" s="311"/>
      <c r="B354" s="311"/>
      <c r="C354" s="311"/>
      <c r="D354" s="311"/>
      <c r="E354" s="311"/>
      <c r="F354" s="738"/>
      <c r="G354" s="311"/>
      <c r="H354" s="311"/>
      <c r="I354" s="311"/>
      <c r="J354" s="311"/>
      <c r="K354" s="311"/>
      <c r="L354" s="311"/>
      <c r="M354" s="311"/>
      <c r="N354" s="311"/>
      <c r="O354" s="311"/>
      <c r="P354" s="311"/>
      <c r="Q354" s="311"/>
      <c r="R354" s="311"/>
      <c r="S354" s="311"/>
      <c r="T354" s="311"/>
      <c r="U354" s="311"/>
      <c r="V354" s="311"/>
      <c r="W354" s="311"/>
      <c r="X354" s="311"/>
      <c r="Y354" s="311"/>
      <c r="Z354" s="311"/>
      <c r="AA354" s="311"/>
      <c r="AB354" s="311"/>
      <c r="AC354" s="311"/>
      <c r="AH354" s="274"/>
      <c r="AI354" s="274"/>
      <c r="AJ354" s="274"/>
      <c r="AK354" s="274"/>
      <c r="AL354" s="274"/>
      <c r="AM354" s="274"/>
      <c r="AN354" s="274"/>
      <c r="AO354" s="274"/>
      <c r="AP354" s="272"/>
      <c r="AQ354" s="272"/>
      <c r="AR354" s="272"/>
    </row>
    <row r="355" spans="1:44" s="273" customFormat="1" x14ac:dyDescent="0.25">
      <c r="A355" s="311"/>
      <c r="B355" s="311"/>
      <c r="C355" s="311"/>
      <c r="D355" s="311"/>
      <c r="E355" s="311"/>
      <c r="F355" s="738"/>
      <c r="G355" s="311"/>
      <c r="H355" s="311"/>
      <c r="I355" s="311"/>
      <c r="J355" s="311"/>
      <c r="K355" s="311"/>
      <c r="L355" s="311"/>
      <c r="M355" s="311"/>
      <c r="N355" s="311"/>
      <c r="O355" s="311"/>
      <c r="P355" s="311"/>
      <c r="Q355" s="311"/>
      <c r="R355" s="311"/>
      <c r="S355" s="311"/>
      <c r="T355" s="311"/>
      <c r="U355" s="311"/>
      <c r="V355" s="311"/>
      <c r="W355" s="311"/>
      <c r="X355" s="311"/>
      <c r="Y355" s="311"/>
      <c r="Z355" s="311"/>
      <c r="AA355" s="311"/>
      <c r="AB355" s="311"/>
      <c r="AC355" s="311"/>
      <c r="AH355" s="274"/>
      <c r="AI355" s="274"/>
      <c r="AJ355" s="274"/>
      <c r="AK355" s="274"/>
      <c r="AL355" s="274"/>
      <c r="AM355" s="274"/>
      <c r="AN355" s="274"/>
      <c r="AO355" s="274"/>
      <c r="AP355" s="272"/>
      <c r="AQ355" s="272"/>
      <c r="AR355" s="272"/>
    </row>
    <row r="356" spans="1:44" s="273" customFormat="1" x14ac:dyDescent="0.25">
      <c r="A356" s="311"/>
      <c r="B356" s="311"/>
      <c r="C356" s="311"/>
      <c r="D356" s="311"/>
      <c r="E356" s="311"/>
      <c r="F356" s="738"/>
      <c r="G356" s="311"/>
      <c r="H356" s="311"/>
      <c r="I356" s="311"/>
      <c r="J356" s="311"/>
      <c r="K356" s="311"/>
      <c r="L356" s="311"/>
      <c r="M356" s="311"/>
      <c r="N356" s="311"/>
      <c r="O356" s="311"/>
      <c r="P356" s="311"/>
      <c r="Q356" s="311"/>
      <c r="R356" s="311"/>
      <c r="S356" s="311"/>
      <c r="T356" s="311"/>
      <c r="U356" s="311"/>
      <c r="V356" s="311"/>
      <c r="W356" s="311"/>
      <c r="X356" s="311"/>
      <c r="Y356" s="311"/>
      <c r="Z356" s="311"/>
      <c r="AA356" s="311"/>
      <c r="AB356" s="311"/>
      <c r="AC356" s="311"/>
      <c r="AH356" s="274"/>
      <c r="AI356" s="274"/>
      <c r="AJ356" s="274"/>
      <c r="AK356" s="274"/>
      <c r="AL356" s="274"/>
      <c r="AM356" s="274"/>
      <c r="AN356" s="274"/>
      <c r="AO356" s="274"/>
      <c r="AP356" s="272"/>
      <c r="AQ356" s="272"/>
      <c r="AR356" s="272"/>
    </row>
    <row r="357" spans="1:44" s="273" customFormat="1" x14ac:dyDescent="0.25">
      <c r="A357" s="311"/>
      <c r="B357" s="311"/>
      <c r="C357" s="311"/>
      <c r="D357" s="311"/>
      <c r="E357" s="311"/>
      <c r="F357" s="738"/>
      <c r="G357" s="311"/>
      <c r="H357" s="311"/>
      <c r="I357" s="311"/>
      <c r="J357" s="311"/>
      <c r="K357" s="311"/>
      <c r="L357" s="311"/>
      <c r="M357" s="311"/>
      <c r="N357" s="311"/>
      <c r="O357" s="311"/>
      <c r="P357" s="311"/>
      <c r="Q357" s="311"/>
      <c r="R357" s="311"/>
      <c r="S357" s="311"/>
      <c r="T357" s="311"/>
      <c r="U357" s="311"/>
      <c r="V357" s="311"/>
      <c r="W357" s="311"/>
      <c r="X357" s="311"/>
      <c r="Y357" s="311"/>
      <c r="Z357" s="311"/>
      <c r="AA357" s="311"/>
      <c r="AB357" s="311"/>
      <c r="AC357" s="311"/>
      <c r="AH357" s="274"/>
      <c r="AI357" s="274"/>
      <c r="AJ357" s="274"/>
      <c r="AK357" s="274"/>
      <c r="AL357" s="274"/>
      <c r="AM357" s="274"/>
      <c r="AN357" s="274"/>
      <c r="AO357" s="274"/>
      <c r="AP357" s="272"/>
      <c r="AQ357" s="272"/>
      <c r="AR357" s="272"/>
    </row>
    <row r="358" spans="1:44" s="273" customFormat="1" x14ac:dyDescent="0.25">
      <c r="A358" s="311"/>
      <c r="B358" s="311"/>
      <c r="C358" s="311"/>
      <c r="D358" s="311"/>
      <c r="E358" s="311"/>
      <c r="F358" s="738"/>
      <c r="G358" s="311"/>
      <c r="H358" s="311"/>
      <c r="I358" s="311"/>
      <c r="J358" s="311"/>
      <c r="K358" s="311"/>
      <c r="L358" s="311"/>
      <c r="M358" s="311"/>
      <c r="N358" s="311"/>
      <c r="O358" s="311"/>
      <c r="P358" s="311"/>
      <c r="Q358" s="311"/>
      <c r="R358" s="311"/>
      <c r="S358" s="311"/>
      <c r="T358" s="311"/>
      <c r="U358" s="311"/>
      <c r="V358" s="311"/>
      <c r="W358" s="311"/>
      <c r="X358" s="311"/>
      <c r="Y358" s="311"/>
      <c r="Z358" s="311"/>
      <c r="AA358" s="311"/>
      <c r="AB358" s="311"/>
      <c r="AC358" s="311"/>
      <c r="AH358" s="274"/>
      <c r="AI358" s="274"/>
      <c r="AJ358" s="274"/>
      <c r="AK358" s="274"/>
      <c r="AL358" s="274"/>
      <c r="AM358" s="274"/>
      <c r="AN358" s="274"/>
      <c r="AO358" s="274"/>
      <c r="AP358" s="272"/>
      <c r="AQ358" s="272"/>
      <c r="AR358" s="272"/>
    </row>
    <row r="359" spans="1:44" s="273" customFormat="1" x14ac:dyDescent="0.25">
      <c r="A359" s="311"/>
      <c r="B359" s="311"/>
      <c r="C359" s="311"/>
      <c r="D359" s="311"/>
      <c r="E359" s="311"/>
      <c r="F359" s="738"/>
      <c r="G359" s="311"/>
      <c r="H359" s="311"/>
      <c r="I359" s="311"/>
      <c r="J359" s="311"/>
      <c r="K359" s="311"/>
      <c r="L359" s="311"/>
      <c r="M359" s="311"/>
      <c r="N359" s="311"/>
      <c r="O359" s="311"/>
      <c r="P359" s="311"/>
      <c r="Q359" s="311"/>
      <c r="R359" s="311"/>
      <c r="S359" s="311"/>
      <c r="T359" s="311"/>
      <c r="U359" s="311"/>
      <c r="V359" s="311"/>
      <c r="W359" s="311"/>
      <c r="X359" s="311"/>
      <c r="Y359" s="311"/>
      <c r="Z359" s="311"/>
      <c r="AA359" s="311"/>
      <c r="AB359" s="311"/>
      <c r="AC359" s="311"/>
      <c r="AH359" s="274"/>
      <c r="AI359" s="274"/>
      <c r="AJ359" s="274"/>
      <c r="AK359" s="274"/>
      <c r="AL359" s="274"/>
      <c r="AM359" s="274"/>
      <c r="AN359" s="274"/>
      <c r="AO359" s="274"/>
      <c r="AP359" s="272"/>
      <c r="AQ359" s="272"/>
      <c r="AR359" s="272"/>
    </row>
    <row r="360" spans="1:44" s="273" customFormat="1" x14ac:dyDescent="0.25">
      <c r="A360" s="311"/>
      <c r="B360" s="311"/>
      <c r="C360" s="311"/>
      <c r="D360" s="311"/>
      <c r="E360" s="311"/>
      <c r="F360" s="738"/>
      <c r="G360" s="311"/>
      <c r="H360" s="311"/>
      <c r="I360" s="311"/>
      <c r="J360" s="311"/>
      <c r="K360" s="311"/>
      <c r="L360" s="311"/>
      <c r="M360" s="311"/>
      <c r="N360" s="311"/>
      <c r="O360" s="311"/>
      <c r="P360" s="311"/>
      <c r="Q360" s="311"/>
      <c r="R360" s="311"/>
      <c r="S360" s="311"/>
      <c r="T360" s="311"/>
      <c r="U360" s="311"/>
      <c r="V360" s="311"/>
      <c r="W360" s="311"/>
      <c r="X360" s="311"/>
      <c r="Y360" s="311"/>
      <c r="Z360" s="311"/>
      <c r="AA360" s="311"/>
      <c r="AB360" s="311"/>
      <c r="AC360" s="311"/>
      <c r="AH360" s="274"/>
      <c r="AI360" s="274"/>
      <c r="AJ360" s="274"/>
      <c r="AK360" s="274"/>
      <c r="AL360" s="274"/>
      <c r="AM360" s="274"/>
      <c r="AN360" s="274"/>
      <c r="AO360" s="274"/>
      <c r="AP360" s="272"/>
      <c r="AQ360" s="272"/>
      <c r="AR360" s="272"/>
    </row>
    <row r="361" spans="1:44" s="273" customFormat="1" x14ac:dyDescent="0.25">
      <c r="A361" s="311"/>
      <c r="B361" s="311"/>
      <c r="C361" s="311"/>
      <c r="D361" s="311"/>
      <c r="E361" s="311"/>
      <c r="F361" s="738"/>
      <c r="G361" s="311"/>
      <c r="H361" s="311"/>
      <c r="I361" s="311"/>
      <c r="J361" s="311"/>
      <c r="K361" s="311"/>
      <c r="L361" s="311"/>
      <c r="M361" s="311"/>
      <c r="N361" s="311"/>
      <c r="O361" s="311"/>
      <c r="P361" s="311"/>
      <c r="Q361" s="311"/>
      <c r="R361" s="311"/>
      <c r="S361" s="311"/>
      <c r="T361" s="311"/>
      <c r="U361" s="311"/>
      <c r="V361" s="311"/>
      <c r="W361" s="311"/>
      <c r="X361" s="311"/>
      <c r="Y361" s="311"/>
      <c r="Z361" s="311"/>
      <c r="AA361" s="311"/>
      <c r="AB361" s="311"/>
      <c r="AC361" s="311"/>
      <c r="AH361" s="274"/>
      <c r="AI361" s="274"/>
      <c r="AJ361" s="274"/>
      <c r="AK361" s="274"/>
      <c r="AL361" s="274"/>
      <c r="AM361" s="274"/>
      <c r="AN361" s="274"/>
      <c r="AO361" s="274"/>
      <c r="AP361" s="272"/>
      <c r="AQ361" s="272"/>
      <c r="AR361" s="272"/>
    </row>
    <row r="362" spans="1:44" s="273" customFormat="1" x14ac:dyDescent="0.25">
      <c r="A362" s="311"/>
      <c r="B362" s="311"/>
      <c r="C362" s="311"/>
      <c r="D362" s="311"/>
      <c r="E362" s="311"/>
      <c r="F362" s="738"/>
      <c r="G362" s="311"/>
      <c r="H362" s="311"/>
      <c r="I362" s="311"/>
      <c r="J362" s="311"/>
      <c r="K362" s="311"/>
      <c r="L362" s="311"/>
      <c r="M362" s="311"/>
      <c r="N362" s="311"/>
      <c r="O362" s="311"/>
      <c r="P362" s="311"/>
      <c r="Q362" s="311"/>
      <c r="R362" s="311"/>
      <c r="S362" s="311"/>
      <c r="T362" s="311"/>
      <c r="U362" s="311"/>
      <c r="V362" s="311"/>
      <c r="W362" s="311"/>
      <c r="X362" s="311"/>
      <c r="Y362" s="311"/>
      <c r="Z362" s="311"/>
      <c r="AA362" s="311"/>
      <c r="AB362" s="311"/>
      <c r="AC362" s="311"/>
      <c r="AH362" s="274"/>
      <c r="AI362" s="274"/>
      <c r="AJ362" s="274"/>
      <c r="AK362" s="274"/>
      <c r="AL362" s="274"/>
      <c r="AM362" s="274"/>
      <c r="AN362" s="274"/>
      <c r="AO362" s="274"/>
      <c r="AP362" s="272"/>
      <c r="AQ362" s="272"/>
      <c r="AR362" s="272"/>
    </row>
    <row r="363" spans="1:44" s="273" customFormat="1" x14ac:dyDescent="0.25">
      <c r="A363" s="311"/>
      <c r="B363" s="311"/>
      <c r="C363" s="311"/>
      <c r="D363" s="311"/>
      <c r="E363" s="311"/>
      <c r="F363" s="738"/>
      <c r="G363" s="311"/>
      <c r="H363" s="311"/>
      <c r="I363" s="311"/>
      <c r="J363" s="311"/>
      <c r="K363" s="311"/>
      <c r="L363" s="311"/>
      <c r="M363" s="311"/>
      <c r="N363" s="311"/>
      <c r="O363" s="311"/>
      <c r="P363" s="311"/>
      <c r="Q363" s="311"/>
      <c r="R363" s="311"/>
      <c r="S363" s="311"/>
      <c r="T363" s="311"/>
      <c r="U363" s="311"/>
      <c r="V363" s="311"/>
      <c r="W363" s="311"/>
      <c r="X363" s="311"/>
      <c r="Y363" s="311"/>
      <c r="Z363" s="311"/>
      <c r="AA363" s="311"/>
      <c r="AB363" s="311"/>
      <c r="AC363" s="311"/>
      <c r="AH363" s="274"/>
      <c r="AI363" s="274"/>
      <c r="AJ363" s="274"/>
      <c r="AK363" s="274"/>
      <c r="AL363" s="274"/>
      <c r="AM363" s="274"/>
      <c r="AN363" s="274"/>
      <c r="AO363" s="274"/>
      <c r="AP363" s="272"/>
      <c r="AQ363" s="272"/>
      <c r="AR363" s="272"/>
    </row>
    <row r="364" spans="1:44" s="273" customFormat="1" x14ac:dyDescent="0.25">
      <c r="A364" s="311"/>
      <c r="B364" s="311"/>
      <c r="C364" s="311"/>
      <c r="D364" s="311"/>
      <c r="E364" s="311"/>
      <c r="F364" s="738"/>
      <c r="G364" s="311"/>
      <c r="H364" s="311"/>
      <c r="I364" s="311"/>
      <c r="J364" s="311"/>
      <c r="K364" s="311"/>
      <c r="L364" s="311"/>
      <c r="M364" s="311"/>
      <c r="N364" s="311"/>
      <c r="O364" s="311"/>
      <c r="P364" s="311"/>
      <c r="Q364" s="311"/>
      <c r="R364" s="311"/>
      <c r="S364" s="311"/>
      <c r="T364" s="311"/>
      <c r="U364" s="311"/>
      <c r="V364" s="311"/>
      <c r="W364" s="311"/>
      <c r="X364" s="311"/>
      <c r="Y364" s="311"/>
      <c r="Z364" s="311"/>
      <c r="AA364" s="311"/>
      <c r="AB364" s="311"/>
      <c r="AC364" s="311"/>
      <c r="AH364" s="274"/>
      <c r="AI364" s="274"/>
      <c r="AJ364" s="274"/>
      <c r="AK364" s="274"/>
      <c r="AL364" s="274"/>
      <c r="AM364" s="274"/>
      <c r="AN364" s="274"/>
      <c r="AO364" s="274"/>
      <c r="AP364" s="272"/>
      <c r="AQ364" s="272"/>
      <c r="AR364" s="272"/>
    </row>
    <row r="365" spans="1:44" s="273" customFormat="1" x14ac:dyDescent="0.25">
      <c r="A365" s="311"/>
      <c r="B365" s="311"/>
      <c r="C365" s="311"/>
      <c r="D365" s="311"/>
      <c r="E365" s="311"/>
      <c r="F365" s="738"/>
      <c r="G365" s="311"/>
      <c r="H365" s="311"/>
      <c r="I365" s="311"/>
      <c r="J365" s="311"/>
      <c r="K365" s="311"/>
      <c r="L365" s="311"/>
      <c r="M365" s="311"/>
      <c r="N365" s="311"/>
      <c r="O365" s="311"/>
      <c r="P365" s="311"/>
      <c r="Q365" s="311"/>
      <c r="R365" s="311"/>
      <c r="S365" s="311"/>
      <c r="T365" s="311"/>
      <c r="U365" s="311"/>
      <c r="V365" s="311"/>
      <c r="W365" s="311"/>
      <c r="X365" s="311"/>
      <c r="Y365" s="311"/>
      <c r="Z365" s="311"/>
      <c r="AA365" s="311"/>
      <c r="AB365" s="311"/>
      <c r="AC365" s="311"/>
      <c r="AH365" s="274"/>
      <c r="AI365" s="274"/>
      <c r="AJ365" s="274"/>
      <c r="AK365" s="274"/>
      <c r="AL365" s="274"/>
      <c r="AM365" s="274"/>
      <c r="AN365" s="274"/>
      <c r="AO365" s="274"/>
      <c r="AP365" s="272"/>
      <c r="AQ365" s="272"/>
      <c r="AR365" s="272"/>
    </row>
    <row r="366" spans="1:44" s="273" customFormat="1" x14ac:dyDescent="0.25">
      <c r="A366" s="311"/>
      <c r="B366" s="311"/>
      <c r="C366" s="311"/>
      <c r="D366" s="311"/>
      <c r="E366" s="311"/>
      <c r="F366" s="738"/>
      <c r="G366" s="311"/>
      <c r="H366" s="311"/>
      <c r="I366" s="311"/>
      <c r="J366" s="311"/>
      <c r="K366" s="311"/>
      <c r="L366" s="311"/>
      <c r="M366" s="311"/>
      <c r="N366" s="311"/>
      <c r="O366" s="311"/>
      <c r="P366" s="311"/>
      <c r="Q366" s="311"/>
      <c r="R366" s="311"/>
      <c r="S366" s="311"/>
      <c r="T366" s="311"/>
      <c r="U366" s="311"/>
      <c r="V366" s="311"/>
      <c r="W366" s="311"/>
      <c r="X366" s="311"/>
      <c r="Y366" s="311"/>
      <c r="Z366" s="311"/>
      <c r="AA366" s="311"/>
      <c r="AB366" s="311"/>
      <c r="AC366" s="311"/>
      <c r="AH366" s="274"/>
      <c r="AI366" s="274"/>
      <c r="AJ366" s="274"/>
      <c r="AK366" s="274"/>
      <c r="AL366" s="274"/>
      <c r="AM366" s="274"/>
      <c r="AN366" s="274"/>
      <c r="AO366" s="274"/>
      <c r="AP366" s="272"/>
      <c r="AQ366" s="272"/>
      <c r="AR366" s="272"/>
    </row>
    <row r="367" spans="1:44" s="273" customFormat="1" x14ac:dyDescent="0.25">
      <c r="A367" s="311"/>
      <c r="B367" s="311"/>
      <c r="C367" s="311"/>
      <c r="D367" s="311"/>
      <c r="E367" s="311"/>
      <c r="F367" s="738"/>
      <c r="G367" s="311"/>
      <c r="H367" s="311"/>
      <c r="I367" s="311"/>
      <c r="J367" s="311"/>
      <c r="K367" s="311"/>
      <c r="L367" s="311"/>
      <c r="M367" s="311"/>
      <c r="N367" s="311"/>
      <c r="O367" s="311"/>
      <c r="P367" s="311"/>
      <c r="Q367" s="311"/>
      <c r="R367" s="311"/>
      <c r="S367" s="311"/>
      <c r="T367" s="311"/>
      <c r="U367" s="311"/>
      <c r="V367" s="311"/>
      <c r="W367" s="311"/>
      <c r="X367" s="311"/>
      <c r="Y367" s="311"/>
      <c r="Z367" s="311"/>
      <c r="AA367" s="311"/>
      <c r="AB367" s="311"/>
      <c r="AC367" s="311"/>
      <c r="AH367" s="274"/>
      <c r="AI367" s="274"/>
      <c r="AJ367" s="274"/>
      <c r="AK367" s="274"/>
      <c r="AL367" s="274"/>
      <c r="AM367" s="274"/>
      <c r="AN367" s="274"/>
      <c r="AO367" s="274"/>
      <c r="AP367" s="272"/>
      <c r="AQ367" s="272"/>
      <c r="AR367" s="272"/>
    </row>
    <row r="368" spans="1:44" s="273" customFormat="1" x14ac:dyDescent="0.25">
      <c r="A368" s="311"/>
      <c r="B368" s="311"/>
      <c r="C368" s="311"/>
      <c r="D368" s="311"/>
      <c r="E368" s="311"/>
      <c r="F368" s="738"/>
      <c r="G368" s="311"/>
      <c r="H368" s="311"/>
      <c r="I368" s="311"/>
      <c r="J368" s="311"/>
      <c r="K368" s="311"/>
      <c r="L368" s="311"/>
      <c r="M368" s="311"/>
      <c r="N368" s="311"/>
      <c r="O368" s="311"/>
      <c r="P368" s="311"/>
      <c r="Q368" s="311"/>
      <c r="R368" s="311"/>
      <c r="S368" s="311"/>
      <c r="T368" s="311"/>
      <c r="U368" s="311"/>
      <c r="V368" s="311"/>
      <c r="W368" s="311"/>
      <c r="X368" s="311"/>
      <c r="Y368" s="311"/>
      <c r="Z368" s="311"/>
      <c r="AA368" s="311"/>
      <c r="AB368" s="311"/>
      <c r="AC368" s="311"/>
      <c r="AH368" s="274"/>
      <c r="AI368" s="274"/>
      <c r="AJ368" s="274"/>
      <c r="AK368" s="274"/>
      <c r="AL368" s="274"/>
      <c r="AM368" s="274"/>
      <c r="AN368" s="274"/>
      <c r="AO368" s="274"/>
      <c r="AP368" s="272"/>
      <c r="AQ368" s="272"/>
      <c r="AR368" s="272"/>
    </row>
    <row r="369" spans="1:44" s="273" customFormat="1" x14ac:dyDescent="0.25">
      <c r="A369" s="311"/>
      <c r="B369" s="311"/>
      <c r="C369" s="311"/>
      <c r="D369" s="311"/>
      <c r="E369" s="311"/>
      <c r="F369" s="738"/>
      <c r="G369" s="311"/>
      <c r="H369" s="311"/>
      <c r="I369" s="311"/>
      <c r="J369" s="311"/>
      <c r="K369" s="311"/>
      <c r="L369" s="311"/>
      <c r="M369" s="311"/>
      <c r="N369" s="311"/>
      <c r="O369" s="311"/>
      <c r="P369" s="311"/>
      <c r="Q369" s="311"/>
      <c r="R369" s="311"/>
      <c r="S369" s="311"/>
      <c r="T369" s="311"/>
      <c r="U369" s="311"/>
      <c r="V369" s="311"/>
      <c r="W369" s="311"/>
      <c r="X369" s="311"/>
      <c r="Y369" s="311"/>
      <c r="Z369" s="311"/>
      <c r="AA369" s="311"/>
      <c r="AB369" s="311"/>
      <c r="AC369" s="311"/>
      <c r="AH369" s="274"/>
      <c r="AI369" s="274"/>
      <c r="AJ369" s="274"/>
      <c r="AK369" s="274"/>
      <c r="AL369" s="274"/>
      <c r="AM369" s="274"/>
      <c r="AN369" s="274"/>
      <c r="AO369" s="274"/>
      <c r="AP369" s="272"/>
      <c r="AQ369" s="272"/>
      <c r="AR369" s="272"/>
    </row>
    <row r="370" spans="1:44" s="273" customFormat="1" x14ac:dyDescent="0.25">
      <c r="A370" s="311"/>
      <c r="B370" s="311"/>
      <c r="C370" s="311"/>
      <c r="D370" s="311"/>
      <c r="E370" s="311"/>
      <c r="F370" s="738"/>
      <c r="G370" s="311"/>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H370" s="274"/>
      <c r="AI370" s="274"/>
      <c r="AJ370" s="274"/>
      <c r="AK370" s="274"/>
      <c r="AL370" s="274"/>
      <c r="AM370" s="274"/>
      <c r="AN370" s="274"/>
      <c r="AO370" s="274"/>
      <c r="AP370" s="272"/>
      <c r="AQ370" s="272"/>
      <c r="AR370" s="272"/>
    </row>
    <row r="371" spans="1:44" s="273" customFormat="1" x14ac:dyDescent="0.25">
      <c r="A371" s="311"/>
      <c r="B371" s="311"/>
      <c r="C371" s="311"/>
      <c r="D371" s="311"/>
      <c r="E371" s="311"/>
      <c r="F371" s="738"/>
      <c r="G371" s="311"/>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H371" s="274"/>
      <c r="AI371" s="274"/>
      <c r="AJ371" s="274"/>
      <c r="AK371" s="274"/>
      <c r="AL371" s="274"/>
      <c r="AM371" s="274"/>
      <c r="AN371" s="274"/>
      <c r="AO371" s="274"/>
      <c r="AP371" s="272"/>
      <c r="AQ371" s="272"/>
      <c r="AR371" s="272"/>
    </row>
    <row r="372" spans="1:44" s="273" customFormat="1" x14ac:dyDescent="0.25">
      <c r="A372" s="311"/>
      <c r="B372" s="311"/>
      <c r="C372" s="311"/>
      <c r="D372" s="311"/>
      <c r="E372" s="311"/>
      <c r="F372" s="738"/>
      <c r="G372" s="311"/>
      <c r="H372" s="311"/>
      <c r="I372" s="311"/>
      <c r="J372" s="311"/>
      <c r="K372" s="311"/>
      <c r="L372" s="311"/>
      <c r="M372" s="311"/>
      <c r="N372" s="311"/>
      <c r="O372" s="311"/>
      <c r="P372" s="311"/>
      <c r="Q372" s="311"/>
      <c r="R372" s="311"/>
      <c r="S372" s="311"/>
      <c r="T372" s="311"/>
      <c r="U372" s="311"/>
      <c r="V372" s="311"/>
      <c r="W372" s="311"/>
      <c r="X372" s="311"/>
      <c r="Y372" s="311"/>
      <c r="Z372" s="311"/>
      <c r="AA372" s="311"/>
      <c r="AB372" s="311"/>
      <c r="AC372" s="311"/>
      <c r="AH372" s="274"/>
      <c r="AI372" s="274"/>
      <c r="AJ372" s="274"/>
      <c r="AK372" s="274"/>
      <c r="AL372" s="274"/>
      <c r="AM372" s="274"/>
      <c r="AN372" s="274"/>
      <c r="AO372" s="274"/>
      <c r="AP372" s="272"/>
      <c r="AQ372" s="272"/>
      <c r="AR372" s="272"/>
    </row>
    <row r="373" spans="1:44" s="273" customFormat="1" x14ac:dyDescent="0.25">
      <c r="A373" s="311"/>
      <c r="B373" s="311"/>
      <c r="C373" s="311"/>
      <c r="D373" s="311"/>
      <c r="E373" s="311"/>
      <c r="F373" s="738"/>
      <c r="G373" s="311"/>
      <c r="H373" s="311"/>
      <c r="I373" s="311"/>
      <c r="J373" s="311"/>
      <c r="K373" s="311"/>
      <c r="L373" s="311"/>
      <c r="M373" s="311"/>
      <c r="N373" s="311"/>
      <c r="O373" s="311"/>
      <c r="P373" s="311"/>
      <c r="Q373" s="311"/>
      <c r="R373" s="311"/>
      <c r="S373" s="311"/>
      <c r="T373" s="311"/>
      <c r="U373" s="311"/>
      <c r="V373" s="311"/>
      <c r="W373" s="311"/>
      <c r="X373" s="311"/>
      <c r="Y373" s="311"/>
      <c r="Z373" s="311"/>
      <c r="AA373" s="311"/>
      <c r="AB373" s="311"/>
      <c r="AC373" s="311"/>
      <c r="AH373" s="274"/>
      <c r="AI373" s="274"/>
      <c r="AJ373" s="274"/>
      <c r="AK373" s="274"/>
      <c r="AL373" s="274"/>
      <c r="AM373" s="274"/>
      <c r="AN373" s="274"/>
      <c r="AO373" s="274"/>
      <c r="AP373" s="272"/>
      <c r="AQ373" s="272"/>
      <c r="AR373" s="272"/>
    </row>
    <row r="374" spans="1:44" s="273" customFormat="1" x14ac:dyDescent="0.25">
      <c r="A374" s="311"/>
      <c r="B374" s="311"/>
      <c r="C374" s="311"/>
      <c r="D374" s="311"/>
      <c r="E374" s="311"/>
      <c r="F374" s="738"/>
      <c r="G374" s="311"/>
      <c r="H374" s="311"/>
      <c r="I374" s="311"/>
      <c r="J374" s="311"/>
      <c r="K374" s="311"/>
      <c r="L374" s="311"/>
      <c r="M374" s="311"/>
      <c r="N374" s="311"/>
      <c r="O374" s="311"/>
      <c r="P374" s="311"/>
      <c r="Q374" s="311"/>
      <c r="R374" s="311"/>
      <c r="S374" s="311"/>
      <c r="T374" s="311"/>
      <c r="U374" s="311"/>
      <c r="V374" s="311"/>
      <c r="W374" s="311"/>
      <c r="X374" s="311"/>
      <c r="Y374" s="311"/>
      <c r="Z374" s="311"/>
      <c r="AA374" s="311"/>
      <c r="AB374" s="311"/>
      <c r="AC374" s="311"/>
      <c r="AH374" s="274"/>
      <c r="AI374" s="274"/>
      <c r="AJ374" s="274"/>
      <c r="AK374" s="274"/>
      <c r="AL374" s="274"/>
      <c r="AM374" s="274"/>
      <c r="AN374" s="274"/>
      <c r="AO374" s="274"/>
      <c r="AP374" s="272"/>
      <c r="AQ374" s="272"/>
      <c r="AR374" s="272"/>
    </row>
    <row r="375" spans="1:44" s="273" customFormat="1" x14ac:dyDescent="0.25">
      <c r="A375" s="311"/>
      <c r="B375" s="311"/>
      <c r="C375" s="311"/>
      <c r="D375" s="311"/>
      <c r="E375" s="311"/>
      <c r="F375" s="738"/>
      <c r="G375" s="311"/>
      <c r="H375" s="311"/>
      <c r="I375" s="311"/>
      <c r="J375" s="311"/>
      <c r="K375" s="311"/>
      <c r="L375" s="311"/>
      <c r="M375" s="311"/>
      <c r="N375" s="311"/>
      <c r="O375" s="311"/>
      <c r="P375" s="311"/>
      <c r="Q375" s="311"/>
      <c r="R375" s="311"/>
      <c r="S375" s="311"/>
      <c r="T375" s="311"/>
      <c r="U375" s="311"/>
      <c r="V375" s="311"/>
      <c r="W375" s="311"/>
      <c r="X375" s="311"/>
      <c r="Y375" s="311"/>
      <c r="Z375" s="311"/>
      <c r="AA375" s="311"/>
      <c r="AB375" s="311"/>
      <c r="AC375" s="311"/>
      <c r="AH375" s="274"/>
      <c r="AI375" s="274"/>
      <c r="AJ375" s="274"/>
      <c r="AK375" s="274"/>
      <c r="AL375" s="274"/>
      <c r="AM375" s="274"/>
      <c r="AN375" s="274"/>
      <c r="AO375" s="274"/>
      <c r="AP375" s="272"/>
      <c r="AQ375" s="272"/>
      <c r="AR375" s="272"/>
    </row>
    <row r="376" spans="1:44" s="273" customFormat="1" x14ac:dyDescent="0.25">
      <c r="A376" s="311"/>
      <c r="B376" s="311"/>
      <c r="C376" s="311"/>
      <c r="D376" s="311"/>
      <c r="E376" s="311"/>
      <c r="F376" s="738"/>
      <c r="G376" s="311"/>
      <c r="H376" s="311"/>
      <c r="I376" s="311"/>
      <c r="J376" s="311"/>
      <c r="K376" s="311"/>
      <c r="L376" s="311"/>
      <c r="M376" s="311"/>
      <c r="N376" s="311"/>
      <c r="O376" s="311"/>
      <c r="P376" s="311"/>
      <c r="Q376" s="311"/>
      <c r="R376" s="311"/>
      <c r="S376" s="311"/>
      <c r="T376" s="311"/>
      <c r="U376" s="311"/>
      <c r="V376" s="311"/>
      <c r="W376" s="311"/>
      <c r="X376" s="311"/>
      <c r="Y376" s="311"/>
      <c r="Z376" s="311"/>
      <c r="AA376" s="311"/>
      <c r="AB376" s="311"/>
      <c r="AC376" s="311"/>
      <c r="AH376" s="274"/>
      <c r="AI376" s="274"/>
      <c r="AJ376" s="274"/>
      <c r="AK376" s="274"/>
      <c r="AL376" s="274"/>
      <c r="AM376" s="274"/>
      <c r="AN376" s="274"/>
      <c r="AO376" s="274"/>
      <c r="AP376" s="272"/>
      <c r="AQ376" s="272"/>
      <c r="AR376" s="272"/>
    </row>
    <row r="377" spans="1:44" s="273" customFormat="1" x14ac:dyDescent="0.25">
      <c r="A377" s="311"/>
      <c r="B377" s="311"/>
      <c r="C377" s="311"/>
      <c r="D377" s="311"/>
      <c r="E377" s="311"/>
      <c r="F377" s="738"/>
      <c r="G377" s="311"/>
      <c r="H377" s="325"/>
      <c r="I377" s="325"/>
      <c r="J377" s="325"/>
      <c r="K377" s="325"/>
      <c r="L377" s="272"/>
      <c r="M377" s="272"/>
      <c r="N377" s="272"/>
      <c r="O377" s="272"/>
      <c r="P377" s="272"/>
      <c r="Q377" s="272"/>
      <c r="R377" s="272"/>
      <c r="S377" s="272"/>
      <c r="T377" s="272"/>
      <c r="U377" s="272"/>
      <c r="V377" s="272"/>
      <c r="W377" s="272"/>
      <c r="X377" s="272"/>
      <c r="Y377" s="272"/>
      <c r="Z377" s="272"/>
      <c r="AA377" s="272"/>
      <c r="AB377" s="272"/>
      <c r="AC377" s="272"/>
      <c r="AH377" s="274"/>
      <c r="AI377" s="274"/>
      <c r="AJ377" s="274"/>
      <c r="AK377" s="274"/>
      <c r="AL377" s="274"/>
      <c r="AM377" s="274"/>
      <c r="AN377" s="274"/>
      <c r="AO377" s="274"/>
      <c r="AP377" s="272"/>
      <c r="AQ377" s="272"/>
      <c r="AR377" s="272"/>
    </row>
  </sheetData>
  <protectedRanges>
    <protectedRange sqref="Y20:Z23 G316:K377 U28:Z28 U26:Z26 Y24 V27:Y27 Z42:Z44 V42:Y43 T26:T34 U34:Z34 W57:Y58 Z58:Z59 Z69:Z72 T95:Z95 V91:Y91 Z91:Z93 Z165:Z203 L315:AC376 Z260:Z281 G314:K314 A314:F377 Y151:Y152 Y154:Y158 T151:X158 AD131:AE132 T20:X24 Z162 Z303 T258:Z259 Z97:Z99 Z147:Z148 Z151:Z159 Z295:Z301 T25:Y25 T35:Z40 T41:Y41 T42:U45 T46:Z55 T56:Y56 V59:Y60 T57:U60 T61:Y64 T65:Z66 T67:Y67 T73:Z79 T81:T91 U82:U91 V87:Z88 T92:Y94 T96:Y96 T97:T103 T104:Y128 T162:Y203 T257:Y257 T260:T261 T262:Y291 T292:T294 T295:Y303 T304:Z313 Z136:Z138 Z104:Z134 T204:Z214 Z61:Z62 V90:Z90 V89:Y89 Z102 Z283:Z291 T215:Y215 T216:Z232 T233:Y233 M314:Z314 AB314:AC314 T234:Z236 T238:Z256 T237:Y237 U129:Y129 T130:Y135 T159:Y160 T137:Y150 N309:Q309 T80:U80 Z80 T68:U70 T71:Y72 AD71:AG71" name="Rango1"/>
    <protectedRange sqref="D1:E2 G1:U2" name="Rango2"/>
    <protectedRange sqref="AC37" name="Rango1_1"/>
    <protectedRange sqref="AC20:AC36 AC140 AC146:AC149 AC38:AC59 AC295:AC313 AC104:AC138 AC283:AC291 AC61:AC62 AC64:AC88 AC90:AC102 AC151:AC214 AC216:AC281" name="Rango1_2"/>
    <protectedRange sqref="C70:C77 D156:D158 A162:D164 B104:D106 A20:E20 A68:B77 D68:D77 A97:C102 D136 A159:D160 B103:C103 A103:A106 A136:C158 A165:C313 A78:D96 A21:D67 E21:E96 A107:D135" name="Rango1_3"/>
    <protectedRange sqref="G36:G38 G26:G28 I26:I28 I90 H88:I89 H91:I91 I36:J38 H70:J75 G126 G20:J25 H26:H38 J26:J35 G39:J67 I76:J80 I81:I87 J81:J91 G70:G91 G92:J114 G115:G118 H115:J126 G127:J160 G162:J313" name="Rango1_4"/>
    <protectedRange sqref="K20:K28" name="Rango1_9"/>
    <protectedRange sqref="K36:K39" name="Rango1_10"/>
    <protectedRange sqref="K40:K43" name="Rango1_12"/>
    <protectedRange sqref="K44:K54" name="Rango1_13"/>
    <protectedRange sqref="K55:K65" name="Rango1_14"/>
    <protectedRange sqref="K70:K75 K66:K67" name="Rango1_15"/>
    <protectedRange sqref="K76:K89" name="Rango1_16"/>
    <protectedRange sqref="K90" name="Rango1_17"/>
    <protectedRange sqref="K91:K96" name="Rango1_18"/>
    <protectedRange sqref="K97:K136 K139:K160 K162:K313" name="Rango1_20"/>
    <protectedRange sqref="M20:M28 M35:M79 M150:M160 M162:M214 M90:M96 M104:M135 M87:M88 M137:M140 M142:M148 M216:M281 M283:M313" name="Rango1_5"/>
    <protectedRange sqref="A161 C161 G161:J161" name="Rango1_11"/>
    <protectedRange sqref="K161" name="Rango1_20_2"/>
    <protectedRange sqref="Z161" name="Rango1_19"/>
    <protectedRange sqref="P26:S28 P34:S40 P20:S24 P42:S60 P62:S67 P70:S95 P97:S163 P165:S308 P310:S313 R309:S309" name="Rango1_8_1"/>
    <protectedRange sqref="O258 O29:O33 N192:N193 N258:N260 O260 N20:O28 N34:O94 O95:O96 N97:O128 N130:O135 O192:O201 N195:N203 N261:O308 N204:O257 N137:O191 N310:O313" name="Rango1_8_2"/>
    <protectedRange sqref="Z302" name="Rango1_8"/>
    <protectedRange sqref="U260:Y261" name="Rango1_11_1"/>
    <protectedRange sqref="AC139" name="Rango1_2_2"/>
    <protectedRange sqref="Z139:Z140" name="Rango1_24"/>
    <protectedRange sqref="Z142 Z144" name="Rango1_25"/>
    <protectedRange sqref="AC142:AC144" name="Rango1_2_4"/>
    <protectedRange sqref="Z145" name="Rango1_26"/>
    <protectedRange sqref="AC145" name="Rango1_2_5"/>
    <protectedRange sqref="Z150" name="Rango1_27"/>
    <protectedRange sqref="AC150" name="Rango1_2_6"/>
    <protectedRange sqref="Z293 U292:Y293" name="Rango1_28"/>
    <protectedRange sqref="AC293" name="Rango1_2_7"/>
    <protectedRange sqref="U294:Z294" name="Rango1_29"/>
    <protectedRange sqref="AC294" name="Rango1_2_8"/>
    <protectedRange sqref="M97:M98" name="Rango1_21"/>
    <protectedRange sqref="M99" name="Rango1_5_2"/>
    <protectedRange sqref="M100:M101" name="Rango1_6_1"/>
    <protectedRange sqref="M102:M103" name="Rango1_7_1"/>
    <protectedRange sqref="U97:Y103" name="Rango1_22"/>
    <protectedRange sqref="Z292" name="Rango1_6"/>
    <protectedRange sqref="AC292" name="Rango1_2_1"/>
    <protectedRange sqref="F21:F28 F129:F135 F137:F160 F162:F313 F36:F127" name="Rango1_23"/>
    <protectedRange sqref="Z135" name="Rango1_33"/>
    <protectedRange sqref="Z160" name="Rango1_36"/>
    <protectedRange sqref="Z103" name="Rango1_38"/>
    <protectedRange sqref="AC103" name="Rango1_2_3"/>
    <protectedRange sqref="M149" name="Rango1_39"/>
    <protectedRange sqref="Z149" name="Rango1_40"/>
    <protectedRange sqref="Z146 Z143" name="Rango1_42"/>
    <protectedRange sqref="Z60" name="Rango1_47"/>
    <protectedRange sqref="AC60" name="Rango1_2_9"/>
    <protectedRange sqref="Z63" name="Rango1_49"/>
    <protectedRange sqref="AC63" name="Rango1_2_10"/>
    <protectedRange sqref="M89" name="Rango1_51"/>
    <protectedRange sqref="Z89" name="Rango1_52"/>
    <protectedRange sqref="AC89" name="Rango1_2_11"/>
    <protectedRange sqref="Z101" name="Rango1_55"/>
    <protectedRange sqref="Z100" name="Rango1_56"/>
    <protectedRange sqref="M80" name="Rango1_58"/>
    <protectedRange sqref="M81:M86" name="Rango1_59"/>
    <protectedRange sqref="Z81:Z86" name="Rango1_60"/>
    <protectedRange sqref="M282" name="Rango1_61"/>
    <protectedRange sqref="Z282" name="Rango1_62"/>
    <protectedRange sqref="AC282" name="Rango1_2_13"/>
    <protectedRange sqref="M215" name="Rango1_63"/>
    <protectedRange sqref="Z215" name="Rango1_64"/>
    <protectedRange sqref="AC215" name="Rango1_2_14"/>
    <protectedRange sqref="M141" name="Rango1_65"/>
    <protectedRange sqref="Z141" name="Rango1_66"/>
    <protectedRange sqref="AD141:AG141" name="Rango1_67"/>
    <protectedRange sqref="AC141" name="Rango1_2_15"/>
    <protectedRange sqref="Z233" name="Rango1_31"/>
    <protectedRange sqref="L26 L28 L20:L23 L34:L40 L42:L56 L86:L89 L162 L58:L79 L164:L213 L219:L237 L91:L135 L239:L314 L137:L160" name="Rango1_32"/>
    <protectedRange sqref="AA26 AA28 AA20:AA23 AA34:AA35 AA42:AA56 AA86:AA89 AA162 AA59:AA79 AA164:AA213 AA219:AA227 AA91:AA135 AA243:AA303 AA137:AA160 AQ177 AQ168 AQ170:AQ171 AQ156:AQ157 AL109 AQ139:AQ141 AQ143 AQ213 AA314 AQ292 AA37:AA38 AA40" name="Rango1_34"/>
    <protectedRange sqref="AB280:AB313 AB277:AB278 AB20:AB216 AB237:AB275 AB218:AB235" name="Rango1_1_15"/>
    <protectedRange sqref="AB279 AB276" name="Rango1_2_16"/>
    <protectedRange sqref="AA238:AA242 AA228:AA236" name="Rango1_41"/>
    <protectedRange sqref="Z237" name="Rango1_43"/>
    <protectedRange sqref="AB217" name="Rango1_1_1"/>
    <protectedRange sqref="AA304" name="Rango1_7"/>
    <protectedRange sqref="AA305:AA309 AA311:AA313" name="Rango1_30"/>
    <protectedRange sqref="AQ312" name="Rango1_30_1"/>
    <protectedRange sqref="M34" name="Rango1_35"/>
    <protectedRange sqref="AA36" name="Rango1_45"/>
    <protectedRange sqref="AA39" name="Rango1_46"/>
    <protectedRange sqref="AA58" name="Rango1_34_2"/>
    <protectedRange sqref="V80:Y80 V82:Y86" name="Rango1_48"/>
    <protectedRange sqref="V68:Y69" name="Rango1_44"/>
    <protectedRange sqref="V70:Y70" name="Rango1_50"/>
  </protectedRanges>
  <autoFilter ref="A19:AR318"/>
  <mergeCells count="28">
    <mergeCell ref="P18:S18"/>
    <mergeCell ref="T128:T129"/>
    <mergeCell ref="A73:A74"/>
    <mergeCell ref="A75:A76"/>
    <mergeCell ref="K128:K129"/>
    <mergeCell ref="Q128:Q129"/>
    <mergeCell ref="R128:R129"/>
    <mergeCell ref="N128:N129"/>
    <mergeCell ref="O128:O129"/>
    <mergeCell ref="P128:P129"/>
    <mergeCell ref="S128:S129"/>
    <mergeCell ref="A70:A72"/>
    <mergeCell ref="A1:B1"/>
    <mergeCell ref="G1:U1"/>
    <mergeCell ref="A2:B2"/>
    <mergeCell ref="G2:U2"/>
    <mergeCell ref="A3:B3"/>
    <mergeCell ref="A4:B4"/>
    <mergeCell ref="A11:B11"/>
    <mergeCell ref="A12:B12"/>
    <mergeCell ref="A13:B13"/>
    <mergeCell ref="A16:F16"/>
    <mergeCell ref="A5:B5"/>
    <mergeCell ref="A8:G8"/>
    <mergeCell ref="A9:B9"/>
    <mergeCell ref="D9:K9"/>
    <mergeCell ref="A10:B10"/>
    <mergeCell ref="D10:K10"/>
  </mergeCells>
  <dataValidations disablePrompts="1" count="25">
    <dataValidation showDropDown="1" showErrorMessage="1" sqref="B129"/>
    <dataValidation allowBlank="1" showInputMessage="1" sqref="B95:B96"/>
    <dataValidation type="list" allowBlank="1" showInputMessage="1" showErrorMessage="1" sqref="S197:S201">
      <formula1>INDIRECT(F197)</formula1>
    </dataValidation>
    <dataValidation type="list" allowBlank="1" showInputMessage="1" showErrorMessage="1" sqref="O197:Q201">
      <formula1>INDIRECT(D197)</formula1>
    </dataValidation>
    <dataValidation type="list" allowBlank="1" showInputMessage="1" showErrorMessage="1" sqref="R197:R201">
      <formula1>INDIRECT(F197)</formula1>
    </dataValidation>
    <dataValidation type="list" allowBlank="1" showInputMessage="1" showErrorMessage="1" sqref="B190:C191">
      <formula1>INDIRECT(A181)</formula1>
    </dataValidation>
    <dataValidation type="list" allowBlank="1" showInputMessage="1" showErrorMessage="1" sqref="B180:C180">
      <formula1>INDIRECT(A179)</formula1>
    </dataValidation>
    <dataValidation type="list" allowBlank="1" showInputMessage="1" showErrorMessage="1" sqref="M197">
      <formula1>INDIRECT(C197)</formula1>
    </dataValidation>
    <dataValidation type="list" allowBlank="1" showInputMessage="1" showErrorMessage="1" sqref="F219:F227">
      <formula1>INDIRECT(B219)</formula1>
    </dataValidation>
    <dataValidation type="list" allowBlank="1" showInputMessage="1" showErrorMessage="1" sqref="C95:C96 B133:B135">
      <formula1>INDIRECT(A96)</formula1>
    </dataValidation>
    <dataValidation showDropDown="1" showInputMessage="1" showErrorMessage="1" sqref="C128:C135 B177:C179 C174:C176 B126:C127 B130:B132 B136:C136 B91:C94 B97:B103"/>
    <dataValidation type="list" allowBlank="1" showInputMessage="1" showErrorMessage="1" sqref="C162 C156:C157 B165:C173 B192:B197 C192:C201 B104:C125 B155:B160 B219:C273 B277:C313 B162:B164 B274:B276 C274 B36:B37 B137:C154">
      <formula1>Dimensiones</formula1>
    </dataValidation>
    <dataValidation type="list" allowBlank="1" showInputMessage="1" showErrorMessage="1" sqref="N156:N160 N162:N166 N148:N149 N151:N154">
      <formula1>$AV$1:$AV$2</formula1>
    </dataValidation>
    <dataValidation type="list" allowBlank="1" showInputMessage="1" showErrorMessage="1" sqref="N113:N114 N116:N122 N124:N125">
      <formula1>$AU$1:$AU$2</formula1>
    </dataValidation>
    <dataValidation type="list" allowBlank="1" showInputMessage="1" showErrorMessage="1" sqref="N88:N92 N206:N218 N137:N145 N33:N63 N77:N86 N195:N204 N29:N31 N97:N98 N103 N126:N128 N105:N112 N220:N253 N256:N279 N73 N173:N193 N130:N135 N286:N308 N310:N313">
      <formula1>$AV$1:$AV$3</formula1>
    </dataValidation>
    <dataValidation type="list" allowBlank="1" showInputMessage="1" showErrorMessage="1" sqref="F265:F274">
      <formula1>$AX$1:$AX$47</formula1>
    </dataValidation>
    <dataValidation type="list" allowBlank="1" showInputMessage="1" showErrorMessage="1" sqref="F292:F294">
      <formula1>$AY$1:$AY$43</formula1>
    </dataValidation>
    <dataValidation type="list" allowBlank="1" showInputMessage="1" showErrorMessage="1" sqref="F254:F258">
      <formula1>$AX$1:$AX$42</formula1>
    </dataValidation>
    <dataValidation type="list" allowBlank="1" showInputMessage="1" showErrorMessage="1" sqref="F243:F250">
      <formula1>$AX$1:$AX$46</formula1>
    </dataValidation>
    <dataValidation type="list" allowBlank="1" showInputMessage="1" showErrorMessage="1" sqref="F228:F242">
      <formula1>$AX$1:$AX$58</formula1>
    </dataValidation>
    <dataValidation type="list" allowBlank="1" showInputMessage="1" showErrorMessage="1" sqref="F192:F197">
      <formula1>$AX$1:$AX$41</formula1>
    </dataValidation>
    <dataValidation type="list" allowBlank="1" showInputMessage="1" showErrorMessage="1" sqref="F260:F264">
      <formula1>$AX$1:$AX$45</formula1>
    </dataValidation>
    <dataValidation type="list" allowBlank="1" showInputMessage="1" showErrorMessage="1" sqref="F259 F251:F253">
      <formula1>$AX$1:$AX$43</formula1>
    </dataValidation>
    <dataValidation type="list" allowBlank="1" showInputMessage="1" showErrorMessage="1" sqref="F29:F39 F66:F67">
      <formula1>$AX$1:$AX$19</formula1>
    </dataValidation>
    <dataValidation type="list" allowBlank="1" showInputMessage="1" showErrorMessage="1" sqref="F206:F218">
      <formula1>$AX$1:$AX$88</formula1>
    </dataValidation>
  </dataValidations>
  <pageMargins left="0.7" right="0.7" top="0.75" bottom="0.75" header="0.3" footer="0.3"/>
  <pageSetup orientation="portrait"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PAS 2020</vt:lpstr>
      <vt:lpstr>COAI 2020</vt:lpstr>
      <vt:lpstr>LINEAS OPERATIVAS</vt:lpstr>
      <vt:lpstr>DIMENSIONES</vt:lpstr>
      <vt:lpstr>FUENTES FINANCIACION</vt:lpstr>
      <vt:lpstr>SEGUIMIENTO EJECUCÓN PAS DICIEM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Navarrete</dc:creator>
  <cp:lastModifiedBy>Luz Dary</cp:lastModifiedBy>
  <dcterms:created xsi:type="dcterms:W3CDTF">2017-11-22T15:15:49Z</dcterms:created>
  <dcterms:modified xsi:type="dcterms:W3CDTF">2022-05-13T17:54:53Z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