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2.xml" ContentType="application/vnd.openxmlformats-officedocument.drawingml.chartshapes+xml"/>
  <Override PartName="/xl/charts/chart3.xml" ContentType="application/vnd.openxmlformats-officedocument.drawingml.chart+xml"/>
  <Override PartName="/xl/drawings/drawing1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30" windowWidth="11940" windowHeight="9675" tabRatio="686" firstSheet="4" activeTab="10"/>
  </bookViews>
  <sheets>
    <sheet name="VALLE DE ABURRA" sheetId="1" r:id="rId1"/>
    <sheet name="URABA" sheetId="2" r:id="rId2"/>
    <sheet name="NORTE" sheetId="3" r:id="rId3"/>
    <sheet name="OCCIDENTE" sheetId="4" r:id="rId4"/>
    <sheet name="SUROESTE" sheetId="5" r:id="rId5"/>
    <sheet name="BAJO CAUCA" sheetId="6" r:id="rId6"/>
    <sheet name="MAGDALENA MEDIO" sheetId="7" r:id="rId7"/>
    <sheet name="NORDESTE" sheetId="8" r:id="rId8"/>
    <sheet name="ORIENTE" sheetId="9" r:id="rId9"/>
    <sheet name="CONSOLIDADO-ACUEDUCTOSRURALES1" sheetId="10" r:id="rId10"/>
    <sheet name="CONSOLIDADO-ACUEDUCTOSRURALES2" sheetId="11" r:id="rId11"/>
    <sheet name="Hoja1" sheetId="12" r:id="rId12"/>
    <sheet name="Recuperado_Hoja9" sheetId="13" r:id="rId13"/>
  </sheets>
  <definedNames>
    <definedName name="_xlnm._FilterDatabase" localSheetId="5" hidden="1">'BAJO CAUCA'!$A$10:$W$70</definedName>
    <definedName name="_xlnm._FilterDatabase" localSheetId="6" hidden="1">'MAGDALENA MEDIO'!$A$10:$BR$79</definedName>
    <definedName name="_xlnm._FilterDatabase" localSheetId="7" hidden="1">NORDESTE!$A$11:$W$122</definedName>
    <definedName name="_xlnm._FilterDatabase" localSheetId="2" hidden="1">NORTE!$A$9:$W$264</definedName>
    <definedName name="_xlnm._FilterDatabase" localSheetId="3" hidden="1">OCCIDENTE!$A$9:$W$506</definedName>
    <definedName name="_xlnm._FilterDatabase" localSheetId="8" hidden="1">ORIENTE!$A$11:$W$548</definedName>
    <definedName name="_xlnm._FilterDatabase" localSheetId="4" hidden="1">SUROESTE!$A$10:$IV$509</definedName>
    <definedName name="_xlnm._FilterDatabase" localSheetId="1" hidden="1">URABA!$A$9:$W$115</definedName>
    <definedName name="_xlnm._FilterDatabase" localSheetId="0" hidden="1">'VALLE DE ABURRA'!$A$10:$W$208</definedName>
    <definedName name="_xlnm.Print_Titles" localSheetId="5">'BAJO CAUCA'!#REF!</definedName>
    <definedName name="_xlnm.Print_Titles" localSheetId="6">'MAGDALENA MEDIO'!$1:$7</definedName>
    <definedName name="_xlnm.Print_Titles" localSheetId="7">NORDESTE!#REF!</definedName>
    <definedName name="_xlnm.Print_Titles" localSheetId="2">NORTE!#REF!</definedName>
    <definedName name="_xlnm.Print_Titles" localSheetId="3">OCCIDENTE!#REF!</definedName>
    <definedName name="_xlnm.Print_Titles" localSheetId="8">ORIENTE!#REF!</definedName>
    <definedName name="_xlnm.Print_Titles" localSheetId="4">SUROESTE!#REF!</definedName>
    <definedName name="_xlnm.Print_Titles" localSheetId="1">URABA!#REF!</definedName>
    <definedName name="_xlnm.Print_Titles" localSheetId="0">'VALLE DE ABURRA'!#REF!</definedName>
    <definedName name="Z_0BC005E4_882D_482B_A17C_09999F9F8307_.wvu.FilterData" localSheetId="4" hidden="1">SUROESTE!$A$11:$W$110</definedName>
    <definedName name="Z_240BA642_90B5_4126_A4A9_99E737AC13D0_.wvu.FilterData" localSheetId="5" hidden="1">'BAJO CAUCA'!$A$10:$W$69</definedName>
    <definedName name="Z_240BA642_90B5_4126_A4A9_99E737AC13D0_.wvu.FilterData" localSheetId="6" hidden="1">'MAGDALENA MEDIO'!$A$10:$BR$79</definedName>
    <definedName name="Z_240BA642_90B5_4126_A4A9_99E737AC13D0_.wvu.FilterData" localSheetId="7" hidden="1">NORDESTE!$A$11:$W$121</definedName>
    <definedName name="Z_240BA642_90B5_4126_A4A9_99E737AC13D0_.wvu.FilterData" localSheetId="3" hidden="1">OCCIDENTE!$A$9:$W$506</definedName>
    <definedName name="Z_240BA642_90B5_4126_A4A9_99E737AC13D0_.wvu.FilterData" localSheetId="8" hidden="1">ORIENTE!$A$11:$W$548</definedName>
    <definedName name="Z_240BA642_90B5_4126_A4A9_99E737AC13D0_.wvu.FilterData" localSheetId="4" hidden="1">SUROESTE!$A$10:$IV$509</definedName>
    <definedName name="Z_240BA642_90B5_4126_A4A9_99E737AC13D0_.wvu.FilterData" localSheetId="0" hidden="1">'VALLE DE ABURRA'!$A$10:$W$208</definedName>
    <definedName name="Z_45AE7309_DF76_40FF_9BC6_30C0FE705437_.wvu.FilterData" localSheetId="4" hidden="1">SUROESTE!$A$11:$W$110</definedName>
    <definedName name="Z_45C8AF51_29EC_46A5_AB7F_1F0634E55D82_.wvu.Cols" localSheetId="5" hidden="1">'BAJO CAUCA'!$T:$XFD</definedName>
    <definedName name="Z_45C8AF51_29EC_46A5_AB7F_1F0634E55D82_.wvu.Cols" localSheetId="7" hidden="1">NORDESTE!$T:$XFD</definedName>
    <definedName name="Z_45C8AF51_29EC_46A5_AB7F_1F0634E55D82_.wvu.Cols" localSheetId="2" hidden="1">NORTE!$T:$XFD</definedName>
    <definedName name="Z_45C8AF51_29EC_46A5_AB7F_1F0634E55D82_.wvu.Cols" localSheetId="3" hidden="1">OCCIDENTE!$T:$XFD</definedName>
    <definedName name="Z_45C8AF51_29EC_46A5_AB7F_1F0634E55D82_.wvu.Cols" localSheetId="8" hidden="1">ORIENTE!$T:$XFD</definedName>
    <definedName name="Z_45C8AF51_29EC_46A5_AB7F_1F0634E55D82_.wvu.Cols" localSheetId="4" hidden="1">SUROESTE!$T:$XFD</definedName>
    <definedName name="Z_45C8AF51_29EC_46A5_AB7F_1F0634E55D82_.wvu.Cols" localSheetId="1" hidden="1">URABA!$T:$XFD</definedName>
    <definedName name="Z_45C8AF51_29EC_46A5_AB7F_1F0634E55D82_.wvu.Cols" localSheetId="0" hidden="1">'VALLE DE ABURRA'!$T:$XFD</definedName>
    <definedName name="Z_45C8AF51_29EC_46A5_AB7F_1F0634E55D82_.wvu.FilterData" localSheetId="5" hidden="1">'BAJO CAUCA'!$A$10:$W$70</definedName>
    <definedName name="Z_45C8AF51_29EC_46A5_AB7F_1F0634E55D82_.wvu.FilterData" localSheetId="6" hidden="1">'MAGDALENA MEDIO'!$A$10:$BR$79</definedName>
    <definedName name="Z_45C8AF51_29EC_46A5_AB7F_1F0634E55D82_.wvu.FilterData" localSheetId="7" hidden="1">NORDESTE!$A$11:$W$122</definedName>
    <definedName name="Z_45C8AF51_29EC_46A5_AB7F_1F0634E55D82_.wvu.FilterData" localSheetId="2" hidden="1">NORTE!$A$1:$S$264</definedName>
    <definedName name="Z_45C8AF51_29EC_46A5_AB7F_1F0634E55D82_.wvu.FilterData" localSheetId="3" hidden="1">OCCIDENTE!$A$9:$W$506</definedName>
    <definedName name="Z_45C8AF51_29EC_46A5_AB7F_1F0634E55D82_.wvu.FilterData" localSheetId="8" hidden="1">ORIENTE!$A$11:$W$548</definedName>
    <definedName name="Z_45C8AF51_29EC_46A5_AB7F_1F0634E55D82_.wvu.FilterData" localSheetId="4" hidden="1">SUROESTE!$A$10:$IV$509</definedName>
    <definedName name="Z_45C8AF51_29EC_46A5_AB7F_1F0634E55D82_.wvu.FilterData" localSheetId="1" hidden="1">URABA!$A$9:$W$115</definedName>
    <definedName name="Z_45C8AF51_29EC_46A5_AB7F_1F0634E55D82_.wvu.FilterData" localSheetId="0" hidden="1">'VALLE DE ABURRA'!$A$10:$W$208</definedName>
    <definedName name="Z_45C8AF51_29EC_46A5_AB7F_1F0634E55D82_.wvu.PrintTitles" localSheetId="6" hidden="1">'MAGDALENA MEDIO'!$1:$7</definedName>
    <definedName name="Z_45C8AF51_29EC_46A5_AB7F_1F0634E55D82_.wvu.Rows" localSheetId="5" hidden="1">'BAJO CAUCA'!$720:$1048576,'BAJO CAUCA'!$647:$694,'BAJO CAUCA'!$698:$719</definedName>
    <definedName name="Z_45C8AF51_29EC_46A5_AB7F_1F0634E55D82_.wvu.Rows" localSheetId="7" hidden="1">NORDESTE!$340:$1048576,NORDESTE!$325:$339</definedName>
    <definedName name="Z_45C8AF51_29EC_46A5_AB7F_1F0634E55D82_.wvu.Rows" localSheetId="2" hidden="1">NORTE!$734:$1048576,NORTE!$327:$481</definedName>
    <definedName name="Z_45C8AF51_29EC_46A5_AB7F_1F0634E55D82_.wvu.Rows" localSheetId="3" hidden="1">OCCIDENTE!$734:$1048576</definedName>
    <definedName name="Z_45C8AF51_29EC_46A5_AB7F_1F0634E55D82_.wvu.Rows" localSheetId="8" hidden="1">ORIENTE!$700:$1048576</definedName>
    <definedName name="Z_45C8AF51_29EC_46A5_AB7F_1F0634E55D82_.wvu.Rows" localSheetId="4" hidden="1">SUROESTE!$752:$1048576,SUROESTE!$593:$593,SUROESTE!$744:$745,SUROESTE!$747:$751</definedName>
    <definedName name="Z_45C8AF51_29EC_46A5_AB7F_1F0634E55D82_.wvu.Rows" localSheetId="1" hidden="1">URABA!$492:$1048576,URABA!$280:$435,URABA!$485:$490</definedName>
    <definedName name="Z_517032D9_A4B9_4DF6_AF6F_013B4C18FEE6_.wvu.FilterData" localSheetId="0" hidden="1">'VALLE DE ABURRA'!$A$10:$W$229</definedName>
    <definedName name="Z_64E98953_D9FC_418E_8635_8B1C17E32257_.wvu.FilterData" localSheetId="4" hidden="1">SUROESTE!$A$11:$W$110</definedName>
    <definedName name="Z_75DD7674_E7DE_4BB1_A36D_76AA33452CB3_.wvu.Cols" localSheetId="5" hidden="1">'BAJO CAUCA'!$T:$XFD</definedName>
    <definedName name="Z_75DD7674_E7DE_4BB1_A36D_76AA33452CB3_.wvu.Cols" localSheetId="7" hidden="1">NORDESTE!$T:$XFD</definedName>
    <definedName name="Z_75DD7674_E7DE_4BB1_A36D_76AA33452CB3_.wvu.Cols" localSheetId="2" hidden="1">NORTE!$T:$XFD</definedName>
    <definedName name="Z_75DD7674_E7DE_4BB1_A36D_76AA33452CB3_.wvu.Cols" localSheetId="3" hidden="1">OCCIDENTE!$T:$XFD</definedName>
    <definedName name="Z_75DD7674_E7DE_4BB1_A36D_76AA33452CB3_.wvu.Cols" localSheetId="8" hidden="1">ORIENTE!$T:$XFD</definedName>
    <definedName name="Z_75DD7674_E7DE_4BB1_A36D_76AA33452CB3_.wvu.Cols" localSheetId="4" hidden="1">SUROESTE!$T:$XFD</definedName>
    <definedName name="Z_75DD7674_E7DE_4BB1_A36D_76AA33452CB3_.wvu.Cols" localSheetId="1" hidden="1">URABA!$T:$XFD</definedName>
    <definedName name="Z_75DD7674_E7DE_4BB1_A36D_76AA33452CB3_.wvu.Cols" localSheetId="0" hidden="1">'VALLE DE ABURRA'!$T:$XFD</definedName>
    <definedName name="Z_75DD7674_E7DE_4BB1_A36D_76AA33452CB3_.wvu.FilterData" localSheetId="5" hidden="1">'BAJO CAUCA'!$A$10:$W$70</definedName>
    <definedName name="Z_75DD7674_E7DE_4BB1_A36D_76AA33452CB3_.wvu.FilterData" localSheetId="6" hidden="1">'MAGDALENA MEDIO'!$A$10:$BR$79</definedName>
    <definedName name="Z_75DD7674_E7DE_4BB1_A36D_76AA33452CB3_.wvu.FilterData" localSheetId="7" hidden="1">NORDESTE!$A$11:$W$122</definedName>
    <definedName name="Z_75DD7674_E7DE_4BB1_A36D_76AA33452CB3_.wvu.FilterData" localSheetId="2" hidden="1">NORTE!$A$9:$W$264</definedName>
    <definedName name="Z_75DD7674_E7DE_4BB1_A36D_76AA33452CB3_.wvu.FilterData" localSheetId="3" hidden="1">OCCIDENTE!$A$9:$W$506</definedName>
    <definedName name="Z_75DD7674_E7DE_4BB1_A36D_76AA33452CB3_.wvu.FilterData" localSheetId="8" hidden="1">ORIENTE!$A$11:$W$548</definedName>
    <definedName name="Z_75DD7674_E7DE_4BB1_A36D_76AA33452CB3_.wvu.FilterData" localSheetId="4" hidden="1">SUROESTE!$A$10:$IV$509</definedName>
    <definedName name="Z_75DD7674_E7DE_4BB1_A36D_76AA33452CB3_.wvu.FilterData" localSheetId="1" hidden="1">URABA!$A$9:$W$115</definedName>
    <definedName name="Z_75DD7674_E7DE_4BB1_A36D_76AA33452CB3_.wvu.FilterData" localSheetId="0" hidden="1">'VALLE DE ABURRA'!$A$10:$W$208</definedName>
    <definedName name="Z_75DD7674_E7DE_4BB1_A36D_76AA33452CB3_.wvu.PrintTitles" localSheetId="6" hidden="1">'MAGDALENA MEDIO'!$1:$7</definedName>
    <definedName name="Z_75DD7674_E7DE_4BB1_A36D_76AA33452CB3_.wvu.Rows" localSheetId="5" hidden="1">'BAJO CAUCA'!$720:$1048576,'BAJO CAUCA'!$695:$697</definedName>
    <definedName name="Z_75DD7674_E7DE_4BB1_A36D_76AA33452CB3_.wvu.Rows" localSheetId="7" hidden="1">NORDESTE!$340:$1048576,NORDESTE!$325:$339</definedName>
    <definedName name="Z_75DD7674_E7DE_4BB1_A36D_76AA33452CB3_.wvu.Rows" localSheetId="2" hidden="1">NORTE!$734:$1048576,NORTE!$327:$481,NORTE!$587:$733</definedName>
    <definedName name="Z_75DD7674_E7DE_4BB1_A36D_76AA33452CB3_.wvu.Rows" localSheetId="3" hidden="1">OCCIDENTE!$734:$1048576</definedName>
    <definedName name="Z_75DD7674_E7DE_4BB1_A36D_76AA33452CB3_.wvu.Rows" localSheetId="8" hidden="1">ORIENTE!$700:$1048576</definedName>
    <definedName name="Z_75DD7674_E7DE_4BB1_A36D_76AA33452CB3_.wvu.Rows" localSheetId="4" hidden="1">SUROESTE!$752:$1048576,SUROESTE!$593:$593,SUROESTE!$744:$751</definedName>
    <definedName name="Z_75DD7674_E7DE_4BB1_A36D_76AA33452CB3_.wvu.Rows" localSheetId="1" hidden="1">URABA!$492:$1048576,URABA!$280:$435,URABA!$485:$491</definedName>
    <definedName name="Z_A1AE07FC_EB65_433F_821D_BE06E92AB2D3_.wvu.FilterData" localSheetId="4" hidden="1">SUROESTE!$A$11:$W$110</definedName>
    <definedName name="Z_AEDE1BDB_8710_4CDA_8488_31F49D423ACE_.wvu.Cols" localSheetId="5" hidden="1">'BAJO CAUCA'!$T:$XFD</definedName>
    <definedName name="Z_AEDE1BDB_8710_4CDA_8488_31F49D423ACE_.wvu.Cols" localSheetId="7" hidden="1">NORDESTE!$T:$XFD</definedName>
    <definedName name="Z_AEDE1BDB_8710_4CDA_8488_31F49D423ACE_.wvu.Cols" localSheetId="2" hidden="1">NORTE!$T:$XFD</definedName>
    <definedName name="Z_AEDE1BDB_8710_4CDA_8488_31F49D423ACE_.wvu.Cols" localSheetId="4" hidden="1">SUROESTE!$T:$XFD</definedName>
    <definedName name="Z_AEDE1BDB_8710_4CDA_8488_31F49D423ACE_.wvu.Cols" localSheetId="1" hidden="1">URABA!$T:$XFD</definedName>
    <definedName name="Z_AEDE1BDB_8710_4CDA_8488_31F49D423ACE_.wvu.FilterData" localSheetId="5" hidden="1">'BAJO CAUCA'!$A$10:$W$25</definedName>
    <definedName name="Z_AEDE1BDB_8710_4CDA_8488_31F49D423ACE_.wvu.FilterData" localSheetId="6" hidden="1">'MAGDALENA MEDIO'!$A$8:$W$13</definedName>
    <definedName name="Z_AEDE1BDB_8710_4CDA_8488_31F49D423ACE_.wvu.FilterData" localSheetId="8" hidden="1">ORIENTE!$A$11:$W$548</definedName>
    <definedName name="Z_AEDE1BDB_8710_4CDA_8488_31F49D423ACE_.wvu.FilterData" localSheetId="4" hidden="1">SUROESTE!$A$11:$W$110</definedName>
    <definedName name="Z_AEDE1BDB_8710_4CDA_8488_31F49D423ACE_.wvu.FilterData" localSheetId="1" hidden="1">URABA!$A$9:$W$115</definedName>
    <definedName name="Z_AEDE1BDB_8710_4CDA_8488_31F49D423ACE_.wvu.FilterData" localSheetId="0" hidden="1">'VALLE DE ABURRA'!$A$10:$W$229</definedName>
    <definedName name="Z_AEDE1BDB_8710_4CDA_8488_31F49D423ACE_.wvu.PrintTitles" localSheetId="6" hidden="1">'MAGDALENA MEDIO'!$1:$7</definedName>
    <definedName name="Z_AEDE1BDB_8710_4CDA_8488_31F49D423ACE_.wvu.Rows" localSheetId="5" hidden="1">'BAJO CAUCA'!$647:$1048576</definedName>
    <definedName name="Z_AEDE1BDB_8710_4CDA_8488_31F49D423ACE_.wvu.Rows" localSheetId="7" hidden="1">NORDESTE!$325:$1048576</definedName>
    <definedName name="Z_AEDE1BDB_8710_4CDA_8488_31F49D423ACE_.wvu.Rows" localSheetId="2" hidden="1">NORTE!$587:$1048576,NORTE!$327:$481</definedName>
    <definedName name="Z_AEDE1BDB_8710_4CDA_8488_31F49D423ACE_.wvu.Rows" localSheetId="3" hidden="1">OCCIDENTE!$734:$1048576</definedName>
    <definedName name="Z_AEDE1BDB_8710_4CDA_8488_31F49D423ACE_.wvu.Rows" localSheetId="8" hidden="1">ORIENTE!$700:$1048576</definedName>
    <definedName name="Z_AEDE1BDB_8710_4CDA_8488_31F49D423ACE_.wvu.Rows" localSheetId="4" hidden="1">SUROESTE!$746:$1048576,SUROESTE!$593:$593,SUROESTE!$744:$745</definedName>
    <definedName name="Z_AEDE1BDB_8710_4CDA_8488_31F49D423ACE_.wvu.Rows" localSheetId="1" hidden="1">URABA!$491:$1048576,URABA!$280:$435,URABA!$485:$490</definedName>
    <definedName name="Z_BEFDC7EA_264B_417F_8BFF_45DAD338E7E1_.wvu.FilterData" localSheetId="4" hidden="1">SUROESTE!$A$11:$W$110</definedName>
    <definedName name="Z_C57B382E_2C58_4CC4_82F5_E09F3EEAA329_.wvu.FilterData" localSheetId="8" hidden="1">ORIENTE!$A$11:$W$548</definedName>
    <definedName name="Z_C57B382E_2C58_4CC4_82F5_E09F3EEAA329_.wvu.FilterData" localSheetId="4" hidden="1">SUROESTE!$A$11:$W$110</definedName>
    <definedName name="Z_F5D399BA_45A7_4E12_9AE4_6C6852B41446_.wvu.FilterData" localSheetId="2" hidden="1">NORTE!$A$9:$W$264</definedName>
    <definedName name="Z_FCC3B493_4306_43B2_9C73_76324485DD47_.wvu.Cols" localSheetId="5" hidden="1">'BAJO CAUCA'!$T:$XFD</definedName>
    <definedName name="Z_FCC3B493_4306_43B2_9C73_76324485DD47_.wvu.Cols" localSheetId="7" hidden="1">NORDESTE!$T:$XFD</definedName>
    <definedName name="Z_FCC3B493_4306_43B2_9C73_76324485DD47_.wvu.Cols" localSheetId="2" hidden="1">NORTE!$T:$XFD</definedName>
    <definedName name="Z_FCC3B493_4306_43B2_9C73_76324485DD47_.wvu.Cols" localSheetId="3" hidden="1">OCCIDENTE!$T:$XFD</definedName>
    <definedName name="Z_FCC3B493_4306_43B2_9C73_76324485DD47_.wvu.Cols" localSheetId="8" hidden="1">ORIENTE!$T:$XFD</definedName>
    <definedName name="Z_FCC3B493_4306_43B2_9C73_76324485DD47_.wvu.Cols" localSheetId="4" hidden="1">SUROESTE!$T:$XFD</definedName>
    <definedName name="Z_FCC3B493_4306_43B2_9C73_76324485DD47_.wvu.Cols" localSheetId="1" hidden="1">URABA!$T:$XFD</definedName>
    <definedName name="Z_FCC3B493_4306_43B2_9C73_76324485DD47_.wvu.Cols" localSheetId="0" hidden="1">'VALLE DE ABURRA'!$T:$XFD</definedName>
    <definedName name="Z_FCC3B493_4306_43B2_9C73_76324485DD47_.wvu.FilterData" localSheetId="5" hidden="1">'BAJO CAUCA'!$10:$70</definedName>
    <definedName name="Z_FCC3B493_4306_43B2_9C73_76324485DD47_.wvu.FilterData" localSheetId="6" hidden="1">'MAGDALENA MEDIO'!$A$10:$BR$79</definedName>
    <definedName name="Z_FCC3B493_4306_43B2_9C73_76324485DD47_.wvu.FilterData" localSheetId="7" hidden="1">NORDESTE!$A$11:$W$122</definedName>
    <definedName name="Z_FCC3B493_4306_43B2_9C73_76324485DD47_.wvu.FilterData" localSheetId="2" hidden="1">NORTE!$A$1:$S$264</definedName>
    <definedName name="Z_FCC3B493_4306_43B2_9C73_76324485DD47_.wvu.FilterData" localSheetId="3" hidden="1">OCCIDENTE!$A$9:$W$506</definedName>
    <definedName name="Z_FCC3B493_4306_43B2_9C73_76324485DD47_.wvu.FilterData" localSheetId="8" hidden="1">ORIENTE!$A$11:$W$548</definedName>
    <definedName name="Z_FCC3B493_4306_43B2_9C73_76324485DD47_.wvu.FilterData" localSheetId="4" hidden="1">SUROESTE!$A$10:$IV$509</definedName>
    <definedName name="Z_FCC3B493_4306_43B2_9C73_76324485DD47_.wvu.FilterData" localSheetId="1" hidden="1">URABA!$A$9:$W$115</definedName>
    <definedName name="Z_FCC3B493_4306_43B2_9C73_76324485DD47_.wvu.FilterData" localSheetId="0" hidden="1">'VALLE DE ABURRA'!$A$10:$W$208</definedName>
    <definedName name="Z_FCC3B493_4306_43B2_9C73_76324485DD47_.wvu.PrintTitles" localSheetId="6" hidden="1">'MAGDALENA MEDIO'!$1:$7</definedName>
    <definedName name="Z_FCC3B493_4306_43B2_9C73_76324485DD47_.wvu.Rows" localSheetId="5" hidden="1">'BAJO CAUCA'!$720:$1048576,'BAJO CAUCA'!$647:$719</definedName>
    <definedName name="Z_FCC3B493_4306_43B2_9C73_76324485DD47_.wvu.Rows" localSheetId="7" hidden="1">NORDESTE!$340:$1048576</definedName>
    <definedName name="Z_FCC3B493_4306_43B2_9C73_76324485DD47_.wvu.Rows" localSheetId="2" hidden="1">NORTE!$734:$1048576,NORTE!$327:$481,NORTE!$587:$733</definedName>
    <definedName name="Z_FCC3B493_4306_43B2_9C73_76324485DD47_.wvu.Rows" localSheetId="3" hidden="1">OCCIDENTE!$734:$1048576</definedName>
    <definedName name="Z_FCC3B493_4306_43B2_9C73_76324485DD47_.wvu.Rows" localSheetId="8" hidden="1">ORIENTE!$700:$1048576</definedName>
    <definedName name="Z_FCC3B493_4306_43B2_9C73_76324485DD47_.wvu.Rows" localSheetId="4" hidden="1">SUROESTE!$752:$1048576,SUROESTE!$593:$593,SUROESTE!$744:$746</definedName>
    <definedName name="Z_FCC3B493_4306_43B2_9C73_76324485DD47_.wvu.Rows" localSheetId="1" hidden="1">URABA!$492:$1048576,URABA!$280:$435,URABA!$485:$491</definedName>
  </definedNames>
  <calcPr calcId="145621"/>
  <customWorkbookViews>
    <customWorkbookView name="ROGELIO DE JESUS LOPEZ - Vista personalizada" guid="{45C8AF51-29EC-46A5-AB7F-1F0634E55D82}" mergeInterval="0" personalView="1" maximized="1" xWindow="-8" yWindow="-8" windowWidth="1616" windowHeight="876" tabRatio="690" activeSheetId="4"/>
    <customWorkbookView name="JOHN FERNANDO DIAZ HURTADO - Vista personalizada" guid="{FCC3B493-4306-43B2-9C73-76324485DD47}" mergeInterval="0" personalView="1" maximized="1" windowWidth="1436" windowHeight="675" tabRatio="690" activeSheetId="2"/>
    <customWorkbookView name="ERIKA MAYA CORTES - Vista personalizada" guid="{AEDE1BDB-8710-4CDA-8488-31F49D423ACE}" mergeInterval="0" personalView="1" maximized="1" windowWidth="1596" windowHeight="675" tabRatio="690" activeSheetId="11"/>
    <customWorkbookView name="JHON WILLIAM TABARES MORALES - Vista personalizada" guid="{75DD7674-E7DE-4BB1-A36D-76AA33452CB3}" mergeInterval="0" personalView="1" maximized="1" windowWidth="1596" windowHeight="609" tabRatio="686" activeSheetId="9"/>
  </customWorkbookViews>
</workbook>
</file>

<file path=xl/calcChain.xml><?xml version="1.0" encoding="utf-8"?>
<calcChain xmlns="http://schemas.openxmlformats.org/spreadsheetml/2006/main">
  <c r="S205" i="9" l="1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506" i="9"/>
  <c r="S507" i="9"/>
  <c r="S508" i="9"/>
  <c r="S509" i="9"/>
  <c r="S510" i="9"/>
  <c r="S511" i="9"/>
  <c r="S512" i="9"/>
  <c r="S513" i="9"/>
  <c r="S514" i="9"/>
  <c r="S515" i="9"/>
  <c r="S516" i="9"/>
  <c r="S517" i="9"/>
  <c r="S518" i="9"/>
  <c r="S519" i="9"/>
  <c r="S520" i="9"/>
  <c r="S521" i="9"/>
  <c r="S522" i="9"/>
  <c r="S523" i="9"/>
  <c r="S524" i="9"/>
  <c r="S525" i="9"/>
  <c r="S526" i="9"/>
  <c r="S527" i="9"/>
  <c r="S528" i="9"/>
  <c r="S529" i="9"/>
  <c r="S530" i="9"/>
  <c r="S531" i="9"/>
  <c r="S532" i="9"/>
  <c r="S533" i="9"/>
  <c r="S534" i="9"/>
  <c r="S535" i="9"/>
  <c r="S536" i="9"/>
  <c r="S537" i="9"/>
  <c r="S538" i="9"/>
  <c r="S539" i="9"/>
  <c r="S540" i="9"/>
  <c r="S541" i="9"/>
  <c r="S542" i="9"/>
  <c r="S543" i="9"/>
  <c r="S544" i="9"/>
  <c r="S545" i="9"/>
  <c r="S546" i="9"/>
  <c r="S547" i="9"/>
  <c r="S548" i="9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3" i="8"/>
  <c r="S14" i="8"/>
  <c r="S15" i="8"/>
  <c r="S16" i="8"/>
  <c r="S17" i="8"/>
  <c r="S18" i="8"/>
  <c r="S19" i="8"/>
  <c r="S20" i="8"/>
  <c r="S21" i="8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1" i="1"/>
  <c r="S22" i="1"/>
  <c r="S23" i="1"/>
  <c r="S24" i="1"/>
  <c r="S25" i="1"/>
  <c r="S26" i="1"/>
  <c r="S27" i="1"/>
  <c r="S28" i="1"/>
  <c r="S29" i="1"/>
  <c r="S30" i="1"/>
  <c r="S31" i="1"/>
  <c r="S32" i="1"/>
  <c r="S17" i="1"/>
  <c r="S18" i="1"/>
  <c r="S19" i="1"/>
  <c r="S20" i="1"/>
  <c r="S16" i="1"/>
  <c r="S15" i="1"/>
  <c r="S12" i="1"/>
  <c r="S13" i="1"/>
  <c r="S14" i="1"/>
  <c r="Q44" i="7" l="1"/>
  <c r="Q18" i="8" l="1"/>
  <c r="Q20" i="8"/>
  <c r="R20" i="8" s="1"/>
  <c r="R18" i="8" l="1"/>
  <c r="Q19" i="8"/>
  <c r="R19" i="8" s="1"/>
  <c r="Q418" i="9" l="1"/>
  <c r="R418" i="9" s="1"/>
  <c r="Q419" i="9"/>
  <c r="Q420" i="9"/>
  <c r="R420" i="9" s="1"/>
  <c r="Q417" i="9"/>
  <c r="Q416" i="9"/>
  <c r="R416" i="9" s="1"/>
  <c r="Q415" i="9"/>
  <c r="R415" i="9" s="1"/>
  <c r="Q414" i="9"/>
  <c r="Q413" i="9"/>
  <c r="Q412" i="9"/>
  <c r="R412" i="9" s="1"/>
  <c r="Q411" i="9"/>
  <c r="R411" i="9" s="1"/>
  <c r="Q410" i="9"/>
  <c r="R410" i="9" s="1"/>
  <c r="R419" i="9" l="1"/>
  <c r="R413" i="9"/>
  <c r="R417" i="9"/>
  <c r="R414" i="9"/>
  <c r="Q70" i="6" l="1"/>
  <c r="R70" i="6" s="1"/>
  <c r="S70" i="6" l="1"/>
  <c r="S164" i="3" l="1"/>
  <c r="S165" i="3"/>
  <c r="S166" i="3"/>
  <c r="I48" i="10"/>
  <c r="B130" i="8"/>
  <c r="B78" i="6"/>
  <c r="B518" i="5"/>
  <c r="B515" i="4"/>
  <c r="B217" i="1"/>
  <c r="B512" i="4" l="1"/>
  <c r="B513" i="4"/>
  <c r="B514" i="4"/>
  <c r="B272" i="3"/>
  <c r="B273" i="3"/>
  <c r="B130" i="2"/>
  <c r="B212" i="1"/>
  <c r="B511" i="4" l="1"/>
  <c r="F202" i="11" s="1"/>
  <c r="B510" i="4"/>
  <c r="D202" i="11" l="1"/>
  <c r="B556" i="9" l="1"/>
  <c r="B555" i="9"/>
  <c r="L207" i="11" s="1"/>
  <c r="B554" i="9"/>
  <c r="J207" i="11" s="1"/>
  <c r="B553" i="9"/>
  <c r="H207" i="11" s="1"/>
  <c r="B552" i="9"/>
  <c r="F207" i="11" s="1"/>
  <c r="B551" i="9"/>
  <c r="D207" i="11" s="1"/>
  <c r="B129" i="8"/>
  <c r="L206" i="11" s="1"/>
  <c r="B128" i="8"/>
  <c r="J206" i="11" s="1"/>
  <c r="B127" i="8"/>
  <c r="H206" i="11" s="1"/>
  <c r="B126" i="8"/>
  <c r="F206" i="11" s="1"/>
  <c r="B125" i="8"/>
  <c r="D206" i="11" s="1"/>
  <c r="B87" i="7"/>
  <c r="B86" i="7"/>
  <c r="L205" i="11" s="1"/>
  <c r="B85" i="7"/>
  <c r="J205" i="11" s="1"/>
  <c r="B84" i="7"/>
  <c r="H205" i="11" s="1"/>
  <c r="B83" i="7"/>
  <c r="F205" i="11" s="1"/>
  <c r="B82" i="7"/>
  <c r="D205" i="11" s="1"/>
  <c r="L202" i="11"/>
  <c r="J202" i="11"/>
  <c r="H202" i="11"/>
  <c r="B77" i="6"/>
  <c r="L204" i="11" s="1"/>
  <c r="B76" i="6"/>
  <c r="J204" i="11" s="1"/>
  <c r="B75" i="6"/>
  <c r="H204" i="11" s="1"/>
  <c r="B74" i="6"/>
  <c r="F204" i="11" s="1"/>
  <c r="B73" i="6"/>
  <c r="D204" i="11" s="1"/>
  <c r="N205" i="11" l="1"/>
  <c r="N202" i="11"/>
  <c r="B131" i="8"/>
  <c r="B516" i="4"/>
  <c r="B557" i="9"/>
  <c r="B79" i="6"/>
  <c r="B88" i="7"/>
  <c r="B517" i="5"/>
  <c r="L203" i="11" s="1"/>
  <c r="B516" i="5"/>
  <c r="J203" i="11" s="1"/>
  <c r="B515" i="5"/>
  <c r="H203" i="11" s="1"/>
  <c r="B514" i="5"/>
  <c r="F203" i="11" s="1"/>
  <c r="B513" i="5"/>
  <c r="D203" i="11" s="1"/>
  <c r="B271" i="3"/>
  <c r="J201" i="11" s="1"/>
  <c r="B270" i="3"/>
  <c r="H201" i="11" s="1"/>
  <c r="B269" i="3"/>
  <c r="F201" i="11" s="1"/>
  <c r="B268" i="3"/>
  <c r="D201" i="11" s="1"/>
  <c r="L201" i="11"/>
  <c r="B216" i="1"/>
  <c r="L199" i="11" s="1"/>
  <c r="B215" i="1"/>
  <c r="J199" i="11" s="1"/>
  <c r="B214" i="1"/>
  <c r="H199" i="11" s="1"/>
  <c r="B213" i="1"/>
  <c r="F199" i="11" s="1"/>
  <c r="D199" i="11"/>
  <c r="B128" i="2"/>
  <c r="J200" i="11" s="1"/>
  <c r="B127" i="2"/>
  <c r="H200" i="11" s="1"/>
  <c r="B126" i="2"/>
  <c r="F200" i="11" s="1"/>
  <c r="B129" i="2"/>
  <c r="L200" i="11" s="1"/>
  <c r="B125" i="2"/>
  <c r="D200" i="11" s="1"/>
  <c r="N201" i="11" l="1"/>
  <c r="N200" i="11"/>
  <c r="N199" i="11"/>
  <c r="D208" i="11"/>
  <c r="B519" i="5"/>
  <c r="B274" i="3"/>
  <c r="B131" i="2"/>
  <c r="B218" i="1"/>
  <c r="D94" i="10"/>
  <c r="B132" i="11" s="1"/>
  <c r="D93" i="10"/>
  <c r="B133" i="11" s="1"/>
  <c r="Q11" i="6"/>
  <c r="S11" i="6" s="1"/>
  <c r="E199" i="11" l="1"/>
  <c r="E202" i="11"/>
  <c r="E206" i="11"/>
  <c r="E204" i="11"/>
  <c r="E201" i="11"/>
  <c r="E203" i="11"/>
  <c r="E207" i="11"/>
  <c r="E200" i="11"/>
  <c r="E205" i="11"/>
  <c r="Q69" i="6"/>
  <c r="S69" i="6" s="1"/>
  <c r="Q68" i="6"/>
  <c r="S68" i="6" s="1"/>
  <c r="Q67" i="6"/>
  <c r="Q66" i="6"/>
  <c r="Q65" i="6"/>
  <c r="S65" i="6" s="1"/>
  <c r="Q64" i="6"/>
  <c r="S64" i="6" s="1"/>
  <c r="Q63" i="6"/>
  <c r="Q62" i="6"/>
  <c r="Q61" i="6"/>
  <c r="S61" i="6" s="1"/>
  <c r="Q60" i="6"/>
  <c r="S60" i="6" s="1"/>
  <c r="Q59" i="6"/>
  <c r="Q58" i="6"/>
  <c r="Q57" i="6"/>
  <c r="S57" i="6" s="1"/>
  <c r="Q56" i="6"/>
  <c r="S56" i="6" s="1"/>
  <c r="Q55" i="6"/>
  <c r="Q54" i="6"/>
  <c r="Q53" i="6"/>
  <c r="S53" i="6" s="1"/>
  <c r="Q52" i="6"/>
  <c r="S52" i="6" s="1"/>
  <c r="Q51" i="6"/>
  <c r="Q50" i="6"/>
  <c r="Q49" i="6"/>
  <c r="S49" i="6" s="1"/>
  <c r="Q48" i="6"/>
  <c r="S48" i="6" s="1"/>
  <c r="Q47" i="6"/>
  <c r="Q46" i="6"/>
  <c r="Q45" i="6"/>
  <c r="S45" i="6" s="1"/>
  <c r="Q44" i="6"/>
  <c r="S44" i="6" s="1"/>
  <c r="Q43" i="6"/>
  <c r="Q42" i="6"/>
  <c r="Q41" i="6"/>
  <c r="S41" i="6" s="1"/>
  <c r="Q40" i="6"/>
  <c r="S40" i="6" s="1"/>
  <c r="Q39" i="6"/>
  <c r="Q18" i="6"/>
  <c r="Q17" i="6"/>
  <c r="S17" i="6" s="1"/>
  <c r="Q16" i="6"/>
  <c r="S16" i="6" s="1"/>
  <c r="Q15" i="6"/>
  <c r="Q14" i="6"/>
  <c r="S14" i="6" s="1"/>
  <c r="Q13" i="6"/>
  <c r="S13" i="6" s="1"/>
  <c r="Q38" i="6"/>
  <c r="Q37" i="6"/>
  <c r="Q36" i="6"/>
  <c r="S36" i="6" s="1"/>
  <c r="Q35" i="6"/>
  <c r="S35" i="6" s="1"/>
  <c r="Q34" i="6"/>
  <c r="Q33" i="6"/>
  <c r="Q32" i="6"/>
  <c r="S32" i="6" s="1"/>
  <c r="Q31" i="6"/>
  <c r="S31" i="6" s="1"/>
  <c r="Q30" i="6"/>
  <c r="Q29" i="6"/>
  <c r="Q28" i="6"/>
  <c r="S28" i="6" s="1"/>
  <c r="Q27" i="6"/>
  <c r="S27" i="6" s="1"/>
  <c r="Q26" i="6"/>
  <c r="Q25" i="6"/>
  <c r="Q24" i="6"/>
  <c r="S24" i="6" s="1"/>
  <c r="Q23" i="6"/>
  <c r="S23" i="6" s="1"/>
  <c r="Q22" i="6"/>
  <c r="Q21" i="6"/>
  <c r="Q20" i="6"/>
  <c r="S20" i="6" s="1"/>
  <c r="Q19" i="6"/>
  <c r="S19" i="6" s="1"/>
  <c r="Q12" i="6"/>
  <c r="D74" i="10"/>
  <c r="Q262" i="5"/>
  <c r="S262" i="5" s="1"/>
  <c r="Q252" i="5"/>
  <c r="S252" i="5" s="1"/>
  <c r="Q184" i="5"/>
  <c r="Q30" i="5"/>
  <c r="Q12" i="5"/>
  <c r="Q13" i="5"/>
  <c r="Q14" i="5"/>
  <c r="Q15" i="5"/>
  <c r="S15" i="5" s="1"/>
  <c r="Q16" i="5"/>
  <c r="Q17" i="5"/>
  <c r="Q18" i="5"/>
  <c r="Q19" i="5"/>
  <c r="S19" i="5" s="1"/>
  <c r="Q20" i="5"/>
  <c r="Q21" i="5"/>
  <c r="Q22" i="5"/>
  <c r="Q23" i="5"/>
  <c r="S23" i="5" s="1"/>
  <c r="Q24" i="5"/>
  <c r="Q25" i="5"/>
  <c r="Q26" i="5"/>
  <c r="Q27" i="5"/>
  <c r="S27" i="5" s="1"/>
  <c r="Q28" i="5"/>
  <c r="Q29" i="5"/>
  <c r="Q31" i="5"/>
  <c r="S31" i="5" s="1"/>
  <c r="Q32" i="5"/>
  <c r="Q33" i="5"/>
  <c r="Q34" i="5"/>
  <c r="Q35" i="5"/>
  <c r="S35" i="5" s="1"/>
  <c r="Q36" i="5"/>
  <c r="Q37" i="5"/>
  <c r="Q38" i="5"/>
  <c r="Q39" i="5"/>
  <c r="S39" i="5" s="1"/>
  <c r="Q40" i="5"/>
  <c r="Q41" i="5"/>
  <c r="Q42" i="5"/>
  <c r="Q43" i="5"/>
  <c r="R43" i="5" s="1"/>
  <c r="Q44" i="5"/>
  <c r="Q45" i="5"/>
  <c r="S45" i="5" s="1"/>
  <c r="Q46" i="5"/>
  <c r="Q47" i="5"/>
  <c r="S47" i="5" s="1"/>
  <c r="Q49" i="5"/>
  <c r="S49" i="5" s="1"/>
  <c r="S51" i="5"/>
  <c r="Q52" i="5"/>
  <c r="S53" i="5"/>
  <c r="S55" i="5"/>
  <c r="S57" i="5"/>
  <c r="Q58" i="5"/>
  <c r="Q59" i="5"/>
  <c r="R59" i="5" s="1"/>
  <c r="S61" i="5"/>
  <c r="Q62" i="5"/>
  <c r="Q63" i="5"/>
  <c r="S63" i="5" s="1"/>
  <c r="Q65" i="5"/>
  <c r="S65" i="5" s="1"/>
  <c r="S67" i="5"/>
  <c r="Q68" i="5"/>
  <c r="Q69" i="5"/>
  <c r="S69" i="5" s="1"/>
  <c r="S71" i="5"/>
  <c r="Q73" i="5"/>
  <c r="S73" i="5" s="1"/>
  <c r="Q74" i="5"/>
  <c r="Q75" i="5"/>
  <c r="R75" i="5" s="1"/>
  <c r="Q77" i="5"/>
  <c r="S77" i="5" s="1"/>
  <c r="Q78" i="5"/>
  <c r="Q79" i="5"/>
  <c r="S79" i="5" s="1"/>
  <c r="S81" i="5"/>
  <c r="S83" i="5"/>
  <c r="Q85" i="5"/>
  <c r="S85" i="5" s="1"/>
  <c r="S87" i="5"/>
  <c r="Q89" i="5"/>
  <c r="S89" i="5" s="1"/>
  <c r="Q90" i="5"/>
  <c r="S91" i="5"/>
  <c r="S93" i="5"/>
  <c r="Q95" i="5"/>
  <c r="S95" i="5" s="1"/>
  <c r="Q96" i="5"/>
  <c r="Q97" i="5"/>
  <c r="S97" i="5" s="1"/>
  <c r="Q98" i="5"/>
  <c r="Q99" i="5"/>
  <c r="S99" i="5" s="1"/>
  <c r="Q100" i="5"/>
  <c r="Q101" i="5"/>
  <c r="S101" i="5" s="1"/>
  <c r="Q102" i="5"/>
  <c r="Q103" i="5"/>
  <c r="S103" i="5" s="1"/>
  <c r="Q104" i="5"/>
  <c r="Q105" i="5"/>
  <c r="S105" i="5" s="1"/>
  <c r="Q106" i="5"/>
  <c r="Q107" i="5"/>
  <c r="R107" i="5" s="1"/>
  <c r="Q108" i="5"/>
  <c r="Q109" i="5"/>
  <c r="S109" i="5" s="1"/>
  <c r="Q110" i="5"/>
  <c r="Q111" i="5"/>
  <c r="S111" i="5" s="1"/>
  <c r="Q112" i="5"/>
  <c r="Q113" i="5"/>
  <c r="S113" i="5" s="1"/>
  <c r="Q114" i="5"/>
  <c r="S114" i="5" s="1"/>
  <c r="Q115" i="5"/>
  <c r="S115" i="5" s="1"/>
  <c r="Q116" i="5"/>
  <c r="S116" i="5" s="1"/>
  <c r="Q117" i="5"/>
  <c r="S117" i="5" s="1"/>
  <c r="Q118" i="5"/>
  <c r="S118" i="5" s="1"/>
  <c r="Q119" i="5"/>
  <c r="S119" i="5" s="1"/>
  <c r="Q120" i="5"/>
  <c r="S120" i="5" s="1"/>
  <c r="Q121" i="5"/>
  <c r="S121" i="5" s="1"/>
  <c r="Q122" i="5"/>
  <c r="S122" i="5" s="1"/>
  <c r="Q123" i="5"/>
  <c r="R123" i="5" s="1"/>
  <c r="D60" i="10"/>
  <c r="R21" i="6" l="1"/>
  <c r="S21" i="6"/>
  <c r="R25" i="6"/>
  <c r="S25" i="6"/>
  <c r="R29" i="6"/>
  <c r="S29" i="6"/>
  <c r="R33" i="6"/>
  <c r="S33" i="6"/>
  <c r="R37" i="6"/>
  <c r="S37" i="6"/>
  <c r="R18" i="6"/>
  <c r="S18" i="6"/>
  <c r="R42" i="6"/>
  <c r="S42" i="6"/>
  <c r="R46" i="6"/>
  <c r="S46" i="6"/>
  <c r="R50" i="6"/>
  <c r="S50" i="6"/>
  <c r="R54" i="6"/>
  <c r="S54" i="6"/>
  <c r="R58" i="6"/>
  <c r="S58" i="6"/>
  <c r="R62" i="6"/>
  <c r="S62" i="6"/>
  <c r="R66" i="6"/>
  <c r="S66" i="6"/>
  <c r="R22" i="6"/>
  <c r="S22" i="6"/>
  <c r="R26" i="6"/>
  <c r="S26" i="6"/>
  <c r="R30" i="6"/>
  <c r="S30" i="6"/>
  <c r="R34" i="6"/>
  <c r="S34" i="6"/>
  <c r="R38" i="6"/>
  <c r="S38" i="6"/>
  <c r="R15" i="6"/>
  <c r="S15" i="6"/>
  <c r="R39" i="6"/>
  <c r="S39" i="6"/>
  <c r="R43" i="6"/>
  <c r="S43" i="6"/>
  <c r="R47" i="6"/>
  <c r="S47" i="6"/>
  <c r="R51" i="6"/>
  <c r="S51" i="6"/>
  <c r="R55" i="6"/>
  <c r="S55" i="6"/>
  <c r="R59" i="6"/>
  <c r="S59" i="6"/>
  <c r="R63" i="6"/>
  <c r="S63" i="6"/>
  <c r="R67" i="6"/>
  <c r="S67" i="6"/>
  <c r="R12" i="6"/>
  <c r="S12" i="6"/>
  <c r="R11" i="6"/>
  <c r="R19" i="6"/>
  <c r="R23" i="6"/>
  <c r="R27" i="6"/>
  <c r="R31" i="6"/>
  <c r="R35" i="6"/>
  <c r="R13" i="6"/>
  <c r="R16" i="6"/>
  <c r="R40" i="6"/>
  <c r="R44" i="6"/>
  <c r="R48" i="6"/>
  <c r="R52" i="6"/>
  <c r="R56" i="6"/>
  <c r="R60" i="6"/>
  <c r="R64" i="6"/>
  <c r="R68" i="6"/>
  <c r="R20" i="6"/>
  <c r="R24" i="6"/>
  <c r="R28" i="6"/>
  <c r="R32" i="6"/>
  <c r="R36" i="6"/>
  <c r="R14" i="6"/>
  <c r="R17" i="6"/>
  <c r="R41" i="6"/>
  <c r="R45" i="6"/>
  <c r="R49" i="6"/>
  <c r="R53" i="6"/>
  <c r="R57" i="6"/>
  <c r="R61" i="6"/>
  <c r="R65" i="6"/>
  <c r="R69" i="6"/>
  <c r="R39" i="5"/>
  <c r="R23" i="5"/>
  <c r="S75" i="5"/>
  <c r="S41" i="5"/>
  <c r="R41" i="5"/>
  <c r="R113" i="5"/>
  <c r="R89" i="5"/>
  <c r="R73" i="5"/>
  <c r="R49" i="5"/>
  <c r="S112" i="5"/>
  <c r="R112" i="5"/>
  <c r="S108" i="5"/>
  <c r="R108" i="5"/>
  <c r="S104" i="5"/>
  <c r="R104" i="5"/>
  <c r="S100" i="5"/>
  <c r="R100" i="5"/>
  <c r="S96" i="5"/>
  <c r="R96" i="5"/>
  <c r="S92" i="5"/>
  <c r="R92" i="5"/>
  <c r="S88" i="5"/>
  <c r="R88" i="5"/>
  <c r="S84" i="5"/>
  <c r="R84" i="5"/>
  <c r="S80" i="5"/>
  <c r="R80" i="5"/>
  <c r="S76" i="5"/>
  <c r="R76" i="5"/>
  <c r="S72" i="5"/>
  <c r="R72" i="5"/>
  <c r="S68" i="5"/>
  <c r="R68" i="5"/>
  <c r="S64" i="5"/>
  <c r="R64" i="5"/>
  <c r="S60" i="5"/>
  <c r="R60" i="5"/>
  <c r="S56" i="5"/>
  <c r="R56" i="5"/>
  <c r="S52" i="5"/>
  <c r="R52" i="5"/>
  <c r="S48" i="5"/>
  <c r="R48" i="5"/>
  <c r="S44" i="5"/>
  <c r="R44" i="5"/>
  <c r="S40" i="5"/>
  <c r="R40" i="5"/>
  <c r="S36" i="5"/>
  <c r="R36" i="5"/>
  <c r="S32" i="5"/>
  <c r="R32" i="5"/>
  <c r="S30" i="5"/>
  <c r="R30" i="5"/>
  <c r="R120" i="5"/>
  <c r="R116" i="5"/>
  <c r="R111" i="5"/>
  <c r="R103" i="5"/>
  <c r="R95" i="5"/>
  <c r="R87" i="5"/>
  <c r="R79" i="5"/>
  <c r="R71" i="5"/>
  <c r="R63" i="5"/>
  <c r="R55" i="5"/>
  <c r="R47" i="5"/>
  <c r="R35" i="5"/>
  <c r="R19" i="5"/>
  <c r="S123" i="5"/>
  <c r="S59" i="5"/>
  <c r="S37" i="5"/>
  <c r="R37" i="5"/>
  <c r="S24" i="5"/>
  <c r="R24" i="5"/>
  <c r="S16" i="5"/>
  <c r="R16" i="5"/>
  <c r="R117" i="5"/>
  <c r="R97" i="5"/>
  <c r="R65" i="5"/>
  <c r="S26" i="5"/>
  <c r="R26" i="5"/>
  <c r="S22" i="5"/>
  <c r="R22" i="5"/>
  <c r="S18" i="5"/>
  <c r="R18" i="5"/>
  <c r="S14" i="5"/>
  <c r="R14" i="5"/>
  <c r="R119" i="5"/>
  <c r="R115" i="5"/>
  <c r="R109" i="5"/>
  <c r="R101" i="5"/>
  <c r="R93" i="5"/>
  <c r="R85" i="5"/>
  <c r="R77" i="5"/>
  <c r="R69" i="5"/>
  <c r="R61" i="5"/>
  <c r="R53" i="5"/>
  <c r="R45" i="5"/>
  <c r="R31" i="5"/>
  <c r="R15" i="5"/>
  <c r="S107" i="5"/>
  <c r="S43" i="5"/>
  <c r="S33" i="5"/>
  <c r="R33" i="5"/>
  <c r="S28" i="5"/>
  <c r="R28" i="5"/>
  <c r="S20" i="5"/>
  <c r="R20" i="5"/>
  <c r="S12" i="5"/>
  <c r="R12" i="5"/>
  <c r="R121" i="5"/>
  <c r="R105" i="5"/>
  <c r="R81" i="5"/>
  <c r="R57" i="5"/>
  <c r="S110" i="5"/>
  <c r="R110" i="5"/>
  <c r="S106" i="5"/>
  <c r="R106" i="5"/>
  <c r="S102" i="5"/>
  <c r="R102" i="5"/>
  <c r="S98" i="5"/>
  <c r="R98" i="5"/>
  <c r="S94" i="5"/>
  <c r="R94" i="5"/>
  <c r="S90" i="5"/>
  <c r="R90" i="5"/>
  <c r="S86" i="5"/>
  <c r="R86" i="5"/>
  <c r="S82" i="5"/>
  <c r="R82" i="5"/>
  <c r="S78" i="5"/>
  <c r="R78" i="5"/>
  <c r="S74" i="5"/>
  <c r="R74" i="5"/>
  <c r="S70" i="5"/>
  <c r="R70" i="5"/>
  <c r="S66" i="5"/>
  <c r="R66" i="5"/>
  <c r="S62" i="5"/>
  <c r="R62" i="5"/>
  <c r="S58" i="5"/>
  <c r="R58" i="5"/>
  <c r="S54" i="5"/>
  <c r="R54" i="5"/>
  <c r="S50" i="5"/>
  <c r="R50" i="5"/>
  <c r="S46" i="5"/>
  <c r="R46" i="5"/>
  <c r="S42" i="5"/>
  <c r="R42" i="5"/>
  <c r="S38" i="5"/>
  <c r="R38" i="5"/>
  <c r="S34" i="5"/>
  <c r="R34" i="5"/>
  <c r="S29" i="5"/>
  <c r="R29" i="5"/>
  <c r="S25" i="5"/>
  <c r="R25" i="5"/>
  <c r="S21" i="5"/>
  <c r="R21" i="5"/>
  <c r="S17" i="5"/>
  <c r="R17" i="5"/>
  <c r="S13" i="5"/>
  <c r="R13" i="5"/>
  <c r="S184" i="5"/>
  <c r="R184" i="5"/>
  <c r="R122" i="5"/>
  <c r="R118" i="5"/>
  <c r="R114" i="5"/>
  <c r="R99" i="5"/>
  <c r="R91" i="5"/>
  <c r="R83" i="5"/>
  <c r="R67" i="5"/>
  <c r="R51" i="5"/>
  <c r="R27" i="5"/>
  <c r="L132" i="11" l="1"/>
  <c r="L13" i="11"/>
  <c r="H136" i="11"/>
  <c r="L136" i="11"/>
  <c r="J136" i="11"/>
  <c r="D136" i="11"/>
  <c r="L135" i="11"/>
  <c r="F136" i="11"/>
  <c r="H135" i="11"/>
  <c r="J135" i="11"/>
  <c r="D135" i="11"/>
  <c r="F135" i="11"/>
  <c r="L105" i="11"/>
  <c r="D105" i="11"/>
  <c r="J105" i="11"/>
  <c r="H105" i="11"/>
  <c r="F105" i="11"/>
  <c r="N204" i="11" l="1"/>
  <c r="D35" i="10"/>
  <c r="Q152" i="3" l="1"/>
  <c r="S152" i="3" s="1"/>
  <c r="Q153" i="3"/>
  <c r="S153" i="3" s="1"/>
  <c r="Q154" i="3"/>
  <c r="S154" i="3" s="1"/>
  <c r="Q163" i="3"/>
  <c r="S163" i="3" s="1"/>
  <c r="Q162" i="3"/>
  <c r="S162" i="3" s="1"/>
  <c r="Q151" i="3"/>
  <c r="S151" i="3" s="1"/>
  <c r="D8" i="10"/>
  <c r="D140" i="10"/>
  <c r="D138" i="10"/>
  <c r="D137" i="10"/>
  <c r="D136" i="10"/>
  <c r="D133" i="10"/>
  <c r="D131" i="10"/>
  <c r="D126" i="10"/>
  <c r="D125" i="10"/>
  <c r="D122" i="10"/>
  <c r="D116" i="10"/>
  <c r="D115" i="10"/>
  <c r="D114" i="10"/>
  <c r="D108" i="10"/>
  <c r="D105" i="10"/>
  <c r="D102" i="10"/>
  <c r="D100" i="10"/>
  <c r="D98" i="10"/>
  <c r="D97" i="10"/>
  <c r="D96" i="10"/>
  <c r="D91" i="10"/>
  <c r="D90" i="10"/>
  <c r="D88" i="10"/>
  <c r="D86" i="10"/>
  <c r="D85" i="10"/>
  <c r="D84" i="10"/>
  <c r="D82" i="10"/>
  <c r="D80" i="10"/>
  <c r="D79" i="10"/>
  <c r="D75" i="10"/>
  <c r="D71" i="10"/>
  <c r="D69" i="10"/>
  <c r="D67" i="10"/>
  <c r="D66" i="10"/>
  <c r="D65" i="10"/>
  <c r="D61" i="10"/>
  <c r="D64" i="10"/>
  <c r="D57" i="10"/>
  <c r="D56" i="10"/>
  <c r="D55" i="10"/>
  <c r="D49" i="10"/>
  <c r="D50" i="10"/>
  <c r="D47" i="10"/>
  <c r="D42" i="10"/>
  <c r="D41" i="10"/>
  <c r="D39" i="10"/>
  <c r="D38" i="10"/>
  <c r="D37" i="10"/>
  <c r="D36" i="10"/>
  <c r="D34" i="10"/>
  <c r="D27" i="10"/>
  <c r="D25" i="10"/>
  <c r="D29" i="10"/>
  <c r="D26" i="10"/>
  <c r="D24" i="10"/>
  <c r="D22" i="10"/>
  <c r="D23" i="10"/>
  <c r="R162" i="3" l="1"/>
  <c r="R163" i="3"/>
  <c r="D53" i="10"/>
  <c r="B83" i="11" s="1"/>
  <c r="B85" i="11"/>
  <c r="B86" i="11"/>
  <c r="B87" i="11"/>
  <c r="B90" i="11"/>
  <c r="B91" i="11"/>
  <c r="B94" i="11"/>
  <c r="B95" i="11"/>
  <c r="B96" i="11"/>
  <c r="B97" i="11"/>
  <c r="D54" i="10"/>
  <c r="B84" i="11" s="1"/>
  <c r="D52" i="10"/>
  <c r="B82" i="11" s="1"/>
  <c r="D19" i="10"/>
  <c r="F58" i="11"/>
  <c r="D121" i="10"/>
  <c r="D118" i="10"/>
  <c r="B171" i="11" s="1"/>
  <c r="L172" i="11"/>
  <c r="D67" i="11" l="1"/>
  <c r="D46" i="10" l="1"/>
  <c r="D45" i="10"/>
  <c r="D44" i="10"/>
  <c r="D43" i="10"/>
  <c r="D40" i="10"/>
  <c r="Q173" i="1" l="1"/>
  <c r="Q172" i="1"/>
  <c r="Q171" i="1"/>
  <c r="R171" i="1" s="1"/>
  <c r="Q170" i="1"/>
  <c r="Q169" i="1"/>
  <c r="Q168" i="1"/>
  <c r="Q167" i="1"/>
  <c r="R167" i="1" s="1"/>
  <c r="Q166" i="1"/>
  <c r="Q165" i="1"/>
  <c r="R165" i="1" s="1"/>
  <c r="Q164" i="1"/>
  <c r="Q163" i="1"/>
  <c r="R163" i="1" s="1"/>
  <c r="R164" i="1" l="1"/>
  <c r="R170" i="1"/>
  <c r="R168" i="1"/>
  <c r="R173" i="1"/>
  <c r="R166" i="1"/>
  <c r="R169" i="1"/>
  <c r="R172" i="1"/>
  <c r="Q208" i="1" l="1"/>
  <c r="Q207" i="1"/>
  <c r="Q206" i="1"/>
  <c r="R206" i="1" s="1"/>
  <c r="Q205" i="1"/>
  <c r="Q204" i="1"/>
  <c r="R204" i="1" s="1"/>
  <c r="Q203" i="1"/>
  <c r="Q202" i="1"/>
  <c r="R202" i="1" s="1"/>
  <c r="R205" i="1" l="1"/>
  <c r="R208" i="1"/>
  <c r="R203" i="1"/>
  <c r="R207" i="1"/>
  <c r="Q111" i="1" l="1"/>
  <c r="R111" i="1" s="1"/>
  <c r="Q112" i="1"/>
  <c r="R112" i="1" s="1"/>
  <c r="Q113" i="1"/>
  <c r="Q114" i="1"/>
  <c r="Q115" i="1"/>
  <c r="R115" i="1" s="1"/>
  <c r="Q116" i="1"/>
  <c r="R116" i="1" s="1"/>
  <c r="Q117" i="1"/>
  <c r="R117" i="1" s="1"/>
  <c r="Q118" i="1"/>
  <c r="Q119" i="1"/>
  <c r="Q120" i="1"/>
  <c r="R120" i="1" s="1"/>
  <c r="Q121" i="1"/>
  <c r="R121" i="1" s="1"/>
  <c r="Q122" i="1"/>
  <c r="Q123" i="1"/>
  <c r="R123" i="1" s="1"/>
  <c r="Q124" i="1"/>
  <c r="Q110" i="1"/>
  <c r="R124" i="1" l="1"/>
  <c r="R119" i="1"/>
  <c r="R122" i="1"/>
  <c r="R118" i="1"/>
  <c r="R114" i="1"/>
  <c r="R113" i="1"/>
  <c r="R110" i="1"/>
  <c r="Q55" i="1" l="1"/>
  <c r="R55" i="1" s="1"/>
  <c r="Q54" i="1"/>
  <c r="Q53" i="1"/>
  <c r="R53" i="1" s="1"/>
  <c r="Q52" i="1"/>
  <c r="Q51" i="1"/>
  <c r="Q50" i="1"/>
  <c r="Q49" i="1"/>
  <c r="R49" i="1" s="1"/>
  <c r="Q48" i="1"/>
  <c r="R48" i="1" s="1"/>
  <c r="Q47" i="1"/>
  <c r="R47" i="1" s="1"/>
  <c r="Q46" i="1"/>
  <c r="R46" i="1" s="1"/>
  <c r="Q45" i="1"/>
  <c r="R45" i="1" s="1"/>
  <c r="Q44" i="1"/>
  <c r="Q43" i="1"/>
  <c r="R43" i="1" s="1"/>
  <c r="Q42" i="1"/>
  <c r="Q41" i="1"/>
  <c r="R41" i="1" s="1"/>
  <c r="Q40" i="1"/>
  <c r="Q39" i="1"/>
  <c r="Q38" i="1"/>
  <c r="R38" i="1" s="1"/>
  <c r="Q37" i="1"/>
  <c r="R37" i="1" s="1"/>
  <c r="Q36" i="1"/>
  <c r="Q35" i="1"/>
  <c r="R35" i="1" s="1"/>
  <c r="Q34" i="1"/>
  <c r="Q33" i="1"/>
  <c r="R33" i="1" s="1"/>
  <c r="Q32" i="1"/>
  <c r="Q31" i="1"/>
  <c r="Q30" i="1"/>
  <c r="Q29" i="1"/>
  <c r="R29" i="1" s="1"/>
  <c r="Q28" i="1"/>
  <c r="Q27" i="1"/>
  <c r="Q26" i="1"/>
  <c r="Q25" i="1"/>
  <c r="R25" i="1" s="1"/>
  <c r="Q24" i="1"/>
  <c r="Q23" i="1"/>
  <c r="Q22" i="1"/>
  <c r="Q21" i="1"/>
  <c r="R21" i="1" s="1"/>
  <c r="Q20" i="1"/>
  <c r="Q19" i="1"/>
  <c r="R19" i="1" s="1"/>
  <c r="Q18" i="1"/>
  <c r="Q17" i="1"/>
  <c r="R17" i="1" s="1"/>
  <c r="Q16" i="1"/>
  <c r="Q15" i="1"/>
  <c r="R15" i="1" s="1"/>
  <c r="Q14" i="1"/>
  <c r="Q13" i="1"/>
  <c r="R13" i="1" s="1"/>
  <c r="Q12" i="1"/>
  <c r="Q11" i="1"/>
  <c r="S11" i="1" s="1"/>
  <c r="R44" i="1" l="1"/>
  <c r="R16" i="1"/>
  <c r="R32" i="1"/>
  <c r="R28" i="1"/>
  <c r="R52" i="1"/>
  <c r="R20" i="1"/>
  <c r="R36" i="1"/>
  <c r="R12" i="1"/>
  <c r="R24" i="1"/>
  <c r="R40" i="1"/>
  <c r="R23" i="1"/>
  <c r="R27" i="1"/>
  <c r="R31" i="1"/>
  <c r="R39" i="1"/>
  <c r="R51" i="1"/>
  <c r="R14" i="1"/>
  <c r="R18" i="1"/>
  <c r="R22" i="1"/>
  <c r="R26" i="1"/>
  <c r="R30" i="1"/>
  <c r="R34" i="1"/>
  <c r="R42" i="1"/>
  <c r="R50" i="1"/>
  <c r="R54" i="1"/>
  <c r="R11" i="1"/>
  <c r="Q71" i="1"/>
  <c r="Q70" i="1"/>
  <c r="Q69" i="1"/>
  <c r="R69" i="1" s="1"/>
  <c r="Q68" i="1"/>
  <c r="Q67" i="1"/>
  <c r="Q66" i="1"/>
  <c r="Q65" i="1"/>
  <c r="R65" i="1" s="1"/>
  <c r="Q64" i="1"/>
  <c r="Q63" i="1"/>
  <c r="Q62" i="1"/>
  <c r="Q61" i="1"/>
  <c r="R61" i="1" s="1"/>
  <c r="Q60" i="1"/>
  <c r="Q59" i="1"/>
  <c r="Q58" i="1"/>
  <c r="Q57" i="1"/>
  <c r="R57" i="1" s="1"/>
  <c r="Q56" i="1"/>
  <c r="R56" i="1" s="1"/>
  <c r="D25" i="11" l="1"/>
  <c r="R68" i="1"/>
  <c r="R64" i="1"/>
  <c r="R60" i="1"/>
  <c r="R59" i="1"/>
  <c r="R63" i="1"/>
  <c r="R67" i="1"/>
  <c r="R71" i="1"/>
  <c r="R58" i="1"/>
  <c r="R62" i="1"/>
  <c r="R66" i="1"/>
  <c r="R70" i="1"/>
  <c r="D26" i="11" l="1"/>
  <c r="Q109" i="1"/>
  <c r="Q108" i="1"/>
  <c r="R108" i="1" s="1"/>
  <c r="Q107" i="1"/>
  <c r="Q106" i="1"/>
  <c r="R106" i="1" s="1"/>
  <c r="Q105" i="1"/>
  <c r="R105" i="1" s="1"/>
  <c r="Q104" i="1"/>
  <c r="R104" i="1" s="1"/>
  <c r="Q103" i="1"/>
  <c r="Q102" i="1"/>
  <c r="R102" i="1" s="1"/>
  <c r="Q101" i="1"/>
  <c r="R101" i="1" s="1"/>
  <c r="Q100" i="1"/>
  <c r="R100" i="1" s="1"/>
  <c r="Q99" i="1"/>
  <c r="Q98" i="1"/>
  <c r="R98" i="1" s="1"/>
  <c r="Q97" i="1"/>
  <c r="R97" i="1" s="1"/>
  <c r="Q96" i="1"/>
  <c r="Q95" i="1"/>
  <c r="Q94" i="1"/>
  <c r="R94" i="1" s="1"/>
  <c r="Q93" i="1"/>
  <c r="R93" i="1" s="1"/>
  <c r="Q92" i="1"/>
  <c r="Q91" i="1"/>
  <c r="R96" i="1" l="1"/>
  <c r="R92" i="1"/>
  <c r="R95" i="1"/>
  <c r="R109" i="1"/>
  <c r="D28" i="11"/>
  <c r="R103" i="1"/>
  <c r="R91" i="1"/>
  <c r="R99" i="1"/>
  <c r="R107" i="1"/>
  <c r="Q155" i="1" l="1"/>
  <c r="Q154" i="1"/>
  <c r="Q153" i="1"/>
  <c r="R153" i="1" s="1"/>
  <c r="Q152" i="1"/>
  <c r="Q151" i="1"/>
  <c r="Q150" i="1"/>
  <c r="Q149" i="1"/>
  <c r="R149" i="1" s="1"/>
  <c r="Q148" i="1"/>
  <c r="R148" i="1" s="1"/>
  <c r="Q147" i="1"/>
  <c r="Q146" i="1"/>
  <c r="Q145" i="1"/>
  <c r="R145" i="1" s="1"/>
  <c r="Q144" i="1"/>
  <c r="Q143" i="1"/>
  <c r="Q142" i="1"/>
  <c r="Q141" i="1"/>
  <c r="R141" i="1" s="1"/>
  <c r="Q140" i="1"/>
  <c r="R140" i="1" s="1"/>
  <c r="Q139" i="1"/>
  <c r="Q138" i="1"/>
  <c r="Q137" i="1"/>
  <c r="R137" i="1" s="1"/>
  <c r="Q136" i="1"/>
  <c r="Q135" i="1"/>
  <c r="Q134" i="1"/>
  <c r="Q133" i="1"/>
  <c r="R133" i="1" s="1"/>
  <c r="Q132" i="1"/>
  <c r="R132" i="1" s="1"/>
  <c r="Q131" i="1"/>
  <c r="Q130" i="1"/>
  <c r="Q129" i="1"/>
  <c r="R129" i="1" s="1"/>
  <c r="Q128" i="1"/>
  <c r="Q127" i="1"/>
  <c r="Q126" i="1"/>
  <c r="Q125" i="1"/>
  <c r="R125" i="1" s="1"/>
  <c r="D29" i="11" l="1"/>
  <c r="R128" i="1"/>
  <c r="R144" i="1"/>
  <c r="R152" i="1"/>
  <c r="R136" i="1"/>
  <c r="R127" i="1"/>
  <c r="R131" i="1"/>
  <c r="R135" i="1"/>
  <c r="R139" i="1"/>
  <c r="R143" i="1"/>
  <c r="R147" i="1"/>
  <c r="R151" i="1"/>
  <c r="R155" i="1"/>
  <c r="R126" i="1"/>
  <c r="R130" i="1"/>
  <c r="R134" i="1"/>
  <c r="R138" i="1"/>
  <c r="R142" i="1"/>
  <c r="R146" i="1"/>
  <c r="R150" i="1"/>
  <c r="R154" i="1"/>
  <c r="Q90" i="1" l="1"/>
  <c r="R90" i="1" s="1"/>
  <c r="Q89" i="1"/>
  <c r="Q88" i="1"/>
  <c r="R88" i="1" s="1"/>
  <c r="Q87" i="1"/>
  <c r="Q86" i="1"/>
  <c r="R86" i="1" s="1"/>
  <c r="Q85" i="1"/>
  <c r="Q84" i="1"/>
  <c r="R84" i="1" s="1"/>
  <c r="Q83" i="1"/>
  <c r="R83" i="1" s="1"/>
  <c r="Q82" i="1"/>
  <c r="R82" i="1" s="1"/>
  <c r="Q81" i="1"/>
  <c r="Q80" i="1"/>
  <c r="R80" i="1" s="1"/>
  <c r="Q79" i="1"/>
  <c r="Q78" i="1"/>
  <c r="Q77" i="1"/>
  <c r="Q76" i="1"/>
  <c r="R76" i="1" s="1"/>
  <c r="Q75" i="1"/>
  <c r="Q74" i="1"/>
  <c r="Q73" i="1"/>
  <c r="Q72" i="1"/>
  <c r="R72" i="1" s="1"/>
  <c r="R75" i="1" l="1"/>
  <c r="D27" i="11"/>
  <c r="R79" i="1"/>
  <c r="R87" i="1"/>
  <c r="R74" i="1"/>
  <c r="R78" i="1"/>
  <c r="R73" i="1"/>
  <c r="R77" i="1"/>
  <c r="R81" i="1"/>
  <c r="R85" i="1"/>
  <c r="R89" i="1"/>
  <c r="Q201" i="1" l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D24" i="11" l="1"/>
  <c r="R175" i="1"/>
  <c r="R177" i="1"/>
  <c r="R179" i="1"/>
  <c r="R181" i="1"/>
  <c r="R183" i="1"/>
  <c r="R185" i="1"/>
  <c r="R187" i="1"/>
  <c r="R189" i="1"/>
  <c r="R191" i="1"/>
  <c r="R193" i="1"/>
  <c r="R195" i="1"/>
  <c r="R196" i="1"/>
  <c r="R198" i="1"/>
  <c r="R200" i="1"/>
  <c r="R174" i="1"/>
  <c r="R176" i="1"/>
  <c r="R178" i="1"/>
  <c r="R180" i="1"/>
  <c r="R182" i="1"/>
  <c r="R184" i="1"/>
  <c r="R186" i="1"/>
  <c r="R188" i="1"/>
  <c r="R190" i="1"/>
  <c r="R192" i="1"/>
  <c r="R194" i="1"/>
  <c r="R197" i="1"/>
  <c r="R199" i="1"/>
  <c r="R201" i="1"/>
  <c r="D33" i="10" l="1"/>
  <c r="D32" i="10"/>
  <c r="D31" i="10"/>
  <c r="Q387" i="9" l="1"/>
  <c r="Q388" i="9"/>
  <c r="Q389" i="9"/>
  <c r="Q390" i="9"/>
  <c r="Q391" i="9"/>
  <c r="Q392" i="9"/>
  <c r="Q393" i="9"/>
  <c r="Q394" i="9"/>
  <c r="Q396" i="9"/>
  <c r="Q397" i="9"/>
  <c r="Q398" i="9"/>
  <c r="Q399" i="9"/>
  <c r="Q400" i="9"/>
  <c r="Q401" i="9"/>
  <c r="R399" i="9" l="1"/>
  <c r="R398" i="9"/>
  <c r="R393" i="9"/>
  <c r="R400" i="9"/>
  <c r="R396" i="9"/>
  <c r="R391" i="9"/>
  <c r="R390" i="9"/>
  <c r="R387" i="9"/>
  <c r="R397" i="9"/>
  <c r="R392" i="9"/>
  <c r="R401" i="9"/>
  <c r="R394" i="9"/>
  <c r="R388" i="9"/>
  <c r="R389" i="9"/>
  <c r="Q264" i="3"/>
  <c r="S264" i="3" s="1"/>
  <c r="Q263" i="3"/>
  <c r="S263" i="3" s="1"/>
  <c r="Q262" i="3"/>
  <c r="S262" i="3" s="1"/>
  <c r="Q261" i="3"/>
  <c r="S261" i="3" s="1"/>
  <c r="Q260" i="3"/>
  <c r="S260" i="3" s="1"/>
  <c r="Q259" i="3"/>
  <c r="S259" i="3" s="1"/>
  <c r="Q258" i="3"/>
  <c r="S258" i="3" s="1"/>
  <c r="Q257" i="3"/>
  <c r="S257" i="3" s="1"/>
  <c r="Q256" i="3"/>
  <c r="S256" i="3" s="1"/>
  <c r="Q255" i="3"/>
  <c r="S255" i="3" s="1"/>
  <c r="Q254" i="3"/>
  <c r="S254" i="3" s="1"/>
  <c r="Q253" i="3"/>
  <c r="S253" i="3" l="1"/>
  <c r="F72" i="11" s="1"/>
  <c r="R253" i="3"/>
  <c r="R257" i="3"/>
  <c r="R261" i="3"/>
  <c r="R255" i="3"/>
  <c r="R256" i="3"/>
  <c r="R260" i="3"/>
  <c r="R264" i="3"/>
  <c r="R259" i="3"/>
  <c r="R263" i="3"/>
  <c r="R258" i="3"/>
  <c r="R262" i="3"/>
  <c r="R254" i="3"/>
  <c r="Q252" i="3"/>
  <c r="S252" i="3" s="1"/>
  <c r="Q251" i="3"/>
  <c r="S251" i="3" s="1"/>
  <c r="Q250" i="3"/>
  <c r="S250" i="3" s="1"/>
  <c r="Q249" i="3"/>
  <c r="S249" i="3" s="1"/>
  <c r="Q248" i="3"/>
  <c r="S248" i="3" s="1"/>
  <c r="Q247" i="3"/>
  <c r="S247" i="3" s="1"/>
  <c r="Q246" i="3"/>
  <c r="S246" i="3" s="1"/>
  <c r="Q245" i="3"/>
  <c r="S245" i="3" s="1"/>
  <c r="H72" i="11" l="1"/>
  <c r="F71" i="11"/>
  <c r="R251" i="3"/>
  <c r="R252" i="3"/>
  <c r="R245" i="3"/>
  <c r="H71" i="11"/>
  <c r="R249" i="3"/>
  <c r="D72" i="11"/>
  <c r="J72" i="11"/>
  <c r="L72" i="11"/>
  <c r="R248" i="3"/>
  <c r="R247" i="3"/>
  <c r="R250" i="3"/>
  <c r="R246" i="3"/>
  <c r="D71" i="11" l="1"/>
  <c r="J71" i="11"/>
  <c r="L71" i="11"/>
  <c r="Q244" i="3"/>
  <c r="S244" i="3" s="1"/>
  <c r="Q243" i="3"/>
  <c r="S243" i="3" s="1"/>
  <c r="Q242" i="3"/>
  <c r="S242" i="3" s="1"/>
  <c r="Q241" i="3"/>
  <c r="S241" i="3" s="1"/>
  <c r="Q240" i="3"/>
  <c r="S240" i="3" s="1"/>
  <c r="Q239" i="3"/>
  <c r="S239" i="3" s="1"/>
  <c r="Q238" i="3"/>
  <c r="S238" i="3" s="1"/>
  <c r="Q237" i="3"/>
  <c r="S237" i="3" s="1"/>
  <c r="Q236" i="3"/>
  <c r="S236" i="3" s="1"/>
  <c r="Q235" i="3"/>
  <c r="S235" i="3" s="1"/>
  <c r="Q234" i="3"/>
  <c r="S234" i="3" s="1"/>
  <c r="Q233" i="3"/>
  <c r="S233" i="3" s="1"/>
  <c r="F70" i="11" l="1"/>
  <c r="H70" i="11"/>
  <c r="R235" i="3"/>
  <c r="R240" i="3"/>
  <c r="R244" i="3"/>
  <c r="D70" i="11"/>
  <c r="L70" i="11"/>
  <c r="R239" i="3"/>
  <c r="R236" i="3"/>
  <c r="R243" i="3"/>
  <c r="R238" i="3"/>
  <c r="R242" i="3"/>
  <c r="R234" i="3"/>
  <c r="R233" i="3"/>
  <c r="R237" i="3"/>
  <c r="R241" i="3"/>
  <c r="J70" i="11" l="1"/>
  <c r="Q232" i="3"/>
  <c r="S232" i="3" s="1"/>
  <c r="Q231" i="3"/>
  <c r="S231" i="3" s="1"/>
  <c r="Q230" i="3"/>
  <c r="S230" i="3" s="1"/>
  <c r="Q229" i="3"/>
  <c r="S229" i="3" s="1"/>
  <c r="Q228" i="3"/>
  <c r="S228" i="3" s="1"/>
  <c r="Q227" i="3"/>
  <c r="S227" i="3" s="1"/>
  <c r="Q226" i="3"/>
  <c r="S226" i="3" s="1"/>
  <c r="Q225" i="3"/>
  <c r="S225" i="3" s="1"/>
  <c r="Q224" i="3"/>
  <c r="S224" i="3" s="1"/>
  <c r="Q223" i="3"/>
  <c r="S223" i="3" s="1"/>
  <c r="Q222" i="3"/>
  <c r="S222" i="3" s="1"/>
  <c r="Q221" i="3"/>
  <c r="S221" i="3" s="1"/>
  <c r="Q220" i="3"/>
  <c r="S220" i="3" s="1"/>
  <c r="Q219" i="3"/>
  <c r="S219" i="3" s="1"/>
  <c r="Q218" i="3"/>
  <c r="S218" i="3" s="1"/>
  <c r="Q217" i="3"/>
  <c r="S217" i="3" s="1"/>
  <c r="Q216" i="3"/>
  <c r="S216" i="3" s="1"/>
  <c r="Q215" i="3"/>
  <c r="S215" i="3" s="1"/>
  <c r="Q214" i="3"/>
  <c r="S214" i="3" s="1"/>
  <c r="Q213" i="3"/>
  <c r="S213" i="3" s="1"/>
  <c r="Q212" i="3"/>
  <c r="S212" i="3" s="1"/>
  <c r="Q211" i="3"/>
  <c r="S211" i="3" s="1"/>
  <c r="Q210" i="3"/>
  <c r="S210" i="3" s="1"/>
  <c r="Q209" i="3"/>
  <c r="S209" i="3" s="1"/>
  <c r="Q208" i="3"/>
  <c r="S208" i="3" s="1"/>
  <c r="Q207" i="3"/>
  <c r="S207" i="3" s="1"/>
  <c r="Q206" i="3"/>
  <c r="S206" i="3" s="1"/>
  <c r="Q205" i="3"/>
  <c r="F69" i="11" l="1"/>
  <c r="S205" i="3"/>
  <c r="H69" i="11"/>
  <c r="R222" i="3"/>
  <c r="R226" i="3"/>
  <c r="R230" i="3"/>
  <c r="R227" i="3"/>
  <c r="R231" i="3"/>
  <c r="R219" i="3"/>
  <c r="R211" i="3"/>
  <c r="R215" i="3"/>
  <c r="R221" i="3"/>
  <c r="D69" i="11"/>
  <c r="R210" i="3"/>
  <c r="R223" i="3"/>
  <c r="R225" i="3"/>
  <c r="R207" i="3"/>
  <c r="R206" i="3"/>
  <c r="R214" i="3"/>
  <c r="R218" i="3"/>
  <c r="R229" i="3"/>
  <c r="R209" i="3"/>
  <c r="R213" i="3"/>
  <c r="R205" i="3"/>
  <c r="R217" i="3"/>
  <c r="R208" i="3"/>
  <c r="R212" i="3"/>
  <c r="R216" i="3"/>
  <c r="R220" i="3"/>
  <c r="R224" i="3"/>
  <c r="R228" i="3"/>
  <c r="R232" i="3"/>
  <c r="Q204" i="3"/>
  <c r="S204" i="3" s="1"/>
  <c r="Q203" i="3"/>
  <c r="S203" i="3" s="1"/>
  <c r="Q202" i="3"/>
  <c r="S202" i="3" s="1"/>
  <c r="Q201" i="3"/>
  <c r="S201" i="3" s="1"/>
  <c r="Q200" i="3"/>
  <c r="S200" i="3" s="1"/>
  <c r="Q199" i="3"/>
  <c r="S199" i="3" s="1"/>
  <c r="Q198" i="3"/>
  <c r="S198" i="3" s="1"/>
  <c r="Q197" i="3"/>
  <c r="S197" i="3" s="1"/>
  <c r="Q196" i="3"/>
  <c r="S196" i="3" s="1"/>
  <c r="Q195" i="3"/>
  <c r="S195" i="3" s="1"/>
  <c r="Q194" i="3"/>
  <c r="S194" i="3" s="1"/>
  <c r="Q193" i="3"/>
  <c r="S193" i="3" s="1"/>
  <c r="Q192" i="3"/>
  <c r="S192" i="3" s="1"/>
  <c r="Q191" i="3"/>
  <c r="S191" i="3" s="1"/>
  <c r="Q190" i="3"/>
  <c r="S190" i="3" s="1"/>
  <c r="Q189" i="3"/>
  <c r="S189" i="3" s="1"/>
  <c r="F68" i="11" l="1"/>
  <c r="H68" i="11"/>
  <c r="R192" i="3"/>
  <c r="R191" i="3"/>
  <c r="R203" i="3"/>
  <c r="R196" i="3"/>
  <c r="R200" i="3"/>
  <c r="L69" i="11"/>
  <c r="J69" i="11"/>
  <c r="R199" i="3"/>
  <c r="R195" i="3"/>
  <c r="R202" i="3"/>
  <c r="R190" i="3"/>
  <c r="R194" i="3"/>
  <c r="R198" i="3"/>
  <c r="R189" i="3"/>
  <c r="R193" i="3"/>
  <c r="R197" i="3"/>
  <c r="R201" i="3"/>
  <c r="R204" i="3"/>
  <c r="Q188" i="3"/>
  <c r="S188" i="3" s="1"/>
  <c r="Q187" i="3"/>
  <c r="S187" i="3" s="1"/>
  <c r="Q186" i="3"/>
  <c r="S186" i="3" s="1"/>
  <c r="Q185" i="3"/>
  <c r="S185" i="3" s="1"/>
  <c r="F67" i="11" l="1"/>
  <c r="R185" i="3"/>
  <c r="R186" i="3"/>
  <c r="R187" i="3"/>
  <c r="D68" i="11"/>
  <c r="J68" i="11"/>
  <c r="L68" i="11"/>
  <c r="R188" i="3"/>
  <c r="H67" i="11" l="1"/>
  <c r="J67" i="11"/>
  <c r="L67" i="11"/>
  <c r="Q184" i="3"/>
  <c r="S184" i="3" s="1"/>
  <c r="Q183" i="3"/>
  <c r="S183" i="3" s="1"/>
  <c r="Q182" i="3"/>
  <c r="S182" i="3" s="1"/>
  <c r="Q181" i="3"/>
  <c r="S181" i="3" s="1"/>
  <c r="Q180" i="3"/>
  <c r="S180" i="3" s="1"/>
  <c r="Q179" i="3"/>
  <c r="S179" i="3" s="1"/>
  <c r="Q178" i="3"/>
  <c r="S178" i="3" s="1"/>
  <c r="Q177" i="3"/>
  <c r="S177" i="3" s="1"/>
  <c r="Q176" i="3"/>
  <c r="S176" i="3" s="1"/>
  <c r="Q175" i="3"/>
  <c r="S175" i="3" s="1"/>
  <c r="Q174" i="3"/>
  <c r="S174" i="3" s="1"/>
  <c r="Q173" i="3"/>
  <c r="S173" i="3" s="1"/>
  <c r="Q172" i="3"/>
  <c r="S172" i="3" s="1"/>
  <c r="Q171" i="3"/>
  <c r="S171" i="3" s="1"/>
  <c r="Q170" i="3"/>
  <c r="S170" i="3" s="1"/>
  <c r="Q169" i="3"/>
  <c r="S169" i="3" s="1"/>
  <c r="Q168" i="3"/>
  <c r="S168" i="3" s="1"/>
  <c r="Q167" i="3"/>
  <c r="S167" i="3" s="1"/>
  <c r="F66" i="11" l="1"/>
  <c r="H66" i="11"/>
  <c r="R175" i="3"/>
  <c r="R184" i="3"/>
  <c r="R169" i="3"/>
  <c r="R177" i="3"/>
  <c r="R170" i="3"/>
  <c r="J66" i="11"/>
  <c r="D66" i="11"/>
  <c r="R173" i="3"/>
  <c r="R180" i="3"/>
  <c r="R176" i="3"/>
  <c r="R181" i="3"/>
  <c r="R168" i="3"/>
  <c r="R172" i="3"/>
  <c r="R167" i="3"/>
  <c r="R171" i="3"/>
  <c r="R179" i="3"/>
  <c r="R183" i="3"/>
  <c r="R174" i="3"/>
  <c r="R178" i="3"/>
  <c r="R182" i="3"/>
  <c r="L66" i="11" l="1"/>
  <c r="R165" i="3"/>
  <c r="Q161" i="3"/>
  <c r="S161" i="3" s="1"/>
  <c r="Q160" i="3"/>
  <c r="S160" i="3" s="1"/>
  <c r="Q159" i="3"/>
  <c r="S159" i="3" s="1"/>
  <c r="Q158" i="3"/>
  <c r="S158" i="3" s="1"/>
  <c r="Q157" i="3"/>
  <c r="S157" i="3" s="1"/>
  <c r="Q156" i="3"/>
  <c r="S156" i="3" s="1"/>
  <c r="Q155" i="3"/>
  <c r="S155" i="3" s="1"/>
  <c r="R154" i="3"/>
  <c r="R153" i="3"/>
  <c r="R151" i="3"/>
  <c r="Q150" i="3"/>
  <c r="S150" i="3" s="1"/>
  <c r="Q149" i="3"/>
  <c r="S149" i="3" s="1"/>
  <c r="Q148" i="3"/>
  <c r="S148" i="3" s="1"/>
  <c r="Q147" i="3"/>
  <c r="S147" i="3" s="1"/>
  <c r="Q146" i="3"/>
  <c r="S146" i="3" s="1"/>
  <c r="Q145" i="3"/>
  <c r="S145" i="3" s="1"/>
  <c r="Q144" i="3"/>
  <c r="S144" i="3" s="1"/>
  <c r="Q143" i="3"/>
  <c r="S143" i="3" s="1"/>
  <c r="Q142" i="3"/>
  <c r="S142" i="3" s="1"/>
  <c r="Q141" i="3"/>
  <c r="S141" i="3" s="1"/>
  <c r="Q140" i="3"/>
  <c r="S140" i="3" s="1"/>
  <c r="Q139" i="3"/>
  <c r="S139" i="3" s="1"/>
  <c r="Q138" i="3"/>
  <c r="S138" i="3" s="1"/>
  <c r="Q137" i="3"/>
  <c r="S137" i="3" s="1"/>
  <c r="Q136" i="3"/>
  <c r="S136" i="3" s="1"/>
  <c r="Q135" i="3"/>
  <c r="S135" i="3" s="1"/>
  <c r="Q134" i="3"/>
  <c r="S134" i="3" s="1"/>
  <c r="Q133" i="3"/>
  <c r="S133" i="3" s="1"/>
  <c r="Q132" i="3"/>
  <c r="S132" i="3" s="1"/>
  <c r="Q131" i="3"/>
  <c r="S131" i="3" s="1"/>
  <c r="Q130" i="3"/>
  <c r="S130" i="3" s="1"/>
  <c r="F65" i="11" l="1"/>
  <c r="R166" i="3"/>
  <c r="R131" i="3"/>
  <c r="R135" i="3"/>
  <c r="R139" i="3"/>
  <c r="R143" i="3"/>
  <c r="R147" i="3"/>
  <c r="R157" i="3"/>
  <c r="R137" i="3"/>
  <c r="R141" i="3"/>
  <c r="R145" i="3"/>
  <c r="R149" i="3"/>
  <c r="R130" i="3"/>
  <c r="H65" i="11"/>
  <c r="R155" i="3"/>
  <c r="R159" i="3"/>
  <c r="L65" i="11"/>
  <c r="R146" i="3"/>
  <c r="R134" i="3"/>
  <c r="R142" i="3"/>
  <c r="R150" i="3"/>
  <c r="R158" i="3"/>
  <c r="R138" i="3"/>
  <c r="R161" i="3"/>
  <c r="R133" i="3"/>
  <c r="R132" i="3"/>
  <c r="R136" i="3"/>
  <c r="R140" i="3"/>
  <c r="R144" i="3"/>
  <c r="R148" i="3"/>
  <c r="R152" i="3"/>
  <c r="R156" i="3"/>
  <c r="R160" i="3"/>
  <c r="R164" i="3"/>
  <c r="Q129" i="3"/>
  <c r="S129" i="3" s="1"/>
  <c r="Q128" i="3"/>
  <c r="S128" i="3" s="1"/>
  <c r="Q127" i="3"/>
  <c r="S127" i="3" s="1"/>
  <c r="Q126" i="3"/>
  <c r="S126" i="3" s="1"/>
  <c r="Q125" i="3"/>
  <c r="S125" i="3" s="1"/>
  <c r="Q124" i="3"/>
  <c r="S124" i="3" s="1"/>
  <c r="Q123" i="3"/>
  <c r="S123" i="3" s="1"/>
  <c r="Q122" i="3"/>
  <c r="S122" i="3" s="1"/>
  <c r="Q121" i="3"/>
  <c r="S121" i="3" s="1"/>
  <c r="Q120" i="3"/>
  <c r="S120" i="3" s="1"/>
  <c r="Q119" i="3"/>
  <c r="S119" i="3" s="1"/>
  <c r="Q118" i="3"/>
  <c r="S118" i="3" s="1"/>
  <c r="Q117" i="3"/>
  <c r="S117" i="3" s="1"/>
  <c r="Q116" i="3"/>
  <c r="S116" i="3" s="1"/>
  <c r="F64" i="11" l="1"/>
  <c r="H64" i="11"/>
  <c r="R119" i="3"/>
  <c r="R123" i="3"/>
  <c r="R120" i="3"/>
  <c r="R128" i="3"/>
  <c r="R121" i="3"/>
  <c r="J65" i="11"/>
  <c r="D65" i="11"/>
  <c r="R118" i="3"/>
  <c r="R126" i="3"/>
  <c r="R122" i="3"/>
  <c r="R125" i="3"/>
  <c r="R116" i="3"/>
  <c r="R124" i="3"/>
  <c r="R127" i="3"/>
  <c r="R117" i="3"/>
  <c r="R129" i="3"/>
  <c r="L64" i="11" l="1"/>
  <c r="D64" i="11"/>
  <c r="J64" i="11"/>
  <c r="Q115" i="3"/>
  <c r="S115" i="3" s="1"/>
  <c r="Q114" i="3"/>
  <c r="S114" i="3" s="1"/>
  <c r="Q113" i="3"/>
  <c r="S113" i="3" s="1"/>
  <c r="Q112" i="3"/>
  <c r="S112" i="3" s="1"/>
  <c r="Q111" i="3"/>
  <c r="S111" i="3" s="1"/>
  <c r="Q110" i="3"/>
  <c r="S110" i="3" s="1"/>
  <c r="Q109" i="3"/>
  <c r="S109" i="3" s="1"/>
  <c r="Q108" i="3"/>
  <c r="S108" i="3" s="1"/>
  <c r="Q107" i="3"/>
  <c r="S107" i="3" s="1"/>
  <c r="Q106" i="3"/>
  <c r="S106" i="3" s="1"/>
  <c r="Q105" i="3"/>
  <c r="S105" i="3" s="1"/>
  <c r="Q104" i="3"/>
  <c r="S104" i="3" s="1"/>
  <c r="Q103" i="3"/>
  <c r="S103" i="3" s="1"/>
  <c r="Q102" i="3"/>
  <c r="S102" i="3" s="1"/>
  <c r="Q101" i="3"/>
  <c r="S101" i="3" s="1"/>
  <c r="Q100" i="3"/>
  <c r="S100" i="3" s="1"/>
  <c r="Q99" i="3"/>
  <c r="S99" i="3" s="1"/>
  <c r="Q98" i="3"/>
  <c r="S98" i="3" s="1"/>
  <c r="Q97" i="3"/>
  <c r="S97" i="3" s="1"/>
  <c r="Q96" i="3"/>
  <c r="S96" i="3" s="1"/>
  <c r="Q95" i="3"/>
  <c r="S95" i="3" s="1"/>
  <c r="F63" i="11" l="1"/>
  <c r="H63" i="11"/>
  <c r="R96" i="3"/>
  <c r="R100" i="3"/>
  <c r="R104" i="3"/>
  <c r="R108" i="3"/>
  <c r="R111" i="3"/>
  <c r="R98" i="3"/>
  <c r="R99" i="3"/>
  <c r="R107" i="3"/>
  <c r="R103" i="3"/>
  <c r="R114" i="3"/>
  <c r="R106" i="3"/>
  <c r="R110" i="3"/>
  <c r="R95" i="3"/>
  <c r="R115" i="3"/>
  <c r="R113" i="3"/>
  <c r="R102" i="3"/>
  <c r="R97" i="3"/>
  <c r="R101" i="3"/>
  <c r="R105" i="3"/>
  <c r="R109" i="3"/>
  <c r="R112" i="3"/>
  <c r="D63" i="11" l="1"/>
  <c r="L63" i="11"/>
  <c r="J63" i="11"/>
  <c r="Q94" i="3"/>
  <c r="S94" i="3" s="1"/>
  <c r="Q93" i="3"/>
  <c r="S93" i="3" s="1"/>
  <c r="Q92" i="3"/>
  <c r="S92" i="3" s="1"/>
  <c r="Q91" i="3"/>
  <c r="S91" i="3" s="1"/>
  <c r="Q90" i="3"/>
  <c r="S90" i="3" s="1"/>
  <c r="Q89" i="3"/>
  <c r="S89" i="3" s="1"/>
  <c r="Q88" i="3"/>
  <c r="S88" i="3" s="1"/>
  <c r="Q87" i="3"/>
  <c r="S87" i="3" s="1"/>
  <c r="Q86" i="3"/>
  <c r="S86" i="3" s="1"/>
  <c r="Q85" i="3"/>
  <c r="S85" i="3" s="1"/>
  <c r="Q84" i="3"/>
  <c r="S84" i="3" s="1"/>
  <c r="F62" i="11" l="1"/>
  <c r="H62" i="11"/>
  <c r="R85" i="3"/>
  <c r="R93" i="3"/>
  <c r="R87" i="3"/>
  <c r="R91" i="3"/>
  <c r="R86" i="3"/>
  <c r="R90" i="3"/>
  <c r="R94" i="3"/>
  <c r="R89" i="3"/>
  <c r="R84" i="3"/>
  <c r="R88" i="3"/>
  <c r="R92" i="3"/>
  <c r="L62" i="11" l="1"/>
  <c r="J62" i="11"/>
  <c r="D62" i="11"/>
  <c r="Q83" i="3"/>
  <c r="S83" i="3" s="1"/>
  <c r="Q82" i="3"/>
  <c r="S82" i="3" s="1"/>
  <c r="Q81" i="3"/>
  <c r="S81" i="3" s="1"/>
  <c r="Q80" i="3"/>
  <c r="S80" i="3" s="1"/>
  <c r="Q79" i="3"/>
  <c r="S79" i="3" s="1"/>
  <c r="F61" i="11" l="1"/>
  <c r="H61" i="11"/>
  <c r="R81" i="3"/>
  <c r="J61" i="11"/>
  <c r="R82" i="3"/>
  <c r="R80" i="3"/>
  <c r="D61" i="11"/>
  <c r="R79" i="3"/>
  <c r="R83" i="3"/>
  <c r="L61" i="11" l="1"/>
  <c r="Q78" i="3"/>
  <c r="S78" i="3" s="1"/>
  <c r="Q77" i="3"/>
  <c r="S77" i="3" s="1"/>
  <c r="Q76" i="3"/>
  <c r="S76" i="3" s="1"/>
  <c r="Q75" i="3"/>
  <c r="S75" i="3" s="1"/>
  <c r="Q74" i="3"/>
  <c r="S74" i="3" s="1"/>
  <c r="Q73" i="3"/>
  <c r="S73" i="3" s="1"/>
  <c r="Q72" i="3"/>
  <c r="S72" i="3" s="1"/>
  <c r="D60" i="11" l="1"/>
  <c r="F60" i="11"/>
  <c r="H60" i="11"/>
  <c r="R76" i="3"/>
  <c r="R73" i="3"/>
  <c r="R77" i="3"/>
  <c r="R72" i="3"/>
  <c r="R75" i="3"/>
  <c r="L60" i="11"/>
  <c r="R74" i="3"/>
  <c r="R78" i="3"/>
  <c r="Q69" i="3"/>
  <c r="S69" i="3" s="1"/>
  <c r="Q70" i="3"/>
  <c r="S70" i="3" s="1"/>
  <c r="Q71" i="3"/>
  <c r="S71" i="3" s="1"/>
  <c r="R70" i="3" l="1"/>
  <c r="J60" i="11"/>
  <c r="R71" i="3"/>
  <c r="R69" i="3"/>
  <c r="Q54" i="3" l="1"/>
  <c r="S54" i="3" s="1"/>
  <c r="Q53" i="3"/>
  <c r="S53" i="3" s="1"/>
  <c r="Q52" i="3"/>
  <c r="S52" i="3" s="1"/>
  <c r="Q51" i="3"/>
  <c r="S51" i="3" s="1"/>
  <c r="Q50" i="3"/>
  <c r="S50" i="3" s="1"/>
  <c r="Q49" i="3"/>
  <c r="S49" i="3" s="1"/>
  <c r="Q48" i="3"/>
  <c r="S48" i="3" s="1"/>
  <c r="Q47" i="3"/>
  <c r="S47" i="3" s="1"/>
  <c r="Q46" i="3"/>
  <c r="S46" i="3" s="1"/>
  <c r="Q45" i="3"/>
  <c r="S45" i="3" s="1"/>
  <c r="Q44" i="3"/>
  <c r="S44" i="3" s="1"/>
  <c r="Q43" i="3"/>
  <c r="S43" i="3" s="1"/>
  <c r="R43" i="3" l="1"/>
  <c r="R47" i="3"/>
  <c r="R51" i="3"/>
  <c r="R45" i="3"/>
  <c r="R53" i="3"/>
  <c r="R46" i="3"/>
  <c r="R50" i="3"/>
  <c r="R49" i="3"/>
  <c r="R48" i="3"/>
  <c r="R52" i="3"/>
  <c r="R44" i="3"/>
  <c r="R54" i="3"/>
  <c r="H58" i="11" l="1"/>
  <c r="D58" i="11"/>
  <c r="L58" i="11"/>
  <c r="J58" i="11"/>
  <c r="Q42" i="3"/>
  <c r="S42" i="3" s="1"/>
  <c r="Q41" i="3"/>
  <c r="S41" i="3" s="1"/>
  <c r="Q40" i="3"/>
  <c r="S40" i="3" s="1"/>
  <c r="Q39" i="3"/>
  <c r="S39" i="3" s="1"/>
  <c r="Q38" i="3"/>
  <c r="S38" i="3" s="1"/>
  <c r="Q37" i="3"/>
  <c r="S37" i="3" s="1"/>
  <c r="Q36" i="3"/>
  <c r="S36" i="3" s="1"/>
  <c r="Q35" i="3"/>
  <c r="S35" i="3" s="1"/>
  <c r="Q34" i="3"/>
  <c r="S34" i="3" s="1"/>
  <c r="R35" i="3" l="1"/>
  <c r="R39" i="3"/>
  <c r="R37" i="3"/>
  <c r="R41" i="3"/>
  <c r="R42" i="3"/>
  <c r="R38" i="3"/>
  <c r="R34" i="3"/>
  <c r="R36" i="3"/>
  <c r="R40" i="3"/>
  <c r="D57" i="11" l="1"/>
  <c r="H57" i="11"/>
  <c r="F57" i="11"/>
  <c r="L57" i="11"/>
  <c r="J57" i="11"/>
  <c r="Q33" i="3"/>
  <c r="S33" i="3" s="1"/>
  <c r="Q32" i="3"/>
  <c r="S32" i="3" s="1"/>
  <c r="Q31" i="3"/>
  <c r="S31" i="3" s="1"/>
  <c r="Q30" i="3"/>
  <c r="S30" i="3" s="1"/>
  <c r="Q29" i="3"/>
  <c r="S29" i="3" s="1"/>
  <c r="Q28" i="3"/>
  <c r="S28" i="3" s="1"/>
  <c r="Q27" i="3"/>
  <c r="S27" i="3" s="1"/>
  <c r="Q26" i="3"/>
  <c r="S26" i="3" s="1"/>
  <c r="Q25" i="3"/>
  <c r="S25" i="3" s="1"/>
  <c r="Q24" i="3"/>
  <c r="S24" i="3" s="1"/>
  <c r="Q23" i="3"/>
  <c r="S23" i="3" s="1"/>
  <c r="Q22" i="3"/>
  <c r="S22" i="3" s="1"/>
  <c r="Q21" i="3"/>
  <c r="S21" i="3" s="1"/>
  <c r="Q20" i="3"/>
  <c r="S20" i="3" s="1"/>
  <c r="Q19" i="3"/>
  <c r="S19" i="3" s="1"/>
  <c r="Q18" i="3"/>
  <c r="S18" i="3" s="1"/>
  <c r="Q17" i="3"/>
  <c r="S17" i="3" s="1"/>
  <c r="Q16" i="3"/>
  <c r="S16" i="3" s="1"/>
  <c r="Q15" i="3"/>
  <c r="S15" i="3" s="1"/>
  <c r="Q14" i="3"/>
  <c r="S14" i="3" s="1"/>
  <c r="Q13" i="3"/>
  <c r="S13" i="3" s="1"/>
  <c r="Q12" i="3"/>
  <c r="Q11" i="3"/>
  <c r="S11" i="3" s="1"/>
  <c r="Q10" i="3"/>
  <c r="S10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360" i="3"/>
  <c r="S360" i="3" s="1"/>
  <c r="Q359" i="3"/>
  <c r="R359" i="3" s="1"/>
  <c r="Q358" i="3"/>
  <c r="S358" i="3" s="1"/>
  <c r="Q357" i="3"/>
  <c r="R357" i="3" s="1"/>
  <c r="Q356" i="3"/>
  <c r="S356" i="3" s="1"/>
  <c r="Q355" i="3"/>
  <c r="S355" i="3" s="1"/>
  <c r="Q354" i="3"/>
  <c r="S354" i="3" s="1"/>
  <c r="Q353" i="3"/>
  <c r="R353" i="3" s="1"/>
  <c r="Q352" i="3"/>
  <c r="S352" i="3" s="1"/>
  <c r="Q351" i="3"/>
  <c r="S351" i="3" s="1"/>
  <c r="Q350" i="3"/>
  <c r="S350" i="3" s="1"/>
  <c r="Q349" i="3"/>
  <c r="R349" i="3" s="1"/>
  <c r="Q348" i="3"/>
  <c r="S348" i="3" s="1"/>
  <c r="Q347" i="3"/>
  <c r="S347" i="3" s="1"/>
  <c r="Q346" i="3"/>
  <c r="S346" i="3" s="1"/>
  <c r="Q345" i="3"/>
  <c r="R345" i="3" s="1"/>
  <c r="Q344" i="3"/>
  <c r="S344" i="3" s="1"/>
  <c r="Q343" i="3"/>
  <c r="S343" i="3" s="1"/>
  <c r="Q342" i="3"/>
  <c r="S342" i="3" s="1"/>
  <c r="Q341" i="3"/>
  <c r="R341" i="3" s="1"/>
  <c r="Q340" i="3"/>
  <c r="S340" i="3" s="1"/>
  <c r="Q339" i="3"/>
  <c r="S339" i="3" s="1"/>
  <c r="Q338" i="3"/>
  <c r="S338" i="3" s="1"/>
  <c r="Q337" i="3"/>
  <c r="R337" i="3" s="1"/>
  <c r="Q336" i="3"/>
  <c r="S336" i="3" s="1"/>
  <c r="Q335" i="3"/>
  <c r="R335" i="3" s="1"/>
  <c r="Q334" i="3"/>
  <c r="S334" i="3" s="1"/>
  <c r="Q333" i="3"/>
  <c r="R333" i="3" s="1"/>
  <c r="Q332" i="3"/>
  <c r="S332" i="3" s="1"/>
  <c r="Q331" i="3"/>
  <c r="S331" i="3" s="1"/>
  <c r="Q330" i="3"/>
  <c r="S330" i="3" s="1"/>
  <c r="Q329" i="3"/>
  <c r="R329" i="3" s="1"/>
  <c r="Q328" i="3"/>
  <c r="S328" i="3" s="1"/>
  <c r="Q327" i="3"/>
  <c r="S327" i="3" s="1"/>
  <c r="R12" i="3" l="1"/>
  <c r="S12" i="3"/>
  <c r="D59" i="11"/>
  <c r="F59" i="11"/>
  <c r="R65" i="3"/>
  <c r="R61" i="3"/>
  <c r="R57" i="3"/>
  <c r="R67" i="3"/>
  <c r="R63" i="3"/>
  <c r="R59" i="3"/>
  <c r="R55" i="3"/>
  <c r="H59" i="11"/>
  <c r="R17" i="3"/>
  <c r="R66" i="3"/>
  <c r="R62" i="3"/>
  <c r="R58" i="3"/>
  <c r="R26" i="3"/>
  <c r="R16" i="3"/>
  <c r="R20" i="3"/>
  <c r="R32" i="3"/>
  <c r="R13" i="3"/>
  <c r="R30" i="3"/>
  <c r="R25" i="3"/>
  <c r="R328" i="3"/>
  <c r="R351" i="3"/>
  <c r="R21" i="3"/>
  <c r="R24" i="3"/>
  <c r="R343" i="3"/>
  <c r="R332" i="3"/>
  <c r="R347" i="3"/>
  <c r="R339" i="3"/>
  <c r="R355" i="3"/>
  <c r="R10" i="3"/>
  <c r="R14" i="3"/>
  <c r="R18" i="3"/>
  <c r="R22" i="3"/>
  <c r="R28" i="3"/>
  <c r="R327" i="3"/>
  <c r="R331" i="3"/>
  <c r="S337" i="3"/>
  <c r="S341" i="3"/>
  <c r="S345" i="3"/>
  <c r="S349" i="3"/>
  <c r="S353" i="3"/>
  <c r="S357" i="3"/>
  <c r="R360" i="3"/>
  <c r="S329" i="3"/>
  <c r="S333" i="3"/>
  <c r="R336" i="3"/>
  <c r="R340" i="3"/>
  <c r="R344" i="3"/>
  <c r="R348" i="3"/>
  <c r="R352" i="3"/>
  <c r="R356" i="3"/>
  <c r="R29" i="3"/>
  <c r="R33" i="3"/>
  <c r="R68" i="3"/>
  <c r="R11" i="3"/>
  <c r="R15" i="3"/>
  <c r="R19" i="3"/>
  <c r="R23" i="3"/>
  <c r="R27" i="3"/>
  <c r="R31" i="3"/>
  <c r="R64" i="3"/>
  <c r="R60" i="3"/>
  <c r="R56" i="3"/>
  <c r="R330" i="3"/>
  <c r="R334" i="3"/>
  <c r="S335" i="3"/>
  <c r="R338" i="3"/>
  <c r="R342" i="3"/>
  <c r="R346" i="3"/>
  <c r="R350" i="3"/>
  <c r="R354" i="3"/>
  <c r="R358" i="3"/>
  <c r="S359" i="3"/>
  <c r="L10" i="11" l="1"/>
  <c r="F10" i="11"/>
  <c r="J10" i="11"/>
  <c r="D10" i="11"/>
  <c r="H10" i="11"/>
  <c r="H56" i="11"/>
  <c r="H73" i="11" s="1"/>
  <c r="D56" i="11"/>
  <c r="D73" i="11" s="1"/>
  <c r="F56" i="11"/>
  <c r="F73" i="11" s="1"/>
  <c r="L59" i="11"/>
  <c r="J59" i="11"/>
  <c r="J56" i="11"/>
  <c r="L56" i="11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R119" i="2" l="1"/>
  <c r="R116" i="2"/>
  <c r="R120" i="2"/>
  <c r="R108" i="2"/>
  <c r="R112" i="2"/>
  <c r="R111" i="2"/>
  <c r="L73" i="11"/>
  <c r="J73" i="11"/>
  <c r="R118" i="2"/>
  <c r="R115" i="2"/>
  <c r="R114" i="2"/>
  <c r="R110" i="2"/>
  <c r="R109" i="2"/>
  <c r="R113" i="2"/>
  <c r="R117" i="2"/>
  <c r="R121" i="2"/>
  <c r="Q107" i="2" l="1"/>
  <c r="Q106" i="2"/>
  <c r="Q105" i="2"/>
  <c r="Q104" i="2"/>
  <c r="Q103" i="2"/>
  <c r="R105" i="2" l="1"/>
  <c r="R106" i="2"/>
  <c r="R104" i="2"/>
  <c r="H47" i="11"/>
  <c r="R103" i="2"/>
  <c r="R107" i="2"/>
  <c r="D47" i="11" l="1"/>
  <c r="F47" i="11"/>
  <c r="L47" i="11"/>
  <c r="Q102" i="2"/>
  <c r="Q101" i="2"/>
  <c r="Q100" i="2"/>
  <c r="Q99" i="2"/>
  <c r="R101" i="2" l="1"/>
  <c r="F46" i="11"/>
  <c r="R100" i="2"/>
  <c r="R99" i="2"/>
  <c r="R102" i="2"/>
  <c r="H46" i="11" l="1"/>
  <c r="D46" i="11"/>
  <c r="J46" i="11"/>
  <c r="L46" i="11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R78" i="2" l="1"/>
  <c r="R82" i="2"/>
  <c r="R86" i="2"/>
  <c r="R90" i="2"/>
  <c r="R94" i="2"/>
  <c r="R85" i="2"/>
  <c r="R79" i="2"/>
  <c r="R83" i="2"/>
  <c r="R87" i="2"/>
  <c r="R91" i="2"/>
  <c r="R95" i="2"/>
  <c r="R89" i="2"/>
  <c r="R81" i="2"/>
  <c r="R77" i="2"/>
  <c r="R93" i="2"/>
  <c r="R92" i="2"/>
  <c r="R76" i="2"/>
  <c r="R80" i="2"/>
  <c r="R96" i="2"/>
  <c r="R84" i="2"/>
  <c r="R88" i="2"/>
  <c r="F45" i="11" l="1"/>
  <c r="L45" i="11"/>
  <c r="J45" i="11"/>
  <c r="H45" i="11"/>
  <c r="D45" i="11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R65" i="2" l="1"/>
  <c r="R69" i="2"/>
  <c r="R66" i="2"/>
  <c r="R70" i="2"/>
  <c r="R74" i="2"/>
  <c r="R68" i="2"/>
  <c r="R64" i="2"/>
  <c r="R72" i="2"/>
  <c r="R75" i="2"/>
  <c r="R63" i="2"/>
  <c r="R62" i="2"/>
  <c r="F44" i="11"/>
  <c r="R73" i="2"/>
  <c r="R67" i="2"/>
  <c r="R71" i="2"/>
  <c r="L44" i="11" l="1"/>
  <c r="H44" i="11"/>
  <c r="J44" i="11"/>
  <c r="D44" i="11"/>
  <c r="Q61" i="2"/>
  <c r="Q60" i="2"/>
  <c r="Q59" i="2"/>
  <c r="Q58" i="2"/>
  <c r="R59" i="2" l="1"/>
  <c r="R60" i="2"/>
  <c r="H42" i="11"/>
  <c r="R61" i="2"/>
  <c r="R58" i="2"/>
  <c r="F42" i="11" l="1"/>
  <c r="J42" i="11"/>
  <c r="D42" i="11"/>
  <c r="L42" i="11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R47" i="2" l="1"/>
  <c r="R55" i="2"/>
  <c r="R44" i="2"/>
  <c r="R48" i="2"/>
  <c r="R52" i="2"/>
  <c r="R56" i="2"/>
  <c r="R43" i="2"/>
  <c r="R54" i="2"/>
  <c r="R46" i="2"/>
  <c r="R51" i="2"/>
  <c r="R50" i="2"/>
  <c r="R57" i="2"/>
  <c r="R45" i="2"/>
  <c r="R49" i="2"/>
  <c r="R53" i="2"/>
  <c r="Q42" i="2" l="1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R31" i="2" l="1"/>
  <c r="R35" i="2"/>
  <c r="R19" i="2"/>
  <c r="R24" i="2"/>
  <c r="R32" i="2"/>
  <c r="R36" i="2"/>
  <c r="R25" i="2"/>
  <c r="R29" i="2"/>
  <c r="R33" i="2"/>
  <c r="R37" i="2"/>
  <c r="R41" i="2"/>
  <c r="R20" i="2"/>
  <c r="R28" i="2"/>
  <c r="R40" i="2"/>
  <c r="R22" i="2"/>
  <c r="R27" i="2"/>
  <c r="R23" i="2"/>
  <c r="R39" i="2"/>
  <c r="R26" i="2"/>
  <c r="R30" i="2"/>
  <c r="R34" i="2"/>
  <c r="R21" i="2"/>
  <c r="R38" i="2"/>
  <c r="R42" i="2"/>
  <c r="Q18" i="2" l="1"/>
  <c r="Q17" i="2"/>
  <c r="Q16" i="2"/>
  <c r="R16" i="2" s="1"/>
  <c r="Q15" i="2"/>
  <c r="Q14" i="2"/>
  <c r="R14" i="2" s="1"/>
  <c r="Q13" i="2"/>
  <c r="Q12" i="2"/>
  <c r="R12" i="2" s="1"/>
  <c r="Q11" i="2"/>
  <c r="Q10" i="2"/>
  <c r="R10" i="2" s="1"/>
  <c r="R15" i="2" l="1"/>
  <c r="R11" i="2"/>
  <c r="S10" i="2"/>
  <c r="R13" i="2"/>
  <c r="R17" i="2"/>
  <c r="R18" i="2"/>
  <c r="J39" i="11" l="1"/>
  <c r="H39" i="11"/>
  <c r="F39" i="11"/>
  <c r="L39" i="11"/>
  <c r="D39" i="11"/>
  <c r="Q50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R280" i="4"/>
  <c r="Q279" i="4"/>
  <c r="Q278" i="4"/>
  <c r="R277" i="4"/>
  <c r="Q276" i="4"/>
  <c r="R275" i="4"/>
  <c r="Q274" i="4"/>
  <c r="Q273" i="4"/>
  <c r="R272" i="4"/>
  <c r="R271" i="4"/>
  <c r="R270" i="4"/>
  <c r="R269" i="4"/>
  <c r="R268" i="4"/>
  <c r="R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R80" i="4" l="1"/>
  <c r="R276" i="4"/>
  <c r="R284" i="4"/>
  <c r="R288" i="4"/>
  <c r="R292" i="4"/>
  <c r="R296" i="4"/>
  <c r="R300" i="4"/>
  <c r="R304" i="4"/>
  <c r="R308" i="4"/>
  <c r="R312" i="4"/>
  <c r="R316" i="4"/>
  <c r="R320" i="4"/>
  <c r="R324" i="4"/>
  <c r="R328" i="4"/>
  <c r="R332" i="4"/>
  <c r="R336" i="4"/>
  <c r="R348" i="4"/>
  <c r="R476" i="4"/>
  <c r="R484" i="4"/>
  <c r="R496" i="4"/>
  <c r="R37" i="4"/>
  <c r="R41" i="4"/>
  <c r="R45" i="4"/>
  <c r="R49" i="4"/>
  <c r="R53" i="4"/>
  <c r="R57" i="4"/>
  <c r="R61" i="4"/>
  <c r="R65" i="4"/>
  <c r="R69" i="4"/>
  <c r="R73" i="4"/>
  <c r="R77" i="4"/>
  <c r="R81" i="4"/>
  <c r="R85" i="4"/>
  <c r="R89" i="4"/>
  <c r="R93" i="4"/>
  <c r="R97" i="4"/>
  <c r="R101" i="4"/>
  <c r="R105" i="4"/>
  <c r="R109" i="4"/>
  <c r="R113" i="4"/>
  <c r="R117" i="4"/>
  <c r="R125" i="4"/>
  <c r="R133" i="4"/>
  <c r="R141" i="4"/>
  <c r="R149" i="4"/>
  <c r="R157" i="4"/>
  <c r="R165" i="4"/>
  <c r="R173" i="4"/>
  <c r="R181" i="4"/>
  <c r="R189" i="4"/>
  <c r="R197" i="4"/>
  <c r="R205" i="4"/>
  <c r="R213" i="4"/>
  <c r="R221" i="4"/>
  <c r="R229" i="4"/>
  <c r="R237" i="4"/>
  <c r="R245" i="4"/>
  <c r="R253" i="4"/>
  <c r="R261" i="4"/>
  <c r="R273" i="4"/>
  <c r="R281" i="4"/>
  <c r="R301" i="4"/>
  <c r="R309" i="4"/>
  <c r="R361" i="4"/>
  <c r="R369" i="4"/>
  <c r="R377" i="4"/>
  <c r="R385" i="4"/>
  <c r="R389" i="4"/>
  <c r="R393" i="4"/>
  <c r="R401" i="4"/>
  <c r="R405" i="4"/>
  <c r="R409" i="4"/>
  <c r="R413" i="4"/>
  <c r="R417" i="4"/>
  <c r="R421" i="4"/>
  <c r="R425" i="4"/>
  <c r="R429" i="4"/>
  <c r="R433" i="4"/>
  <c r="R437" i="4"/>
  <c r="R441" i="4"/>
  <c r="R445" i="4"/>
  <c r="R449" i="4"/>
  <c r="R453" i="4"/>
  <c r="R457" i="4"/>
  <c r="R461" i="4"/>
  <c r="R465" i="4"/>
  <c r="R469" i="4"/>
  <c r="R473" i="4"/>
  <c r="R477" i="4"/>
  <c r="R481" i="4"/>
  <c r="R485" i="4"/>
  <c r="R489" i="4"/>
  <c r="R493" i="4"/>
  <c r="R497" i="4"/>
  <c r="R501" i="4"/>
  <c r="R505" i="4"/>
  <c r="R166" i="4"/>
  <c r="R230" i="4"/>
  <c r="R282" i="4"/>
  <c r="R286" i="4"/>
  <c r="R290" i="4"/>
  <c r="R294" i="4"/>
  <c r="R298" i="4"/>
  <c r="R302" i="4"/>
  <c r="R306" i="4"/>
  <c r="R310" i="4"/>
  <c r="R314" i="4"/>
  <c r="R318" i="4"/>
  <c r="R322" i="4"/>
  <c r="R326" i="4"/>
  <c r="R330" i="4"/>
  <c r="R334" i="4"/>
  <c r="R87" i="4"/>
  <c r="R91" i="4"/>
  <c r="R95" i="4"/>
  <c r="R99" i="4"/>
  <c r="R103" i="4"/>
  <c r="R107" i="4"/>
  <c r="R111" i="4"/>
  <c r="R115" i="4"/>
  <c r="R123" i="4"/>
  <c r="R131" i="4"/>
  <c r="R139" i="4"/>
  <c r="R147" i="4"/>
  <c r="R155" i="4"/>
  <c r="R163" i="4"/>
  <c r="R171" i="4"/>
  <c r="R179" i="4"/>
  <c r="R187" i="4"/>
  <c r="R195" i="4"/>
  <c r="R203" i="4"/>
  <c r="R211" i="4"/>
  <c r="R219" i="4"/>
  <c r="R227" i="4"/>
  <c r="R235" i="4"/>
  <c r="R243" i="4"/>
  <c r="R251" i="4"/>
  <c r="R259" i="4"/>
  <c r="R279" i="4"/>
  <c r="R339" i="4"/>
  <c r="R343" i="4"/>
  <c r="R347" i="4"/>
  <c r="R351" i="4"/>
  <c r="R355" i="4"/>
  <c r="R363" i="4"/>
  <c r="R371" i="4"/>
  <c r="R379" i="4"/>
  <c r="R387" i="4"/>
  <c r="R391" i="4"/>
  <c r="R395" i="4"/>
  <c r="R399" i="4"/>
  <c r="R403" i="4"/>
  <c r="R407" i="4"/>
  <c r="R411" i="4"/>
  <c r="R415" i="4"/>
  <c r="R419" i="4"/>
  <c r="R423" i="4"/>
  <c r="R431" i="4"/>
  <c r="R439" i="4"/>
  <c r="R443" i="4"/>
  <c r="R447" i="4"/>
  <c r="R451" i="4"/>
  <c r="R455" i="4"/>
  <c r="R459" i="4"/>
  <c r="R463" i="4"/>
  <c r="R467" i="4"/>
  <c r="R471" i="4"/>
  <c r="R475" i="4"/>
  <c r="R479" i="4"/>
  <c r="R483" i="4"/>
  <c r="R487" i="4"/>
  <c r="R491" i="4"/>
  <c r="R495" i="4"/>
  <c r="R503" i="4"/>
  <c r="R499" i="4"/>
  <c r="R397" i="4"/>
  <c r="R198" i="4"/>
  <c r="R428" i="4"/>
  <c r="R331" i="4"/>
  <c r="R150" i="4"/>
  <c r="R380" i="4"/>
  <c r="R68" i="4"/>
  <c r="R329" i="4"/>
  <c r="R460" i="4"/>
  <c r="R262" i="4"/>
  <c r="R84" i="4"/>
  <c r="R43" i="4"/>
  <c r="R440" i="4"/>
  <c r="R48" i="4"/>
  <c r="R116" i="4"/>
  <c r="R39" i="4"/>
  <c r="R59" i="4"/>
  <c r="R76" i="4"/>
  <c r="R52" i="4"/>
  <c r="R60" i="4"/>
  <c r="R71" i="4"/>
  <c r="R100" i="4"/>
  <c r="R174" i="4"/>
  <c r="R400" i="4"/>
  <c r="R432" i="4"/>
  <c r="R492" i="4"/>
  <c r="R36" i="4"/>
  <c r="R44" i="4"/>
  <c r="R55" i="4"/>
  <c r="R64" i="4"/>
  <c r="R75" i="4"/>
  <c r="R134" i="4"/>
  <c r="R158" i="4"/>
  <c r="R182" i="4"/>
  <c r="R214" i="4"/>
  <c r="R246" i="4"/>
  <c r="R285" i="4"/>
  <c r="R333" i="4"/>
  <c r="R335" i="4"/>
  <c r="R388" i="4"/>
  <c r="R420" i="4"/>
  <c r="R448" i="4"/>
  <c r="R416" i="4"/>
  <c r="R138" i="4"/>
  <c r="R202" i="4"/>
  <c r="R238" i="4"/>
  <c r="R299" i="4"/>
  <c r="R435" i="4"/>
  <c r="R35" i="4"/>
  <c r="R40" i="4"/>
  <c r="R51" i="4"/>
  <c r="R56" i="4"/>
  <c r="R72" i="4"/>
  <c r="R108" i="4"/>
  <c r="R142" i="4"/>
  <c r="R156" i="4"/>
  <c r="R289" i="4"/>
  <c r="R311" i="4"/>
  <c r="R452" i="4"/>
  <c r="R47" i="4"/>
  <c r="R63" i="4"/>
  <c r="R79" i="4"/>
  <c r="R126" i="4"/>
  <c r="R140" i="4"/>
  <c r="R170" i="4"/>
  <c r="R177" i="4"/>
  <c r="R190" i="4"/>
  <c r="R222" i="4"/>
  <c r="R254" i="4"/>
  <c r="R297" i="4"/>
  <c r="R340" i="4"/>
  <c r="R376" i="4"/>
  <c r="R464" i="4"/>
  <c r="R145" i="4"/>
  <c r="R172" i="4"/>
  <c r="R206" i="4"/>
  <c r="R67" i="4"/>
  <c r="R83" i="4"/>
  <c r="R92" i="4"/>
  <c r="R122" i="4"/>
  <c r="R129" i="4"/>
  <c r="R186" i="4"/>
  <c r="R193" i="4"/>
  <c r="R364" i="4"/>
  <c r="R427" i="4"/>
  <c r="R124" i="4"/>
  <c r="R154" i="4"/>
  <c r="R161" i="4"/>
  <c r="R188" i="4"/>
  <c r="R321" i="4"/>
  <c r="R327" i="4"/>
  <c r="R412" i="4"/>
  <c r="R204" i="4"/>
  <c r="R209" i="4"/>
  <c r="R218" i="4"/>
  <c r="R220" i="4"/>
  <c r="R225" i="4"/>
  <c r="R234" i="4"/>
  <c r="R236" i="4"/>
  <c r="R241" i="4"/>
  <c r="R250" i="4"/>
  <c r="R252" i="4"/>
  <c r="R257" i="4"/>
  <c r="R266" i="4"/>
  <c r="R274" i="4"/>
  <c r="R278" i="4"/>
  <c r="R295" i="4"/>
  <c r="R319" i="4"/>
  <c r="R323" i="4"/>
  <c r="R325" i="4"/>
  <c r="R356" i="4"/>
  <c r="R368" i="4"/>
  <c r="R384" i="4"/>
  <c r="R396" i="4"/>
  <c r="R408" i="4"/>
  <c r="R444" i="4"/>
  <c r="R480" i="4"/>
  <c r="R127" i="4"/>
  <c r="R143" i="4"/>
  <c r="R159" i="4"/>
  <c r="R175" i="4"/>
  <c r="R191" i="4"/>
  <c r="R207" i="4"/>
  <c r="R223" i="4"/>
  <c r="R239" i="4"/>
  <c r="R255" i="4"/>
  <c r="R315" i="4"/>
  <c r="R88" i="4"/>
  <c r="R96" i="4"/>
  <c r="R104" i="4"/>
  <c r="R112" i="4"/>
  <c r="R121" i="4"/>
  <c r="R130" i="4"/>
  <c r="R132" i="4"/>
  <c r="R137" i="4"/>
  <c r="R146" i="4"/>
  <c r="R148" i="4"/>
  <c r="R153" i="4"/>
  <c r="R162" i="4"/>
  <c r="R164" i="4"/>
  <c r="R169" i="4"/>
  <c r="R178" i="4"/>
  <c r="R180" i="4"/>
  <c r="R185" i="4"/>
  <c r="R194" i="4"/>
  <c r="R196" i="4"/>
  <c r="R201" i="4"/>
  <c r="R210" i="4"/>
  <c r="R212" i="4"/>
  <c r="R217" i="4"/>
  <c r="R226" i="4"/>
  <c r="R228" i="4"/>
  <c r="R233" i="4"/>
  <c r="R242" i="4"/>
  <c r="R244" i="4"/>
  <c r="R249" i="4"/>
  <c r="R258" i="4"/>
  <c r="R260" i="4"/>
  <c r="R265" i="4"/>
  <c r="R287" i="4"/>
  <c r="R291" i="4"/>
  <c r="R293" i="4"/>
  <c r="R337" i="4"/>
  <c r="R119" i="4"/>
  <c r="R135" i="4"/>
  <c r="R151" i="4"/>
  <c r="R167" i="4"/>
  <c r="R183" i="4"/>
  <c r="R199" i="4"/>
  <c r="R215" i="4"/>
  <c r="R231" i="4"/>
  <c r="R247" i="4"/>
  <c r="R263" i="4"/>
  <c r="R305" i="4"/>
  <c r="R313" i="4"/>
  <c r="R283" i="4"/>
  <c r="R317" i="4"/>
  <c r="R344" i="4"/>
  <c r="R352" i="4"/>
  <c r="R360" i="4"/>
  <c r="R372" i="4"/>
  <c r="R392" i="4"/>
  <c r="R404" i="4"/>
  <c r="R424" i="4"/>
  <c r="R436" i="4"/>
  <c r="R456" i="4"/>
  <c r="R303" i="4"/>
  <c r="R307" i="4"/>
  <c r="R472" i="4"/>
  <c r="R504" i="4"/>
  <c r="R468" i="4"/>
  <c r="R488" i="4"/>
  <c r="R500" i="4"/>
  <c r="R338" i="4"/>
  <c r="R349" i="4"/>
  <c r="R354" i="4"/>
  <c r="R359" i="4"/>
  <c r="R373" i="4"/>
  <c r="R345" i="4"/>
  <c r="R350" i="4"/>
  <c r="R362" i="4"/>
  <c r="R367" i="4"/>
  <c r="R381" i="4"/>
  <c r="R42" i="4"/>
  <c r="R46" i="4"/>
  <c r="R58" i="4"/>
  <c r="R66" i="4"/>
  <c r="R74" i="4"/>
  <c r="R78" i="4"/>
  <c r="R82" i="4"/>
  <c r="R90" i="4"/>
  <c r="R94" i="4"/>
  <c r="R102" i="4"/>
  <c r="R106" i="4"/>
  <c r="R114" i="4"/>
  <c r="R118" i="4"/>
  <c r="R341" i="4"/>
  <c r="R346" i="4"/>
  <c r="R357" i="4"/>
  <c r="R370" i="4"/>
  <c r="R375" i="4"/>
  <c r="R38" i="4"/>
  <c r="R50" i="4"/>
  <c r="R54" i="4"/>
  <c r="R62" i="4"/>
  <c r="R70" i="4"/>
  <c r="R86" i="4"/>
  <c r="R98" i="4"/>
  <c r="R110" i="4"/>
  <c r="R120" i="4"/>
  <c r="R128" i="4"/>
  <c r="R136" i="4"/>
  <c r="R144" i="4"/>
  <c r="R152" i="4"/>
  <c r="R160" i="4"/>
  <c r="R168" i="4"/>
  <c r="R176" i="4"/>
  <c r="R184" i="4"/>
  <c r="R192" i="4"/>
  <c r="R200" i="4"/>
  <c r="R208" i="4"/>
  <c r="R216" i="4"/>
  <c r="R224" i="4"/>
  <c r="R232" i="4"/>
  <c r="R240" i="4"/>
  <c r="R248" i="4"/>
  <c r="R256" i="4"/>
  <c r="R264" i="4"/>
  <c r="R342" i="4"/>
  <c r="R353" i="4"/>
  <c r="R365" i="4"/>
  <c r="R378" i="4"/>
  <c r="R383" i="4"/>
  <c r="R358" i="4"/>
  <c r="R366" i="4"/>
  <c r="R374" i="4"/>
  <c r="R382" i="4"/>
  <c r="R390" i="4"/>
  <c r="R398" i="4"/>
  <c r="R406" i="4"/>
  <c r="R414" i="4"/>
  <c r="R422" i="4"/>
  <c r="R430" i="4"/>
  <c r="R438" i="4"/>
  <c r="R446" i="4"/>
  <c r="R454" i="4"/>
  <c r="R462" i="4"/>
  <c r="R470" i="4"/>
  <c r="R478" i="4"/>
  <c r="R486" i="4"/>
  <c r="R494" i="4"/>
  <c r="R502" i="4"/>
  <c r="R386" i="4"/>
  <c r="R394" i="4"/>
  <c r="R402" i="4"/>
  <c r="R410" i="4"/>
  <c r="R418" i="4"/>
  <c r="R426" i="4"/>
  <c r="R434" i="4"/>
  <c r="R442" i="4"/>
  <c r="R450" i="4"/>
  <c r="R458" i="4"/>
  <c r="R466" i="4"/>
  <c r="R474" i="4"/>
  <c r="R482" i="4"/>
  <c r="R490" i="4"/>
  <c r="R498" i="4"/>
  <c r="R506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S10" i="4" s="1"/>
  <c r="R22" i="4" l="1"/>
  <c r="R30" i="4"/>
  <c r="R14" i="4"/>
  <c r="R26" i="4"/>
  <c r="R20" i="4"/>
  <c r="R24" i="4"/>
  <c r="R13" i="4"/>
  <c r="R29" i="4"/>
  <c r="R18" i="4"/>
  <c r="L96" i="11"/>
  <c r="D96" i="11"/>
  <c r="J96" i="11"/>
  <c r="H96" i="11"/>
  <c r="F96" i="11"/>
  <c r="L95" i="11"/>
  <c r="H95" i="11"/>
  <c r="F95" i="11"/>
  <c r="J95" i="11"/>
  <c r="D95" i="11"/>
  <c r="L94" i="11"/>
  <c r="D92" i="11"/>
  <c r="H94" i="11"/>
  <c r="J94" i="11"/>
  <c r="D94" i="11"/>
  <c r="F94" i="11"/>
  <c r="F90" i="11"/>
  <c r="L86" i="11"/>
  <c r="H86" i="11"/>
  <c r="J86" i="11"/>
  <c r="D86" i="11"/>
  <c r="F86" i="11"/>
  <c r="J82" i="11"/>
  <c r="F82" i="11"/>
  <c r="H82" i="11"/>
  <c r="D82" i="11"/>
  <c r="L82" i="11"/>
  <c r="F91" i="11"/>
  <c r="F89" i="11"/>
  <c r="R10" i="4"/>
  <c r="R25" i="4"/>
  <c r="R21" i="4"/>
  <c r="R17" i="4"/>
  <c r="R33" i="4"/>
  <c r="R16" i="4"/>
  <c r="R32" i="4"/>
  <c r="R12" i="4"/>
  <c r="R28" i="4"/>
  <c r="R11" i="4"/>
  <c r="R15" i="4"/>
  <c r="R19" i="4"/>
  <c r="R23" i="4"/>
  <c r="R27" i="4"/>
  <c r="R31" i="4"/>
  <c r="R34" i="4"/>
  <c r="Q509" i="5"/>
  <c r="S509" i="5" s="1"/>
  <c r="Q508" i="5"/>
  <c r="S508" i="5" s="1"/>
  <c r="Q507" i="5"/>
  <c r="S507" i="5" s="1"/>
  <c r="Q506" i="5"/>
  <c r="S506" i="5" s="1"/>
  <c r="Q505" i="5"/>
  <c r="Q504" i="5"/>
  <c r="S504" i="5" s="1"/>
  <c r="Q503" i="5"/>
  <c r="S503" i="5" s="1"/>
  <c r="Q502" i="5"/>
  <c r="Q501" i="5"/>
  <c r="Q500" i="5"/>
  <c r="S500" i="5" s="1"/>
  <c r="Q499" i="5"/>
  <c r="S499" i="5" s="1"/>
  <c r="Q498" i="5"/>
  <c r="Q497" i="5"/>
  <c r="Q496" i="5"/>
  <c r="S496" i="5" s="1"/>
  <c r="Q495" i="5"/>
  <c r="S495" i="5" s="1"/>
  <c r="Q494" i="5"/>
  <c r="Q493" i="5"/>
  <c r="Q492" i="5"/>
  <c r="S492" i="5" s="1"/>
  <c r="Q491" i="5"/>
  <c r="S491" i="5" s="1"/>
  <c r="Q490" i="5"/>
  <c r="Q489" i="5"/>
  <c r="Q488" i="5"/>
  <c r="S488" i="5" s="1"/>
  <c r="Q487" i="5"/>
  <c r="S487" i="5" s="1"/>
  <c r="Q486" i="5"/>
  <c r="Q485" i="5"/>
  <c r="Q484" i="5"/>
  <c r="S484" i="5" s="1"/>
  <c r="Q483" i="5"/>
  <c r="S483" i="5" s="1"/>
  <c r="Q482" i="5"/>
  <c r="Q481" i="5"/>
  <c r="Q480" i="5"/>
  <c r="S480" i="5" s="1"/>
  <c r="Q479" i="5"/>
  <c r="S479" i="5" s="1"/>
  <c r="Q478" i="5"/>
  <c r="Q477" i="5"/>
  <c r="Q476" i="5"/>
  <c r="S476" i="5" s="1"/>
  <c r="Q475" i="5"/>
  <c r="S475" i="5" s="1"/>
  <c r="Q474" i="5"/>
  <c r="Q473" i="5"/>
  <c r="Q472" i="5"/>
  <c r="S472" i="5" s="1"/>
  <c r="Q471" i="5"/>
  <c r="S471" i="5" s="1"/>
  <c r="Q470" i="5"/>
  <c r="Q469" i="5"/>
  <c r="Q468" i="5"/>
  <c r="S468" i="5" s="1"/>
  <c r="Q467" i="5"/>
  <c r="S467" i="5" s="1"/>
  <c r="Q466" i="5"/>
  <c r="Q465" i="5"/>
  <c r="Q464" i="5"/>
  <c r="S464" i="5" s="1"/>
  <c r="Q463" i="5"/>
  <c r="S463" i="5" s="1"/>
  <c r="Q462" i="5"/>
  <c r="Q461" i="5"/>
  <c r="Q460" i="5"/>
  <c r="S460" i="5" s="1"/>
  <c r="Q459" i="5"/>
  <c r="S459" i="5" s="1"/>
  <c r="Q458" i="5"/>
  <c r="Q457" i="5"/>
  <c r="Q456" i="5"/>
  <c r="S456" i="5" s="1"/>
  <c r="Q455" i="5"/>
  <c r="S455" i="5" s="1"/>
  <c r="Q454" i="5"/>
  <c r="Q453" i="5"/>
  <c r="Q452" i="5"/>
  <c r="S452" i="5" s="1"/>
  <c r="Q451" i="5"/>
  <c r="S451" i="5" s="1"/>
  <c r="Q450" i="5"/>
  <c r="Q449" i="5"/>
  <c r="Q448" i="5"/>
  <c r="S448" i="5" s="1"/>
  <c r="Q447" i="5"/>
  <c r="S447" i="5" s="1"/>
  <c r="Q446" i="5"/>
  <c r="Q445" i="5"/>
  <c r="Q444" i="5"/>
  <c r="S444" i="5" s="1"/>
  <c r="Q443" i="5"/>
  <c r="S443" i="5" s="1"/>
  <c r="Q442" i="5"/>
  <c r="Q441" i="5"/>
  <c r="Q440" i="5"/>
  <c r="S440" i="5" s="1"/>
  <c r="Q439" i="5"/>
  <c r="S439" i="5" s="1"/>
  <c r="Q438" i="5"/>
  <c r="Q437" i="5"/>
  <c r="Q436" i="5"/>
  <c r="S436" i="5" s="1"/>
  <c r="Q435" i="5"/>
  <c r="S435" i="5" s="1"/>
  <c r="Q434" i="5"/>
  <c r="Q433" i="5"/>
  <c r="Q432" i="5"/>
  <c r="S432" i="5" s="1"/>
  <c r="Q431" i="5"/>
  <c r="S431" i="5" s="1"/>
  <c r="Q430" i="5"/>
  <c r="Q429" i="5"/>
  <c r="S429" i="5" s="1"/>
  <c r="Q428" i="5"/>
  <c r="S428" i="5" s="1"/>
  <c r="Q427" i="5"/>
  <c r="S427" i="5" s="1"/>
  <c r="Q426" i="5"/>
  <c r="Q425" i="5"/>
  <c r="S425" i="5" s="1"/>
  <c r="Q424" i="5"/>
  <c r="S424" i="5" s="1"/>
  <c r="Q423" i="5"/>
  <c r="S423" i="5" s="1"/>
  <c r="Q422" i="5"/>
  <c r="Q421" i="5"/>
  <c r="S421" i="5" s="1"/>
  <c r="Q420" i="5"/>
  <c r="S420" i="5" s="1"/>
  <c r="Q419" i="5"/>
  <c r="S419" i="5" s="1"/>
  <c r="Q418" i="5"/>
  <c r="Q417" i="5"/>
  <c r="Q416" i="5"/>
  <c r="S416" i="5" s="1"/>
  <c r="Q415" i="5"/>
  <c r="S415" i="5" s="1"/>
  <c r="Q414" i="5"/>
  <c r="Q413" i="5"/>
  <c r="S413" i="5" s="1"/>
  <c r="Q412" i="5"/>
  <c r="S412" i="5" s="1"/>
  <c r="Q411" i="5"/>
  <c r="S411" i="5" s="1"/>
  <c r="Q410" i="5"/>
  <c r="Q409" i="5"/>
  <c r="S409" i="5" s="1"/>
  <c r="Q408" i="5"/>
  <c r="S408" i="5" s="1"/>
  <c r="Q407" i="5"/>
  <c r="S407" i="5" s="1"/>
  <c r="Q406" i="5"/>
  <c r="Q405" i="5"/>
  <c r="S405" i="5" s="1"/>
  <c r="Q404" i="5"/>
  <c r="S404" i="5" s="1"/>
  <c r="Q403" i="5"/>
  <c r="S403" i="5" s="1"/>
  <c r="Q402" i="5"/>
  <c r="Q401" i="5"/>
  <c r="Q400" i="5"/>
  <c r="S400" i="5" s="1"/>
  <c r="Q399" i="5"/>
  <c r="S399" i="5" s="1"/>
  <c r="Q398" i="5"/>
  <c r="Q397" i="5"/>
  <c r="S397" i="5" s="1"/>
  <c r="Q396" i="5"/>
  <c r="S396" i="5" s="1"/>
  <c r="Q395" i="5"/>
  <c r="S395" i="5" s="1"/>
  <c r="Q394" i="5"/>
  <c r="Q393" i="5"/>
  <c r="S393" i="5" s="1"/>
  <c r="Q392" i="5"/>
  <c r="S392" i="5" s="1"/>
  <c r="Q391" i="5"/>
  <c r="S391" i="5" s="1"/>
  <c r="Q390" i="5"/>
  <c r="Q389" i="5"/>
  <c r="S389" i="5" s="1"/>
  <c r="Q388" i="5"/>
  <c r="S388" i="5" s="1"/>
  <c r="Q387" i="5"/>
  <c r="S387" i="5" s="1"/>
  <c r="Q386" i="5"/>
  <c r="Q385" i="5"/>
  <c r="Q384" i="5"/>
  <c r="S384" i="5" s="1"/>
  <c r="Q383" i="5"/>
  <c r="S383" i="5" s="1"/>
  <c r="Q382" i="5"/>
  <c r="Q381" i="5"/>
  <c r="S381" i="5" s="1"/>
  <c r="Q380" i="5"/>
  <c r="S380" i="5" s="1"/>
  <c r="Q379" i="5"/>
  <c r="S379" i="5" s="1"/>
  <c r="Q378" i="5"/>
  <c r="Q377" i="5"/>
  <c r="S377" i="5" s="1"/>
  <c r="Q376" i="5"/>
  <c r="S376" i="5" s="1"/>
  <c r="Q375" i="5"/>
  <c r="S375" i="5" s="1"/>
  <c r="Q374" i="5"/>
  <c r="Q373" i="5"/>
  <c r="S373" i="5" s="1"/>
  <c r="Q372" i="5"/>
  <c r="S372" i="5" s="1"/>
  <c r="Q371" i="5"/>
  <c r="S371" i="5" s="1"/>
  <c r="Q370" i="5"/>
  <c r="Q369" i="5"/>
  <c r="S369" i="5" s="1"/>
  <c r="Q368" i="5"/>
  <c r="Q367" i="5"/>
  <c r="S367" i="5" s="1"/>
  <c r="Q366" i="5"/>
  <c r="Q365" i="5"/>
  <c r="S365" i="5" s="1"/>
  <c r="Q364" i="5"/>
  <c r="S364" i="5" s="1"/>
  <c r="Q363" i="5"/>
  <c r="S363" i="5" s="1"/>
  <c r="Q362" i="5"/>
  <c r="Q361" i="5"/>
  <c r="S361" i="5" s="1"/>
  <c r="Q360" i="5"/>
  <c r="Q359" i="5"/>
  <c r="S359" i="5" s="1"/>
  <c r="Q358" i="5"/>
  <c r="Q357" i="5"/>
  <c r="S357" i="5" s="1"/>
  <c r="Q356" i="5"/>
  <c r="S356" i="5" s="1"/>
  <c r="Q355" i="5"/>
  <c r="S355" i="5" s="1"/>
  <c r="Q354" i="5"/>
  <c r="Q353" i="5"/>
  <c r="S353" i="5" s="1"/>
  <c r="Q352" i="5"/>
  <c r="Q351" i="5"/>
  <c r="S351" i="5" s="1"/>
  <c r="Q350" i="5"/>
  <c r="Q349" i="5"/>
  <c r="S349" i="5" s="1"/>
  <c r="Q348" i="5"/>
  <c r="S348" i="5" s="1"/>
  <c r="Q347" i="5"/>
  <c r="S347" i="5" s="1"/>
  <c r="Q346" i="5"/>
  <c r="Q345" i="5"/>
  <c r="S345" i="5" s="1"/>
  <c r="Q344" i="5"/>
  <c r="Q343" i="5"/>
  <c r="S343" i="5" s="1"/>
  <c r="Q342" i="5"/>
  <c r="S342" i="5" s="1"/>
  <c r="Q341" i="5"/>
  <c r="S341" i="5" s="1"/>
  <c r="Q340" i="5"/>
  <c r="S340" i="5" s="1"/>
  <c r="Q339" i="5"/>
  <c r="Q338" i="5"/>
  <c r="S338" i="5" s="1"/>
  <c r="Q337" i="5"/>
  <c r="S337" i="5" s="1"/>
  <c r="Q336" i="5"/>
  <c r="Q335" i="5"/>
  <c r="S335" i="5" s="1"/>
  <c r="Q334" i="5"/>
  <c r="S334" i="5" s="1"/>
  <c r="Q333" i="5"/>
  <c r="S333" i="5" s="1"/>
  <c r="Q332" i="5"/>
  <c r="Q331" i="5"/>
  <c r="Q330" i="5"/>
  <c r="S330" i="5" s="1"/>
  <c r="Q329" i="5"/>
  <c r="S329" i="5" s="1"/>
  <c r="Q328" i="5"/>
  <c r="Q327" i="5"/>
  <c r="S327" i="5" s="1"/>
  <c r="Q326" i="5"/>
  <c r="S326" i="5" s="1"/>
  <c r="Q325" i="5"/>
  <c r="S325" i="5" s="1"/>
  <c r="Q324" i="5"/>
  <c r="Q323" i="5"/>
  <c r="Q322" i="5"/>
  <c r="S322" i="5" s="1"/>
  <c r="Q321" i="5"/>
  <c r="S321" i="5" s="1"/>
  <c r="Q320" i="5"/>
  <c r="Q319" i="5"/>
  <c r="S319" i="5" s="1"/>
  <c r="Q318" i="5"/>
  <c r="S318" i="5" s="1"/>
  <c r="Q317" i="5"/>
  <c r="S317" i="5" s="1"/>
  <c r="Q316" i="5"/>
  <c r="Q315" i="5"/>
  <c r="Q314" i="5"/>
  <c r="S314" i="5" s="1"/>
  <c r="Q313" i="5"/>
  <c r="S313" i="5" s="1"/>
  <c r="Q312" i="5"/>
  <c r="Q311" i="5"/>
  <c r="S311" i="5" s="1"/>
  <c r="Q310" i="5"/>
  <c r="S310" i="5" s="1"/>
  <c r="Q309" i="5"/>
  <c r="S309" i="5" s="1"/>
  <c r="Q308" i="5"/>
  <c r="Q307" i="5"/>
  <c r="Q306" i="5"/>
  <c r="S306" i="5" s="1"/>
  <c r="Q305" i="5"/>
  <c r="S305" i="5" s="1"/>
  <c r="Q304" i="5"/>
  <c r="Q303" i="5"/>
  <c r="S303" i="5" s="1"/>
  <c r="Q302" i="5"/>
  <c r="S302" i="5" s="1"/>
  <c r="Q301" i="5"/>
  <c r="S301" i="5" s="1"/>
  <c r="Q300" i="5"/>
  <c r="Q299" i="5"/>
  <c r="S299" i="5" s="1"/>
  <c r="Q298" i="5"/>
  <c r="S298" i="5" s="1"/>
  <c r="Q297" i="5"/>
  <c r="S297" i="5" s="1"/>
  <c r="Q296" i="5"/>
  <c r="Q295" i="5"/>
  <c r="S295" i="5" s="1"/>
  <c r="Q294" i="5"/>
  <c r="S294" i="5" s="1"/>
  <c r="Q293" i="5"/>
  <c r="S293" i="5" s="1"/>
  <c r="Q292" i="5"/>
  <c r="Q291" i="5"/>
  <c r="Q290" i="5"/>
  <c r="S290" i="5" s="1"/>
  <c r="Q289" i="5"/>
  <c r="S289" i="5" s="1"/>
  <c r="Q288" i="5"/>
  <c r="Q287" i="5"/>
  <c r="S287" i="5" s="1"/>
  <c r="Q286" i="5"/>
  <c r="S286" i="5" s="1"/>
  <c r="Q285" i="5"/>
  <c r="S285" i="5" s="1"/>
  <c r="Q284" i="5"/>
  <c r="Q283" i="5"/>
  <c r="S283" i="5" s="1"/>
  <c r="Q282" i="5"/>
  <c r="S282" i="5" s="1"/>
  <c r="Q281" i="5"/>
  <c r="S281" i="5" s="1"/>
  <c r="Q280" i="5"/>
  <c r="Q279" i="5"/>
  <c r="S279" i="5" s="1"/>
  <c r="Q278" i="5"/>
  <c r="S278" i="5" s="1"/>
  <c r="Q277" i="5"/>
  <c r="S277" i="5" s="1"/>
  <c r="Q276" i="5"/>
  <c r="Q275" i="5"/>
  <c r="Q274" i="5"/>
  <c r="S274" i="5" s="1"/>
  <c r="Q273" i="5"/>
  <c r="S273" i="5" s="1"/>
  <c r="Q272" i="5"/>
  <c r="Q271" i="5"/>
  <c r="S271" i="5" s="1"/>
  <c r="Q270" i="5"/>
  <c r="S270" i="5" s="1"/>
  <c r="Q269" i="5"/>
  <c r="S269" i="5" s="1"/>
  <c r="Q268" i="5"/>
  <c r="Q267" i="5"/>
  <c r="S267" i="5" s="1"/>
  <c r="Q266" i="5"/>
  <c r="S266" i="5" s="1"/>
  <c r="Q265" i="5"/>
  <c r="S265" i="5" s="1"/>
  <c r="Q264" i="5"/>
  <c r="S264" i="5" s="1"/>
  <c r="Q263" i="5"/>
  <c r="S263" i="5" s="1"/>
  <c r="Q261" i="5"/>
  <c r="S261" i="5" s="1"/>
  <c r="Q260" i="5"/>
  <c r="Q259" i="5"/>
  <c r="Q258" i="5"/>
  <c r="S258" i="5" s="1"/>
  <c r="Q257" i="5"/>
  <c r="S257" i="5" s="1"/>
  <c r="Q256" i="5"/>
  <c r="Q255" i="5"/>
  <c r="S255" i="5" s="1"/>
  <c r="Q254" i="5"/>
  <c r="S254" i="5" s="1"/>
  <c r="Q253" i="5"/>
  <c r="S253" i="5" s="1"/>
  <c r="R252" i="5"/>
  <c r="Q251" i="5"/>
  <c r="S251" i="5" s="1"/>
  <c r="Q250" i="5"/>
  <c r="S250" i="5" s="1"/>
  <c r="Q249" i="5"/>
  <c r="S249" i="5" s="1"/>
  <c r="Q248" i="5"/>
  <c r="S248" i="5" s="1"/>
  <c r="Q247" i="5"/>
  <c r="S247" i="5" s="1"/>
  <c r="Q246" i="5"/>
  <c r="S246" i="5" s="1"/>
  <c r="Q245" i="5"/>
  <c r="S245" i="5" s="1"/>
  <c r="Q244" i="5"/>
  <c r="Q243" i="5"/>
  <c r="Q242" i="5"/>
  <c r="S242" i="5" s="1"/>
  <c r="Q241" i="5"/>
  <c r="S241" i="5" s="1"/>
  <c r="Q240" i="5"/>
  <c r="S240" i="5" s="1"/>
  <c r="Q239" i="5"/>
  <c r="S239" i="5" s="1"/>
  <c r="Q238" i="5"/>
  <c r="S238" i="5" s="1"/>
  <c r="Q237" i="5"/>
  <c r="Q236" i="5"/>
  <c r="S236" i="5" s="1"/>
  <c r="Q235" i="5"/>
  <c r="S235" i="5" s="1"/>
  <c r="Q234" i="5"/>
  <c r="S234" i="5" s="1"/>
  <c r="Q233" i="5"/>
  <c r="Q232" i="5"/>
  <c r="Q231" i="5"/>
  <c r="S231" i="5" s="1"/>
  <c r="Q230" i="5"/>
  <c r="S230" i="5" s="1"/>
  <c r="Q229" i="5"/>
  <c r="Q228" i="5"/>
  <c r="S228" i="5" s="1"/>
  <c r="Q227" i="5"/>
  <c r="Q226" i="5"/>
  <c r="S226" i="5" s="1"/>
  <c r="Q225" i="5"/>
  <c r="Q224" i="5"/>
  <c r="S224" i="5" s="1"/>
  <c r="Q223" i="5"/>
  <c r="S223" i="5" s="1"/>
  <c r="Q222" i="5"/>
  <c r="S222" i="5" s="1"/>
  <c r="Q221" i="5"/>
  <c r="Q220" i="5"/>
  <c r="S220" i="5" s="1"/>
  <c r="Q219" i="5"/>
  <c r="Q218" i="5"/>
  <c r="S218" i="5" s="1"/>
  <c r="Q217" i="5"/>
  <c r="Q216" i="5"/>
  <c r="S216" i="5" s="1"/>
  <c r="Q215" i="5"/>
  <c r="S215" i="5" s="1"/>
  <c r="Q214" i="5"/>
  <c r="S214" i="5" s="1"/>
  <c r="Q213" i="5"/>
  <c r="Q212" i="5"/>
  <c r="Q211" i="5"/>
  <c r="S211" i="5" s="1"/>
  <c r="Q210" i="5"/>
  <c r="S210" i="5" s="1"/>
  <c r="Q209" i="5"/>
  <c r="Q208" i="5"/>
  <c r="S208" i="5" s="1"/>
  <c r="Q207" i="5"/>
  <c r="S207" i="5" s="1"/>
  <c r="Q206" i="5"/>
  <c r="S206" i="5" s="1"/>
  <c r="Q205" i="5"/>
  <c r="Q204" i="5"/>
  <c r="S204" i="5" s="1"/>
  <c r="Q203" i="5"/>
  <c r="Q202" i="5"/>
  <c r="S202" i="5" s="1"/>
  <c r="Q201" i="5"/>
  <c r="Q200" i="5"/>
  <c r="Q199" i="5"/>
  <c r="S199" i="5" s="1"/>
  <c r="Q198" i="5"/>
  <c r="S198" i="5" s="1"/>
  <c r="Q197" i="5"/>
  <c r="Q196" i="5"/>
  <c r="S196" i="5" s="1"/>
  <c r="Q195" i="5"/>
  <c r="Q194" i="5"/>
  <c r="S194" i="5" s="1"/>
  <c r="Q193" i="5"/>
  <c r="S193" i="5" s="1"/>
  <c r="Q192" i="5"/>
  <c r="S192" i="5" s="1"/>
  <c r="Q191" i="5"/>
  <c r="S191" i="5" s="1"/>
  <c r="Q190" i="5"/>
  <c r="Q189" i="5"/>
  <c r="S189" i="5" s="1"/>
  <c r="Q188" i="5"/>
  <c r="S188" i="5" s="1"/>
  <c r="Q187" i="5"/>
  <c r="Q186" i="5"/>
  <c r="S186" i="5" s="1"/>
  <c r="Q185" i="5"/>
  <c r="S185" i="5" s="1"/>
  <c r="Q183" i="5"/>
  <c r="S183" i="5" s="1"/>
  <c r="Q182" i="5"/>
  <c r="Q181" i="5"/>
  <c r="S181" i="5" s="1"/>
  <c r="Q180" i="5"/>
  <c r="S180" i="5" s="1"/>
  <c r="Q179" i="5"/>
  <c r="S179" i="5" s="1"/>
  <c r="Q178" i="5"/>
  <c r="Q177" i="5"/>
  <c r="S177" i="5" s="1"/>
  <c r="Q176" i="5"/>
  <c r="S176" i="5" s="1"/>
  <c r="Q175" i="5"/>
  <c r="S175" i="5" s="1"/>
  <c r="Q174" i="5"/>
  <c r="S174" i="5" s="1"/>
  <c r="Q173" i="5"/>
  <c r="Q172" i="5"/>
  <c r="S172" i="5" s="1"/>
  <c r="Q171" i="5"/>
  <c r="S171" i="5" s="1"/>
  <c r="Q170" i="5"/>
  <c r="Q169" i="5"/>
  <c r="Q168" i="5"/>
  <c r="S168" i="5" s="1"/>
  <c r="Q11" i="5"/>
  <c r="Q151" i="5"/>
  <c r="Q150" i="5"/>
  <c r="S150" i="5" s="1"/>
  <c r="Q149" i="5"/>
  <c r="S149" i="5" s="1"/>
  <c r="Q148" i="5"/>
  <c r="Q147" i="5"/>
  <c r="S147" i="5" s="1"/>
  <c r="Q146" i="5"/>
  <c r="S146" i="5" s="1"/>
  <c r="Q145" i="5"/>
  <c r="S145" i="5" s="1"/>
  <c r="Q144" i="5"/>
  <c r="Q143" i="5"/>
  <c r="S143" i="5" s="1"/>
  <c r="Q142" i="5"/>
  <c r="S142" i="5" s="1"/>
  <c r="Q141" i="5"/>
  <c r="S141" i="5" s="1"/>
  <c r="Q140" i="5"/>
  <c r="Q139" i="5"/>
  <c r="S139" i="5" s="1"/>
  <c r="Q138" i="5"/>
  <c r="S138" i="5" s="1"/>
  <c r="Q137" i="5"/>
  <c r="S137" i="5" s="1"/>
  <c r="Q136" i="5"/>
  <c r="Q135" i="5"/>
  <c r="Q134" i="5"/>
  <c r="S134" i="5" s="1"/>
  <c r="Q133" i="5"/>
  <c r="S133" i="5" s="1"/>
  <c r="Q132" i="5"/>
  <c r="Q131" i="5"/>
  <c r="S131" i="5" s="1"/>
  <c r="Q130" i="5"/>
  <c r="S130" i="5" s="1"/>
  <c r="Q129" i="5"/>
  <c r="S129" i="5" s="1"/>
  <c r="Q128" i="5"/>
  <c r="Q127" i="5"/>
  <c r="S127" i="5" s="1"/>
  <c r="Q126" i="5"/>
  <c r="S126" i="5" s="1"/>
  <c r="Q125" i="5"/>
  <c r="S125" i="5" s="1"/>
  <c r="Q124" i="5"/>
  <c r="Q167" i="5"/>
  <c r="Q166" i="5"/>
  <c r="Q165" i="5"/>
  <c r="S165" i="5" s="1"/>
  <c r="Q164" i="5"/>
  <c r="S164" i="5" s="1"/>
  <c r="Q163" i="5"/>
  <c r="S163" i="5" s="1"/>
  <c r="Q162" i="5"/>
  <c r="S162" i="5" s="1"/>
  <c r="Q161" i="5"/>
  <c r="S161" i="5" s="1"/>
  <c r="Q160" i="5"/>
  <c r="S160" i="5" s="1"/>
  <c r="Q159" i="5"/>
  <c r="S159" i="5" s="1"/>
  <c r="Q158" i="5"/>
  <c r="S158" i="5" s="1"/>
  <c r="Q157" i="5"/>
  <c r="S157" i="5" s="1"/>
  <c r="Q156" i="5"/>
  <c r="S156" i="5" s="1"/>
  <c r="Q155" i="5"/>
  <c r="S155" i="5" s="1"/>
  <c r="Q154" i="5"/>
  <c r="S154" i="5" s="1"/>
  <c r="Q153" i="5"/>
  <c r="S153" i="5" s="1"/>
  <c r="Q152" i="5"/>
  <c r="S152" i="5" s="1"/>
  <c r="S166" i="5" l="1"/>
  <c r="R166" i="5"/>
  <c r="D11" i="11"/>
  <c r="R169" i="5"/>
  <c r="S169" i="5"/>
  <c r="R173" i="5"/>
  <c r="S173" i="5"/>
  <c r="R190" i="5"/>
  <c r="S190" i="5"/>
  <c r="R346" i="5"/>
  <c r="S346" i="5"/>
  <c r="R350" i="5"/>
  <c r="S350" i="5"/>
  <c r="R354" i="5"/>
  <c r="S354" i="5"/>
  <c r="R358" i="5"/>
  <c r="S358" i="5"/>
  <c r="R362" i="5"/>
  <c r="S362" i="5"/>
  <c r="R366" i="5"/>
  <c r="S366" i="5"/>
  <c r="R370" i="5"/>
  <c r="S370" i="5"/>
  <c r="R374" i="5"/>
  <c r="S374" i="5"/>
  <c r="R378" i="5"/>
  <c r="S378" i="5"/>
  <c r="R382" i="5"/>
  <c r="S382" i="5"/>
  <c r="R386" i="5"/>
  <c r="S386" i="5"/>
  <c r="R390" i="5"/>
  <c r="S390" i="5"/>
  <c r="R394" i="5"/>
  <c r="S394" i="5"/>
  <c r="R398" i="5"/>
  <c r="S398" i="5"/>
  <c r="R402" i="5"/>
  <c r="S402" i="5"/>
  <c r="R406" i="5"/>
  <c r="S406" i="5"/>
  <c r="R410" i="5"/>
  <c r="S410" i="5"/>
  <c r="R414" i="5"/>
  <c r="S414" i="5"/>
  <c r="R418" i="5"/>
  <c r="S418" i="5"/>
  <c r="R422" i="5"/>
  <c r="S422" i="5"/>
  <c r="R426" i="5"/>
  <c r="S426" i="5"/>
  <c r="R430" i="5"/>
  <c r="S430" i="5"/>
  <c r="R434" i="5"/>
  <c r="S434" i="5"/>
  <c r="R438" i="5"/>
  <c r="S438" i="5"/>
  <c r="R442" i="5"/>
  <c r="S442" i="5"/>
  <c r="R446" i="5"/>
  <c r="S446" i="5"/>
  <c r="R450" i="5"/>
  <c r="S450" i="5"/>
  <c r="R454" i="5"/>
  <c r="S454" i="5"/>
  <c r="R458" i="5"/>
  <c r="S458" i="5"/>
  <c r="R462" i="5"/>
  <c r="S462" i="5"/>
  <c r="R466" i="5"/>
  <c r="S466" i="5"/>
  <c r="R470" i="5"/>
  <c r="S470" i="5"/>
  <c r="R474" i="5"/>
  <c r="S474" i="5"/>
  <c r="R478" i="5"/>
  <c r="S478" i="5"/>
  <c r="R482" i="5"/>
  <c r="S482" i="5"/>
  <c r="R486" i="5"/>
  <c r="S486" i="5"/>
  <c r="R490" i="5"/>
  <c r="S490" i="5"/>
  <c r="R494" i="5"/>
  <c r="S494" i="5"/>
  <c r="R498" i="5"/>
  <c r="S498" i="5"/>
  <c r="R502" i="5"/>
  <c r="S502" i="5"/>
  <c r="R167" i="5"/>
  <c r="S167" i="5"/>
  <c r="R135" i="5"/>
  <c r="S135" i="5"/>
  <c r="R151" i="5"/>
  <c r="S151" i="5"/>
  <c r="R170" i="5"/>
  <c r="S170" i="5"/>
  <c r="R178" i="5"/>
  <c r="S178" i="5"/>
  <c r="R182" i="5"/>
  <c r="S182" i="5"/>
  <c r="R187" i="5"/>
  <c r="S187" i="5"/>
  <c r="R195" i="5"/>
  <c r="S195" i="5"/>
  <c r="R203" i="5"/>
  <c r="S203" i="5"/>
  <c r="R219" i="5"/>
  <c r="S219" i="5"/>
  <c r="R227" i="5"/>
  <c r="S227" i="5"/>
  <c r="R275" i="5"/>
  <c r="S275" i="5"/>
  <c r="R291" i="5"/>
  <c r="S291" i="5"/>
  <c r="R307" i="5"/>
  <c r="S307" i="5"/>
  <c r="R315" i="5"/>
  <c r="S315" i="5"/>
  <c r="R323" i="5"/>
  <c r="S323" i="5"/>
  <c r="R331" i="5"/>
  <c r="S331" i="5"/>
  <c r="R339" i="5"/>
  <c r="S339" i="5"/>
  <c r="R124" i="5"/>
  <c r="S124" i="5"/>
  <c r="R128" i="5"/>
  <c r="S128" i="5"/>
  <c r="R132" i="5"/>
  <c r="S132" i="5"/>
  <c r="R136" i="5"/>
  <c r="S136" i="5"/>
  <c r="R140" i="5"/>
  <c r="S140" i="5"/>
  <c r="R144" i="5"/>
  <c r="S144" i="5"/>
  <c r="R148" i="5"/>
  <c r="S148" i="5"/>
  <c r="R11" i="5"/>
  <c r="S11" i="5"/>
  <c r="R200" i="5"/>
  <c r="S200" i="5"/>
  <c r="R212" i="5"/>
  <c r="S212" i="5"/>
  <c r="R232" i="5"/>
  <c r="S232" i="5"/>
  <c r="R243" i="5"/>
  <c r="S243" i="5"/>
  <c r="R259" i="5"/>
  <c r="S259" i="5"/>
  <c r="R268" i="5"/>
  <c r="S268" i="5"/>
  <c r="R272" i="5"/>
  <c r="S272" i="5"/>
  <c r="R276" i="5"/>
  <c r="S276" i="5"/>
  <c r="R280" i="5"/>
  <c r="S280" i="5"/>
  <c r="R284" i="5"/>
  <c r="S284" i="5"/>
  <c r="R288" i="5"/>
  <c r="S288" i="5"/>
  <c r="R292" i="5"/>
  <c r="S292" i="5"/>
  <c r="R296" i="5"/>
  <c r="S296" i="5"/>
  <c r="R300" i="5"/>
  <c r="S300" i="5"/>
  <c r="R304" i="5"/>
  <c r="S304" i="5"/>
  <c r="R308" i="5"/>
  <c r="S308" i="5"/>
  <c r="R312" i="5"/>
  <c r="S312" i="5"/>
  <c r="R316" i="5"/>
  <c r="S316" i="5"/>
  <c r="R320" i="5"/>
  <c r="S320" i="5"/>
  <c r="R324" i="5"/>
  <c r="S324" i="5"/>
  <c r="R328" i="5"/>
  <c r="S328" i="5"/>
  <c r="R332" i="5"/>
  <c r="S332" i="5"/>
  <c r="R336" i="5"/>
  <c r="S336" i="5"/>
  <c r="R344" i="5"/>
  <c r="S344" i="5"/>
  <c r="R352" i="5"/>
  <c r="S352" i="5"/>
  <c r="R360" i="5"/>
  <c r="S360" i="5"/>
  <c r="R368" i="5"/>
  <c r="S368" i="5"/>
  <c r="R197" i="5"/>
  <c r="S197" i="5"/>
  <c r="R201" i="5"/>
  <c r="S201" i="5"/>
  <c r="R205" i="5"/>
  <c r="S205" i="5"/>
  <c r="R209" i="5"/>
  <c r="S209" i="5"/>
  <c r="R213" i="5"/>
  <c r="S213" i="5"/>
  <c r="R217" i="5"/>
  <c r="S217" i="5"/>
  <c r="R221" i="5"/>
  <c r="S221" i="5"/>
  <c r="R225" i="5"/>
  <c r="S225" i="5"/>
  <c r="R229" i="5"/>
  <c r="S229" i="5"/>
  <c r="R233" i="5"/>
  <c r="S233" i="5"/>
  <c r="R237" i="5"/>
  <c r="S237" i="5"/>
  <c r="R244" i="5"/>
  <c r="S244" i="5"/>
  <c r="R256" i="5"/>
  <c r="S256" i="5"/>
  <c r="R260" i="5"/>
  <c r="S260" i="5"/>
  <c r="R385" i="5"/>
  <c r="S385" i="5"/>
  <c r="R401" i="5"/>
  <c r="S401" i="5"/>
  <c r="R417" i="5"/>
  <c r="S417" i="5"/>
  <c r="R433" i="5"/>
  <c r="S433" i="5"/>
  <c r="R437" i="5"/>
  <c r="S437" i="5"/>
  <c r="R441" i="5"/>
  <c r="S441" i="5"/>
  <c r="R445" i="5"/>
  <c r="S445" i="5"/>
  <c r="R449" i="5"/>
  <c r="S449" i="5"/>
  <c r="R453" i="5"/>
  <c r="S453" i="5"/>
  <c r="R457" i="5"/>
  <c r="S457" i="5"/>
  <c r="R461" i="5"/>
  <c r="S461" i="5"/>
  <c r="R465" i="5"/>
  <c r="S465" i="5"/>
  <c r="R469" i="5"/>
  <c r="S469" i="5"/>
  <c r="R473" i="5"/>
  <c r="S473" i="5"/>
  <c r="R477" i="5"/>
  <c r="S477" i="5"/>
  <c r="R481" i="5"/>
  <c r="S481" i="5"/>
  <c r="R485" i="5"/>
  <c r="S485" i="5"/>
  <c r="R489" i="5"/>
  <c r="S489" i="5"/>
  <c r="R493" i="5"/>
  <c r="S493" i="5"/>
  <c r="R497" i="5"/>
  <c r="S497" i="5"/>
  <c r="R501" i="5"/>
  <c r="S501" i="5"/>
  <c r="R505" i="5"/>
  <c r="S505" i="5"/>
  <c r="L80" i="11"/>
  <c r="D80" i="11"/>
  <c r="F80" i="11"/>
  <c r="H80" i="11"/>
  <c r="J80" i="11"/>
  <c r="J79" i="11"/>
  <c r="H79" i="11"/>
  <c r="L79" i="11"/>
  <c r="F79" i="11"/>
  <c r="D79" i="11"/>
  <c r="L11" i="11"/>
  <c r="J11" i="11"/>
  <c r="H11" i="11"/>
  <c r="F11" i="11"/>
  <c r="R240" i="5"/>
  <c r="R147" i="5"/>
  <c r="R181" i="5"/>
  <c r="R303" i="5"/>
  <c r="R271" i="5"/>
  <c r="R220" i="5"/>
  <c r="R287" i="5"/>
  <c r="R319" i="5"/>
  <c r="R335" i="5"/>
  <c r="R255" i="5"/>
  <c r="R311" i="5"/>
  <c r="R327" i="5"/>
  <c r="R127" i="5"/>
  <c r="R348" i="5"/>
  <c r="R364" i="5"/>
  <c r="R508" i="5"/>
  <c r="R130" i="5"/>
  <c r="R139" i="5"/>
  <c r="R186" i="5"/>
  <c r="R208" i="5"/>
  <c r="R381" i="5"/>
  <c r="R397" i="5"/>
  <c r="R413" i="5"/>
  <c r="R429" i="5"/>
  <c r="R341" i="5"/>
  <c r="R356" i="5"/>
  <c r="R372" i="5"/>
  <c r="R174" i="5"/>
  <c r="R236" i="5"/>
  <c r="R251" i="5"/>
  <c r="R267" i="5"/>
  <c r="R194" i="5"/>
  <c r="R216" i="5"/>
  <c r="R248" i="5"/>
  <c r="R264" i="5"/>
  <c r="R125" i="5"/>
  <c r="R131" i="5"/>
  <c r="R143" i="5"/>
  <c r="R191" i="5"/>
  <c r="R204" i="5"/>
  <c r="R177" i="5"/>
  <c r="R211" i="5"/>
  <c r="R228" i="5"/>
  <c r="R283" i="5"/>
  <c r="R299" i="5"/>
  <c r="R377" i="5"/>
  <c r="R393" i="5"/>
  <c r="R409" i="5"/>
  <c r="R425" i="5"/>
  <c r="R436" i="5"/>
  <c r="R440" i="5"/>
  <c r="R444" i="5"/>
  <c r="R448" i="5"/>
  <c r="R452" i="5"/>
  <c r="R456" i="5"/>
  <c r="R460" i="5"/>
  <c r="R464" i="5"/>
  <c r="R468" i="5"/>
  <c r="R472" i="5"/>
  <c r="R476" i="5"/>
  <c r="R480" i="5"/>
  <c r="R484" i="5"/>
  <c r="R488" i="5"/>
  <c r="R492" i="5"/>
  <c r="R496" i="5"/>
  <c r="R500" i="5"/>
  <c r="R504" i="5"/>
  <c r="R224" i="5"/>
  <c r="R247" i="5"/>
  <c r="R263" i="5"/>
  <c r="R279" i="5"/>
  <c r="R295" i="5"/>
  <c r="R306" i="5"/>
  <c r="R310" i="5"/>
  <c r="R314" i="5"/>
  <c r="R318" i="5"/>
  <c r="R322" i="5"/>
  <c r="R326" i="5"/>
  <c r="R330" i="5"/>
  <c r="R334" i="5"/>
  <c r="R338" i="5"/>
  <c r="R342" i="5"/>
  <c r="R343" i="5"/>
  <c r="R345" i="5"/>
  <c r="R349" i="5"/>
  <c r="R351" i="5"/>
  <c r="R353" i="5"/>
  <c r="R357" i="5"/>
  <c r="R359" i="5"/>
  <c r="R361" i="5"/>
  <c r="R365" i="5"/>
  <c r="R367" i="5"/>
  <c r="R369" i="5"/>
  <c r="R373" i="5"/>
  <c r="R389" i="5"/>
  <c r="R405" i="5"/>
  <c r="R421" i="5"/>
  <c r="R509" i="5"/>
  <c r="R179" i="5"/>
  <c r="R192" i="5"/>
  <c r="R241" i="5"/>
  <c r="R246" i="5"/>
  <c r="R305" i="5"/>
  <c r="R317" i="5"/>
  <c r="R329" i="5"/>
  <c r="R388" i="5"/>
  <c r="R138" i="5"/>
  <c r="R207" i="5"/>
  <c r="R223" i="5"/>
  <c r="R242" i="5"/>
  <c r="R253" i="5"/>
  <c r="R285" i="5"/>
  <c r="R301" i="5"/>
  <c r="R171" i="5"/>
  <c r="R175" i="5"/>
  <c r="R188" i="5"/>
  <c r="R273" i="5"/>
  <c r="R289" i="5"/>
  <c r="R309" i="5"/>
  <c r="R321" i="5"/>
  <c r="R333" i="5"/>
  <c r="R404" i="5"/>
  <c r="R420" i="5"/>
  <c r="R134" i="5"/>
  <c r="R142" i="5"/>
  <c r="R199" i="5"/>
  <c r="R231" i="5"/>
  <c r="R238" i="5"/>
  <c r="R168" i="5"/>
  <c r="R172" i="5"/>
  <c r="R176" i="5"/>
  <c r="R180" i="5"/>
  <c r="R185" i="5"/>
  <c r="R189" i="5"/>
  <c r="R193" i="5"/>
  <c r="R234" i="5"/>
  <c r="R239" i="5"/>
  <c r="R249" i="5"/>
  <c r="R254" i="5"/>
  <c r="R265" i="5"/>
  <c r="R281" i="5"/>
  <c r="R297" i="5"/>
  <c r="R183" i="5"/>
  <c r="R196" i="5"/>
  <c r="R257" i="5"/>
  <c r="R313" i="5"/>
  <c r="R325" i="5"/>
  <c r="R337" i="5"/>
  <c r="R146" i="5"/>
  <c r="R150" i="5"/>
  <c r="R215" i="5"/>
  <c r="R269" i="5"/>
  <c r="R126" i="5"/>
  <c r="R129" i="5"/>
  <c r="R133" i="5"/>
  <c r="R137" i="5"/>
  <c r="R141" i="5"/>
  <c r="R145" i="5"/>
  <c r="R149" i="5"/>
  <c r="R202" i="5"/>
  <c r="R210" i="5"/>
  <c r="R218" i="5"/>
  <c r="R226" i="5"/>
  <c r="R235" i="5"/>
  <c r="R245" i="5"/>
  <c r="R250" i="5"/>
  <c r="R261" i="5"/>
  <c r="R277" i="5"/>
  <c r="R293" i="5"/>
  <c r="R384" i="5"/>
  <c r="R400" i="5"/>
  <c r="R416" i="5"/>
  <c r="R432" i="5"/>
  <c r="R258" i="5"/>
  <c r="R262" i="5"/>
  <c r="R266" i="5"/>
  <c r="R270" i="5"/>
  <c r="R274" i="5"/>
  <c r="R278" i="5"/>
  <c r="R282" i="5"/>
  <c r="R286" i="5"/>
  <c r="R290" i="5"/>
  <c r="R294" i="5"/>
  <c r="R298" i="5"/>
  <c r="R302" i="5"/>
  <c r="R380" i="5"/>
  <c r="R396" i="5"/>
  <c r="R412" i="5"/>
  <c r="R428" i="5"/>
  <c r="R198" i="5"/>
  <c r="R206" i="5"/>
  <c r="R214" i="5"/>
  <c r="R222" i="5"/>
  <c r="R230" i="5"/>
  <c r="R376" i="5"/>
  <c r="R392" i="5"/>
  <c r="R408" i="5"/>
  <c r="R424" i="5"/>
  <c r="R340" i="5"/>
  <c r="R347" i="5"/>
  <c r="R355" i="5"/>
  <c r="R363" i="5"/>
  <c r="R371" i="5"/>
  <c r="R507" i="5"/>
  <c r="R375" i="5"/>
  <c r="R379" i="5"/>
  <c r="R383" i="5"/>
  <c r="R387" i="5"/>
  <c r="R391" i="5"/>
  <c r="R395" i="5"/>
  <c r="R399" i="5"/>
  <c r="R403" i="5"/>
  <c r="R407" i="5"/>
  <c r="R411" i="5"/>
  <c r="R415" i="5"/>
  <c r="R419" i="5"/>
  <c r="R423" i="5"/>
  <c r="R427" i="5"/>
  <c r="R431" i="5"/>
  <c r="R435" i="5"/>
  <c r="R439" i="5"/>
  <c r="R443" i="5"/>
  <c r="R447" i="5"/>
  <c r="R451" i="5"/>
  <c r="R455" i="5"/>
  <c r="R459" i="5"/>
  <c r="R463" i="5"/>
  <c r="R467" i="5"/>
  <c r="R471" i="5"/>
  <c r="R475" i="5"/>
  <c r="R479" i="5"/>
  <c r="R483" i="5"/>
  <c r="R487" i="5"/>
  <c r="R491" i="5"/>
  <c r="R495" i="5"/>
  <c r="R499" i="5"/>
  <c r="R503" i="5"/>
  <c r="R506" i="5"/>
  <c r="F120" i="11" l="1"/>
  <c r="F113" i="11"/>
  <c r="J110" i="11"/>
  <c r="L124" i="11"/>
  <c r="D124" i="11"/>
  <c r="J124" i="11"/>
  <c r="H124" i="11"/>
  <c r="F124" i="11"/>
  <c r="H122" i="11"/>
  <c r="L120" i="11"/>
  <c r="F122" i="11"/>
  <c r="J122" i="11"/>
  <c r="D122" i="11"/>
  <c r="L122" i="11"/>
  <c r="H120" i="11"/>
  <c r="J120" i="11"/>
  <c r="D120" i="11"/>
  <c r="L119" i="11"/>
  <c r="D119" i="11"/>
  <c r="J119" i="11"/>
  <c r="H119" i="11"/>
  <c r="F119" i="11"/>
  <c r="D114" i="11"/>
  <c r="L114" i="11"/>
  <c r="F114" i="11"/>
  <c r="H114" i="11"/>
  <c r="J114" i="11"/>
  <c r="D113" i="11"/>
  <c r="L113" i="11"/>
  <c r="H113" i="11"/>
  <c r="J113" i="11"/>
  <c r="H109" i="11"/>
  <c r="L109" i="11"/>
  <c r="J109" i="11"/>
  <c r="D109" i="11"/>
  <c r="F109" i="11"/>
  <c r="L103" i="11"/>
  <c r="D103" i="11"/>
  <c r="J103" i="11"/>
  <c r="H103" i="11"/>
  <c r="F103" i="11"/>
  <c r="N203" i="11" l="1"/>
  <c r="Q31" i="8"/>
  <c r="Q30" i="8"/>
  <c r="R30" i="8" s="1"/>
  <c r="Q29" i="8"/>
  <c r="R29" i="8" s="1"/>
  <c r="Q28" i="8"/>
  <c r="Q27" i="8"/>
  <c r="Q26" i="8"/>
  <c r="R26" i="8" s="1"/>
  <c r="Q25" i="8"/>
  <c r="R25" i="8" l="1"/>
  <c r="R28" i="8"/>
  <c r="R31" i="8"/>
  <c r="R27" i="8"/>
  <c r="Q79" i="7" l="1"/>
  <c r="S79" i="7" s="1"/>
  <c r="Q78" i="7"/>
  <c r="Q77" i="7"/>
  <c r="S77" i="7" s="1"/>
  <c r="Q76" i="7"/>
  <c r="Q75" i="7"/>
  <c r="S75" i="7" s="1"/>
  <c r="Q74" i="7"/>
  <c r="Q73" i="7"/>
  <c r="S73" i="7" s="1"/>
  <c r="Q72" i="7"/>
  <c r="S72" i="7" s="1"/>
  <c r="Q71" i="7"/>
  <c r="S71" i="7" s="1"/>
  <c r="Q70" i="7"/>
  <c r="Q69" i="7"/>
  <c r="S69" i="7" s="1"/>
  <c r="Q68" i="7"/>
  <c r="S68" i="7" s="1"/>
  <c r="Q67" i="7"/>
  <c r="S67" i="7" s="1"/>
  <c r="Q66" i="7"/>
  <c r="Q65" i="7"/>
  <c r="Q64" i="7"/>
  <c r="S64" i="7" s="1"/>
  <c r="Q63" i="7"/>
  <c r="S63" i="7" s="1"/>
  <c r="Q62" i="7"/>
  <c r="Q61" i="7"/>
  <c r="Q60" i="7"/>
  <c r="S60" i="7" s="1"/>
  <c r="Q59" i="7"/>
  <c r="S59" i="7" s="1"/>
  <c r="R61" i="7" l="1"/>
  <c r="S61" i="7"/>
  <c r="R65" i="7"/>
  <c r="S65" i="7"/>
  <c r="R62" i="7"/>
  <c r="S62" i="7"/>
  <c r="R66" i="7"/>
  <c r="S66" i="7"/>
  <c r="R70" i="7"/>
  <c r="S70" i="7"/>
  <c r="R74" i="7"/>
  <c r="S74" i="7"/>
  <c r="R78" i="7"/>
  <c r="S78" i="7"/>
  <c r="R76" i="7"/>
  <c r="S76" i="7"/>
  <c r="H148" i="11"/>
  <c r="R73" i="7"/>
  <c r="R69" i="7"/>
  <c r="R68" i="7"/>
  <c r="R77" i="7"/>
  <c r="L148" i="11"/>
  <c r="R72" i="7"/>
  <c r="R79" i="7"/>
  <c r="R75" i="7"/>
  <c r="R60" i="7"/>
  <c r="R64" i="7"/>
  <c r="R63" i="7"/>
  <c r="R59" i="7"/>
  <c r="R67" i="7"/>
  <c r="R71" i="7"/>
  <c r="J148" i="11" l="1"/>
  <c r="D148" i="11"/>
  <c r="F148" i="11"/>
  <c r="Q58" i="7"/>
  <c r="S58" i="7" s="1"/>
  <c r="Q57" i="7"/>
  <c r="Q56" i="7"/>
  <c r="S56" i="7" s="1"/>
  <c r="Q55" i="7"/>
  <c r="Q54" i="7"/>
  <c r="Q53" i="7"/>
  <c r="Q52" i="7"/>
  <c r="S52" i="7" s="1"/>
  <c r="Q51" i="7"/>
  <c r="Q50" i="7"/>
  <c r="Q49" i="7"/>
  <c r="Q48" i="7"/>
  <c r="S48" i="7" s="1"/>
  <c r="R49" i="7" l="1"/>
  <c r="S49" i="7"/>
  <c r="R53" i="7"/>
  <c r="S53" i="7"/>
  <c r="R57" i="7"/>
  <c r="S57" i="7"/>
  <c r="R50" i="7"/>
  <c r="S50" i="7"/>
  <c r="R54" i="7"/>
  <c r="S54" i="7"/>
  <c r="R51" i="7"/>
  <c r="S51" i="7"/>
  <c r="R55" i="7"/>
  <c r="S55" i="7"/>
  <c r="J147" i="11"/>
  <c r="R58" i="7"/>
  <c r="R48" i="7"/>
  <c r="R52" i="7"/>
  <c r="R56" i="7"/>
  <c r="L147" i="11"/>
  <c r="F147" i="11" l="1"/>
  <c r="Q45" i="7"/>
  <c r="S45" i="7" s="1"/>
  <c r="Q46" i="7"/>
  <c r="Q47" i="7"/>
  <c r="Q40" i="7"/>
  <c r="S40" i="7" s="1"/>
  <c r="Q39" i="7"/>
  <c r="Q38" i="7"/>
  <c r="Q37" i="7"/>
  <c r="S37" i="7" s="1"/>
  <c r="Q36" i="7"/>
  <c r="S36" i="7" s="1"/>
  <c r="Q35" i="7"/>
  <c r="S35" i="7" s="1"/>
  <c r="Q34" i="7"/>
  <c r="Q33" i="7"/>
  <c r="S33" i="7" s="1"/>
  <c r="Q32" i="7"/>
  <c r="Q31" i="7"/>
  <c r="S31" i="7" s="1"/>
  <c r="Q30" i="7"/>
  <c r="Q29" i="7"/>
  <c r="S29" i="7" s="1"/>
  <c r="Q28" i="7"/>
  <c r="S28" i="7" s="1"/>
  <c r="Q27" i="7"/>
  <c r="S27" i="7" s="1"/>
  <c r="Q26" i="7"/>
  <c r="R47" i="7" l="1"/>
  <c r="S47" i="7"/>
  <c r="R30" i="7"/>
  <c r="S30" i="7"/>
  <c r="R34" i="7"/>
  <c r="S34" i="7"/>
  <c r="R38" i="7"/>
  <c r="S38" i="7"/>
  <c r="R46" i="7"/>
  <c r="S46" i="7"/>
  <c r="R39" i="7"/>
  <c r="S39" i="7"/>
  <c r="R32" i="7"/>
  <c r="S32" i="7"/>
  <c r="R44" i="7"/>
  <c r="S44" i="7"/>
  <c r="R26" i="7"/>
  <c r="S26" i="7"/>
  <c r="R45" i="7"/>
  <c r="R37" i="7"/>
  <c r="R33" i="7"/>
  <c r="R29" i="7"/>
  <c r="R28" i="7"/>
  <c r="R27" i="7"/>
  <c r="R31" i="7"/>
  <c r="R35" i="7"/>
  <c r="R36" i="7"/>
  <c r="R40" i="7"/>
  <c r="L145" i="11" l="1"/>
  <c r="D145" i="11"/>
  <c r="J145" i="11"/>
  <c r="H145" i="11"/>
  <c r="F145" i="11"/>
  <c r="Q15" i="7"/>
  <c r="Q16" i="7"/>
  <c r="Q17" i="7"/>
  <c r="S17" i="7" s="1"/>
  <c r="Q18" i="7"/>
  <c r="Q19" i="7"/>
  <c r="Q20" i="7"/>
  <c r="Q21" i="7"/>
  <c r="Q22" i="7"/>
  <c r="Q23" i="7"/>
  <c r="Q24" i="7"/>
  <c r="Q25" i="7"/>
  <c r="Q41" i="7"/>
  <c r="Q42" i="7"/>
  <c r="Q43" i="7"/>
  <c r="Q14" i="7"/>
  <c r="S14" i="7" s="1"/>
  <c r="Q13" i="7"/>
  <c r="Q12" i="7"/>
  <c r="Q11" i="7"/>
  <c r="S11" i="7" s="1"/>
  <c r="D40" i="11"/>
  <c r="F40" i="11"/>
  <c r="H40" i="11"/>
  <c r="J40" i="11"/>
  <c r="L40" i="11"/>
  <c r="D41" i="11"/>
  <c r="F41" i="11"/>
  <c r="H41" i="11"/>
  <c r="J41" i="11"/>
  <c r="L41" i="11"/>
  <c r="B43" i="11"/>
  <c r="D43" i="11"/>
  <c r="F43" i="11"/>
  <c r="H43" i="11"/>
  <c r="J43" i="11"/>
  <c r="L43" i="11"/>
  <c r="J47" i="11"/>
  <c r="D48" i="11"/>
  <c r="F48" i="11"/>
  <c r="H48" i="11"/>
  <c r="J48" i="11"/>
  <c r="L48" i="11"/>
  <c r="D81" i="11"/>
  <c r="F81" i="11"/>
  <c r="H81" i="11"/>
  <c r="J81" i="11"/>
  <c r="L81" i="11"/>
  <c r="D84" i="11"/>
  <c r="F84" i="11"/>
  <c r="H84" i="11"/>
  <c r="J84" i="11"/>
  <c r="L84" i="11"/>
  <c r="D85" i="11"/>
  <c r="F85" i="11"/>
  <c r="H85" i="11"/>
  <c r="J85" i="11"/>
  <c r="L85" i="11"/>
  <c r="D87" i="11"/>
  <c r="F87" i="11"/>
  <c r="H87" i="11"/>
  <c r="J87" i="11"/>
  <c r="L87" i="11"/>
  <c r="D83" i="11"/>
  <c r="F83" i="11"/>
  <c r="H83" i="11"/>
  <c r="J83" i="11"/>
  <c r="L83" i="11"/>
  <c r="D88" i="11"/>
  <c r="F88" i="11"/>
  <c r="H88" i="11"/>
  <c r="J88" i="11"/>
  <c r="L88" i="11"/>
  <c r="D89" i="11"/>
  <c r="H89" i="11"/>
  <c r="J89" i="11"/>
  <c r="L89" i="11"/>
  <c r="D90" i="11"/>
  <c r="H90" i="11"/>
  <c r="J90" i="11"/>
  <c r="L90" i="11"/>
  <c r="D91" i="11"/>
  <c r="H91" i="11"/>
  <c r="J91" i="11"/>
  <c r="L91" i="11"/>
  <c r="F92" i="11"/>
  <c r="H92" i="11"/>
  <c r="J92" i="11"/>
  <c r="L92" i="11"/>
  <c r="D93" i="11"/>
  <c r="F93" i="11"/>
  <c r="H93" i="11"/>
  <c r="J93" i="11"/>
  <c r="L93" i="11"/>
  <c r="D97" i="11"/>
  <c r="F97" i="11"/>
  <c r="H97" i="11"/>
  <c r="J97" i="11"/>
  <c r="L97" i="11"/>
  <c r="D104" i="11"/>
  <c r="F104" i="11"/>
  <c r="H104" i="11"/>
  <c r="J104" i="11"/>
  <c r="L104" i="11"/>
  <c r="D106" i="11"/>
  <c r="F106" i="11"/>
  <c r="H106" i="11"/>
  <c r="J106" i="11"/>
  <c r="L106" i="11"/>
  <c r="D107" i="11"/>
  <c r="F107" i="11"/>
  <c r="H107" i="11"/>
  <c r="J107" i="11"/>
  <c r="L107" i="11"/>
  <c r="D108" i="11"/>
  <c r="F108" i="11"/>
  <c r="H108" i="11"/>
  <c r="J108" i="11"/>
  <c r="L108" i="11"/>
  <c r="D110" i="11"/>
  <c r="F110" i="11"/>
  <c r="H110" i="11"/>
  <c r="L110" i="11"/>
  <c r="D111" i="11"/>
  <c r="F111" i="11"/>
  <c r="H111" i="11"/>
  <c r="J111" i="11"/>
  <c r="L111" i="11"/>
  <c r="D112" i="11"/>
  <c r="F112" i="11"/>
  <c r="H112" i="11"/>
  <c r="J112" i="11"/>
  <c r="L112" i="11"/>
  <c r="D115" i="11"/>
  <c r="F115" i="11"/>
  <c r="H115" i="11"/>
  <c r="J115" i="11"/>
  <c r="L115" i="11"/>
  <c r="D116" i="11"/>
  <c r="F116" i="11"/>
  <c r="H116" i="11"/>
  <c r="J116" i="11"/>
  <c r="L116" i="11"/>
  <c r="D117" i="11"/>
  <c r="F117" i="11"/>
  <c r="H117" i="11"/>
  <c r="J117" i="11"/>
  <c r="L117" i="11"/>
  <c r="D118" i="11"/>
  <c r="F118" i="11"/>
  <c r="H118" i="11"/>
  <c r="J118" i="11"/>
  <c r="L118" i="11"/>
  <c r="D121" i="11"/>
  <c r="F121" i="11"/>
  <c r="H121" i="11"/>
  <c r="J121" i="11"/>
  <c r="L121" i="11"/>
  <c r="D123" i="11"/>
  <c r="F123" i="11"/>
  <c r="H123" i="11"/>
  <c r="J123" i="11"/>
  <c r="L123" i="11"/>
  <c r="D125" i="11"/>
  <c r="F125" i="11"/>
  <c r="H125" i="11"/>
  <c r="J125" i="11"/>
  <c r="L125" i="11"/>
  <c r="D134" i="11"/>
  <c r="F134" i="11"/>
  <c r="H134" i="11"/>
  <c r="J134" i="11"/>
  <c r="L134" i="11"/>
  <c r="D147" i="11"/>
  <c r="H147" i="11"/>
  <c r="D158" i="11"/>
  <c r="F158" i="11"/>
  <c r="H158" i="11"/>
  <c r="J158" i="11"/>
  <c r="L158" i="11"/>
  <c r="D9" i="10"/>
  <c r="D10" i="10"/>
  <c r="D11" i="10"/>
  <c r="D12" i="10"/>
  <c r="D13" i="10"/>
  <c r="D14" i="10"/>
  <c r="D15" i="10"/>
  <c r="D16" i="10"/>
  <c r="D17" i="10"/>
  <c r="C18" i="10"/>
  <c r="E18" i="10"/>
  <c r="D20" i="10"/>
  <c r="D21" i="10"/>
  <c r="D28" i="10"/>
  <c r="C30" i="10"/>
  <c r="E30" i="10"/>
  <c r="B59" i="11"/>
  <c r="B63" i="11"/>
  <c r="B67" i="11"/>
  <c r="B71" i="11"/>
  <c r="C48" i="10"/>
  <c r="E48" i="10"/>
  <c r="D51" i="10"/>
  <c r="B81" i="11" s="1"/>
  <c r="D58" i="10"/>
  <c r="B88" i="11" s="1"/>
  <c r="D59" i="10"/>
  <c r="B89" i="11" s="1"/>
  <c r="D62" i="10"/>
  <c r="B92" i="11" s="1"/>
  <c r="D63" i="10"/>
  <c r="B93" i="11" s="1"/>
  <c r="C68" i="10"/>
  <c r="E68" i="10"/>
  <c r="D70" i="10"/>
  <c r="D72" i="10"/>
  <c r="D73" i="10"/>
  <c r="D76" i="10"/>
  <c r="D77" i="10"/>
  <c r="D78" i="10"/>
  <c r="D81" i="10"/>
  <c r="D83" i="10"/>
  <c r="D87" i="10"/>
  <c r="D89" i="10"/>
  <c r="C92" i="10"/>
  <c r="E92" i="10"/>
  <c r="D95" i="10"/>
  <c r="B135" i="11"/>
  <c r="B137" i="11"/>
  <c r="C99" i="10"/>
  <c r="E99" i="10"/>
  <c r="D101" i="10"/>
  <c r="B145" i="11"/>
  <c r="D103" i="10"/>
  <c r="D104" i="10"/>
  <c r="C106" i="10"/>
  <c r="E106" i="10"/>
  <c r="D107" i="10"/>
  <c r="D109" i="10"/>
  <c r="D110" i="10"/>
  <c r="D111" i="10"/>
  <c r="D112" i="10"/>
  <c r="D113" i="10"/>
  <c r="C117" i="10"/>
  <c r="E117" i="10"/>
  <c r="D119" i="10"/>
  <c r="D120" i="10"/>
  <c r="D123" i="10"/>
  <c r="D124" i="10"/>
  <c r="D127" i="10"/>
  <c r="D128" i="10"/>
  <c r="D129" i="10"/>
  <c r="D130" i="10"/>
  <c r="D132" i="10"/>
  <c r="D134" i="10"/>
  <c r="D135" i="10"/>
  <c r="D139" i="10"/>
  <c r="C141" i="10"/>
  <c r="E141" i="10"/>
  <c r="E142" i="10" s="1"/>
  <c r="Q12" i="9"/>
  <c r="S12" i="9" s="1"/>
  <c r="Q13" i="9"/>
  <c r="S13" i="9" s="1"/>
  <c r="Q14" i="9"/>
  <c r="S14" i="9" s="1"/>
  <c r="Q15" i="9"/>
  <c r="Q16" i="9"/>
  <c r="S16" i="9" s="1"/>
  <c r="Q17" i="9"/>
  <c r="S17" i="9" s="1"/>
  <c r="Q18" i="9"/>
  <c r="S18" i="9" s="1"/>
  <c r="Q19" i="9"/>
  <c r="S19" i="9" s="1"/>
  <c r="Q20" i="9"/>
  <c r="S20" i="9" s="1"/>
  <c r="Q21" i="9"/>
  <c r="S21" i="9" s="1"/>
  <c r="Q22" i="9"/>
  <c r="S22" i="9" s="1"/>
  <c r="Q23" i="9"/>
  <c r="S23" i="9" s="1"/>
  <c r="Q24" i="9"/>
  <c r="S24" i="9" s="1"/>
  <c r="Q25" i="9"/>
  <c r="S25" i="9" s="1"/>
  <c r="Q26" i="9"/>
  <c r="Q27" i="9"/>
  <c r="S27" i="9" s="1"/>
  <c r="Q28" i="9"/>
  <c r="S28" i="9" s="1"/>
  <c r="Q29" i="9"/>
  <c r="Q30" i="9"/>
  <c r="S30" i="9" s="1"/>
  <c r="Q31" i="9"/>
  <c r="S31" i="9" s="1"/>
  <c r="Q32" i="9"/>
  <c r="S32" i="9" s="1"/>
  <c r="Q33" i="9"/>
  <c r="S33" i="9" s="1"/>
  <c r="Q34" i="9"/>
  <c r="S34" i="9" s="1"/>
  <c r="Q35" i="9"/>
  <c r="S35" i="9" s="1"/>
  <c r="Q36" i="9"/>
  <c r="S36" i="9" s="1"/>
  <c r="Q37" i="9"/>
  <c r="S37" i="9" s="1"/>
  <c r="Q38" i="9"/>
  <c r="Q39" i="9"/>
  <c r="S39" i="9" s="1"/>
  <c r="Q40" i="9"/>
  <c r="S40" i="9" s="1"/>
  <c r="Q41" i="9"/>
  <c r="S41" i="9" s="1"/>
  <c r="Q42" i="9"/>
  <c r="S42" i="9" s="1"/>
  <c r="Q43" i="9"/>
  <c r="S43" i="9" s="1"/>
  <c r="Q44" i="9"/>
  <c r="S44" i="9" s="1"/>
  <c r="Q45" i="9"/>
  <c r="S45" i="9" s="1"/>
  <c r="Q46" i="9"/>
  <c r="S46" i="9" s="1"/>
  <c r="Q47" i="9"/>
  <c r="Q48" i="9"/>
  <c r="S48" i="9" s="1"/>
  <c r="Q49" i="9"/>
  <c r="S49" i="9" s="1"/>
  <c r="Q50" i="9"/>
  <c r="S50" i="9" s="1"/>
  <c r="Q51" i="9"/>
  <c r="S51" i="9" s="1"/>
  <c r="Q52" i="9"/>
  <c r="S52" i="9" s="1"/>
  <c r="Q53" i="9"/>
  <c r="Q54" i="9"/>
  <c r="S54" i="9" s="1"/>
  <c r="Q55" i="9"/>
  <c r="Q56" i="9"/>
  <c r="S56" i="9" s="1"/>
  <c r="Q57" i="9"/>
  <c r="Q58" i="9"/>
  <c r="Q59" i="9"/>
  <c r="S59" i="9" s="1"/>
  <c r="Q60" i="9"/>
  <c r="S60" i="9" s="1"/>
  <c r="Q61" i="9"/>
  <c r="Q62" i="9"/>
  <c r="S62" i="9" s="1"/>
  <c r="Q63" i="9"/>
  <c r="Q64" i="9"/>
  <c r="S64" i="9" s="1"/>
  <c r="Q65" i="9"/>
  <c r="Q66" i="9"/>
  <c r="S66" i="9" s="1"/>
  <c r="Q67" i="9"/>
  <c r="S67" i="9" s="1"/>
  <c r="Q68" i="9"/>
  <c r="S68" i="9" s="1"/>
  <c r="Q69" i="9"/>
  <c r="Q70" i="9"/>
  <c r="S70" i="9" s="1"/>
  <c r="Q71" i="9"/>
  <c r="S71" i="9" s="1"/>
  <c r="Q72" i="9"/>
  <c r="S72" i="9" s="1"/>
  <c r="Q73" i="9"/>
  <c r="S73" i="9" s="1"/>
  <c r="Q74" i="9"/>
  <c r="S74" i="9" s="1"/>
  <c r="Q75" i="9"/>
  <c r="S75" i="9" s="1"/>
  <c r="Q76" i="9"/>
  <c r="S76" i="9" s="1"/>
  <c r="Q77" i="9"/>
  <c r="S77" i="9" s="1"/>
  <c r="Q78" i="9"/>
  <c r="Q79" i="9"/>
  <c r="Q80" i="9"/>
  <c r="S80" i="9" s="1"/>
  <c r="Q81" i="9"/>
  <c r="S81" i="9" s="1"/>
  <c r="Q82" i="9"/>
  <c r="S82" i="9" s="1"/>
  <c r="Q83" i="9"/>
  <c r="S83" i="9" s="1"/>
  <c r="Q84" i="9"/>
  <c r="S84" i="9" s="1"/>
  <c r="Q85" i="9"/>
  <c r="Q86" i="9"/>
  <c r="S86" i="9" s="1"/>
  <c r="Q87" i="9"/>
  <c r="S87" i="9" s="1"/>
  <c r="Q88" i="9"/>
  <c r="S88" i="9" s="1"/>
  <c r="Q89" i="9"/>
  <c r="S89" i="9" s="1"/>
  <c r="Q90" i="9"/>
  <c r="Q91" i="9"/>
  <c r="S91" i="9" s="1"/>
  <c r="Q92" i="9"/>
  <c r="S92" i="9" s="1"/>
  <c r="Q93" i="9"/>
  <c r="Q94" i="9"/>
  <c r="S94" i="9" s="1"/>
  <c r="Q95" i="9"/>
  <c r="Q96" i="9"/>
  <c r="S96" i="9" s="1"/>
  <c r="Q97" i="9"/>
  <c r="Q98" i="9"/>
  <c r="S98" i="9" s="1"/>
  <c r="Q99" i="9"/>
  <c r="S99" i="9" s="1"/>
  <c r="Q100" i="9"/>
  <c r="S100" i="9" s="1"/>
  <c r="Q101" i="9"/>
  <c r="S101" i="9" s="1"/>
  <c r="Q102" i="9"/>
  <c r="Q103" i="9"/>
  <c r="S103" i="9" s="1"/>
  <c r="Q104" i="9"/>
  <c r="S104" i="9" s="1"/>
  <c r="Q105" i="9"/>
  <c r="S105" i="9" s="1"/>
  <c r="Q106" i="9"/>
  <c r="S106" i="9" s="1"/>
  <c r="Q107" i="9"/>
  <c r="S107" i="9" s="1"/>
  <c r="Q108" i="9"/>
  <c r="S108" i="9" s="1"/>
  <c r="Q109" i="9"/>
  <c r="S109" i="9" s="1"/>
  <c r="Q110" i="9"/>
  <c r="Q111" i="9"/>
  <c r="Q112" i="9"/>
  <c r="S112" i="9" s="1"/>
  <c r="Q113" i="9"/>
  <c r="S113" i="9" s="1"/>
  <c r="Q114" i="9"/>
  <c r="S114" i="9" s="1"/>
  <c r="Q115" i="9"/>
  <c r="S115" i="9" s="1"/>
  <c r="Q116" i="9"/>
  <c r="S116" i="9" s="1"/>
  <c r="Q117" i="9"/>
  <c r="Q118" i="9"/>
  <c r="S118" i="9" s="1"/>
  <c r="Q119" i="9"/>
  <c r="S119" i="9" s="1"/>
  <c r="Q120" i="9"/>
  <c r="S120" i="9" s="1"/>
  <c r="Q121" i="9"/>
  <c r="S121" i="9" s="1"/>
  <c r="Q122" i="9"/>
  <c r="S122" i="9" s="1"/>
  <c r="Q123" i="9"/>
  <c r="S123" i="9" s="1"/>
  <c r="Q124" i="9"/>
  <c r="S124" i="9" s="1"/>
  <c r="Q125" i="9"/>
  <c r="Q126" i="9"/>
  <c r="Q127" i="9"/>
  <c r="Q128" i="9"/>
  <c r="S128" i="9" s="1"/>
  <c r="Q129" i="9"/>
  <c r="S129" i="9" s="1"/>
  <c r="Q130" i="9"/>
  <c r="Q131" i="9"/>
  <c r="S131" i="9" s="1"/>
  <c r="Q132" i="9"/>
  <c r="S132" i="9" s="1"/>
  <c r="Q133" i="9"/>
  <c r="Q134" i="9"/>
  <c r="Q135" i="9"/>
  <c r="S135" i="9" s="1"/>
  <c r="Q136" i="9"/>
  <c r="S136" i="9" s="1"/>
  <c r="Q137" i="9"/>
  <c r="S137" i="9" s="1"/>
  <c r="Q138" i="9"/>
  <c r="S138" i="9" s="1"/>
  <c r="Q139" i="9"/>
  <c r="S139" i="9" s="1"/>
  <c r="Q140" i="9"/>
  <c r="S140" i="9" s="1"/>
  <c r="Q141" i="9"/>
  <c r="S141" i="9" s="1"/>
  <c r="Q142" i="9"/>
  <c r="S142" i="9" s="1"/>
  <c r="Q143" i="9"/>
  <c r="Q144" i="9"/>
  <c r="S144" i="9" s="1"/>
  <c r="Q145" i="9"/>
  <c r="S145" i="9" s="1"/>
  <c r="Q146" i="9"/>
  <c r="S146" i="9" s="1"/>
  <c r="Q147" i="9"/>
  <c r="S147" i="9" s="1"/>
  <c r="Q148" i="9"/>
  <c r="S148" i="9" s="1"/>
  <c r="Q149" i="9"/>
  <c r="Q150" i="9"/>
  <c r="Q151" i="9"/>
  <c r="S151" i="9" s="1"/>
  <c r="Q152" i="9"/>
  <c r="S152" i="9" s="1"/>
  <c r="Q153" i="9"/>
  <c r="S153" i="9" s="1"/>
  <c r="Q154" i="9"/>
  <c r="S154" i="9" s="1"/>
  <c r="Q155" i="9"/>
  <c r="S155" i="9" s="1"/>
  <c r="Q156" i="9"/>
  <c r="S156" i="9" s="1"/>
  <c r="Q157" i="9"/>
  <c r="Q158" i="9"/>
  <c r="Q159" i="9"/>
  <c r="S159" i="9" s="1"/>
  <c r="Q160" i="9"/>
  <c r="S160" i="9" s="1"/>
  <c r="Q161" i="9"/>
  <c r="S161" i="9" s="1"/>
  <c r="Q162" i="9"/>
  <c r="S162" i="9" s="1"/>
  <c r="Q163" i="9"/>
  <c r="S163" i="9" s="1"/>
  <c r="Q164" i="9"/>
  <c r="S164" i="9" s="1"/>
  <c r="Q165" i="9"/>
  <c r="S165" i="9" s="1"/>
  <c r="Q166" i="9"/>
  <c r="Q167" i="9"/>
  <c r="S167" i="9" s="1"/>
  <c r="Q168" i="9"/>
  <c r="S168" i="9" s="1"/>
  <c r="Q169" i="9"/>
  <c r="S169" i="9" s="1"/>
  <c r="Q170" i="9"/>
  <c r="S170" i="9" s="1"/>
  <c r="Q171" i="9"/>
  <c r="S171" i="9" s="1"/>
  <c r="Q172" i="9"/>
  <c r="S172" i="9" s="1"/>
  <c r="Q173" i="9"/>
  <c r="S173" i="9" s="1"/>
  <c r="Q174" i="9"/>
  <c r="Q175" i="9"/>
  <c r="Q176" i="9"/>
  <c r="S176" i="9" s="1"/>
  <c r="Q177" i="9"/>
  <c r="S177" i="9" s="1"/>
  <c r="Q178" i="9"/>
  <c r="S178" i="9" s="1"/>
  <c r="Q179" i="9"/>
  <c r="S179" i="9" s="1"/>
  <c r="Q180" i="9"/>
  <c r="S180" i="9" s="1"/>
  <c r="Q181" i="9"/>
  <c r="Q182" i="9"/>
  <c r="S182" i="9" s="1"/>
  <c r="Q183" i="9"/>
  <c r="Q184" i="9"/>
  <c r="S184" i="9" s="1"/>
  <c r="Q185" i="9"/>
  <c r="S185" i="9" s="1"/>
  <c r="Q186" i="9"/>
  <c r="S186" i="9" s="1"/>
  <c r="Q187" i="9"/>
  <c r="S187" i="9" s="1"/>
  <c r="Q188" i="9"/>
  <c r="S188" i="9" s="1"/>
  <c r="Q189" i="9"/>
  <c r="Q190" i="9"/>
  <c r="S190" i="9" s="1"/>
  <c r="Q191" i="9"/>
  <c r="Q192" i="9"/>
  <c r="S192" i="9" s="1"/>
  <c r="Q193" i="9"/>
  <c r="Q194" i="9"/>
  <c r="S194" i="9" s="1"/>
  <c r="Q195" i="9"/>
  <c r="S195" i="9" s="1"/>
  <c r="Q196" i="9"/>
  <c r="S196" i="9" s="1"/>
  <c r="Q197" i="9"/>
  <c r="Q198" i="9"/>
  <c r="S198" i="9" s="1"/>
  <c r="Q199" i="9"/>
  <c r="S199" i="9" s="1"/>
  <c r="Q200" i="9"/>
  <c r="S200" i="9" s="1"/>
  <c r="Q201" i="9"/>
  <c r="S201" i="9" s="1"/>
  <c r="Q202" i="9"/>
  <c r="Q203" i="9"/>
  <c r="S203" i="9" s="1"/>
  <c r="Q204" i="9"/>
  <c r="S204" i="9" s="1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95" i="9"/>
  <c r="Q402" i="9"/>
  <c r="Q403" i="9"/>
  <c r="Q404" i="9"/>
  <c r="Q405" i="9"/>
  <c r="Q406" i="9"/>
  <c r="Q407" i="9"/>
  <c r="Q408" i="9"/>
  <c r="Q409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481" i="9"/>
  <c r="Q482" i="9"/>
  <c r="Q483" i="9"/>
  <c r="Q484" i="9"/>
  <c r="Q485" i="9"/>
  <c r="Q486" i="9"/>
  <c r="Q487" i="9"/>
  <c r="Q488" i="9"/>
  <c r="Q489" i="9"/>
  <c r="R489" i="9" s="1"/>
  <c r="Q490" i="9"/>
  <c r="R490" i="9" s="1"/>
  <c r="Q491" i="9"/>
  <c r="R491" i="9" s="1"/>
  <c r="Q492" i="9"/>
  <c r="R492" i="9" s="1"/>
  <c r="Q493" i="9"/>
  <c r="R493" i="9" s="1"/>
  <c r="Q494" i="9"/>
  <c r="R494" i="9" s="1"/>
  <c r="Q495" i="9"/>
  <c r="Q496" i="9"/>
  <c r="Q497" i="9"/>
  <c r="Q498" i="9"/>
  <c r="R498" i="9" s="1"/>
  <c r="Q499" i="9"/>
  <c r="Q500" i="9"/>
  <c r="R500" i="9" s="1"/>
  <c r="Q501" i="9"/>
  <c r="R501" i="9" s="1"/>
  <c r="Q502" i="9"/>
  <c r="R502" i="9" s="1"/>
  <c r="Q503" i="9"/>
  <c r="Q504" i="9"/>
  <c r="R504" i="9" s="1"/>
  <c r="Q505" i="9"/>
  <c r="Q506" i="9"/>
  <c r="R506" i="9" s="1"/>
  <c r="Q507" i="9"/>
  <c r="Q508" i="9"/>
  <c r="R508" i="9" s="1"/>
  <c r="Q509" i="9"/>
  <c r="Q510" i="9"/>
  <c r="R510" i="9" s="1"/>
  <c r="Q511" i="9"/>
  <c r="R511" i="9" s="1"/>
  <c r="Q512" i="9"/>
  <c r="R512" i="9" s="1"/>
  <c r="Q513" i="9"/>
  <c r="R513" i="9" s="1"/>
  <c r="Q514" i="9"/>
  <c r="Q515" i="9"/>
  <c r="R515" i="9" s="1"/>
  <c r="Q516" i="9"/>
  <c r="R516" i="9" s="1"/>
  <c r="Q517" i="9"/>
  <c r="R517" i="9" s="1"/>
  <c r="Q518" i="9"/>
  <c r="R518" i="9" s="1"/>
  <c r="Q519" i="9"/>
  <c r="Q520" i="9"/>
  <c r="R520" i="9" s="1"/>
  <c r="Q521" i="9"/>
  <c r="R521" i="9" s="1"/>
  <c r="Q522" i="9"/>
  <c r="Q523" i="9"/>
  <c r="Q524" i="9"/>
  <c r="Q525" i="9"/>
  <c r="Q526" i="9"/>
  <c r="R526" i="9" s="1"/>
  <c r="Q527" i="9"/>
  <c r="R527" i="9" s="1"/>
  <c r="Q528" i="9"/>
  <c r="R528" i="9" s="1"/>
  <c r="Q529" i="9"/>
  <c r="Q530" i="9"/>
  <c r="Q531" i="9"/>
  <c r="Q532" i="9"/>
  <c r="Q533" i="9"/>
  <c r="Q534" i="9"/>
  <c r="Q535" i="9"/>
  <c r="Q536" i="9"/>
  <c r="Q537" i="9"/>
  <c r="Q538" i="9"/>
  <c r="Q539" i="9"/>
  <c r="Q540" i="9"/>
  <c r="Q541" i="9"/>
  <c r="Q542" i="9"/>
  <c r="Q543" i="9"/>
  <c r="Q544" i="9"/>
  <c r="Q545" i="9"/>
  <c r="Q546" i="9"/>
  <c r="Q547" i="9"/>
  <c r="Q548" i="9"/>
  <c r="Q12" i="8"/>
  <c r="S12" i="8" s="1"/>
  <c r="Q13" i="8"/>
  <c r="R13" i="8" s="1"/>
  <c r="Q14" i="8"/>
  <c r="Q15" i="8"/>
  <c r="Q16" i="8"/>
  <c r="Q17" i="8"/>
  <c r="R17" i="8" s="1"/>
  <c r="Q21" i="8"/>
  <c r="R21" i="8" s="1"/>
  <c r="Q22" i="8"/>
  <c r="Q23" i="8"/>
  <c r="Q24" i="8"/>
  <c r="Q32" i="8"/>
  <c r="Q33" i="8"/>
  <c r="R33" i="8" s="1"/>
  <c r="Q34" i="8"/>
  <c r="Q35" i="8"/>
  <c r="Q36" i="8"/>
  <c r="Q37" i="8"/>
  <c r="R37" i="8" s="1"/>
  <c r="Q38" i="8"/>
  <c r="R38" i="8" s="1"/>
  <c r="Q39" i="8"/>
  <c r="Q40" i="8"/>
  <c r="Q41" i="8"/>
  <c r="Q42" i="8"/>
  <c r="R42" i="8" s="1"/>
  <c r="Q43" i="8"/>
  <c r="Q44" i="8"/>
  <c r="Q45" i="8"/>
  <c r="Q46" i="8"/>
  <c r="Q47" i="8"/>
  <c r="Q48" i="8"/>
  <c r="Q49" i="8"/>
  <c r="R49" i="8" s="1"/>
  <c r="Q50" i="8"/>
  <c r="Q51" i="8"/>
  <c r="Q52" i="8"/>
  <c r="Q53" i="8"/>
  <c r="Q54" i="8"/>
  <c r="R54" i="8" s="1"/>
  <c r="Q55" i="8"/>
  <c r="Q56" i="8"/>
  <c r="Q57" i="8"/>
  <c r="R57" i="8" s="1"/>
  <c r="Q58" i="8"/>
  <c r="Q59" i="8"/>
  <c r="Q60" i="8"/>
  <c r="Q61" i="8"/>
  <c r="Q62" i="8"/>
  <c r="Q63" i="8"/>
  <c r="Q64" i="8"/>
  <c r="Q65" i="8"/>
  <c r="R65" i="8" s="1"/>
  <c r="Q66" i="8"/>
  <c r="Q67" i="8"/>
  <c r="Q68" i="8"/>
  <c r="Q69" i="8"/>
  <c r="Q70" i="8"/>
  <c r="R70" i="8" s="1"/>
  <c r="Q71" i="8"/>
  <c r="Q72" i="8"/>
  <c r="Q73" i="8"/>
  <c r="R73" i="8" s="1"/>
  <c r="Q74" i="8"/>
  <c r="R74" i="8" s="1"/>
  <c r="Q75" i="8"/>
  <c r="Q76" i="8"/>
  <c r="Q77" i="8"/>
  <c r="Q78" i="8"/>
  <c r="R78" i="8" s="1"/>
  <c r="Q79" i="8"/>
  <c r="Q80" i="8"/>
  <c r="Q81" i="8"/>
  <c r="R81" i="8" s="1"/>
  <c r="Q82" i="8"/>
  <c r="Q83" i="8"/>
  <c r="Q84" i="8"/>
  <c r="Q85" i="8"/>
  <c r="R85" i="8" s="1"/>
  <c r="Q86" i="8"/>
  <c r="R86" i="8" s="1"/>
  <c r="Q87" i="8"/>
  <c r="Q88" i="8"/>
  <c r="Q89" i="8"/>
  <c r="Q90" i="8"/>
  <c r="R90" i="8" s="1"/>
  <c r="Q91" i="8"/>
  <c r="Q92" i="8"/>
  <c r="Q93" i="8"/>
  <c r="Q94" i="8"/>
  <c r="R94" i="8" s="1"/>
  <c r="Q95" i="8"/>
  <c r="Q96" i="8"/>
  <c r="Q97" i="8"/>
  <c r="R97" i="8" s="1"/>
  <c r="Q98" i="8"/>
  <c r="Q99" i="8"/>
  <c r="Q100" i="8"/>
  <c r="Q101" i="8"/>
  <c r="Q102" i="8"/>
  <c r="R102" i="8" s="1"/>
  <c r="Q103" i="8"/>
  <c r="Q104" i="8"/>
  <c r="Q105" i="8"/>
  <c r="Q106" i="8"/>
  <c r="Q107" i="8"/>
  <c r="Q108" i="8"/>
  <c r="Q109" i="8"/>
  <c r="Q110" i="8"/>
  <c r="R110" i="8" s="1"/>
  <c r="Q111" i="8"/>
  <c r="Q112" i="8"/>
  <c r="Q113" i="8"/>
  <c r="R113" i="8" s="1"/>
  <c r="Q114" i="8"/>
  <c r="Q115" i="8"/>
  <c r="Q116" i="8"/>
  <c r="Q117" i="8"/>
  <c r="Q118" i="8"/>
  <c r="R118" i="8" s="1"/>
  <c r="Q119" i="8"/>
  <c r="Q120" i="8"/>
  <c r="Q121" i="8"/>
  <c r="R121" i="8" s="1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431" i="2"/>
  <c r="S431" i="2"/>
  <c r="R432" i="2"/>
  <c r="S432" i="2"/>
  <c r="R433" i="2"/>
  <c r="S433" i="2"/>
  <c r="R434" i="2"/>
  <c r="S434" i="2"/>
  <c r="R435" i="2"/>
  <c r="S435" i="2"/>
  <c r="R25" i="7" l="1"/>
  <c r="S25" i="7"/>
  <c r="R21" i="7"/>
  <c r="S21" i="7"/>
  <c r="R13" i="7"/>
  <c r="S13" i="7"/>
  <c r="R41" i="7"/>
  <c r="S41" i="7"/>
  <c r="R22" i="7"/>
  <c r="S22" i="7"/>
  <c r="R18" i="7"/>
  <c r="S18" i="7"/>
  <c r="R43" i="7"/>
  <c r="S43" i="7"/>
  <c r="R24" i="7"/>
  <c r="S24" i="7"/>
  <c r="R20" i="7"/>
  <c r="S20" i="7"/>
  <c r="R16" i="7"/>
  <c r="S16" i="7"/>
  <c r="R12" i="7"/>
  <c r="S12" i="7"/>
  <c r="R42" i="7"/>
  <c r="S42" i="7"/>
  <c r="R23" i="7"/>
  <c r="S23" i="7"/>
  <c r="R19" i="7"/>
  <c r="S19" i="7"/>
  <c r="R15" i="7"/>
  <c r="S15" i="7"/>
  <c r="C142" i="10"/>
  <c r="D98" i="11"/>
  <c r="R547" i="9"/>
  <c r="R543" i="9"/>
  <c r="R539" i="9"/>
  <c r="R531" i="9"/>
  <c r="R503" i="9"/>
  <c r="R495" i="9"/>
  <c r="R459" i="9"/>
  <c r="R427" i="9"/>
  <c r="R379" i="9"/>
  <c r="R371" i="9"/>
  <c r="R364" i="9"/>
  <c r="R352" i="9"/>
  <c r="R344" i="9"/>
  <c r="R332" i="9"/>
  <c r="R320" i="9"/>
  <c r="R312" i="9"/>
  <c r="R308" i="9"/>
  <c r="R300" i="9"/>
  <c r="R296" i="9"/>
  <c r="R288" i="9"/>
  <c r="R284" i="9"/>
  <c r="R276" i="9"/>
  <c r="R268" i="9"/>
  <c r="R264" i="9"/>
  <c r="R252" i="9"/>
  <c r="R248" i="9"/>
  <c r="R244" i="9"/>
  <c r="R235" i="9"/>
  <c r="R231" i="9"/>
  <c r="R223" i="9"/>
  <c r="R219" i="9"/>
  <c r="R215" i="9"/>
  <c r="R207" i="9"/>
  <c r="R191" i="9"/>
  <c r="S191" i="9"/>
  <c r="R183" i="9"/>
  <c r="S183" i="9"/>
  <c r="R175" i="9"/>
  <c r="S175" i="9"/>
  <c r="R143" i="9"/>
  <c r="S143" i="9"/>
  <c r="D175" i="11" s="1"/>
  <c r="R127" i="9"/>
  <c r="S127" i="9"/>
  <c r="R111" i="9"/>
  <c r="S111" i="9"/>
  <c r="R95" i="9"/>
  <c r="S95" i="9"/>
  <c r="R79" i="9"/>
  <c r="S79" i="9"/>
  <c r="R63" i="9"/>
  <c r="S63" i="9"/>
  <c r="R55" i="9"/>
  <c r="S55" i="9"/>
  <c r="R47" i="9"/>
  <c r="S47" i="9"/>
  <c r="R15" i="9"/>
  <c r="S15" i="9"/>
  <c r="R408" i="9"/>
  <c r="R404" i="9"/>
  <c r="R363" i="9"/>
  <c r="R359" i="9"/>
  <c r="R355" i="9"/>
  <c r="R347" i="9"/>
  <c r="R339" i="9"/>
  <c r="R335" i="9"/>
  <c r="R327" i="9"/>
  <c r="R315" i="9"/>
  <c r="R307" i="9"/>
  <c r="R295" i="9"/>
  <c r="R263" i="9"/>
  <c r="R255" i="9"/>
  <c r="R230" i="9"/>
  <c r="R222" i="9"/>
  <c r="R202" i="9"/>
  <c r="S202" i="9"/>
  <c r="R174" i="9"/>
  <c r="S174" i="9"/>
  <c r="R166" i="9"/>
  <c r="S166" i="9"/>
  <c r="R158" i="9"/>
  <c r="S158" i="9"/>
  <c r="R150" i="9"/>
  <c r="S150" i="9"/>
  <c r="R134" i="9"/>
  <c r="S134" i="9"/>
  <c r="R130" i="9"/>
  <c r="S130" i="9"/>
  <c r="R126" i="9"/>
  <c r="S126" i="9"/>
  <c r="R110" i="9"/>
  <c r="S110" i="9"/>
  <c r="R102" i="9"/>
  <c r="S102" i="9"/>
  <c r="R90" i="9"/>
  <c r="S90" i="9"/>
  <c r="R78" i="9"/>
  <c r="S78" i="9"/>
  <c r="R58" i="9"/>
  <c r="S58" i="9"/>
  <c r="R38" i="9"/>
  <c r="S38" i="9"/>
  <c r="R26" i="9"/>
  <c r="S26" i="9"/>
  <c r="R525" i="9"/>
  <c r="R481" i="9"/>
  <c r="R477" i="9"/>
  <c r="R473" i="9"/>
  <c r="R469" i="9"/>
  <c r="R461" i="9"/>
  <c r="R457" i="9"/>
  <c r="R449" i="9"/>
  <c r="R445" i="9"/>
  <c r="R441" i="9"/>
  <c r="R437" i="9"/>
  <c r="R429" i="9"/>
  <c r="R425" i="9"/>
  <c r="R407" i="9"/>
  <c r="R403" i="9"/>
  <c r="R381" i="9"/>
  <c r="R373" i="9"/>
  <c r="R213" i="9"/>
  <c r="R197" i="9"/>
  <c r="S197" i="9"/>
  <c r="R193" i="9"/>
  <c r="S193" i="9"/>
  <c r="R189" i="9"/>
  <c r="S189" i="9"/>
  <c r="R181" i="9"/>
  <c r="S181" i="9"/>
  <c r="R157" i="9"/>
  <c r="S157" i="9"/>
  <c r="R149" i="9"/>
  <c r="S149" i="9"/>
  <c r="R133" i="9"/>
  <c r="S133" i="9"/>
  <c r="R125" i="9"/>
  <c r="S125" i="9"/>
  <c r="R117" i="9"/>
  <c r="S117" i="9"/>
  <c r="R97" i="9"/>
  <c r="S97" i="9"/>
  <c r="R93" i="9"/>
  <c r="S93" i="9"/>
  <c r="R85" i="9"/>
  <c r="S85" i="9"/>
  <c r="R69" i="9"/>
  <c r="S69" i="9"/>
  <c r="R65" i="9"/>
  <c r="S65" i="9"/>
  <c r="J172" i="11" s="1"/>
  <c r="R61" i="9"/>
  <c r="S61" i="9"/>
  <c r="R57" i="9"/>
  <c r="S57" i="9"/>
  <c r="R53" i="9"/>
  <c r="S53" i="9"/>
  <c r="R29" i="9"/>
  <c r="S29" i="9"/>
  <c r="R548" i="9"/>
  <c r="R544" i="9"/>
  <c r="R532" i="9"/>
  <c r="R488" i="9"/>
  <c r="R484" i="9"/>
  <c r="R476" i="9"/>
  <c r="R464" i="9"/>
  <c r="R456" i="9"/>
  <c r="R452" i="9"/>
  <c r="R444" i="9"/>
  <c r="R432" i="9"/>
  <c r="R424" i="9"/>
  <c r="R384" i="9"/>
  <c r="R376" i="9"/>
  <c r="R368" i="9"/>
  <c r="R365" i="9"/>
  <c r="R357" i="9"/>
  <c r="R341" i="9"/>
  <c r="R333" i="9"/>
  <c r="R325" i="9"/>
  <c r="R317" i="9"/>
  <c r="R309" i="9"/>
  <c r="R301" i="9"/>
  <c r="R293" i="9"/>
  <c r="R285" i="9"/>
  <c r="R269" i="9"/>
  <c r="R261" i="9"/>
  <c r="R253" i="9"/>
  <c r="R236" i="9"/>
  <c r="R228" i="9"/>
  <c r="R220" i="9"/>
  <c r="E67" i="11"/>
  <c r="G67" i="11"/>
  <c r="M67" i="11"/>
  <c r="I67" i="11"/>
  <c r="N67" i="11"/>
  <c r="O67" i="11" s="1"/>
  <c r="K67" i="11"/>
  <c r="J98" i="11"/>
  <c r="E63" i="11"/>
  <c r="N63" i="11"/>
  <c r="O63" i="11" s="1"/>
  <c r="M63" i="11"/>
  <c r="G63" i="11"/>
  <c r="K63" i="11"/>
  <c r="I63" i="11"/>
  <c r="H98" i="11"/>
  <c r="N145" i="11"/>
  <c r="O145" i="11" s="1"/>
  <c r="F98" i="11"/>
  <c r="L98" i="11"/>
  <c r="L126" i="11"/>
  <c r="J126" i="11"/>
  <c r="H126" i="11"/>
  <c r="F126" i="11"/>
  <c r="K59" i="11"/>
  <c r="N59" i="11"/>
  <c r="O59" i="11" s="1"/>
  <c r="M59" i="11"/>
  <c r="I59" i="11"/>
  <c r="G59" i="11"/>
  <c r="E59" i="11"/>
  <c r="E71" i="11"/>
  <c r="K71" i="11"/>
  <c r="G71" i="11"/>
  <c r="N71" i="11"/>
  <c r="O71" i="11" s="1"/>
  <c r="I71" i="11"/>
  <c r="M71" i="11"/>
  <c r="N43" i="11"/>
  <c r="R172" i="9"/>
  <c r="R287" i="9"/>
  <c r="R280" i="9"/>
  <c r="R217" i="9"/>
  <c r="R148" i="9"/>
  <c r="R137" i="9"/>
  <c r="R89" i="9"/>
  <c r="R86" i="9"/>
  <c r="R505" i="9"/>
  <c r="R50" i="9"/>
  <c r="R44" i="9"/>
  <c r="R106" i="8"/>
  <c r="R53" i="8"/>
  <c r="R50" i="8"/>
  <c r="R519" i="9"/>
  <c r="R475" i="9"/>
  <c r="R468" i="9"/>
  <c r="R316" i="9"/>
  <c r="R170" i="9"/>
  <c r="R241" i="9"/>
  <c r="R198" i="9"/>
  <c r="R146" i="9"/>
  <c r="R108" i="9"/>
  <c r="R105" i="9"/>
  <c r="R74" i="9"/>
  <c r="R22" i="9"/>
  <c r="R108" i="8"/>
  <c r="R23" i="8"/>
  <c r="R84" i="8"/>
  <c r="R77" i="8"/>
  <c r="R32" i="8"/>
  <c r="R524" i="9"/>
  <c r="R507" i="9"/>
  <c r="R486" i="9"/>
  <c r="R360" i="9"/>
  <c r="R256" i="9"/>
  <c r="R250" i="9"/>
  <c r="R201" i="9"/>
  <c r="R196" i="9"/>
  <c r="R190" i="9"/>
  <c r="R153" i="9"/>
  <c r="R76" i="9"/>
  <c r="R14" i="9"/>
  <c r="R100" i="8"/>
  <c r="R93" i="8"/>
  <c r="R68" i="8"/>
  <c r="R48" i="8"/>
  <c r="R41" i="8"/>
  <c r="R117" i="8"/>
  <c r="R114" i="8"/>
  <c r="R101" i="8"/>
  <c r="R89" i="8"/>
  <c r="R66" i="8"/>
  <c r="R46" i="8"/>
  <c r="R36" i="8"/>
  <c r="R16" i="8"/>
  <c r="R463" i="9"/>
  <c r="R439" i="9"/>
  <c r="R372" i="9"/>
  <c r="R348" i="9"/>
  <c r="R306" i="9"/>
  <c r="R304" i="9"/>
  <c r="R274" i="9"/>
  <c r="R239" i="9"/>
  <c r="R164" i="9"/>
  <c r="R162" i="9"/>
  <c r="R118" i="9"/>
  <c r="R116" i="9"/>
  <c r="R114" i="9"/>
  <c r="R84" i="9"/>
  <c r="R42" i="9"/>
  <c r="R20" i="9"/>
  <c r="D48" i="10"/>
  <c r="R112" i="8"/>
  <c r="R105" i="8"/>
  <c r="R69" i="8"/>
  <c r="R64" i="8"/>
  <c r="R61" i="8"/>
  <c r="R58" i="8"/>
  <c r="R22" i="8"/>
  <c r="R483" i="9"/>
  <c r="R480" i="9"/>
  <c r="R454" i="9"/>
  <c r="R451" i="9"/>
  <c r="R434" i="9"/>
  <c r="R380" i="9"/>
  <c r="R298" i="9"/>
  <c r="R290" i="9"/>
  <c r="R272" i="9"/>
  <c r="R258" i="9"/>
  <c r="R210" i="9"/>
  <c r="R204" i="9"/>
  <c r="R142" i="9"/>
  <c r="R121" i="9"/>
  <c r="R30" i="9"/>
  <c r="R18" i="9"/>
  <c r="R534" i="9"/>
  <c r="R514" i="9"/>
  <c r="R422" i="9"/>
  <c r="R409" i="9"/>
  <c r="R370" i="9"/>
  <c r="R282" i="9"/>
  <c r="R233" i="9"/>
  <c r="R225" i="9"/>
  <c r="R185" i="9"/>
  <c r="R169" i="9"/>
  <c r="R132" i="9"/>
  <c r="R70" i="9"/>
  <c r="R96" i="8"/>
  <c r="R92" i="8"/>
  <c r="R82" i="8"/>
  <c r="R62" i="8"/>
  <c r="R60" i="8"/>
  <c r="R44" i="8"/>
  <c r="R12" i="8"/>
  <c r="R542" i="9"/>
  <c r="R471" i="9"/>
  <c r="R466" i="9"/>
  <c r="R458" i="9"/>
  <c r="R446" i="9"/>
  <c r="R266" i="9"/>
  <c r="R34" i="9"/>
  <c r="R116" i="8"/>
  <c r="R109" i="8"/>
  <c r="R98" i="8"/>
  <c r="R80" i="8"/>
  <c r="R76" i="8"/>
  <c r="R52" i="8"/>
  <c r="R45" i="8"/>
  <c r="R34" i="8"/>
  <c r="R338" i="9"/>
  <c r="R546" i="9"/>
  <c r="R340" i="9"/>
  <c r="R260" i="9"/>
  <c r="R73" i="9"/>
  <c r="R31" i="9"/>
  <c r="R440" i="9"/>
  <c r="R435" i="9"/>
  <c r="R423" i="9"/>
  <c r="R356" i="9"/>
  <c r="R323" i="9"/>
  <c r="R194" i="9"/>
  <c r="R122" i="9"/>
  <c r="R482" i="9"/>
  <c r="R470" i="9"/>
  <c r="R465" i="9"/>
  <c r="R460" i="9"/>
  <c r="R349" i="9"/>
  <c r="R328" i="9"/>
  <c r="R292" i="9"/>
  <c r="R227" i="9"/>
  <c r="R206" i="9"/>
  <c r="R180" i="9"/>
  <c r="R161" i="9"/>
  <c r="R138" i="9"/>
  <c r="R98" i="9"/>
  <c r="R536" i="9"/>
  <c r="R472" i="9"/>
  <c r="R467" i="9"/>
  <c r="R455" i="9"/>
  <c r="R448" i="9"/>
  <c r="R436" i="9"/>
  <c r="R431" i="9"/>
  <c r="R426" i="9"/>
  <c r="R395" i="9"/>
  <c r="R343" i="9"/>
  <c r="R331" i="9"/>
  <c r="R277" i="9"/>
  <c r="R245" i="9"/>
  <c r="R182" i="9"/>
  <c r="R165" i="9"/>
  <c r="R154" i="9"/>
  <c r="R151" i="9"/>
  <c r="R140" i="9"/>
  <c r="R101" i="9"/>
  <c r="R62" i="9"/>
  <c r="R46" i="9"/>
  <c r="R41" i="9"/>
  <c r="R36" i="9"/>
  <c r="R21" i="9"/>
  <c r="R535" i="9"/>
  <c r="R487" i="9"/>
  <c r="R367" i="9"/>
  <c r="R303" i="9"/>
  <c r="R271" i="9"/>
  <c r="R238" i="9"/>
  <c r="R119" i="9"/>
  <c r="R94" i="9"/>
  <c r="R12" i="9"/>
  <c r="R453" i="9"/>
  <c r="R406" i="9"/>
  <c r="R540" i="9"/>
  <c r="R538" i="9"/>
  <c r="R509" i="9"/>
  <c r="R497" i="9"/>
  <c r="R485" i="9"/>
  <c r="R478" i="9"/>
  <c r="R450" i="9"/>
  <c r="R443" i="9"/>
  <c r="R438" i="9"/>
  <c r="R433" i="9"/>
  <c r="R428" i="9"/>
  <c r="R421" i="9"/>
  <c r="R375" i="9"/>
  <c r="R324" i="9"/>
  <c r="R311" i="9"/>
  <c r="R279" i="9"/>
  <c r="R247" i="9"/>
  <c r="R186" i="9"/>
  <c r="R129" i="9"/>
  <c r="R106" i="9"/>
  <c r="R100" i="9"/>
  <c r="R87" i="9"/>
  <c r="R82" i="9"/>
  <c r="R68" i="9"/>
  <c r="R25" i="9"/>
  <c r="R529" i="9"/>
  <c r="R523" i="9"/>
  <c r="R499" i="9"/>
  <c r="R479" i="9"/>
  <c r="R474" i="9"/>
  <c r="R462" i="9"/>
  <c r="R447" i="9"/>
  <c r="R442" i="9"/>
  <c r="R430" i="9"/>
  <c r="R386" i="9"/>
  <c r="R346" i="9"/>
  <c r="R336" i="9"/>
  <c r="R322" i="9"/>
  <c r="R214" i="9"/>
  <c r="R212" i="9"/>
  <c r="R178" i="9"/>
  <c r="R159" i="9"/>
  <c r="R66" i="9"/>
  <c r="R54" i="9"/>
  <c r="R52" i="9"/>
  <c r="R33" i="9"/>
  <c r="R378" i="9"/>
  <c r="R354" i="9"/>
  <c r="R314" i="9"/>
  <c r="R37" i="9"/>
  <c r="R23" i="9"/>
  <c r="L163" i="11"/>
  <c r="R120" i="8"/>
  <c r="R104" i="8"/>
  <c r="R88" i="8"/>
  <c r="R72" i="8"/>
  <c r="R56" i="8"/>
  <c r="R40" i="8"/>
  <c r="R15" i="8"/>
  <c r="D18" i="10"/>
  <c r="D33" i="11"/>
  <c r="H33" i="11"/>
  <c r="L33" i="11"/>
  <c r="F33" i="11"/>
  <c r="J33" i="11"/>
  <c r="F31" i="11"/>
  <c r="L31" i="11"/>
  <c r="H31" i="11"/>
  <c r="D31" i="11"/>
  <c r="J31" i="11"/>
  <c r="J137" i="11"/>
  <c r="K137" i="11" s="1"/>
  <c r="D137" i="11"/>
  <c r="E137" i="11" s="1"/>
  <c r="L137" i="11"/>
  <c r="M137" i="11" s="1"/>
  <c r="F137" i="11"/>
  <c r="G137" i="11" s="1"/>
  <c r="H137" i="11"/>
  <c r="I137" i="11" s="1"/>
  <c r="J133" i="11"/>
  <c r="K133" i="11" s="1"/>
  <c r="D133" i="11"/>
  <c r="L133" i="11"/>
  <c r="F133" i="11"/>
  <c r="G133" i="11" s="1"/>
  <c r="H133" i="11"/>
  <c r="I133" i="11" s="1"/>
  <c r="H132" i="11"/>
  <c r="J132" i="11"/>
  <c r="D132" i="11"/>
  <c r="F132" i="11"/>
  <c r="R119" i="8"/>
  <c r="R115" i="8"/>
  <c r="R111" i="8"/>
  <c r="R107" i="8"/>
  <c r="R103" i="8"/>
  <c r="R99" i="8"/>
  <c r="R95" i="8"/>
  <c r="R91" i="8"/>
  <c r="R87" i="8"/>
  <c r="R83" i="8"/>
  <c r="R79" i="8"/>
  <c r="R75" i="8"/>
  <c r="R71" i="8"/>
  <c r="R67" i="8"/>
  <c r="R63" i="8"/>
  <c r="R59" i="8"/>
  <c r="R55" i="8"/>
  <c r="R51" i="8"/>
  <c r="R47" i="8"/>
  <c r="R43" i="8"/>
  <c r="R39" i="8"/>
  <c r="R35" i="8"/>
  <c r="R24" i="8"/>
  <c r="R14" i="8"/>
  <c r="R545" i="9"/>
  <c r="R541" i="9"/>
  <c r="R537" i="9"/>
  <c r="R533" i="9"/>
  <c r="R530" i="9"/>
  <c r="R522" i="9"/>
  <c r="R496" i="9"/>
  <c r="R405" i="9"/>
  <c r="R402" i="9"/>
  <c r="R383" i="9"/>
  <c r="R377" i="9"/>
  <c r="R366" i="9"/>
  <c r="R362" i="9"/>
  <c r="R351" i="9"/>
  <c r="R345" i="9"/>
  <c r="R334" i="9"/>
  <c r="R330" i="9"/>
  <c r="R319" i="9"/>
  <c r="R313" i="9"/>
  <c r="R302" i="9"/>
  <c r="R294" i="9"/>
  <c r="R286" i="9"/>
  <c r="R278" i="9"/>
  <c r="R270" i="9"/>
  <c r="R262" i="9"/>
  <c r="R254" i="9"/>
  <c r="R246" i="9"/>
  <c r="R237" i="9"/>
  <c r="R229" i="9"/>
  <c r="R221" i="9"/>
  <c r="R208" i="9"/>
  <c r="R199" i="9"/>
  <c r="R195" i="9"/>
  <c r="R187" i="9"/>
  <c r="R173" i="9"/>
  <c r="R144" i="9"/>
  <c r="R135" i="9"/>
  <c r="R131" i="9"/>
  <c r="R123" i="9"/>
  <c r="R109" i="9"/>
  <c r="R80" i="9"/>
  <c r="R71" i="9"/>
  <c r="R67" i="9"/>
  <c r="R59" i="9"/>
  <c r="R45" i="9"/>
  <c r="R16" i="9"/>
  <c r="H28" i="11"/>
  <c r="J28" i="11"/>
  <c r="F28" i="11"/>
  <c r="L28" i="11"/>
  <c r="L26" i="11"/>
  <c r="F26" i="11"/>
  <c r="H26" i="11"/>
  <c r="J26" i="11"/>
  <c r="D8" i="11"/>
  <c r="H8" i="11"/>
  <c r="L8" i="11"/>
  <c r="F8" i="11"/>
  <c r="J8" i="11"/>
  <c r="H24" i="11"/>
  <c r="L24" i="11"/>
  <c r="F24" i="11"/>
  <c r="J24" i="11"/>
  <c r="J49" i="11"/>
  <c r="D49" i="11"/>
  <c r="L49" i="11"/>
  <c r="L50" i="11" s="1"/>
  <c r="F49" i="11"/>
  <c r="H49" i="11"/>
  <c r="F157" i="11"/>
  <c r="H157" i="11"/>
  <c r="J157" i="11"/>
  <c r="D157" i="11"/>
  <c r="L157" i="11"/>
  <c r="R369" i="9"/>
  <c r="R358" i="9"/>
  <c r="R337" i="9"/>
  <c r="R326" i="9"/>
  <c r="R305" i="9"/>
  <c r="R297" i="9"/>
  <c r="R289" i="9"/>
  <c r="R281" i="9"/>
  <c r="R273" i="9"/>
  <c r="R265" i="9"/>
  <c r="R257" i="9"/>
  <c r="R249" i="9"/>
  <c r="R240" i="9"/>
  <c r="R232" i="9"/>
  <c r="R224" i="9"/>
  <c r="R216" i="9"/>
  <c r="R177" i="9"/>
  <c r="R156" i="9"/>
  <c r="R152" i="9"/>
  <c r="R113" i="9"/>
  <c r="R92" i="9"/>
  <c r="R88" i="9"/>
  <c r="R49" i="9"/>
  <c r="R28" i="9"/>
  <c r="R24" i="9"/>
  <c r="J29" i="11"/>
  <c r="F29" i="11"/>
  <c r="L29" i="11"/>
  <c r="H29" i="11"/>
  <c r="H32" i="11"/>
  <c r="D32" i="11"/>
  <c r="J32" i="11"/>
  <c r="F32" i="11"/>
  <c r="L32" i="11"/>
  <c r="F30" i="11"/>
  <c r="L30" i="11"/>
  <c r="H30" i="11"/>
  <c r="D30" i="11"/>
  <c r="J30" i="11"/>
  <c r="L27" i="11"/>
  <c r="F27" i="11"/>
  <c r="H27" i="11"/>
  <c r="J27" i="11"/>
  <c r="G135" i="11"/>
  <c r="I135" i="11"/>
  <c r="K135" i="11"/>
  <c r="M135" i="11"/>
  <c r="R382" i="9"/>
  <c r="R361" i="9"/>
  <c r="R350" i="9"/>
  <c r="R329" i="9"/>
  <c r="R318" i="9"/>
  <c r="R299" i="9"/>
  <c r="R291" i="9"/>
  <c r="R283" i="9"/>
  <c r="R275" i="9"/>
  <c r="R267" i="9"/>
  <c r="R259" i="9"/>
  <c r="R251" i="9"/>
  <c r="R243" i="9"/>
  <c r="R234" i="9"/>
  <c r="R226" i="9"/>
  <c r="R218" i="9"/>
  <c r="R205" i="9"/>
  <c r="R176" i="9"/>
  <c r="R167" i="9"/>
  <c r="R163" i="9"/>
  <c r="R155" i="9"/>
  <c r="R141" i="9"/>
  <c r="R112" i="9"/>
  <c r="R103" i="9"/>
  <c r="R99" i="9"/>
  <c r="R91" i="9"/>
  <c r="R77" i="9"/>
  <c r="R48" i="9"/>
  <c r="R39" i="9"/>
  <c r="R35" i="9"/>
  <c r="R27" i="9"/>
  <c r="R13" i="9"/>
  <c r="F25" i="11"/>
  <c r="J25" i="11"/>
  <c r="L25" i="11"/>
  <c r="H25" i="11"/>
  <c r="R385" i="9"/>
  <c r="R374" i="9"/>
  <c r="R353" i="9"/>
  <c r="R342" i="9"/>
  <c r="R321" i="9"/>
  <c r="R310" i="9"/>
  <c r="R209" i="9"/>
  <c r="R188" i="9"/>
  <c r="R184" i="9"/>
  <c r="R145" i="9"/>
  <c r="R124" i="9"/>
  <c r="R120" i="9"/>
  <c r="R81" i="9"/>
  <c r="R60" i="9"/>
  <c r="R56" i="9"/>
  <c r="R17" i="9"/>
  <c r="R203" i="9"/>
  <c r="R192" i="9"/>
  <c r="R171" i="9"/>
  <c r="R160" i="9"/>
  <c r="R139" i="9"/>
  <c r="R128" i="9"/>
  <c r="R107" i="9"/>
  <c r="R96" i="9"/>
  <c r="R75" i="9"/>
  <c r="R64" i="9"/>
  <c r="R43" i="9"/>
  <c r="R32" i="9"/>
  <c r="R211" i="9"/>
  <c r="R200" i="9"/>
  <c r="R179" i="9"/>
  <c r="R168" i="9"/>
  <c r="R147" i="9"/>
  <c r="R136" i="9"/>
  <c r="R115" i="9"/>
  <c r="R104" i="9"/>
  <c r="R83" i="9"/>
  <c r="R72" i="9"/>
  <c r="R51" i="9"/>
  <c r="R40" i="9"/>
  <c r="R19" i="9"/>
  <c r="G82" i="11"/>
  <c r="B48" i="11"/>
  <c r="B44" i="11"/>
  <c r="E44" i="11" s="1"/>
  <c r="B39" i="11"/>
  <c r="B33" i="11"/>
  <c r="B29" i="11"/>
  <c r="B25" i="11"/>
  <c r="B163" i="11"/>
  <c r="B159" i="11"/>
  <c r="B155" i="11"/>
  <c r="D117" i="10"/>
  <c r="B206" i="11" s="1"/>
  <c r="G81" i="11"/>
  <c r="D30" i="10"/>
  <c r="B200" i="11" s="1"/>
  <c r="B47" i="11"/>
  <c r="I47" i="11" s="1"/>
  <c r="B42" i="11"/>
  <c r="B32" i="11"/>
  <c r="B28" i="11"/>
  <c r="B24" i="11"/>
  <c r="B162" i="11"/>
  <c r="B158" i="11"/>
  <c r="B156" i="11"/>
  <c r="B80" i="11"/>
  <c r="B46" i="11"/>
  <c r="N46" i="11" s="1"/>
  <c r="B41" i="11"/>
  <c r="B31" i="11"/>
  <c r="B27" i="11"/>
  <c r="B161" i="11"/>
  <c r="B157" i="11"/>
  <c r="D68" i="10"/>
  <c r="B202" i="11" s="1"/>
  <c r="B79" i="11"/>
  <c r="K79" i="11" s="1"/>
  <c r="B49" i="11"/>
  <c r="B45" i="11"/>
  <c r="B40" i="11"/>
  <c r="B30" i="11"/>
  <c r="B26" i="11"/>
  <c r="B164" i="11"/>
  <c r="B160" i="11"/>
  <c r="G89" i="11"/>
  <c r="R17" i="7"/>
  <c r="R11" i="7"/>
  <c r="B122" i="11"/>
  <c r="B118" i="11"/>
  <c r="B114" i="11"/>
  <c r="N114" i="11" s="1"/>
  <c r="B110" i="11"/>
  <c r="B106" i="11"/>
  <c r="B193" i="11"/>
  <c r="B189" i="11"/>
  <c r="B185" i="11"/>
  <c r="B181" i="11"/>
  <c r="B177" i="11"/>
  <c r="B173" i="11"/>
  <c r="D141" i="10"/>
  <c r="B207" i="11" s="1"/>
  <c r="B125" i="11"/>
  <c r="N125" i="11" s="1"/>
  <c r="B121" i="11"/>
  <c r="B117" i="11"/>
  <c r="B113" i="11"/>
  <c r="N113" i="11" s="1"/>
  <c r="B109" i="11"/>
  <c r="N109" i="11" s="1"/>
  <c r="B105" i="11"/>
  <c r="B192" i="11"/>
  <c r="B188" i="11"/>
  <c r="B184" i="11"/>
  <c r="B180" i="11"/>
  <c r="B176" i="11"/>
  <c r="B172" i="11"/>
  <c r="D126" i="11"/>
  <c r="B120" i="11"/>
  <c r="B116" i="11"/>
  <c r="N116" i="11" s="1"/>
  <c r="B112" i="11"/>
  <c r="B108" i="11"/>
  <c r="B104" i="11"/>
  <c r="B191" i="11"/>
  <c r="B187" i="11"/>
  <c r="B183" i="11"/>
  <c r="B179" i="11"/>
  <c r="B175" i="11"/>
  <c r="B124" i="11"/>
  <c r="N124" i="11" s="1"/>
  <c r="D92" i="10"/>
  <c r="B203" i="11" s="1"/>
  <c r="B123" i="11"/>
  <c r="B119" i="11"/>
  <c r="N119" i="11" s="1"/>
  <c r="B115" i="11"/>
  <c r="B111" i="11"/>
  <c r="B107" i="11"/>
  <c r="B103" i="11"/>
  <c r="I103" i="11" s="1"/>
  <c r="B190" i="11"/>
  <c r="B186" i="11"/>
  <c r="B182" i="11"/>
  <c r="B178" i="11"/>
  <c r="B174" i="11"/>
  <c r="B147" i="11"/>
  <c r="M145" i="11"/>
  <c r="E145" i="11"/>
  <c r="B143" i="11"/>
  <c r="D106" i="10"/>
  <c r="B205" i="11" s="1"/>
  <c r="B146" i="11"/>
  <c r="K145" i="11"/>
  <c r="I145" i="11"/>
  <c r="B148" i="11"/>
  <c r="G145" i="11"/>
  <c r="B144" i="11"/>
  <c r="B69" i="11"/>
  <c r="B65" i="11"/>
  <c r="B61" i="11"/>
  <c r="B57" i="11"/>
  <c r="R14" i="7"/>
  <c r="B134" i="11"/>
  <c r="D99" i="10"/>
  <c r="B204" i="11" s="1"/>
  <c r="B136" i="11"/>
  <c r="D12" i="11"/>
  <c r="H12" i="11"/>
  <c r="L12" i="11"/>
  <c r="F12" i="11"/>
  <c r="J12" i="11"/>
  <c r="D9" i="11"/>
  <c r="H9" i="11"/>
  <c r="L9" i="11"/>
  <c r="F9" i="11"/>
  <c r="J9" i="11"/>
  <c r="B72" i="11"/>
  <c r="B70" i="11"/>
  <c r="B68" i="11"/>
  <c r="B66" i="11"/>
  <c r="B64" i="11"/>
  <c r="B62" i="11"/>
  <c r="B60" i="11"/>
  <c r="B58" i="11"/>
  <c r="B56" i="11"/>
  <c r="L182" i="11" l="1"/>
  <c r="F174" i="11"/>
  <c r="H171" i="11"/>
  <c r="F208" i="11"/>
  <c r="B10" i="11"/>
  <c r="B201" i="11"/>
  <c r="B8" i="11"/>
  <c r="N8" i="11" s="1"/>
  <c r="O8" i="11" s="1"/>
  <c r="B199" i="11"/>
  <c r="M133" i="11"/>
  <c r="L138" i="11"/>
  <c r="J171" i="11"/>
  <c r="F186" i="11"/>
  <c r="F187" i="11"/>
  <c r="F182" i="11"/>
  <c r="D182" i="11"/>
  <c r="F164" i="11"/>
  <c r="L164" i="11"/>
  <c r="M164" i="11" s="1"/>
  <c r="H164" i="11"/>
  <c r="I164" i="11" s="1"/>
  <c r="J164" i="11"/>
  <c r="H156" i="11"/>
  <c r="D164" i="11"/>
  <c r="E164" i="11" s="1"/>
  <c r="H163" i="11"/>
  <c r="I163" i="11" s="1"/>
  <c r="J163" i="11"/>
  <c r="D163" i="11"/>
  <c r="F163" i="11"/>
  <c r="G163" i="11" s="1"/>
  <c r="L162" i="11"/>
  <c r="M162" i="11" s="1"/>
  <c r="D162" i="11"/>
  <c r="J162" i="11"/>
  <c r="K162" i="11" s="1"/>
  <c r="H162" i="11"/>
  <c r="I162" i="11" s="1"/>
  <c r="F162" i="11"/>
  <c r="G162" i="11" s="1"/>
  <c r="L156" i="11"/>
  <c r="M156" i="11" s="1"/>
  <c r="J156" i="11"/>
  <c r="D156" i="11"/>
  <c r="E156" i="11" s="1"/>
  <c r="F156" i="11"/>
  <c r="G156" i="11" s="1"/>
  <c r="D143" i="11"/>
  <c r="H143" i="11"/>
  <c r="J143" i="11"/>
  <c r="D14" i="11"/>
  <c r="F143" i="11"/>
  <c r="L143" i="11"/>
  <c r="N122" i="11"/>
  <c r="O122" i="11" s="1"/>
  <c r="M122" i="11"/>
  <c r="H182" i="11"/>
  <c r="J182" i="11"/>
  <c r="D172" i="11"/>
  <c r="H174" i="11"/>
  <c r="H186" i="11"/>
  <c r="H184" i="11"/>
  <c r="J174" i="11"/>
  <c r="L184" i="11"/>
  <c r="L171" i="11"/>
  <c r="M171" i="11" s="1"/>
  <c r="D186" i="11"/>
  <c r="F189" i="11"/>
  <c r="H189" i="11"/>
  <c r="J189" i="11"/>
  <c r="D189" i="11"/>
  <c r="L189" i="11"/>
  <c r="D171" i="11"/>
  <c r="E171" i="11" s="1"/>
  <c r="L175" i="11"/>
  <c r="J186" i="11"/>
  <c r="L186" i="11"/>
  <c r="J184" i="11"/>
  <c r="F171" i="11"/>
  <c r="G171" i="11" s="1"/>
  <c r="F175" i="11"/>
  <c r="G175" i="11" s="1"/>
  <c r="H175" i="11"/>
  <c r="I175" i="11" s="1"/>
  <c r="J175" i="11"/>
  <c r="D190" i="11"/>
  <c r="L190" i="11"/>
  <c r="F190" i="11"/>
  <c r="H190" i="11"/>
  <c r="J190" i="11"/>
  <c r="H193" i="11"/>
  <c r="I193" i="11" s="1"/>
  <c r="J193" i="11"/>
  <c r="K193" i="11" s="1"/>
  <c r="D193" i="11"/>
  <c r="E193" i="11" s="1"/>
  <c r="L193" i="11"/>
  <c r="M193" i="11" s="1"/>
  <c r="F193" i="11"/>
  <c r="G193" i="11" s="1"/>
  <c r="L174" i="11"/>
  <c r="J191" i="11"/>
  <c r="D191" i="11"/>
  <c r="L191" i="11"/>
  <c r="F191" i="11"/>
  <c r="G191" i="11" s="1"/>
  <c r="H191" i="11"/>
  <c r="I191" i="11" s="1"/>
  <c r="D184" i="11"/>
  <c r="E184" i="11" s="1"/>
  <c r="F184" i="11"/>
  <c r="G184" i="11" s="1"/>
  <c r="D174" i="11"/>
  <c r="N174" i="11" s="1"/>
  <c r="O174" i="11" s="1"/>
  <c r="K82" i="11"/>
  <c r="H50" i="11"/>
  <c r="J155" i="11"/>
  <c r="K155" i="11" s="1"/>
  <c r="N91" i="11"/>
  <c r="O91" i="11" s="1"/>
  <c r="O46" i="11"/>
  <c r="N92" i="11"/>
  <c r="O92" i="11" s="1"/>
  <c r="N93" i="11"/>
  <c r="O93" i="11" s="1"/>
  <c r="N87" i="11"/>
  <c r="O87" i="11" s="1"/>
  <c r="M61" i="11"/>
  <c r="G61" i="11"/>
  <c r="E61" i="11"/>
  <c r="N61" i="11"/>
  <c r="O61" i="11" s="1"/>
  <c r="K61" i="11"/>
  <c r="I61" i="11"/>
  <c r="I93" i="11"/>
  <c r="N80" i="11"/>
  <c r="O80" i="11" s="1"/>
  <c r="N96" i="11"/>
  <c r="O96" i="11" s="1"/>
  <c r="E81" i="11"/>
  <c r="N81" i="11"/>
  <c r="O81" i="11" s="1"/>
  <c r="N90" i="11"/>
  <c r="O90" i="11" s="1"/>
  <c r="N108" i="11"/>
  <c r="O108" i="11" s="1"/>
  <c r="F172" i="11"/>
  <c r="G172" i="11" s="1"/>
  <c r="E66" i="11"/>
  <c r="K66" i="11"/>
  <c r="G66" i="11"/>
  <c r="M66" i="11"/>
  <c r="I66" i="11"/>
  <c r="N66" i="11"/>
  <c r="O66" i="11" s="1"/>
  <c r="N148" i="11"/>
  <c r="O148" i="11" s="1"/>
  <c r="N147" i="11"/>
  <c r="O147" i="11" s="1"/>
  <c r="O113" i="11"/>
  <c r="M90" i="11"/>
  <c r="N84" i="11"/>
  <c r="O84" i="11" s="1"/>
  <c r="E85" i="11"/>
  <c r="N85" i="11"/>
  <c r="O85" i="11" s="1"/>
  <c r="N95" i="11"/>
  <c r="O95" i="11" s="1"/>
  <c r="N86" i="11"/>
  <c r="O86" i="11" s="1"/>
  <c r="N94" i="11"/>
  <c r="O94" i="11" s="1"/>
  <c r="N42" i="11"/>
  <c r="O42" i="11" s="1"/>
  <c r="N44" i="11"/>
  <c r="O44" i="11" s="1"/>
  <c r="E60" i="11"/>
  <c r="K60" i="11"/>
  <c r="G60" i="11"/>
  <c r="M60" i="11"/>
  <c r="I60" i="11"/>
  <c r="N60" i="11"/>
  <c r="O60" i="11" s="1"/>
  <c r="E62" i="11"/>
  <c r="I62" i="11"/>
  <c r="K62" i="11"/>
  <c r="N62" i="11"/>
  <c r="O62" i="11" s="1"/>
  <c r="G62" i="11"/>
  <c r="M62" i="11"/>
  <c r="O119" i="11"/>
  <c r="G93" i="11"/>
  <c r="K88" i="11"/>
  <c r="N88" i="11"/>
  <c r="O88" i="11" s="1"/>
  <c r="G97" i="11"/>
  <c r="N97" i="11"/>
  <c r="O97" i="11" s="1"/>
  <c r="N89" i="11"/>
  <c r="O89" i="11" s="1"/>
  <c r="N82" i="11"/>
  <c r="O82" i="11" s="1"/>
  <c r="N45" i="11"/>
  <c r="O45" i="11" s="1"/>
  <c r="N47" i="11"/>
  <c r="O47" i="11" s="1"/>
  <c r="N120" i="11"/>
  <c r="O120" i="11" s="1"/>
  <c r="N105" i="11"/>
  <c r="O105" i="11" s="1"/>
  <c r="N118" i="11"/>
  <c r="O118" i="11" s="1"/>
  <c r="N83" i="11"/>
  <c r="O83" i="11" s="1"/>
  <c r="H172" i="11"/>
  <c r="I172" i="11" s="1"/>
  <c r="K158" i="11"/>
  <c r="N158" i="11"/>
  <c r="O158" i="11" s="1"/>
  <c r="N157" i="11"/>
  <c r="O157" i="11" s="1"/>
  <c r="N135" i="11"/>
  <c r="O135" i="11" s="1"/>
  <c r="J138" i="11"/>
  <c r="N136" i="11"/>
  <c r="O136" i="11" s="1"/>
  <c r="F138" i="11"/>
  <c r="H138" i="11"/>
  <c r="E133" i="11"/>
  <c r="N133" i="11"/>
  <c r="O133" i="11" s="1"/>
  <c r="N137" i="11"/>
  <c r="O137" i="11" s="1"/>
  <c r="N134" i="11"/>
  <c r="O134" i="11" s="1"/>
  <c r="N132" i="11"/>
  <c r="O132" i="11" s="1"/>
  <c r="O125" i="11"/>
  <c r="O116" i="11"/>
  <c r="O114" i="11"/>
  <c r="N117" i="11"/>
  <c r="O117" i="11" s="1"/>
  <c r="N111" i="11"/>
  <c r="O111" i="11" s="1"/>
  <c r="O109" i="11"/>
  <c r="N106" i="11"/>
  <c r="O106" i="11" s="1"/>
  <c r="N107" i="11"/>
  <c r="O107" i="11" s="1"/>
  <c r="N123" i="11"/>
  <c r="O123" i="11" s="1"/>
  <c r="N104" i="11"/>
  <c r="O104" i="11" s="1"/>
  <c r="N121" i="11"/>
  <c r="O121" i="11" s="1"/>
  <c r="N115" i="11"/>
  <c r="O124" i="11"/>
  <c r="N112" i="11"/>
  <c r="O112" i="11" s="1"/>
  <c r="N110" i="11"/>
  <c r="O110" i="11" s="1"/>
  <c r="M68" i="11"/>
  <c r="I68" i="11"/>
  <c r="N68" i="11"/>
  <c r="O68" i="11" s="1"/>
  <c r="E68" i="11"/>
  <c r="G68" i="11"/>
  <c r="K68" i="11"/>
  <c r="E65" i="11"/>
  <c r="I65" i="11"/>
  <c r="G65" i="11"/>
  <c r="K65" i="11"/>
  <c r="M65" i="11"/>
  <c r="N65" i="11"/>
  <c r="O65" i="11" s="1"/>
  <c r="G70" i="11"/>
  <c r="M70" i="11"/>
  <c r="I70" i="11"/>
  <c r="E70" i="11"/>
  <c r="N70" i="11"/>
  <c r="O70" i="11" s="1"/>
  <c r="K70" i="11"/>
  <c r="M69" i="11"/>
  <c r="E69" i="11"/>
  <c r="I69" i="11"/>
  <c r="K69" i="11"/>
  <c r="G69" i="11"/>
  <c r="N69" i="11"/>
  <c r="O69" i="11" s="1"/>
  <c r="K56" i="11"/>
  <c r="N56" i="11"/>
  <c r="M56" i="11"/>
  <c r="I56" i="11"/>
  <c r="G56" i="11"/>
  <c r="E56" i="11"/>
  <c r="E64" i="11"/>
  <c r="N64" i="11"/>
  <c r="O64" i="11" s="1"/>
  <c r="G64" i="11"/>
  <c r="K64" i="11"/>
  <c r="I64" i="11"/>
  <c r="M64" i="11"/>
  <c r="E72" i="11"/>
  <c r="N72" i="11"/>
  <c r="O72" i="11" s="1"/>
  <c r="G72" i="11"/>
  <c r="K72" i="11"/>
  <c r="M72" i="11"/>
  <c r="I72" i="11"/>
  <c r="M57" i="11"/>
  <c r="I57" i="11"/>
  <c r="G57" i="11"/>
  <c r="K57" i="11"/>
  <c r="N57" i="11"/>
  <c r="O57" i="11" s="1"/>
  <c r="E57" i="11"/>
  <c r="G58" i="11"/>
  <c r="K58" i="11"/>
  <c r="N58" i="11"/>
  <c r="O58" i="11" s="1"/>
  <c r="M58" i="11"/>
  <c r="I58" i="11"/>
  <c r="E58" i="11"/>
  <c r="F50" i="11"/>
  <c r="N49" i="11"/>
  <c r="O49" i="11" s="1"/>
  <c r="N40" i="11"/>
  <c r="O40" i="11" s="1"/>
  <c r="N48" i="11"/>
  <c r="K39" i="11"/>
  <c r="J50" i="11"/>
  <c r="N41" i="11"/>
  <c r="O41" i="11" s="1"/>
  <c r="N26" i="11"/>
  <c r="O26" i="11" s="1"/>
  <c r="N31" i="11"/>
  <c r="O31" i="11" s="1"/>
  <c r="N27" i="11"/>
  <c r="O27" i="11" s="1"/>
  <c r="J34" i="11"/>
  <c r="N25" i="11"/>
  <c r="O25" i="11" s="1"/>
  <c r="F34" i="11"/>
  <c r="N32" i="11"/>
  <c r="O32" i="11" s="1"/>
  <c r="N29" i="11"/>
  <c r="O29" i="11" s="1"/>
  <c r="L34" i="11"/>
  <c r="N28" i="11"/>
  <c r="O28" i="11" s="1"/>
  <c r="N30" i="11"/>
  <c r="O30" i="11" s="1"/>
  <c r="H34" i="11"/>
  <c r="N33" i="11"/>
  <c r="O33" i="11" s="1"/>
  <c r="I91" i="11"/>
  <c r="G90" i="11"/>
  <c r="M110" i="11"/>
  <c r="D161" i="11"/>
  <c r="E161" i="11" s="1"/>
  <c r="G122" i="11"/>
  <c r="D188" i="11"/>
  <c r="E188" i="11" s="1"/>
  <c r="J159" i="11"/>
  <c r="K159" i="11" s="1"/>
  <c r="F160" i="11"/>
  <c r="G160" i="11" s="1"/>
  <c r="F161" i="11"/>
  <c r="G161" i="11" s="1"/>
  <c r="I122" i="11"/>
  <c r="E122" i="11"/>
  <c r="J187" i="11"/>
  <c r="K187" i="11" s="1"/>
  <c r="D187" i="11"/>
  <c r="J15" i="11"/>
  <c r="H160" i="11"/>
  <c r="I160" i="11" s="1"/>
  <c r="F155" i="11"/>
  <c r="G155" i="11" s="1"/>
  <c r="K121" i="11"/>
  <c r="K114" i="11"/>
  <c r="G106" i="11"/>
  <c r="G124" i="11"/>
  <c r="I107" i="11"/>
  <c r="J160" i="11"/>
  <c r="K160" i="11" s="1"/>
  <c r="H159" i="11"/>
  <c r="I159" i="11" s="1"/>
  <c r="E163" i="11"/>
  <c r="L155" i="11"/>
  <c r="M155" i="11" s="1"/>
  <c r="J161" i="11"/>
  <c r="K161" i="11" s="1"/>
  <c r="F159" i="11"/>
  <c r="G159" i="11" s="1"/>
  <c r="H161" i="11"/>
  <c r="I161" i="11" s="1"/>
  <c r="K163" i="11"/>
  <c r="D155" i="11"/>
  <c r="E155" i="11" s="1"/>
  <c r="M158" i="11"/>
  <c r="L161" i="11"/>
  <c r="M161" i="11" s="1"/>
  <c r="H155" i="11"/>
  <c r="M109" i="11"/>
  <c r="K116" i="11"/>
  <c r="M86" i="11"/>
  <c r="M87" i="11"/>
  <c r="G95" i="11"/>
  <c r="F15" i="11"/>
  <c r="H15" i="11"/>
  <c r="L160" i="11"/>
  <c r="M160" i="11" s="1"/>
  <c r="L15" i="11"/>
  <c r="D160" i="11"/>
  <c r="E160" i="11" s="1"/>
  <c r="D15" i="11"/>
  <c r="E132" i="11"/>
  <c r="K109" i="11"/>
  <c r="I117" i="11"/>
  <c r="E116" i="11"/>
  <c r="K125" i="11"/>
  <c r="E117" i="11"/>
  <c r="K117" i="11"/>
  <c r="I125" i="11"/>
  <c r="E79" i="11"/>
  <c r="K81" i="11"/>
  <c r="M89" i="11"/>
  <c r="M82" i="11"/>
  <c r="I82" i="11"/>
  <c r="I118" i="11"/>
  <c r="K164" i="11"/>
  <c r="L159" i="11"/>
  <c r="M159" i="11" s="1"/>
  <c r="I106" i="11"/>
  <c r="K118" i="11"/>
  <c r="K110" i="11"/>
  <c r="E106" i="11"/>
  <c r="G114" i="11"/>
  <c r="I25" i="11"/>
  <c r="L181" i="11"/>
  <c r="M181" i="11" s="1"/>
  <c r="I156" i="11"/>
  <c r="G164" i="11"/>
  <c r="D159" i="11"/>
  <c r="I114" i="11"/>
  <c r="G108" i="11"/>
  <c r="E118" i="11"/>
  <c r="E114" i="11"/>
  <c r="M81" i="11"/>
  <c r="K90" i="11"/>
  <c r="E82" i="11"/>
  <c r="E90" i="11"/>
  <c r="I81" i="11"/>
  <c r="K89" i="11"/>
  <c r="I184" i="11"/>
  <c r="D185" i="11"/>
  <c r="E185" i="11" s="1"/>
  <c r="G187" i="11"/>
  <c r="H188" i="11"/>
  <c r="I188" i="11" s="1"/>
  <c r="E104" i="11"/>
  <c r="G113" i="11"/>
  <c r="G125" i="11"/>
  <c r="E108" i="11"/>
  <c r="M117" i="11"/>
  <c r="E109" i="11"/>
  <c r="G117" i="11"/>
  <c r="G109" i="11"/>
  <c r="M108" i="11"/>
  <c r="I108" i="11"/>
  <c r="K108" i="11"/>
  <c r="E89" i="11"/>
  <c r="I89" i="11"/>
  <c r="I90" i="11"/>
  <c r="L16" i="11"/>
  <c r="J16" i="11"/>
  <c r="L188" i="11"/>
  <c r="M188" i="11" s="1"/>
  <c r="F188" i="11"/>
  <c r="G188" i="11" s="1"/>
  <c r="L187" i="11"/>
  <c r="M187" i="11" s="1"/>
  <c r="E172" i="11"/>
  <c r="M189" i="11"/>
  <c r="G189" i="11"/>
  <c r="J188" i="11"/>
  <c r="H187" i="11"/>
  <c r="I187" i="11" s="1"/>
  <c r="G112" i="11"/>
  <c r="E103" i="11"/>
  <c r="K107" i="11"/>
  <c r="I80" i="11"/>
  <c r="G92" i="11"/>
  <c r="M45" i="11"/>
  <c r="G46" i="11"/>
  <c r="M39" i="11"/>
  <c r="I45" i="11"/>
  <c r="G45" i="11"/>
  <c r="K45" i="11"/>
  <c r="G44" i="11"/>
  <c r="E45" i="11"/>
  <c r="K80" i="11"/>
  <c r="M88" i="11"/>
  <c r="E96" i="11"/>
  <c r="K84" i="11"/>
  <c r="M85" i="11"/>
  <c r="E83" i="11"/>
  <c r="G88" i="11"/>
  <c r="E84" i="11"/>
  <c r="E88" i="11"/>
  <c r="K97" i="11"/>
  <c r="G80" i="11"/>
  <c r="I96" i="11"/>
  <c r="D181" i="11"/>
  <c r="E181" i="11" s="1"/>
  <c r="M184" i="11"/>
  <c r="F16" i="11"/>
  <c r="H183" i="11"/>
  <c r="I183" i="11" s="1"/>
  <c r="L185" i="11"/>
  <c r="M185" i="11" s="1"/>
  <c r="K171" i="11"/>
  <c r="K189" i="11"/>
  <c r="E189" i="11"/>
  <c r="D180" i="11"/>
  <c r="E180" i="11" s="1"/>
  <c r="D138" i="11"/>
  <c r="E135" i="11"/>
  <c r="E123" i="11"/>
  <c r="I123" i="11"/>
  <c r="G103" i="11"/>
  <c r="M123" i="11"/>
  <c r="I109" i="11"/>
  <c r="M79" i="11"/>
  <c r="E80" i="11"/>
  <c r="M96" i="11"/>
  <c r="G96" i="11"/>
  <c r="K83" i="11"/>
  <c r="I92" i="11"/>
  <c r="E92" i="11"/>
  <c r="N79" i="11"/>
  <c r="O79" i="11" s="1"/>
  <c r="I79" i="11"/>
  <c r="K92" i="11"/>
  <c r="K96" i="11"/>
  <c r="M42" i="11"/>
  <c r="I42" i="11"/>
  <c r="G40" i="11"/>
  <c r="K40" i="11"/>
  <c r="E42" i="11"/>
  <c r="I41" i="11"/>
  <c r="M44" i="11"/>
  <c r="I44" i="11"/>
  <c r="K44" i="11"/>
  <c r="G42" i="11"/>
  <c r="M40" i="11"/>
  <c r="E41" i="11"/>
  <c r="K47" i="11"/>
  <c r="G41" i="11"/>
  <c r="K41" i="11"/>
  <c r="M41" i="11"/>
  <c r="G25" i="11"/>
  <c r="M97" i="11"/>
  <c r="G79" i="11"/>
  <c r="M83" i="11"/>
  <c r="G91" i="11"/>
  <c r="M84" i="11"/>
  <c r="E97" i="11"/>
  <c r="I97" i="11"/>
  <c r="I39" i="11"/>
  <c r="N103" i="11"/>
  <c r="G116" i="11"/>
  <c r="E121" i="11"/>
  <c r="M105" i="11"/>
  <c r="M118" i="11"/>
  <c r="G118" i="11"/>
  <c r="E107" i="11"/>
  <c r="G110" i="11"/>
  <c r="M116" i="11"/>
  <c r="M172" i="11"/>
  <c r="I171" i="11"/>
  <c r="E47" i="11"/>
  <c r="I84" i="11"/>
  <c r="K87" i="11"/>
  <c r="E93" i="11"/>
  <c r="I46" i="11"/>
  <c r="I85" i="11"/>
  <c r="E94" i="11"/>
  <c r="K46" i="11"/>
  <c r="K85" i="11"/>
  <c r="E91" i="11"/>
  <c r="G94" i="11"/>
  <c r="E46" i="11"/>
  <c r="G84" i="11"/>
  <c r="I87" i="11"/>
  <c r="M92" i="11"/>
  <c r="B98" i="11"/>
  <c r="C79" i="11" s="1"/>
  <c r="B11" i="11"/>
  <c r="G158" i="11"/>
  <c r="I95" i="11"/>
  <c r="I158" i="11"/>
  <c r="B9" i="11"/>
  <c r="D142" i="10"/>
  <c r="J185" i="11"/>
  <c r="K185" i="11" s="1"/>
  <c r="E25" i="11"/>
  <c r="F183" i="11"/>
  <c r="G183" i="11" s="1"/>
  <c r="E162" i="11"/>
  <c r="K27" i="11"/>
  <c r="E27" i="11"/>
  <c r="M30" i="11"/>
  <c r="K32" i="11"/>
  <c r="M29" i="11"/>
  <c r="J180" i="11"/>
  <c r="K180" i="11" s="1"/>
  <c r="J181" i="11"/>
  <c r="K181" i="11" s="1"/>
  <c r="K157" i="11"/>
  <c r="I49" i="11"/>
  <c r="K49" i="11"/>
  <c r="I24" i="11"/>
  <c r="K26" i="11"/>
  <c r="E26" i="11"/>
  <c r="E28" i="11"/>
  <c r="M31" i="11"/>
  <c r="M33" i="11"/>
  <c r="D16" i="11"/>
  <c r="G107" i="11"/>
  <c r="I110" i="11"/>
  <c r="K122" i="11"/>
  <c r="K106" i="11"/>
  <c r="I116" i="11"/>
  <c r="K119" i="11"/>
  <c r="M106" i="11"/>
  <c r="E110" i="11"/>
  <c r="M114" i="11"/>
  <c r="I121" i="11"/>
  <c r="K124" i="11"/>
  <c r="M107" i="11"/>
  <c r="I113" i="11"/>
  <c r="E124" i="11"/>
  <c r="I40" i="11"/>
  <c r="M47" i="11"/>
  <c r="G85" i="11"/>
  <c r="I83" i="11"/>
  <c r="M93" i="11"/>
  <c r="G47" i="11"/>
  <c r="G86" i="11"/>
  <c r="I88" i="11"/>
  <c r="K91" i="11"/>
  <c r="M94" i="11"/>
  <c r="E40" i="11"/>
  <c r="I86" i="11"/>
  <c r="M91" i="11"/>
  <c r="E95" i="11"/>
  <c r="K42" i="11"/>
  <c r="M46" i="11"/>
  <c r="M80" i="11"/>
  <c r="G83" i="11"/>
  <c r="K93" i="11"/>
  <c r="B15" i="11"/>
  <c r="B165" i="11"/>
  <c r="J178" i="11"/>
  <c r="K178" i="11" s="1"/>
  <c r="D178" i="11"/>
  <c r="E178" i="11" s="1"/>
  <c r="L178" i="11"/>
  <c r="M178" i="11" s="1"/>
  <c r="F178" i="11"/>
  <c r="G178" i="11" s="1"/>
  <c r="H178" i="11"/>
  <c r="I178" i="11" s="1"/>
  <c r="F185" i="11"/>
  <c r="G185" i="11" s="1"/>
  <c r="H185" i="11"/>
  <c r="I185" i="11" s="1"/>
  <c r="M25" i="11"/>
  <c r="L183" i="11"/>
  <c r="M183" i="11" s="1"/>
  <c r="I27" i="11"/>
  <c r="K30" i="11"/>
  <c r="G30" i="11"/>
  <c r="E32" i="11"/>
  <c r="G29" i="11"/>
  <c r="H180" i="11"/>
  <c r="I180" i="11" s="1"/>
  <c r="F181" i="11"/>
  <c r="G181" i="11" s="1"/>
  <c r="H181" i="11"/>
  <c r="I181" i="11" s="1"/>
  <c r="I157" i="11"/>
  <c r="G49" i="11"/>
  <c r="K24" i="11"/>
  <c r="E24" i="11"/>
  <c r="D34" i="11"/>
  <c r="I26" i="11"/>
  <c r="M28" i="11"/>
  <c r="I28" i="11"/>
  <c r="K31" i="11"/>
  <c r="G31" i="11"/>
  <c r="I33" i="11"/>
  <c r="B50" i="11"/>
  <c r="G39" i="11"/>
  <c r="H16" i="11"/>
  <c r="F144" i="11"/>
  <c r="G144" i="11" s="1"/>
  <c r="H144" i="11"/>
  <c r="I144" i="11" s="1"/>
  <c r="J144" i="11"/>
  <c r="K144" i="11" s="1"/>
  <c r="D144" i="11"/>
  <c r="E144" i="11" s="1"/>
  <c r="L144" i="11"/>
  <c r="M144" i="11" s="1"/>
  <c r="K113" i="11"/>
  <c r="J146" i="11"/>
  <c r="K146" i="11" s="1"/>
  <c r="D146" i="11"/>
  <c r="E146" i="11" s="1"/>
  <c r="L146" i="11"/>
  <c r="M146" i="11" s="1"/>
  <c r="F146" i="11"/>
  <c r="G146" i="11" s="1"/>
  <c r="H146" i="11"/>
  <c r="I146" i="11" s="1"/>
  <c r="E86" i="11"/>
  <c r="E87" i="11"/>
  <c r="K95" i="11"/>
  <c r="G87" i="11"/>
  <c r="M95" i="11"/>
  <c r="I94" i="11"/>
  <c r="E158" i="11"/>
  <c r="K94" i="11"/>
  <c r="N24" i="11"/>
  <c r="B34" i="11"/>
  <c r="C24" i="11" s="1"/>
  <c r="K25" i="11"/>
  <c r="J183" i="11"/>
  <c r="K183" i="11" s="1"/>
  <c r="D183" i="11"/>
  <c r="E183" i="11" s="1"/>
  <c r="F192" i="11"/>
  <c r="G192" i="11" s="1"/>
  <c r="H192" i="11"/>
  <c r="I192" i="11" s="1"/>
  <c r="J192" i="11"/>
  <c r="K192" i="11" s="1"/>
  <c r="D192" i="11"/>
  <c r="E192" i="11" s="1"/>
  <c r="L192" i="11"/>
  <c r="M192" i="11" s="1"/>
  <c r="G27" i="11"/>
  <c r="E30" i="11"/>
  <c r="M32" i="11"/>
  <c r="I32" i="11"/>
  <c r="K29" i="11"/>
  <c r="L180" i="11"/>
  <c r="M180" i="11" s="1"/>
  <c r="F180" i="11"/>
  <c r="G180" i="11" s="1"/>
  <c r="M157" i="11"/>
  <c r="G157" i="11"/>
  <c r="M49" i="11"/>
  <c r="G24" i="11"/>
  <c r="G26" i="11"/>
  <c r="G28" i="11"/>
  <c r="E31" i="11"/>
  <c r="K33" i="11"/>
  <c r="E33" i="11"/>
  <c r="M163" i="11"/>
  <c r="M27" i="11"/>
  <c r="I30" i="11"/>
  <c r="G32" i="11"/>
  <c r="I29" i="11"/>
  <c r="E29" i="11"/>
  <c r="F176" i="11"/>
  <c r="G176" i="11" s="1"/>
  <c r="H176" i="11"/>
  <c r="I176" i="11" s="1"/>
  <c r="J176" i="11"/>
  <c r="K176" i="11" s="1"/>
  <c r="D176" i="11"/>
  <c r="E176" i="11" s="1"/>
  <c r="L176" i="11"/>
  <c r="M176" i="11" s="1"/>
  <c r="E157" i="11"/>
  <c r="E49" i="11"/>
  <c r="M24" i="11"/>
  <c r="M26" i="11"/>
  <c r="K28" i="11"/>
  <c r="H173" i="11"/>
  <c r="I173" i="11" s="1"/>
  <c r="J173" i="11"/>
  <c r="K173" i="11" s="1"/>
  <c r="D173" i="11"/>
  <c r="L173" i="11"/>
  <c r="M173" i="11" s="1"/>
  <c r="F173" i="11"/>
  <c r="G173" i="11" s="1"/>
  <c r="H177" i="11"/>
  <c r="I177" i="11" s="1"/>
  <c r="J177" i="11"/>
  <c r="K177" i="11" s="1"/>
  <c r="D177" i="11"/>
  <c r="E177" i="11" s="1"/>
  <c r="L177" i="11"/>
  <c r="M177" i="11" s="1"/>
  <c r="F177" i="11"/>
  <c r="G177" i="11" s="1"/>
  <c r="D179" i="11"/>
  <c r="E179" i="11" s="1"/>
  <c r="L179" i="11"/>
  <c r="M179" i="11" s="1"/>
  <c r="F179" i="11"/>
  <c r="G179" i="11" s="1"/>
  <c r="H179" i="11"/>
  <c r="I179" i="11" s="1"/>
  <c r="J179" i="11"/>
  <c r="K179" i="11" s="1"/>
  <c r="I31" i="11"/>
  <c r="G33" i="11"/>
  <c r="K103" i="11"/>
  <c r="M112" i="11"/>
  <c r="G120" i="11"/>
  <c r="E105" i="11"/>
  <c r="I111" i="11"/>
  <c r="I112" i="11"/>
  <c r="K120" i="11"/>
  <c r="I105" i="11"/>
  <c r="K112" i="11"/>
  <c r="E120" i="11"/>
  <c r="M104" i="11"/>
  <c r="G111" i="11"/>
  <c r="M121" i="11"/>
  <c r="M103" i="11"/>
  <c r="E113" i="11"/>
  <c r="I120" i="11"/>
  <c r="I104" i="11"/>
  <c r="K105" i="11"/>
  <c r="E112" i="11"/>
  <c r="I119" i="11"/>
  <c r="G104" i="11"/>
  <c r="M113" i="11"/>
  <c r="G121" i="11"/>
  <c r="G105" i="11"/>
  <c r="K111" i="11"/>
  <c r="E119" i="11"/>
  <c r="K104" i="11"/>
  <c r="M111" i="11"/>
  <c r="G119" i="11"/>
  <c r="M119" i="11"/>
  <c r="M120" i="11"/>
  <c r="M124" i="11"/>
  <c r="I124" i="11"/>
  <c r="E111" i="11"/>
  <c r="M134" i="11"/>
  <c r="B126" i="11"/>
  <c r="C123" i="11" s="1"/>
  <c r="B12" i="11"/>
  <c r="K174" i="11"/>
  <c r="K182" i="11"/>
  <c r="K190" i="11"/>
  <c r="K123" i="11"/>
  <c r="K175" i="11"/>
  <c r="E186" i="11"/>
  <c r="K191" i="11"/>
  <c r="G174" i="11"/>
  <c r="G182" i="11"/>
  <c r="G190" i="11"/>
  <c r="B194" i="11"/>
  <c r="C180" i="11" s="1"/>
  <c r="I186" i="11"/>
  <c r="M186" i="11"/>
  <c r="K172" i="11"/>
  <c r="E175" i="11"/>
  <c r="K188" i="11"/>
  <c r="E191" i="11"/>
  <c r="K186" i="11"/>
  <c r="E174" i="11"/>
  <c r="E182" i="11"/>
  <c r="E190" i="11"/>
  <c r="B16" i="11"/>
  <c r="K16" i="11" s="1"/>
  <c r="E125" i="11"/>
  <c r="M175" i="11"/>
  <c r="G186" i="11"/>
  <c r="M191" i="11"/>
  <c r="G123" i="11"/>
  <c r="I174" i="11"/>
  <c r="I182" i="11"/>
  <c r="I190" i="11"/>
  <c r="M174" i="11"/>
  <c r="M182" i="11"/>
  <c r="M190" i="11"/>
  <c r="M125" i="11"/>
  <c r="K184" i="11"/>
  <c r="E187" i="11"/>
  <c r="I189" i="11"/>
  <c r="E134" i="11"/>
  <c r="G134" i="11"/>
  <c r="K134" i="11"/>
  <c r="E147" i="11"/>
  <c r="G147" i="11"/>
  <c r="I147" i="11"/>
  <c r="M147" i="11"/>
  <c r="I148" i="11"/>
  <c r="K147" i="11"/>
  <c r="M148" i="11"/>
  <c r="B14" i="11"/>
  <c r="K148" i="11"/>
  <c r="B149" i="11"/>
  <c r="C145" i="11" s="1"/>
  <c r="G148" i="11"/>
  <c r="E148" i="11"/>
  <c r="H14" i="11"/>
  <c r="L14" i="11"/>
  <c r="F14" i="11"/>
  <c r="J14" i="11"/>
  <c r="G132" i="11"/>
  <c r="B13" i="11"/>
  <c r="I136" i="11"/>
  <c r="M136" i="11"/>
  <c r="I134" i="11"/>
  <c r="B138" i="11"/>
  <c r="K132" i="11"/>
  <c r="M132" i="11"/>
  <c r="G136" i="11"/>
  <c r="I132" i="11"/>
  <c r="K136" i="11"/>
  <c r="E136" i="11"/>
  <c r="F13" i="11"/>
  <c r="J13" i="11"/>
  <c r="D13" i="11"/>
  <c r="H13" i="11"/>
  <c r="E39" i="11"/>
  <c r="N39" i="11"/>
  <c r="D50" i="11"/>
  <c r="B73" i="11"/>
  <c r="C70" i="11" s="1"/>
  <c r="N182" i="11" l="1"/>
  <c r="O182" i="11" s="1"/>
  <c r="N171" i="11"/>
  <c r="O171" i="11" s="1"/>
  <c r="G8" i="11"/>
  <c r="E8" i="11"/>
  <c r="K13" i="11"/>
  <c r="I8" i="11"/>
  <c r="G206" i="11"/>
  <c r="N207" i="11"/>
  <c r="H208" i="11"/>
  <c r="L208" i="11"/>
  <c r="G203" i="11"/>
  <c r="G202" i="11"/>
  <c r="G200" i="11"/>
  <c r="G201" i="11"/>
  <c r="G199" i="11"/>
  <c r="G207" i="11"/>
  <c r="G205" i="11"/>
  <c r="G204" i="11"/>
  <c r="J208" i="11"/>
  <c r="N206" i="11"/>
  <c r="M13" i="11"/>
  <c r="G13" i="11"/>
  <c r="K8" i="11"/>
  <c r="M8" i="11"/>
  <c r="I13" i="11"/>
  <c r="E13" i="11"/>
  <c r="B208" i="11"/>
  <c r="D149" i="11"/>
  <c r="N73" i="11"/>
  <c r="O73" i="11" s="1"/>
  <c r="N191" i="11"/>
  <c r="O191" i="11" s="1"/>
  <c r="N186" i="11"/>
  <c r="O186" i="11" s="1"/>
  <c r="N193" i="11"/>
  <c r="O193" i="11" s="1"/>
  <c r="N175" i="11"/>
  <c r="O175" i="11" s="1"/>
  <c r="N190" i="11"/>
  <c r="O190" i="11" s="1"/>
  <c r="N184" i="11"/>
  <c r="O184" i="11" s="1"/>
  <c r="N189" i="11"/>
  <c r="O189" i="11" s="1"/>
  <c r="N146" i="11"/>
  <c r="O146" i="11" s="1"/>
  <c r="N144" i="11"/>
  <c r="O144" i="11" s="1"/>
  <c r="M11" i="11"/>
  <c r="N173" i="11"/>
  <c r="O173" i="11" s="1"/>
  <c r="N183" i="11"/>
  <c r="O183" i="11" s="1"/>
  <c r="N178" i="11"/>
  <c r="O178" i="11" s="1"/>
  <c r="N187" i="11"/>
  <c r="O187" i="11" s="1"/>
  <c r="G143" i="11"/>
  <c r="F149" i="11"/>
  <c r="G149" i="11" s="1"/>
  <c r="M143" i="11"/>
  <c r="L149" i="11"/>
  <c r="M149" i="11" s="1"/>
  <c r="C89" i="11"/>
  <c r="C192" i="11"/>
  <c r="C178" i="11"/>
  <c r="C85" i="11"/>
  <c r="C84" i="11"/>
  <c r="C185" i="11"/>
  <c r="C188" i="11"/>
  <c r="C190" i="11"/>
  <c r="C96" i="11"/>
  <c r="N181" i="11"/>
  <c r="O181" i="11" s="1"/>
  <c r="C93" i="11"/>
  <c r="C92" i="11"/>
  <c r="C91" i="11"/>
  <c r="C193" i="11"/>
  <c r="K143" i="11"/>
  <c r="J149" i="11"/>
  <c r="K149" i="11" s="1"/>
  <c r="J165" i="11"/>
  <c r="K165" i="11" s="1"/>
  <c r="N164" i="11"/>
  <c r="O164" i="11" s="1"/>
  <c r="N162" i="11"/>
  <c r="O162" i="11" s="1"/>
  <c r="N161" i="11"/>
  <c r="O161" i="11" s="1"/>
  <c r="C83" i="11"/>
  <c r="C173" i="11"/>
  <c r="C191" i="11"/>
  <c r="C175" i="11"/>
  <c r="C86" i="11"/>
  <c r="C187" i="11"/>
  <c r="C81" i="11"/>
  <c r="C186" i="11"/>
  <c r="C146" i="11"/>
  <c r="C182" i="11"/>
  <c r="C144" i="11"/>
  <c r="C58" i="11"/>
  <c r="H194" i="11"/>
  <c r="I194" i="11" s="1"/>
  <c r="C82" i="11"/>
  <c r="C88" i="11"/>
  <c r="C189" i="11"/>
  <c r="N176" i="11"/>
  <c r="O176" i="11" s="1"/>
  <c r="C95" i="11"/>
  <c r="N172" i="11"/>
  <c r="O172" i="11" s="1"/>
  <c r="C147" i="11"/>
  <c r="C148" i="11"/>
  <c r="F194" i="11"/>
  <c r="G194" i="11" s="1"/>
  <c r="C90" i="11"/>
  <c r="C183" i="11"/>
  <c r="C87" i="11"/>
  <c r="N177" i="11"/>
  <c r="O177" i="11" s="1"/>
  <c r="N180" i="11"/>
  <c r="O180" i="11" s="1"/>
  <c r="C179" i="11"/>
  <c r="I143" i="11"/>
  <c r="H149" i="11"/>
  <c r="I149" i="11" s="1"/>
  <c r="N98" i="11"/>
  <c r="O98" i="11" s="1"/>
  <c r="C97" i="11"/>
  <c r="N192" i="11"/>
  <c r="O192" i="11" s="1"/>
  <c r="C176" i="11"/>
  <c r="N143" i="11"/>
  <c r="C94" i="11"/>
  <c r="N185" i="11"/>
  <c r="O185" i="11" s="1"/>
  <c r="N188" i="11"/>
  <c r="O188" i="11" s="1"/>
  <c r="C172" i="11"/>
  <c r="C174" i="11"/>
  <c r="L194" i="11"/>
  <c r="M194" i="11" s="1"/>
  <c r="C80" i="11"/>
  <c r="C181" i="11"/>
  <c r="C184" i="11"/>
  <c r="C177" i="11"/>
  <c r="N179" i="11"/>
  <c r="O179" i="11" s="1"/>
  <c r="J194" i="11"/>
  <c r="K194" i="11" s="1"/>
  <c r="C163" i="11"/>
  <c r="C156" i="11"/>
  <c r="C164" i="11"/>
  <c r="C162" i="11"/>
  <c r="I155" i="11"/>
  <c r="H165" i="11"/>
  <c r="I165" i="11" s="1"/>
  <c r="C157" i="11"/>
  <c r="N163" i="11"/>
  <c r="O163" i="11" s="1"/>
  <c r="L165" i="11"/>
  <c r="M165" i="11" s="1"/>
  <c r="N159" i="11"/>
  <c r="O159" i="11" s="1"/>
  <c r="C160" i="11"/>
  <c r="C158" i="11"/>
  <c r="C161" i="11"/>
  <c r="F165" i="11"/>
  <c r="G165" i="11" s="1"/>
  <c r="C159" i="11"/>
  <c r="N160" i="11"/>
  <c r="O160" i="11" s="1"/>
  <c r="C136" i="11"/>
  <c r="C135" i="11"/>
  <c r="C133" i="11"/>
  <c r="C137" i="11"/>
  <c r="N13" i="11"/>
  <c r="O13" i="11" s="1"/>
  <c r="N138" i="11"/>
  <c r="O138" i="11" s="1"/>
  <c r="C134" i="11"/>
  <c r="C115" i="11"/>
  <c r="E126" i="11"/>
  <c r="C108" i="11"/>
  <c r="C116" i="11"/>
  <c r="C120" i="11"/>
  <c r="C124" i="11"/>
  <c r="C105" i="11"/>
  <c r="C109" i="11"/>
  <c r="C113" i="11"/>
  <c r="C125" i="11"/>
  <c r="C119" i="11"/>
  <c r="C114" i="11"/>
  <c r="C118" i="11"/>
  <c r="C122" i="11"/>
  <c r="O103" i="11"/>
  <c r="N126" i="11"/>
  <c r="C112" i="11"/>
  <c r="C110" i="11"/>
  <c r="C104" i="11"/>
  <c r="C106" i="11"/>
  <c r="C111" i="11"/>
  <c r="C117" i="11"/>
  <c r="C121" i="11"/>
  <c r="C107" i="11"/>
  <c r="C64" i="11"/>
  <c r="C63" i="11"/>
  <c r="C67" i="11"/>
  <c r="C60" i="11"/>
  <c r="C61" i="11"/>
  <c r="C62" i="11"/>
  <c r="C66" i="11"/>
  <c r="G73" i="11"/>
  <c r="K73" i="11"/>
  <c r="M73" i="11"/>
  <c r="I73" i="11"/>
  <c r="E73" i="11"/>
  <c r="C59" i="11"/>
  <c r="C71" i="11"/>
  <c r="C65" i="11"/>
  <c r="C72" i="11"/>
  <c r="O56" i="11"/>
  <c r="C69" i="11"/>
  <c r="C68" i="11"/>
  <c r="C39" i="11"/>
  <c r="C45" i="11"/>
  <c r="C49" i="11"/>
  <c r="C42" i="11"/>
  <c r="C46" i="11"/>
  <c r="C43" i="11"/>
  <c r="C47" i="11"/>
  <c r="C44" i="11"/>
  <c r="C40" i="11"/>
  <c r="C48" i="11"/>
  <c r="C41" i="11"/>
  <c r="O39" i="11"/>
  <c r="N50" i="11"/>
  <c r="O50" i="11" s="1"/>
  <c r="C32" i="11"/>
  <c r="C29" i="11"/>
  <c r="C27" i="11"/>
  <c r="C31" i="11"/>
  <c r="C30" i="11"/>
  <c r="C28" i="11"/>
  <c r="C25" i="11"/>
  <c r="C33" i="11"/>
  <c r="C26" i="11"/>
  <c r="O24" i="11"/>
  <c r="N34" i="11"/>
  <c r="O34" i="11" s="1"/>
  <c r="M16" i="11"/>
  <c r="N16" i="11"/>
  <c r="O16" i="11" s="1"/>
  <c r="N15" i="11"/>
  <c r="O15" i="11" s="1"/>
  <c r="N14" i="11"/>
  <c r="O14" i="11" s="1"/>
  <c r="N12" i="11"/>
  <c r="O12" i="11" s="1"/>
  <c r="K11" i="11"/>
  <c r="N11" i="11"/>
  <c r="O11" i="11" s="1"/>
  <c r="N9" i="11"/>
  <c r="O9" i="11" s="1"/>
  <c r="D165" i="11"/>
  <c r="E165" i="11" s="1"/>
  <c r="N155" i="11"/>
  <c r="N156" i="11"/>
  <c r="O156" i="11" s="1"/>
  <c r="K156" i="11"/>
  <c r="E138" i="11"/>
  <c r="I11" i="11"/>
  <c r="G11" i="11"/>
  <c r="E11" i="11"/>
  <c r="B17" i="11"/>
  <c r="E159" i="11"/>
  <c r="K15" i="11"/>
  <c r="C155" i="11"/>
  <c r="I12" i="11"/>
  <c r="G12" i="11"/>
  <c r="I16" i="11"/>
  <c r="E15" i="11"/>
  <c r="E9" i="11"/>
  <c r="K9" i="11"/>
  <c r="I9" i="11"/>
  <c r="G9" i="11"/>
  <c r="E50" i="11"/>
  <c r="M9" i="11"/>
  <c r="I15" i="11"/>
  <c r="M15" i="11"/>
  <c r="D194" i="11"/>
  <c r="E194" i="11" s="1"/>
  <c r="E173" i="11"/>
  <c r="I50" i="11"/>
  <c r="M50" i="11"/>
  <c r="K50" i="11"/>
  <c r="G50" i="11"/>
  <c r="E34" i="11"/>
  <c r="G15" i="11"/>
  <c r="G98" i="11"/>
  <c r="K98" i="11"/>
  <c r="I98" i="11"/>
  <c r="M98" i="11"/>
  <c r="E98" i="11"/>
  <c r="E12" i="11"/>
  <c r="M34" i="11"/>
  <c r="K34" i="11"/>
  <c r="I34" i="11"/>
  <c r="G34" i="11"/>
  <c r="K12" i="11"/>
  <c r="M12" i="11"/>
  <c r="G126" i="11"/>
  <c r="K126" i="11"/>
  <c r="M126" i="11"/>
  <c r="I126" i="11"/>
  <c r="G16" i="11"/>
  <c r="E16" i="11"/>
  <c r="C171" i="11"/>
  <c r="C103" i="11"/>
  <c r="G14" i="11"/>
  <c r="I14" i="11"/>
  <c r="E14" i="11"/>
  <c r="E143" i="11"/>
  <c r="K14" i="11"/>
  <c r="M14" i="11"/>
  <c r="E149" i="11"/>
  <c r="C143" i="11"/>
  <c r="I138" i="11"/>
  <c r="M138" i="11"/>
  <c r="G138" i="11"/>
  <c r="K138" i="11"/>
  <c r="C132" i="11"/>
  <c r="C57" i="11"/>
  <c r="C56" i="11"/>
  <c r="I206" i="11" l="1"/>
  <c r="K206" i="11"/>
  <c r="M206" i="11"/>
  <c r="N208" i="11"/>
  <c r="M203" i="11"/>
  <c r="M205" i="11"/>
  <c r="M201" i="11"/>
  <c r="M207" i="11"/>
  <c r="M202" i="11"/>
  <c r="M200" i="11"/>
  <c r="M199" i="11"/>
  <c r="M204" i="11"/>
  <c r="K203" i="11"/>
  <c r="K202" i="11"/>
  <c r="K204" i="11"/>
  <c r="K207" i="11"/>
  <c r="K200" i="11"/>
  <c r="K201" i="11"/>
  <c r="K205" i="11"/>
  <c r="K199" i="11"/>
  <c r="I203" i="11"/>
  <c r="I202" i="11"/>
  <c r="I207" i="11"/>
  <c r="I205" i="11"/>
  <c r="I204" i="11"/>
  <c r="I201" i="11"/>
  <c r="I200" i="11"/>
  <c r="I199" i="11"/>
  <c r="C205" i="11"/>
  <c r="C201" i="11"/>
  <c r="C206" i="11"/>
  <c r="C204" i="11"/>
  <c r="C202" i="11"/>
  <c r="C207" i="11"/>
  <c r="C203" i="11"/>
  <c r="C200" i="11"/>
  <c r="C199" i="11"/>
  <c r="C149" i="11"/>
  <c r="C98" i="11"/>
  <c r="C194" i="11"/>
  <c r="C165" i="11"/>
  <c r="C138" i="11"/>
  <c r="N149" i="11"/>
  <c r="O149" i="11" s="1"/>
  <c r="O143" i="11"/>
  <c r="N194" i="11"/>
  <c r="O194" i="11" s="1"/>
  <c r="C34" i="11"/>
  <c r="O155" i="11"/>
  <c r="N165" i="11"/>
  <c r="O165" i="11" s="1"/>
  <c r="C126" i="11"/>
  <c r="C73" i="11"/>
  <c r="C50" i="11"/>
  <c r="C10" i="11"/>
  <c r="C13" i="11"/>
  <c r="C16" i="11"/>
  <c r="C12" i="11"/>
  <c r="C15" i="11"/>
  <c r="C11" i="11"/>
  <c r="C14" i="11"/>
  <c r="C9" i="11"/>
  <c r="C8" i="11"/>
  <c r="O201" i="11" l="1"/>
  <c r="O206" i="11"/>
  <c r="O203" i="11"/>
  <c r="O200" i="11"/>
  <c r="O204" i="11"/>
  <c r="O205" i="11"/>
  <c r="O202" i="11"/>
  <c r="E208" i="11"/>
  <c r="G208" i="11"/>
  <c r="M208" i="11"/>
  <c r="O207" i="11"/>
  <c r="I208" i="11"/>
  <c r="K208" i="11"/>
  <c r="O199" i="11"/>
  <c r="C208" i="11"/>
  <c r="C17" i="11"/>
  <c r="G10" i="11"/>
  <c r="L17" i="11"/>
  <c r="M17" i="11" s="1"/>
  <c r="I10" i="11"/>
  <c r="K10" i="11"/>
  <c r="E10" i="11"/>
  <c r="O208" i="11" l="1"/>
  <c r="D17" i="11"/>
  <c r="E17" i="11" s="1"/>
  <c r="J17" i="11"/>
  <c r="K17" i="11" s="1"/>
  <c r="F17" i="11"/>
  <c r="G17" i="11" s="1"/>
  <c r="M10" i="11"/>
  <c r="N10" i="11"/>
  <c r="H17" i="11"/>
  <c r="I17" i="11" s="1"/>
  <c r="O10" i="11" l="1"/>
  <c r="N17" i="11"/>
  <c r="O17" i="11" s="1"/>
</calcChain>
</file>

<file path=xl/comments1.xml><?xml version="1.0" encoding="utf-8"?>
<comments xmlns="http://schemas.openxmlformats.org/spreadsheetml/2006/main">
  <authors>
    <author>JHON WILLIAM TABARES MORALES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</commentList>
</comments>
</file>

<file path=xl/comments2.xml><?xml version="1.0" encoding="utf-8"?>
<comments xmlns="http://schemas.openxmlformats.org/spreadsheetml/2006/main">
  <authors>
    <author>JHON WILLIAM TABARES MORALES</author>
  </authors>
  <commentList>
    <comment ref="C340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41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42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43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44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45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46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47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48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49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0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1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2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3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4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5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6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7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8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59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0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1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2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3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4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5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6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7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8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69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70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  <comment ref="C371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(En el  2018 no se realizan visitas a acueductos rurales toda vez que no hay técnico de base en este municipio y se priorizo la zona urbana)</t>
        </r>
      </text>
    </comment>
  </commentList>
</comments>
</file>

<file path=xl/comments3.xml><?xml version="1.0" encoding="utf-8"?>
<comments xmlns="http://schemas.openxmlformats.org/spreadsheetml/2006/main">
  <authors>
    <author>JHON WILLIAM TABARES MORALES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En el  2018 no se realizan visitas a acueductos rurales ni toma de muestras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El Tecnico Area de Salud  no envio informacíon para el año 2018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En el  2018 no se realizan visitas a acueductos rurales ni toma de muestras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En el  2018 no se realizan visitas a acueductos rurales ni toma de muestras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En el  2018 no se realizan visitas a acueductos rurales ni toma de muestras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En el  2018 no se realizan visitas a acueductos rurales ni toma de muestras</t>
        </r>
      </text>
    </comment>
  </commentList>
</comments>
</file>

<file path=xl/comments4.xml><?xml version="1.0" encoding="utf-8"?>
<comments xmlns="http://schemas.openxmlformats.org/spreadsheetml/2006/main">
  <authors>
    <author>ROGELIO DE JESUS LOPEZ</author>
  </authors>
  <commentList>
    <comment ref="E208" authorId="0">
      <text>
        <r>
          <rPr>
            <b/>
            <sz val="9"/>
            <color indexed="81"/>
            <rFont val="Tahoma"/>
            <family val="2"/>
          </rPr>
          <t>ROGELIO DE JESUS LOPEZ:</t>
        </r>
        <r>
          <rPr>
            <sz val="9"/>
            <color indexed="81"/>
            <rFont val="Tahoma"/>
            <family val="2"/>
          </rPr>
          <t xml:space="preserve">
EL porcentaje es con respecto al total de las muestras y no a numero de sistemas
</t>
        </r>
      </text>
    </comment>
  </commentList>
</comments>
</file>

<file path=xl/sharedStrings.xml><?xml version="1.0" encoding="utf-8"?>
<sst xmlns="http://schemas.openxmlformats.org/spreadsheetml/2006/main" count="8094" uniqueCount="4482">
  <si>
    <t>Vereda Santa Ana</t>
  </si>
  <si>
    <t>Vereda Guayabal</t>
  </si>
  <si>
    <t>Vereda La Florida</t>
  </si>
  <si>
    <t>Vereda Buena Vista</t>
  </si>
  <si>
    <t>Corregimiento El Tres</t>
  </si>
  <si>
    <t>Vereda El Roble</t>
  </si>
  <si>
    <t>Vereda Santa Catalina</t>
  </si>
  <si>
    <t>Santo Domingo</t>
  </si>
  <si>
    <t>Vereda La Palma</t>
  </si>
  <si>
    <t>Vereda San Francisco</t>
  </si>
  <si>
    <t>Vereda La Quiebra</t>
  </si>
  <si>
    <t>Municipio</t>
  </si>
  <si>
    <t>Vereda Potrerito</t>
  </si>
  <si>
    <t>Corregimiento Puerto Belgica</t>
  </si>
  <si>
    <t>Corregimiento Guarumo</t>
  </si>
  <si>
    <t>Nechi</t>
  </si>
  <si>
    <t>Vereda El Guadual</t>
  </si>
  <si>
    <t>Vereda La Estrella</t>
  </si>
  <si>
    <t>Vereda La Mina</t>
  </si>
  <si>
    <t>Vereda San Luis</t>
  </si>
  <si>
    <t>Vereda La Clara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</si>
  <si>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</si>
  <si>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</si>
  <si>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</si>
  <si>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</si>
  <si>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</si>
  <si>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</si>
  <si>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</si>
  <si>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</si>
  <si>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</si>
  <si>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</si>
  <si>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</si>
  <si>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</si>
  <si>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INDICE DE RIESGO DE CALIDAD DEL AGUA - IRCA- %</t>
  </si>
  <si>
    <t>% IRCA  ACOMULADO</t>
  </si>
  <si>
    <t>NIVEL DE RIESGO</t>
  </si>
  <si>
    <t>APTA PARA CONSUMO HUMANO</t>
  </si>
  <si>
    <t>MUNICIPIO</t>
  </si>
  <si>
    <t>LOCALIDAD(VEREDA)</t>
  </si>
  <si>
    <t>Vereda Mocorongo</t>
  </si>
  <si>
    <t>Vereda Cestillal</t>
  </si>
  <si>
    <t>Vereda Graciano</t>
  </si>
  <si>
    <t>Vereda Aguas Claras Arriba</t>
  </si>
  <si>
    <t>Vereda Chorrohondo La Meseta</t>
  </si>
  <si>
    <t>Vereda El Guayabo</t>
  </si>
  <si>
    <t>La Ceja</t>
  </si>
  <si>
    <t>Vereda La Virgen</t>
  </si>
  <si>
    <t>Betulia</t>
  </si>
  <si>
    <t>Vereda La Cascada</t>
  </si>
  <si>
    <t>Vereda San Pablo</t>
  </si>
  <si>
    <t>Vereda Puerto Santo</t>
  </si>
  <si>
    <t>Vereda Quebrada Arriba</t>
  </si>
  <si>
    <t>Corregimento Las Flores</t>
  </si>
  <si>
    <t>Vereda La Meseta</t>
  </si>
  <si>
    <t>San Carlos</t>
  </si>
  <si>
    <t>Vereda Monteloro</t>
  </si>
  <si>
    <t>Puerto Triunfo</t>
  </si>
  <si>
    <t>Junta de Accion Comunal</t>
  </si>
  <si>
    <t>Corregimiento Buenos Aires</t>
  </si>
  <si>
    <t>Vereda Malpaso</t>
  </si>
  <si>
    <t>Vereda Quebradona Abajo</t>
  </si>
  <si>
    <t>Vereda La Peña</t>
  </si>
  <si>
    <t>Vereda La Montañita</t>
  </si>
  <si>
    <t>Vereda El Cerro</t>
  </si>
  <si>
    <t>Vereda El Vergel</t>
  </si>
  <si>
    <t>Vereda El Zancudo</t>
  </si>
  <si>
    <t>Vereda El Porvenir</t>
  </si>
  <si>
    <t>Vereda San Rafael</t>
  </si>
  <si>
    <t>Vereda La Chorrera</t>
  </si>
  <si>
    <t xml:space="preserve">Vereda El Sesenta </t>
  </si>
  <si>
    <t>Vereda El Salado</t>
  </si>
  <si>
    <t>Vereda La Playa</t>
  </si>
  <si>
    <t>Vereda Buenos Aires</t>
  </si>
  <si>
    <t>Vereda Chontadural</t>
  </si>
  <si>
    <t>Vereda Los Cedros</t>
  </si>
  <si>
    <t>San Luis</t>
  </si>
  <si>
    <t>Vereda CharcoVerde</t>
  </si>
  <si>
    <t xml:space="preserve">Vereda La Unión </t>
  </si>
  <si>
    <t>Vereda La Primavera</t>
  </si>
  <si>
    <t>Barbosa</t>
  </si>
  <si>
    <t>Bello</t>
  </si>
  <si>
    <t>Girardota</t>
  </si>
  <si>
    <t>Rionegro</t>
  </si>
  <si>
    <t>Murindo</t>
  </si>
  <si>
    <t>Vereda Zumbido Medio</t>
  </si>
  <si>
    <t>Asociación de Usuarios de Acueducto y Alcantarillado de la Vereda La Matica Baja</t>
  </si>
  <si>
    <t>Asociación de Usuarios de Acueducto Vereda El Paraíso</t>
  </si>
  <si>
    <t>Vereda La Matica Baja</t>
  </si>
  <si>
    <t>Vereda El Paraiso</t>
  </si>
  <si>
    <t>Armenia</t>
  </si>
  <si>
    <t>Vereda Sabaneta</t>
  </si>
  <si>
    <t>Vereda Maria Auxiliadora</t>
  </si>
  <si>
    <t>Vereda Las Lomitas</t>
  </si>
  <si>
    <t>Vereda La Doctora</t>
  </si>
  <si>
    <t>Vereda San José</t>
  </si>
  <si>
    <t>Vereda Cañaveralejo</t>
  </si>
  <si>
    <t>Vereda Pan de Azucar</t>
  </si>
  <si>
    <t>San Rafael</t>
  </si>
  <si>
    <t>Vereda San Andres</t>
  </si>
  <si>
    <t>Vereda San Isidro</t>
  </si>
  <si>
    <t>Vereda Guadual</t>
  </si>
  <si>
    <t>Vereda El Barro</t>
  </si>
  <si>
    <t>REGIONAL</t>
  </si>
  <si>
    <t>VEREDAS MUNICIPIO</t>
  </si>
  <si>
    <t>TOTAL SISTEMAS</t>
  </si>
  <si>
    <t>%</t>
  </si>
  <si>
    <t>AREA METROPOLITANA</t>
  </si>
  <si>
    <t>Medellín</t>
  </si>
  <si>
    <t>Caldas</t>
  </si>
  <si>
    <t>Copacabana</t>
  </si>
  <si>
    <t>Itagui</t>
  </si>
  <si>
    <t>Envigado</t>
  </si>
  <si>
    <t>Sabaneta</t>
  </si>
  <si>
    <t>La Estrella</t>
  </si>
  <si>
    <t>SUBTOTAL</t>
  </si>
  <si>
    <t>URABA</t>
  </si>
  <si>
    <t>Apartado</t>
  </si>
  <si>
    <t>Arboletes</t>
  </si>
  <si>
    <t>Carepa</t>
  </si>
  <si>
    <t>Chigorodo</t>
  </si>
  <si>
    <t>Mutata</t>
  </si>
  <si>
    <t>Necocli</t>
  </si>
  <si>
    <t>San Juan de Urabá</t>
  </si>
  <si>
    <t>San Pedro de Urabá</t>
  </si>
  <si>
    <t>Vigía del Fuerte</t>
  </si>
  <si>
    <t>Turbo</t>
  </si>
  <si>
    <t>NORTE</t>
  </si>
  <si>
    <t>Angostura</t>
  </si>
  <si>
    <t>Belmira</t>
  </si>
  <si>
    <t>Briceño</t>
  </si>
  <si>
    <t>Campamento</t>
  </si>
  <si>
    <t>Carolina del Príncipe</t>
  </si>
  <si>
    <t>Don Matías</t>
  </si>
  <si>
    <t>Gómez Plata</t>
  </si>
  <si>
    <t>Guadalupe</t>
  </si>
  <si>
    <t>Ituango</t>
  </si>
  <si>
    <t>San Andrés de Cuerquia</t>
  </si>
  <si>
    <t>San José de la Montaña</t>
  </si>
  <si>
    <t>San Pedro de los Milagros</t>
  </si>
  <si>
    <t>Santa Rosa de Osos</t>
  </si>
  <si>
    <t>Toledo</t>
  </si>
  <si>
    <t>Valdivia</t>
  </si>
  <si>
    <t>Yarumal</t>
  </si>
  <si>
    <t>OCCIDENTE</t>
  </si>
  <si>
    <t>Abriaqui</t>
  </si>
  <si>
    <t>Anza</t>
  </si>
  <si>
    <t>Buritica</t>
  </si>
  <si>
    <t>Cañas gordas</t>
  </si>
  <si>
    <t>Dabeiba</t>
  </si>
  <si>
    <t>Ebejico</t>
  </si>
  <si>
    <t>Frontino</t>
  </si>
  <si>
    <t>Caicedo</t>
  </si>
  <si>
    <t>Giraldo</t>
  </si>
  <si>
    <t>Heliconia</t>
  </si>
  <si>
    <t>Liborina</t>
  </si>
  <si>
    <t>Olaya</t>
  </si>
  <si>
    <t>Peque</t>
  </si>
  <si>
    <t>Sabanalarga</t>
  </si>
  <si>
    <t>San Jerónimo</t>
  </si>
  <si>
    <t>Santa Fe de Antioquia</t>
  </si>
  <si>
    <t>Sopetran</t>
  </si>
  <si>
    <t>Uramita</t>
  </si>
  <si>
    <t>SUROESTE</t>
  </si>
  <si>
    <t>Amaga</t>
  </si>
  <si>
    <t>Andes</t>
  </si>
  <si>
    <t>Betania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</si>
  <si>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</si>
  <si>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</si>
  <si>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</si>
  <si>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</si>
  <si>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</si>
  <si>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</si>
  <si>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</si>
  <si>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</si>
  <si>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</si>
  <si>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</si>
  <si>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</si>
  <si>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</si>
  <si>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Tamesis</t>
  </si>
  <si>
    <t>Tarso</t>
  </si>
  <si>
    <t>Titiribí</t>
  </si>
  <si>
    <t>Urrao</t>
  </si>
  <si>
    <t>Valparaíso</t>
  </si>
  <si>
    <t>Venecia</t>
  </si>
  <si>
    <t>BAJO CAUCA</t>
  </si>
  <si>
    <t>Caucasia</t>
  </si>
  <si>
    <t>Cáceres</t>
  </si>
  <si>
    <t>El Bagre</t>
  </si>
  <si>
    <t>Tarazá</t>
  </si>
  <si>
    <t>Zaragoza</t>
  </si>
  <si>
    <t>MAGDALENA MEDIO</t>
  </si>
  <si>
    <t>Caracolí</t>
  </si>
  <si>
    <t>Maceo</t>
  </si>
  <si>
    <t>Puerto Berrio</t>
  </si>
  <si>
    <t>Puerto Nare</t>
  </si>
  <si>
    <t>Yondo</t>
  </si>
  <si>
    <t>NORDESTE</t>
  </si>
  <si>
    <t>Amalfi</t>
  </si>
  <si>
    <t>Anori</t>
  </si>
  <si>
    <t>Cisneros</t>
  </si>
  <si>
    <t>Remedios</t>
  </si>
  <si>
    <t>San Roque</t>
  </si>
  <si>
    <t>Segovia</t>
  </si>
  <si>
    <t>Vegachi</t>
  </si>
  <si>
    <t>Yali</t>
  </si>
  <si>
    <t>Yolombo</t>
  </si>
  <si>
    <t>ORIENTE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</si>
  <si>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</si>
  <si>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</si>
  <si>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</si>
  <si>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</si>
  <si>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</si>
  <si>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</si>
  <si>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</si>
  <si>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</si>
  <si>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</si>
  <si>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</si>
  <si>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</si>
  <si>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</si>
  <si>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Unión</t>
  </si>
  <si>
    <t>Marinilla</t>
  </si>
  <si>
    <t>Nariño</t>
  </si>
  <si>
    <t>San Francisco</t>
  </si>
  <si>
    <t>San Vicente</t>
  </si>
  <si>
    <t>Sonsón</t>
  </si>
  <si>
    <t>TOTAL</t>
  </si>
  <si>
    <t>Uraba</t>
  </si>
  <si>
    <t>Norte</t>
  </si>
  <si>
    <t>Occidente</t>
  </si>
  <si>
    <t>Suroeste</t>
  </si>
  <si>
    <t>Bajo Cauca</t>
  </si>
  <si>
    <t>Magdalena Medio</t>
  </si>
  <si>
    <t xml:space="preserve">Nordeste </t>
  </si>
  <si>
    <t>Oriente</t>
  </si>
  <si>
    <t>Cañasgordas</t>
  </si>
  <si>
    <t>Caceres</t>
  </si>
  <si>
    <t>Vereda Llano Grande</t>
  </si>
  <si>
    <t>Vereda Mercedes Abrego</t>
  </si>
  <si>
    <t>Asociación de Usuarios de Acueducto Vereda El Barro Sector El Salto</t>
  </si>
  <si>
    <t xml:space="preserve">Vereda Cañaveral </t>
  </si>
  <si>
    <t>Vereda La Cejita</t>
  </si>
  <si>
    <t>Corregimiento El Carmelo</t>
  </si>
  <si>
    <t>Vereda Mellito Alto</t>
  </si>
  <si>
    <t>Vereda La Esperanza</t>
  </si>
  <si>
    <t>Vereda El Rosario</t>
  </si>
  <si>
    <t>Vereda Pueblo Chino</t>
  </si>
  <si>
    <t>Vereda El Yeso</t>
  </si>
  <si>
    <t>Vereda Los Cajones</t>
  </si>
  <si>
    <t>Vereda Siete Hermanas</t>
  </si>
  <si>
    <t>Valle de Aburra</t>
  </si>
  <si>
    <t>Sin Riesgo</t>
  </si>
  <si>
    <t>Bajo</t>
  </si>
  <si>
    <t>Medio</t>
  </si>
  <si>
    <t>Alto</t>
  </si>
  <si>
    <t>Inviable Sanitariamente</t>
  </si>
  <si>
    <t>Sin Dato</t>
  </si>
  <si>
    <t>Número de Sistemas</t>
  </si>
  <si>
    <t>Regional</t>
  </si>
  <si>
    <t>SECRETARIA SECCIONAL DE SALUD Y PROTECCION SOCIAL DE ANTIOQUIA</t>
  </si>
  <si>
    <t>DIRECION DE FACTORES DE RIESGOS</t>
  </si>
  <si>
    <t>Versión: 01</t>
  </si>
  <si>
    <t>Página 1 de 1</t>
  </si>
  <si>
    <t>PERSONA PRESTADORA DEL SERVICIO</t>
  </si>
  <si>
    <r>
      <rPr>
        <sz val="11"/>
        <rFont val="Arial"/>
        <family val="2"/>
      </rPr>
      <t xml:space="preserve">0.0 - 5 %: 
</t>
    </r>
    <r>
      <rPr>
        <b/>
        <sz val="11"/>
        <rFont val="Arial"/>
        <family val="2"/>
      </rPr>
      <t>Sin Riesgo</t>
    </r>
  </si>
  <si>
    <r>
      <rPr>
        <sz val="11"/>
        <rFont val="Arial"/>
        <family val="2"/>
      </rPr>
      <t>5.1  - 14 %:</t>
    </r>
    <r>
      <rPr>
        <b/>
        <sz val="11"/>
        <rFont val="Arial"/>
        <family val="2"/>
      </rPr>
      <t xml:space="preserve">  Riesgo Bajo</t>
    </r>
  </si>
  <si>
    <r>
      <rPr>
        <sz val="11"/>
        <rFont val="Arial"/>
        <family val="2"/>
      </rPr>
      <t xml:space="preserve">35.1 - 80 %
</t>
    </r>
    <r>
      <rPr>
        <b/>
        <sz val="11"/>
        <rFont val="Arial"/>
        <family val="2"/>
      </rPr>
      <t xml:space="preserve"> Alto</t>
    </r>
  </si>
  <si>
    <t>Convenciones:</t>
  </si>
  <si>
    <r>
      <rPr>
        <sz val="11"/>
        <color indexed="9"/>
        <rFont val="Arial"/>
        <family val="2"/>
      </rPr>
      <t>80.1 -  100 %:</t>
    </r>
    <r>
      <rPr>
        <b/>
        <sz val="11"/>
        <color indexed="9"/>
        <rFont val="Arial"/>
        <family val="2"/>
      </rPr>
      <t xml:space="preserve"> 
Inviable Sanitariamente</t>
    </r>
  </si>
  <si>
    <r>
      <t xml:space="preserve">SUBREGION: </t>
    </r>
    <r>
      <rPr>
        <sz val="12"/>
        <rFont val="Arial"/>
        <family val="2"/>
      </rPr>
      <t>MAGDALENA MEDIO</t>
    </r>
  </si>
  <si>
    <r>
      <t xml:space="preserve">SUBREGION: </t>
    </r>
    <r>
      <rPr>
        <sz val="12"/>
        <rFont val="Arial"/>
        <family val="2"/>
      </rPr>
      <t>NORDESTE</t>
    </r>
  </si>
  <si>
    <t>DIRECCION DE FACTORES DE RIESGOS</t>
  </si>
  <si>
    <t>Corporación de Acueducto Multiveredal Santa Elena</t>
  </si>
  <si>
    <t>Vereda Buga</t>
  </si>
  <si>
    <t>Corporación de Acueducto Piedras Blancas</t>
  </si>
  <si>
    <t>Junta Pro-Acueducto Vallecitos-Vallecitos</t>
  </si>
  <si>
    <t>Corregimiento El Hatillo-El Paraiso</t>
  </si>
  <si>
    <t>Vereda El Tablazo-Hatillo</t>
  </si>
  <si>
    <t>Acueducto Comunal Tablazo-Hatillo</t>
  </si>
  <si>
    <t>Vereda Tablazo-Popalito</t>
  </si>
  <si>
    <t>Acueducto Veredal El Tablazo Popalito</t>
  </si>
  <si>
    <t>Asociación de Usuarios del Acueducto y/o Alcantarillado de La Vereda Las Victorias,(ASUAVIC)</t>
  </si>
  <si>
    <t>Vereda Las Peñas</t>
  </si>
  <si>
    <t>Acueducto Veredal Las Peñas</t>
  </si>
  <si>
    <t>Asociación de Usuarios Acueducto Vereda Potrerito</t>
  </si>
  <si>
    <t>Asociación de Usuarios Acueducto Vereda La Cejita</t>
  </si>
  <si>
    <t>Corporación de Asociados de Acueducto Vereda Filoverde</t>
  </si>
  <si>
    <t>Parcelación Popalito</t>
  </si>
  <si>
    <t>Vereda El Roble-Pantanillo</t>
  </si>
  <si>
    <t>Asociación de Suscriptores del Acueducto Multiveredal El Roble-Pantanillo</t>
  </si>
  <si>
    <t>Asociación de Usuarios del Acueducto y/o Alcantarillado de La Vereda Cestillal</t>
  </si>
  <si>
    <t>Vereda Aguas Claras Abajo</t>
  </si>
  <si>
    <t>Comité Empresarial de Acueducto Aguas Clara Abajo.</t>
  </si>
  <si>
    <t>Asociación de Usuarios del Acueducto y/o Alcantarillado de La Vereda La Chapa Parte Baja</t>
  </si>
  <si>
    <t>Asociación de Usuarios del Acueducto y Alcantarillado de La Vereda San Rafael</t>
  </si>
  <si>
    <t>Asociación Junta Administradora de Acueducto de La Vereda La Calda.</t>
  </si>
  <si>
    <t>Corporación de Asociados del Acueducto Vereda La Montañita</t>
  </si>
  <si>
    <t xml:space="preserve">Corregimiento San Felix </t>
  </si>
  <si>
    <t>Asociación de Usuarios del Acueducto y Alcantarillado de San Félix-Agualinda - Asociación Agualinda</t>
  </si>
  <si>
    <t>Asociación de Usuarios "Acueducto Charco Verde"</t>
  </si>
  <si>
    <t>Asociación de Usuarios Acueducto Veredal La Unión-Bello</t>
  </si>
  <si>
    <t>Junta de Accion Comunal Vereda La Primavera Sector El Salado</t>
  </si>
  <si>
    <t>Asociación de Usuarios del Acueducto "Aguas de Potrerito"</t>
  </si>
  <si>
    <t>Vereda Tierradentro Parte Baja</t>
  </si>
  <si>
    <t>Junta de Accion Comunal Tierradentro Parte Baja</t>
  </si>
  <si>
    <t>Vereda Tierradentro Planta Fabricato</t>
  </si>
  <si>
    <t>Acueducto Tierradentro Planta Fabricato</t>
  </si>
  <si>
    <t>Vereda Los Espejos</t>
  </si>
  <si>
    <t>Junta de Accion Comunal Vereda Los Espejos</t>
  </si>
  <si>
    <t>Vereda Guasimalito</t>
  </si>
  <si>
    <t xml:space="preserve">Asociación de Suscriptores o Usuarios del Acueducto Guasimalito </t>
  </si>
  <si>
    <t>Junta Administradora Acueducto Vereda Buenavista</t>
  </si>
  <si>
    <t>Vereda Jalisco-La Loca</t>
  </si>
  <si>
    <t>Junta Administradora Acueducto Veredal Jalisco-La Loca</t>
  </si>
  <si>
    <t>Vereda Tambo-Meneses</t>
  </si>
  <si>
    <t>Acueducto Tambo-Meneses</t>
  </si>
  <si>
    <t>Vereda Jalisco-Los Carvajares</t>
  </si>
  <si>
    <t>Junta Administradora Acueducto Veredal Jalisco-Los Carvajares</t>
  </si>
  <si>
    <t>Junta de Accion Comunal de La Vereda El Salado</t>
  </si>
  <si>
    <t>Asociación Comunitaria Acueducto vereda San Diego del municipio de Girardota (ACUASANDIEGO)-San Diego</t>
  </si>
  <si>
    <t>Asociación Campesina No Nacional de Usuarios del Acueducto y Alcantarillado de la Vereda Portachuelo - Portachuelo</t>
  </si>
  <si>
    <t>Asociación de Suscriptores del Acueducto Multiveredal El Roble (PTAP Pantano Frío) - El Palmar y Yarumo</t>
  </si>
  <si>
    <t>Asociación de Usuarios del  Acueducto Veredal Manga Arriba Etapa I Malpaso-Etapa I Malpaso</t>
  </si>
  <si>
    <t>Asociación Acueducto Ecosostenible Vereda La Meseta - ACME</t>
  </si>
  <si>
    <t>Asociación de Usuarios del Acueducto vereda Manga Arriba Sector La Loma-Sector La Loma</t>
  </si>
  <si>
    <t xml:space="preserve">Asociación de Usuarios Acueducto Juan Cojo Cuchillas ASUAJUC (PTAP Tábano) - Tábano      </t>
  </si>
  <si>
    <t>Asociación de Usuarios Acueducto Juan Cojo Cuchillas  ASUAJUC (PTAP El Tigre) - El Tigre y Los Cortes</t>
  </si>
  <si>
    <t>Asociación de Usuarios del Acueducto Veredal Mercedes Abrego del Municipio de Girardota-Mercedes Abrego</t>
  </si>
  <si>
    <t>Asociación de Usuarios del Acueducto Multiveredal  José Antonio Correa ESP - El Totumo</t>
  </si>
  <si>
    <t xml:space="preserve">Asociación Comunitaria Acueducto Vereda La Palma Municipio de Girardota (ACUAPALMA)-Vereda La Palma y Sector San Antonio                               </t>
  </si>
  <si>
    <t>Vereda La Calera</t>
  </si>
  <si>
    <t>Acueducto La Calera</t>
  </si>
  <si>
    <t>Asociación de Usuarios Acueducto Nueva Antioquia - El Totumo</t>
  </si>
  <si>
    <t>Asociación de usuarios de Acueducto Vereda Jamundí-Sector Escuela</t>
  </si>
  <si>
    <t>Sistema de Abasto Vereda San Andrés - ASOAGUAS San Andrés</t>
  </si>
  <si>
    <t>Asociación de Usuarios de Acueducto y Alcantarillado Multiveredal San Esteban -San Esteban</t>
  </si>
  <si>
    <t xml:space="preserve">Sistema de Abasto Vereda Jamundí -Sector Los Rieles </t>
  </si>
  <si>
    <t>Asociación de Usuarios Acueducto Juan Cojo Cuchillas ASUAJUC  (PTAP Los Martínez) - Los Martínez</t>
  </si>
  <si>
    <t>Sistema de Abasto Vereda Potrerito</t>
  </si>
  <si>
    <t>Asociación de junta Administradora  de Acueducto El Barro - El Tigre</t>
  </si>
  <si>
    <t>Sistema de Abasto Vereda El Barro Sector Piedra Lisa</t>
  </si>
  <si>
    <t>Asociación de Suscriptores del Acueducto Multiveredal El Roble (PTAP La Toma)</t>
  </si>
  <si>
    <t>Asociación Campesina No Nacional de Usuarios del Acueducto y Alcantarillado de la Vereda Portachuelo- La Holanda</t>
  </si>
  <si>
    <t>Asociación Comunitaria Acueducto Vereda San Diego del Municipio de Girardota - ACUASANDIEGO (PTAP San Diego 1)</t>
  </si>
  <si>
    <t xml:space="preserve">Sistema de Abasto Los Encenillos   </t>
  </si>
  <si>
    <t xml:space="preserve">Asociación de Usuarios del Acueducto Vereda La Chuscala </t>
  </si>
  <si>
    <t>Junta de Acción Comunal Vereda Salinas-Malpaso</t>
  </si>
  <si>
    <t>Junta de Accion Comunal Vereda El Raizal</t>
  </si>
  <si>
    <t>Asociación de Usuarios del Acueducto Multiveredal Corrala, Corralita y Corrala - Corrala Parte Baja (ACORMIEL)</t>
  </si>
  <si>
    <t>Junta de Accion Comunal Vereda La Valeria</t>
  </si>
  <si>
    <t>Junta de Accion Comunal Vereda La Quiebra-Moraima</t>
  </si>
  <si>
    <t>Junta de Accion Comunal Vereda La Quiebra-San Francisco</t>
  </si>
  <si>
    <t>Junta de Accion Comunal Vereda La Quiebra-Las Juntas</t>
  </si>
  <si>
    <t>Junta de Acción Comunal Vereda Salada Parte Baja</t>
  </si>
  <si>
    <t>Junta de Accion Comunal Vereda La Aguacatala</t>
  </si>
  <si>
    <t>Junta de Accion Comunal Vereda La Clara</t>
  </si>
  <si>
    <t>Comité de Acueducto Vereda Cardalito</t>
  </si>
  <si>
    <t>Junta de Accion Comunal Vereda Maní del Cardal</t>
  </si>
  <si>
    <t>Junta Administradora Acueducto Vereda Primavera</t>
  </si>
  <si>
    <t>Asociación de Usuarios del Acueducto Veredal de La Raya</t>
  </si>
  <si>
    <t>Corporación de Usuarios de Acueducto y Alcantarillado Vereda María Auxiliadora</t>
  </si>
  <si>
    <t xml:space="preserve">Asociación de Usuarios del Acueducto Veredal Las Lomitas </t>
  </si>
  <si>
    <t>Asociacion de Usuarios del Acueducto Veredal Las Brisas y San Isidro E.S.P.</t>
  </si>
  <si>
    <t>Asociacion de Usuarios del Acueducto Veredal La Doctora E.S.P. La Doctora E.S.P.</t>
  </si>
  <si>
    <t>Corporacion de Usuarios de Acueducto y Alcantarillado Las Margaritas</t>
  </si>
  <si>
    <t xml:space="preserve"> Acueducto Veredal Canaveralejo</t>
  </si>
  <si>
    <t>Empresa de Servicios Publicos Domiciliarios La Estrella S.A E.S.P - Planta Sagrada Familia</t>
  </si>
  <si>
    <t>Empresa de Servicios Publicos Domiciliarios La Estrella S.A E.S.P - Planta Pueblo Viejo</t>
  </si>
  <si>
    <t>Empresa de Servicios Publicos Domiciliarios La Estrella S.A E.S.P - Planta San Isidro</t>
  </si>
  <si>
    <t>Empresa de Servicios Publicos Domiciliarios La Estrella S.A E.S.P - Planta San Jose</t>
  </si>
  <si>
    <t>Empresa de Servicios Publicos Domiciliarios La Estrella S.A E.S.P - Planta Morrón - Tarapacá</t>
  </si>
  <si>
    <t>Vereda La Bermejala</t>
  </si>
  <si>
    <t>Asociación de Usuarios Acueducto Vereda La Bermejala</t>
  </si>
  <si>
    <t>Vereda Tierra Amarilla Parte Baja</t>
  </si>
  <si>
    <t>Corregimiento de Churido Pueblo</t>
  </si>
  <si>
    <t>San Jose de Apartado</t>
  </si>
  <si>
    <t>Vereda Vijagual</t>
  </si>
  <si>
    <t>Vereda Naranjales</t>
  </si>
  <si>
    <t>Corregimiento de La Trinidad</t>
  </si>
  <si>
    <t>Corregimiento de La Candelaria</t>
  </si>
  <si>
    <t>Vereda Bajo Grande</t>
  </si>
  <si>
    <t>Corregimiento de Guadual Arriba</t>
  </si>
  <si>
    <t>Vereda Nueva Estrella</t>
  </si>
  <si>
    <t>Corregimiento Santa fe de las Platas</t>
  </si>
  <si>
    <t>Vereda San Jose del Carmelo</t>
  </si>
  <si>
    <t>Vereda Casa Verde</t>
  </si>
  <si>
    <t>Barrio Pueblo Nuevo</t>
  </si>
  <si>
    <t>Vereda Nueva Esperanza</t>
  </si>
  <si>
    <t>Corregimiento  El Silencio</t>
  </si>
  <si>
    <t>Vereda Guapá La India</t>
  </si>
  <si>
    <t>Vereda Guapá León</t>
  </si>
  <si>
    <t>Corregimiento Pavarandocito</t>
  </si>
  <si>
    <t>Vereda Nuevo Mundo</t>
  </si>
  <si>
    <t>Corregimiento Belén Bajirá</t>
  </si>
  <si>
    <t>Corregimiento Caucheras</t>
  </si>
  <si>
    <t>Vereda Porroso</t>
  </si>
  <si>
    <t>Corregimiento Bejuquillo</t>
  </si>
  <si>
    <t>Comunidad  los Cacaos</t>
  </si>
  <si>
    <t>Corregimiento  El Mellito #1</t>
  </si>
  <si>
    <t>Corregimiento  El Mellito #2</t>
  </si>
  <si>
    <t>Corregimiento Zapata</t>
  </si>
  <si>
    <t>Vereda El Caño Margen Izquierdo</t>
  </si>
  <si>
    <t>Vereda Arenas Monas</t>
  </si>
  <si>
    <t>Vereda Caracoli</t>
  </si>
  <si>
    <t>Corregimiento Currulao</t>
  </si>
  <si>
    <t>Corregimiento Rio Grande</t>
  </si>
  <si>
    <t>Corregimiento Nueva Colonia</t>
  </si>
  <si>
    <t>Corregimiento El Dos</t>
  </si>
  <si>
    <t>Corregimiento Alto Mulatos</t>
  </si>
  <si>
    <t>Corregimiento Nueva Antioquia</t>
  </si>
  <si>
    <t>Corregimiento San Vicente del Congo</t>
  </si>
  <si>
    <t>Corregimiento San Jose de Mulataos</t>
  </si>
  <si>
    <t>Junta Administradora de Acueducto Los Pantanos</t>
  </si>
  <si>
    <t>Junta Administradora de Acueducto La Florida</t>
  </si>
  <si>
    <t>Junta de Accion Comunal Puerto Triana-Las Peñitas</t>
  </si>
  <si>
    <t>Corregimiento El Jardin</t>
  </si>
  <si>
    <t>Empresa de Servicios Públicos Tamaná Caceres S.A. E.S.P.-Guarumo</t>
  </si>
  <si>
    <t>No esta en funcionamiento</t>
  </si>
  <si>
    <t>Batallón Rifles</t>
  </si>
  <si>
    <t xml:space="preserve">Batallon Militar Rifles - Planta de Tratamiento Batallon Rifles </t>
  </si>
  <si>
    <t>Vereda Piedras</t>
  </si>
  <si>
    <t>Junta de Accion Comunal Las Delicias Piedras</t>
  </si>
  <si>
    <t>Junta Administradora Acueducto Buenos Aires</t>
  </si>
  <si>
    <t>Vereda La Arenosa</t>
  </si>
  <si>
    <t xml:space="preserve">Junta Administradora  Acueducto Vereda Santa Ana </t>
  </si>
  <si>
    <t>Junta Administradora Acueducto El Granadillo Purima-Purima</t>
  </si>
  <si>
    <t>Asociación de Usuarios Acueducto El Erizo</t>
  </si>
  <si>
    <t xml:space="preserve">Asociacion de Usuarios del Acueducto de La Vereda  Chagualal </t>
  </si>
  <si>
    <t>Asociacion de Usuarios del Acueducto del Chagualo-El Caunzal</t>
  </si>
  <si>
    <t xml:space="preserve">Asociacion de Usuarios del Acueducto  La Cascada </t>
  </si>
  <si>
    <t xml:space="preserve">Asociacion de Usuarios del Acueducto Asientos Canoas </t>
  </si>
  <si>
    <t>Asociacion de Usuarios Acueducto Portugal</t>
  </si>
  <si>
    <t>Asociacion de Usuarios Acueducto Multiveredal El Guaico  ASOAGUA E.S.P-Santa Catalina</t>
  </si>
  <si>
    <t>Asociacion de Usuarios Acueducto Multiveredal El Guaico  ASOAGUA E.S.P-Buey Colmenas</t>
  </si>
  <si>
    <t>Asociacion de Usuarios Acueducto Multiveredal El Guaico  ASOAGUA E.S.P-Morron</t>
  </si>
  <si>
    <t>Asociacion de Usuarios Acueducto Multiveredal El Guaico  ASOAGUA E.S.P-La Saltadera</t>
  </si>
  <si>
    <t>Asociacion de Usuarios Acueducto Multiveredal El Guaico  ASOAGUA E.S.P-Altamira</t>
  </si>
  <si>
    <t>Asociacion de Usuarios Acueducto Multiveredal El Guaico  ASOAGUA E.S.P-El Guadual</t>
  </si>
  <si>
    <t>Asociacion de Usuarios Acueducto Multiveredal El Guaico  ASOAGUA E.S.P-San Pedro</t>
  </si>
  <si>
    <t>Asociacion Acueducto Multiveredal Pantanillo ACUMUPAN-Corregimiento Pantanillo</t>
  </si>
  <si>
    <t>Asociacion de Usuarios del Acueducto Multiveredal Pantatnilo ACUMUPAN-Mata de Guadua</t>
  </si>
  <si>
    <t>Asociacion de Usuarios del Acueducto Multiveredal Pantatnilo ACUMUPAN-Sotayac</t>
  </si>
  <si>
    <t xml:space="preserve">Junta Administradora Acueducto La Samaria </t>
  </si>
  <si>
    <t xml:space="preserve">Asociacion de Usuarios del Acuedcuto Veredal Quebradanegra Abejorral </t>
  </si>
  <si>
    <t>Asociacion de Usuarios del Acueducto Multiveredal Pantatnilo ACUMUPAN-Corinto</t>
  </si>
  <si>
    <t>Asociacion de Usuarios del Acueducto La Primavera Chagualal Abejorral</t>
  </si>
  <si>
    <t>Asociacion de Usuarios del Acueducto Multiveredal Pantatnilo ACUMUPAN-El Vesubio</t>
  </si>
  <si>
    <t>Asociacion de Usuarios Acueducto Multiveredal El Guaico  ASOAGUA E.S.P-San Luis</t>
  </si>
  <si>
    <t>Asociacion de Usuarios del Acueducto Multiveredal Pantatnilo ACUMUPAN-Llano Grande</t>
  </si>
  <si>
    <t>Asociacion de Usuarios del Acueducto Multiveredal Pantatnilo ACUMUPAN-Monteloro</t>
  </si>
  <si>
    <t>Asociacion de Usuarios del Acueducto Ventiaderos Abejorral</t>
  </si>
  <si>
    <t>Asociacion de Usuarios del Acueducto Multiveredal Pantatnilo ACUMUPAN-San Bernardo</t>
  </si>
  <si>
    <t>Asociacion de Usuarios del Acueducto Multiveredal Pantatnilo ACUMUPAN-La Perdida</t>
  </si>
  <si>
    <t>Asociacion de Usuarios del Acueducto Multiveredal Pantatnilo ACUMUPAN-Las Trojas</t>
  </si>
  <si>
    <t>Junta Administradora Acueducto El Granadillo Purima-Granadillo</t>
  </si>
  <si>
    <t>NUMERO DE SUSCRIPTORES RESIDENCIALES</t>
  </si>
  <si>
    <r>
      <t>SUBREGION:</t>
    </r>
    <r>
      <rPr>
        <sz val="12"/>
        <rFont val="Arial"/>
        <family val="2"/>
      </rPr>
      <t xml:space="preserve"> VALLE DE ABURRA</t>
    </r>
  </si>
  <si>
    <t>Acueducto Media Luna</t>
  </si>
  <si>
    <t>Vereda Aguas Frias-Corregimiento Altavista</t>
  </si>
  <si>
    <t>Vereda Montañita-Corregimiento San Antonio de Prado</t>
  </si>
  <si>
    <t>VEREDA PIEDRECITAS</t>
  </si>
  <si>
    <t>ASOCIACION AGUAS DEL LITORAL</t>
  </si>
  <si>
    <t>VEREDA COPE</t>
  </si>
  <si>
    <t>OPTIMA DE URABA S.A. E.S.P.</t>
  </si>
  <si>
    <t>CORREGIMIENTO RIO GRANDE</t>
  </si>
  <si>
    <t>CORREGIMIENTO NUEVA COLONIA</t>
  </si>
  <si>
    <t>COREGIMIENTO EL DOS</t>
  </si>
  <si>
    <t>ASOACUEDOS E.S.P.</t>
  </si>
  <si>
    <t>CORREGIMIENTO ALTO MULATOS</t>
  </si>
  <si>
    <t>JUNTA DE ACCION COMUNAL</t>
  </si>
  <si>
    <t>CORREGIMIENTO SAN JOSE DE MULATOS</t>
  </si>
  <si>
    <t>CORREGIMIENTO NUEVA ANTIOQUIA</t>
  </si>
  <si>
    <t>JUNTA DE ACCION COMUNAL CORREGIMIENTO NUEVA ANTIOQUIA</t>
  </si>
  <si>
    <t>CORREGIMIENTO SAN VICENTE DEL CONGO</t>
  </si>
  <si>
    <t xml:space="preserve">   </t>
  </si>
  <si>
    <t>14.1  -  35 % 
Riesgo Medio</t>
  </si>
  <si>
    <t>Vereda San Sebastian</t>
  </si>
  <si>
    <t>Vereda El Hoyito</t>
  </si>
  <si>
    <t>Vereda Rio Necoclí</t>
  </si>
  <si>
    <t>Vereda Morron</t>
  </si>
  <si>
    <t>Vereda Los Pantanos</t>
  </si>
  <si>
    <t>Corregimiento Pueblo Nuevo</t>
  </si>
  <si>
    <t>Vereda La Lomita</t>
  </si>
  <si>
    <t>Vereda Guaimaral</t>
  </si>
  <si>
    <t>Vereda El Diamante</t>
  </si>
  <si>
    <t>Vereda El Erizo</t>
  </si>
  <si>
    <t>Vereda Chagualal</t>
  </si>
  <si>
    <t>Vereda Portugal</t>
  </si>
  <si>
    <t>Corregimiento El Guaico</t>
  </si>
  <si>
    <t>Vereda La Saltadera</t>
  </si>
  <si>
    <t>Corregimiento Pantanillo</t>
  </si>
  <si>
    <t>Asociación Acueducto Veredal Naranjal La Llanada-Naranjal</t>
  </si>
  <si>
    <t>Vereda Mata de Guadua</t>
  </si>
  <si>
    <t>Vereda Sotayac</t>
  </si>
  <si>
    <t xml:space="preserve">Vereda El Chagualo </t>
  </si>
  <si>
    <t>Vereda Quebrada Negra</t>
  </si>
  <si>
    <t>Vereda Corinto</t>
  </si>
  <si>
    <t>Asociación Acueducto Veredal Naranjal La Llanada-La Llanada</t>
  </si>
  <si>
    <t>Vereda San Bernardo</t>
  </si>
  <si>
    <t>Vereda La Perdida</t>
  </si>
  <si>
    <t>Vereda Las Trojas</t>
  </si>
  <si>
    <t>Vereda Granadillo</t>
  </si>
  <si>
    <t>Vereda Portachuelo</t>
  </si>
  <si>
    <t>Vereda Corrientes</t>
  </si>
  <si>
    <t>Vereda Filo Verde</t>
  </si>
  <si>
    <t>Vereda La Valeria</t>
  </si>
  <si>
    <t>Vereda Salada Parte Baja</t>
  </si>
  <si>
    <t>Vereda El Raizal</t>
  </si>
  <si>
    <t>Vereda La Aguacatala</t>
  </si>
  <si>
    <t>Vereda La Raya</t>
  </si>
  <si>
    <t>Vereda El Cano</t>
  </si>
  <si>
    <t>Vereda Cabuyal</t>
  </si>
  <si>
    <t>Vereda Manga Arriba-Etapa I</t>
  </si>
  <si>
    <t>Vereda San Esteban</t>
  </si>
  <si>
    <t>Vereda San Diego-Sector I</t>
  </si>
  <si>
    <t>Vereda Las Brisas y San Isidro</t>
  </si>
  <si>
    <t>Vereda Camerun</t>
  </si>
  <si>
    <t>Vereda Aguas Claras</t>
  </si>
  <si>
    <t>Vereda La Martina</t>
  </si>
  <si>
    <t>Vereda Cope</t>
  </si>
  <si>
    <t>Corregimiento El Reposo</t>
  </si>
  <si>
    <t xml:space="preserve">Vereda Los Mandarinos </t>
  </si>
  <si>
    <t>Vereda 28 De Octubre</t>
  </si>
  <si>
    <t>Vereda Carepita Promexcol</t>
  </si>
  <si>
    <t>Vereda Villa Arteaga</t>
  </si>
  <si>
    <t>Vereda Ceibita</t>
  </si>
  <si>
    <t>Corregimiento Changas</t>
  </si>
  <si>
    <t>Corregimiento  Mello Villa Vicencio</t>
  </si>
  <si>
    <t>Vereda La Comarca</t>
  </si>
  <si>
    <t>Vereda Villa Sonia</t>
  </si>
  <si>
    <t>Corregimiento Mulatos</t>
  </si>
  <si>
    <t>Corregimiento Caribia</t>
  </si>
  <si>
    <t>Vereda Villa Nueva</t>
  </si>
  <si>
    <t>Vereda Loma de Piedra</t>
  </si>
  <si>
    <t>Vereda Piedrecitas</t>
  </si>
  <si>
    <t>Vereda Manga Arriba-La Loma</t>
  </si>
  <si>
    <t>Vereda Meleguindo</t>
  </si>
  <si>
    <t>Vereda Tarapaca</t>
  </si>
  <si>
    <t>Corregimiento Barranquillita</t>
  </si>
  <si>
    <t>Vereda El Totumo</t>
  </si>
  <si>
    <t>Vereda El Cortado</t>
  </si>
  <si>
    <t>Vereda Las Victorias</t>
  </si>
  <si>
    <t>Vereda Popalito</t>
  </si>
  <si>
    <t>El Escobero</t>
  </si>
  <si>
    <t>Vereda Cardalito</t>
  </si>
  <si>
    <t>Vereda Loma Verde</t>
  </si>
  <si>
    <r>
      <rPr>
        <sz val="11"/>
        <rFont val="Arial"/>
        <family val="2"/>
      </rPr>
      <t>5.1  - 14 %:</t>
    </r>
    <r>
      <rPr>
        <b/>
        <sz val="11"/>
        <rFont val="Arial"/>
        <family val="2"/>
      </rPr>
      <t xml:space="preserve">  
Riesgo Bajo</t>
    </r>
  </si>
  <si>
    <t>Código:  F0-M2-P5-1893</t>
  </si>
  <si>
    <t>Fecha de aprobación:  19-01-2018</t>
  </si>
  <si>
    <t>INFORME MENSUAL DEL INDICE DE RIESGO DE CALIDAD DEL AGUA  ACUEDUCTOS RURALES 2018</t>
  </si>
  <si>
    <t xml:space="preserve">Asociacion de Usuarios del Acueducto del Chagualo -El Chagualo </t>
  </si>
  <si>
    <t>Vereda El Volcan</t>
  </si>
  <si>
    <t xml:space="preserve">Asociacion de Usuarios del Acueducto El Volcan </t>
  </si>
  <si>
    <t>Vereda Loma Alta</t>
  </si>
  <si>
    <t xml:space="preserve">Asociacion  de Usuarios  del acueducto de la peña y loma alta   - Vereda loma alta </t>
  </si>
  <si>
    <t>Junta Administradora Acueducto Cañaveral</t>
  </si>
  <si>
    <t>Vereda Canoas La Esperanza</t>
  </si>
  <si>
    <t>Vereda Guayaquil</t>
  </si>
  <si>
    <t xml:space="preserve">Asociacion de Usuarios del Acuedcuto Vereda Guayaquil </t>
  </si>
  <si>
    <t xml:space="preserve">Vereda La Samaria </t>
  </si>
  <si>
    <t xml:space="preserve"> Vereda El Chagualo Caunzal </t>
  </si>
  <si>
    <t>Vereda  Buey Colmenas</t>
  </si>
  <si>
    <t>Asociacion de Usuarios Acueducto Multiveredal El Guaico ASUAGUA ESP- El Zancudo Corregimiento El Guaico</t>
  </si>
  <si>
    <t>Vereda  Altamira</t>
  </si>
  <si>
    <t xml:space="preserve"> Vereda San Pedro</t>
  </si>
  <si>
    <t>Vereda La Llanada</t>
  </si>
  <si>
    <t xml:space="preserve">Vereda Naranjal </t>
  </si>
  <si>
    <t>Asociacion de Usuarios del Acueducto Multiveredal Pantatnilo ACUMUPAN-Guayabal</t>
  </si>
  <si>
    <t>Vereda El Vesubio</t>
  </si>
  <si>
    <t xml:space="preserve">Vereda El Ancla Pantano Negro </t>
  </si>
  <si>
    <t xml:space="preserve">Asociacion de Usuarios del Acueducto El Ancla de La Vereda de Pantanonegro </t>
  </si>
  <si>
    <t>Vereda La Primavera Chagualal</t>
  </si>
  <si>
    <t xml:space="preserve">Vereda La Maria La Betulia </t>
  </si>
  <si>
    <t xml:space="preserve">Junta Administradora Acueducto La Maria-La Betulia </t>
  </si>
  <si>
    <t>Asociación Junta Administradora Acueducto La Peña-La Peña</t>
  </si>
  <si>
    <t xml:space="preserve">Vereda La Betulia </t>
  </si>
  <si>
    <t xml:space="preserve">Junta Administradora Acueducto La Betulia -La Betulia </t>
  </si>
  <si>
    <t>Junta Administradora Acueducto Quebradona Abajo</t>
  </si>
  <si>
    <t>Vereda La Polka</t>
  </si>
  <si>
    <t>Junta Administradora Acueducto La Polka</t>
  </si>
  <si>
    <t>Vereda Circita</t>
  </si>
  <si>
    <t>Junta Administradora Acueducto Circita</t>
  </si>
  <si>
    <t>Junta Acción Comunal La Esperanza</t>
  </si>
  <si>
    <t>Vereda Ventiladeros</t>
  </si>
  <si>
    <t xml:space="preserve">Vereda Purima </t>
  </si>
  <si>
    <t>Vereda El Popo</t>
  </si>
  <si>
    <t>Asociacion de Usuarios del Acueducto Veredal El Popo</t>
  </si>
  <si>
    <t>Vereda  Las Cruces</t>
  </si>
  <si>
    <t>Asociacion de Usuarios Suscriptores del Acueducto Multiveredal Cruces,El Cerro,La Inmaculada y San Jose-Las Cruces</t>
  </si>
  <si>
    <t>Vereda San Jose</t>
  </si>
  <si>
    <t>Asociacion de Usuarios Suscriptores del Acueducto Multiveredal Cruces,El Cerro,La Inmaculada y San Jose-San Jose</t>
  </si>
  <si>
    <t>Asociacion de Ususarios Suscriptores del Acueducto Multiveredal Cruces El Cerro La Inmaculada y San Jose-El Cerro</t>
  </si>
  <si>
    <t>Vereda San Miguel El Respaldo</t>
  </si>
  <si>
    <t>Asociacion de Usuarios del Acueducto Rural San Miguel El Respaldo</t>
  </si>
  <si>
    <t>Vereda El Carbón</t>
  </si>
  <si>
    <t>Asociacion de Ususarios del Acueducto Multiveredal  El Tambo Vereda El Carbón</t>
  </si>
  <si>
    <t>Vereda La Inmaculada</t>
  </si>
  <si>
    <t>Asociación de Usuarios Suscriptores del Acueducto Multiveredal Cruces El Cerro La Inmaculada y San Jose-La Inmaculada</t>
  </si>
  <si>
    <t>Vereda El Fresnito</t>
  </si>
  <si>
    <t>Acueducto  La Linda- El Fresnito</t>
  </si>
  <si>
    <t>Junta Administradora Acueducto La Estrella</t>
  </si>
  <si>
    <t>Vereda La Plata</t>
  </si>
  <si>
    <t>Junta Administradora Acueducto  La Quiebra-La Plata</t>
  </si>
  <si>
    <t>Junta Administradora Acueducto San Pablo</t>
  </si>
  <si>
    <t>Junta Administradora El Zancudo</t>
  </si>
  <si>
    <t>Junta Admnistradora Acueducto Guaimaral</t>
  </si>
  <si>
    <t>Junta Admnistradora Acueducto Guadual</t>
  </si>
  <si>
    <t>Junta Administradora Acueducto La Mina</t>
  </si>
  <si>
    <t>Junta Administradora Acueducto San Luis</t>
  </si>
  <si>
    <t>Vereda El Cabuyo</t>
  </si>
  <si>
    <t>Junta Administradora El Cabuyo</t>
  </si>
  <si>
    <t>Junta Administradora El Diamante</t>
  </si>
  <si>
    <t>Junta Administradora El Rosario</t>
  </si>
  <si>
    <t>Vereda La Julia</t>
  </si>
  <si>
    <t>Junta Administradora  La Julia</t>
  </si>
  <si>
    <t>Junta de Acción Comunal  La Primavera</t>
  </si>
  <si>
    <t>Vereda El Oro</t>
  </si>
  <si>
    <t>Junta Administradora  El Oro</t>
  </si>
  <si>
    <t>Vereda Rancho Largo Parte Alta</t>
  </si>
  <si>
    <t>Junta Administradora Rancho Largo Parte Alta</t>
  </si>
  <si>
    <t>Vereda Rancho Largo Parte  Baja</t>
  </si>
  <si>
    <t>Junta Administradora Rancho Largo Parte Baja</t>
  </si>
  <si>
    <t>Vereda Villeta Florida</t>
  </si>
  <si>
    <t>Junta Administradora Villeta Florida</t>
  </si>
  <si>
    <t>Vereda San Agustin</t>
  </si>
  <si>
    <t>Junta Administradora Acueducto Vereda San Agustin</t>
  </si>
  <si>
    <r>
      <t xml:space="preserve">SUBREGION: </t>
    </r>
    <r>
      <rPr>
        <sz val="11"/>
        <rFont val="Arial"/>
        <family val="2"/>
      </rPr>
      <t>ORIENTE</t>
    </r>
  </si>
  <si>
    <t>Vereda Boqueron</t>
  </si>
  <si>
    <t>Asociacion de Socios del Acueducto Boqueron del Municipio de El Carmen de Viboral</t>
  </si>
  <si>
    <t>Vereda La Chapa</t>
  </si>
  <si>
    <t>Asociación de Socios del Acueducto Vereda La Chapa del Municipio del Carmen de Viboral-La Chapa</t>
  </si>
  <si>
    <t>Sector Puente Larga</t>
  </si>
  <si>
    <t>Asociación de Socios del Acueducto Vereda La Chapa del Municipio del Carmen de Viboral-Sector Puente Larga</t>
  </si>
  <si>
    <t>Vereda Campo Alegre</t>
  </si>
  <si>
    <t>Asociacion de Socios del Acueducto y Alcantarillado Campo Alegre de El Municipio de El Carmen de Viboral</t>
  </si>
  <si>
    <t>Vereda La Madera - La Morena</t>
  </si>
  <si>
    <t>Asociacion de Socios del Acueducto El Dragal y La Morena Vereda La Madera Municipio El Carmen de Viboral-La Morena</t>
  </si>
  <si>
    <t>Vereda La Madera - El Dragal</t>
  </si>
  <si>
    <t>Asociacion de Socios del Acueducto El Dragal y La Morena Vereda La Madera Municipio El Carmen de Viboral-El Dragal</t>
  </si>
  <si>
    <t>Vereda Camargo</t>
  </si>
  <si>
    <t>Asociacion de Socios del Acueducto Camargo</t>
  </si>
  <si>
    <t>Vereda Betania 1-La cabaña</t>
  </si>
  <si>
    <t>Asociacion de Usuarios del Acueducto Betania, del Municipio de El Carmen de Viboral-Betania 1</t>
  </si>
  <si>
    <t>Vereda Betania 2-Los Giraldos</t>
  </si>
  <si>
    <t>Asociacion de Usuarios del Acueducto Betania, del Municipio de El Carmen de Viboral-Betania 2</t>
  </si>
  <si>
    <t>Vereda Betania 3- Los alcáceres</t>
  </si>
  <si>
    <t>Asociacion de Usuarios del Acueducto Betania, del Municipio de El Carmen de Viboral-Betania 3</t>
  </si>
  <si>
    <t>Vereda Rivera</t>
  </si>
  <si>
    <t>Asociacion de Socios del Acueducto La Palma Rivera Altogrande de Las Veredas La Palma Rivera Altogrande-Rivera</t>
  </si>
  <si>
    <t>Asociacion de Socios del Acueducto La Palma Rivera Altogrande de Las Veredas La Palma Rivera Altogrande-La Palma</t>
  </si>
  <si>
    <t>Vereda Alto Grande</t>
  </si>
  <si>
    <t>Asociacion de Socios del Acueducto La Palma Rivera Altogrande de Las Veredas La Palma Rivera Altogrande-Alto Grande</t>
  </si>
  <si>
    <t>Vereda  La Aurora El Quemado</t>
  </si>
  <si>
    <t>Asociacion de Usuarios del Acueducto La Aurora Viboral Municipio de El Carmen de Viboral-El Quemado</t>
  </si>
  <si>
    <t>Vereda Viboral  El Quemado</t>
  </si>
  <si>
    <t>Asociacion de Usuarios del Acueducto La Aurora Viboral Municipio de El Carmen de Viboral-Viboral  El Quemado</t>
  </si>
  <si>
    <t>Vereda Viboral La Linda</t>
  </si>
  <si>
    <t>Asociacion de Usuarios del Acueducto La Aurora Viboral Municipio de El Carmen de Viboral-Viboral   La Linda</t>
  </si>
  <si>
    <t>Vereda  La Aurora La Linda</t>
  </si>
  <si>
    <t>Asociacion de Usuarios del Acueducto La Aurora Viboral Municipio de El Carmen de Viboral-La Linda</t>
  </si>
  <si>
    <t>Sector Las Brisas</t>
  </si>
  <si>
    <t>Asociacion de Usuarios del Acueducto La Aurora Viboral Municipio de El Carmen de Viboral-Sector Las Brisas</t>
  </si>
  <si>
    <t>Vereda La Milagrosa</t>
  </si>
  <si>
    <t>Asociacion de Usuarios del Acueducto Aguas Claras del Municipio del Carmen de Viboral-La Milagrosa</t>
  </si>
  <si>
    <t>Asociacion de Usuarios del Acueducto Aguas Claras del Municipio del Carmen de Viboral-Aguas Claras</t>
  </si>
  <si>
    <t>Vereda Guamito</t>
  </si>
  <si>
    <t>Asociacion de Usuarios del Acueducto Aguas Claras del Municipio del Carmen de Viboral-Guamito</t>
  </si>
  <si>
    <t>Vereda Quirama</t>
  </si>
  <si>
    <t>Asociacion de Usuarios del Acueducto Aguas Claras del Municipio del Carmen de Viboral-Quirama</t>
  </si>
  <si>
    <t>Vereda El salado</t>
  </si>
  <si>
    <t>Asociacion de Socios del Acueducto El Cerro, Samaria, La Milagrosa, Quirama, Cristo Rey y El Saldo-El Salado</t>
  </si>
  <si>
    <t>Vereda Samaria</t>
  </si>
  <si>
    <t>Asociacion de Socios del Acueducto El Cerro, Samaria, La Milagrosa, Quirama, Cristo Rey y El Saldo-Samaria</t>
  </si>
  <si>
    <t>Vereda Cristo Rey</t>
  </si>
  <si>
    <t>Asociacion de Socios del Acueducto El Cerro, Samaria, La Milagrosa, Quirama, Cristo Rey y El Saldo-Cristo Rey</t>
  </si>
  <si>
    <t>Vereda La Sonadora</t>
  </si>
  <si>
    <t>Asociacion de Socios del Acueducto y Alcantarillado Sonadora Garzonas-Sonadora</t>
  </si>
  <si>
    <t>Vereda Las Garzonas</t>
  </si>
  <si>
    <t>Asociacion de Socios del Acueducto y Alcantarillado Sonadora Garzonas -Garzonas</t>
  </si>
  <si>
    <t>Vereda Las Acacias</t>
  </si>
  <si>
    <t>Asociacion de Socios del Acueducto de Las Acacias del Municipio del Carmen de Viboral</t>
  </si>
  <si>
    <t>Vereda Mazorcal</t>
  </si>
  <si>
    <t>Asociacion de Socios del Acueducto Mazorcal</t>
  </si>
  <si>
    <t>Asociacion de Socios del Acueducto La Florida Municipio de El Carmen de Viboral departamento de Antioquia</t>
  </si>
  <si>
    <t>Vereda Rivera Arriba</t>
  </si>
  <si>
    <t>Asociacion de Socios del Acueducto Rivera Arriba</t>
  </si>
  <si>
    <t>Asociacion de Socios del Acueducto El Cerro, Samaria, La Milagrosa, Quirama, Cristo Rey y El Saldo-La Milagrosa</t>
  </si>
  <si>
    <t>Asociacion de Socios del Acueducto El Cerro, Samaria, La Milagrosa, Quirama, Cristo Rey y El Saldo-El Cerro</t>
  </si>
  <si>
    <t>Asociacion de Socios del Acueducto El Cerro, Samaria, La Milagrosa, Quirama, Cristo Rey y El Saldo-Quirama</t>
  </si>
  <si>
    <t>Vereda Risaralda</t>
  </si>
  <si>
    <t>Asociacion de Usuarios del Acueducto Veredal Risaralda Municipio de Amalfi</t>
  </si>
  <si>
    <t>Corregimiento Portachuelo</t>
  </si>
  <si>
    <t>Acueducto Junta de Acción Comunal Portachuelo Comité</t>
  </si>
  <si>
    <t>Vereda La Maria</t>
  </si>
  <si>
    <t>Junta de Acción Comunal Pro Acueducto Vereda La Maria</t>
  </si>
  <si>
    <t>Vereda  Montebello Parte Alta</t>
  </si>
  <si>
    <t>Junta de Accion Comunal de La Vereda Montebello- Parte Alta</t>
  </si>
  <si>
    <t>Vereda  Montebello La Pradera</t>
  </si>
  <si>
    <t>Junta de Accion Comunal Comité Proacueducto Vereda Montebello -La Pradera</t>
  </si>
  <si>
    <t>Campamento El Tablon</t>
  </si>
  <si>
    <t>EPM-Campamento El tablon</t>
  </si>
  <si>
    <t>Vereda Bellavista</t>
  </si>
  <si>
    <t>Vereda Cruces</t>
  </si>
  <si>
    <t>Vereda El Limón</t>
  </si>
  <si>
    <t>Acueducto Multiveredal El Limón</t>
  </si>
  <si>
    <t>Vereda El Retiro</t>
  </si>
  <si>
    <t>Acueducto Multiveredal El Retiro</t>
  </si>
  <si>
    <t>Campamento Primavera EPM</t>
  </si>
  <si>
    <t>Acueducto Campamento Primavera EPM</t>
  </si>
  <si>
    <t>Vereda La Soledad</t>
  </si>
  <si>
    <t>Vereda Montefrio</t>
  </si>
  <si>
    <t>Vereda Pajonal</t>
  </si>
  <si>
    <t>Vereda Santo Domingo</t>
  </si>
  <si>
    <t>Vereda  El Cadillo</t>
  </si>
  <si>
    <t>Junta de Accion Comunal El Cadillo</t>
  </si>
  <si>
    <t>Vereda El Dos</t>
  </si>
  <si>
    <t>Junta de Accion Comunal El Dos</t>
  </si>
  <si>
    <t>Junta de Accion Comunal El Limón</t>
  </si>
  <si>
    <t>Vereda La Piñuela</t>
  </si>
  <si>
    <t xml:space="preserve">Corporación Acueducto Comunitario Vereda La Piñuela </t>
  </si>
  <si>
    <t>Junta Accion Comunal Los Cedros</t>
  </si>
  <si>
    <t>Vereda El Coco</t>
  </si>
  <si>
    <t>Junta Administradora Acueducto El Coco</t>
  </si>
  <si>
    <t>Vereda El Choco</t>
  </si>
  <si>
    <t>Junta Administradora Acueducto Choco Molin</t>
  </si>
  <si>
    <t xml:space="preserve">Asociación de Usuarios de Acueducto (ASOCOCORNA) Vereda San Jose </t>
  </si>
  <si>
    <t xml:space="preserve">Junta Administradora Acueducto Cruces </t>
  </si>
  <si>
    <t>Vereda Palmirita</t>
  </si>
  <si>
    <t>Junta Administradora Acueducto Palmirita</t>
  </si>
  <si>
    <t>Junta Administradora de Acueducto Santo Domingo</t>
  </si>
  <si>
    <t>Vereda La Veta</t>
  </si>
  <si>
    <t>Asociación de Usuarios de Acueducto (ASOVETA) Vereda La Veta</t>
  </si>
  <si>
    <t>Vereda El Viadal</t>
  </si>
  <si>
    <t>Junta Administradora Acueducto El Viadal</t>
  </si>
  <si>
    <t>Vereda San Juan Sector Arboleda</t>
  </si>
  <si>
    <t>Junta Administradora Acueducto San Juan</t>
  </si>
  <si>
    <t>Vereda San Antonio</t>
  </si>
  <si>
    <t xml:space="preserve">Junta Admistradora Acueducto San Antonio </t>
  </si>
  <si>
    <t>Vereda El Higueron</t>
  </si>
  <si>
    <t>Junta Administradora Acueducto El Higueron</t>
  </si>
  <si>
    <t>Vereda Mazotes</t>
  </si>
  <si>
    <t>Junta Administradora Acueducto Mazotes</t>
  </si>
  <si>
    <t>Vereda La Placeta</t>
  </si>
  <si>
    <t>Junta Administradora Acueducto La Placeta</t>
  </si>
  <si>
    <t>Vereda Chorrera</t>
  </si>
  <si>
    <t>Junta Administradora Acueducto La Chorrera</t>
  </si>
  <si>
    <t>Vereda San Lorenzo</t>
  </si>
  <si>
    <t>Junta Administradora Acueducto San Lorenzo</t>
  </si>
  <si>
    <t>Vereda  Alto San Juan</t>
  </si>
  <si>
    <t>Junta de Acción Comunal Vereda San Juan Alto</t>
  </si>
  <si>
    <t>Vereda  San Pedro Bajo</t>
  </si>
  <si>
    <t>Junta de Acción Comunal Vereda San Pedro Bajo</t>
  </si>
  <si>
    <t>Vereda  Arango</t>
  </si>
  <si>
    <t>Junta de Acción Comunal Vereda Arango</t>
  </si>
  <si>
    <t>Vereda  Palmichal</t>
  </si>
  <si>
    <t>Junta de Acción Comunal Vereda Palmichal</t>
  </si>
  <si>
    <t>Vereda  La Magdalena</t>
  </si>
  <si>
    <t>Asociacion de Usuarios del Acueducto La Magdalena San Lorenzo</t>
  </si>
  <si>
    <t>Vereda  Bonilla Arriba</t>
  </si>
  <si>
    <t>Asociacion de Usuarios Acueducto Bonilla Arriba</t>
  </si>
  <si>
    <t>Vereda  Helida</t>
  </si>
  <si>
    <t>Asociacion de Usuarios Acueducto Helida Concordia- Helida</t>
  </si>
  <si>
    <t>Vereda  Horizontes</t>
  </si>
  <si>
    <t>Asociacion de Usuarios Acueducto Horizontes-Horizontes</t>
  </si>
  <si>
    <t>Vereda  El Marial</t>
  </si>
  <si>
    <t>Asociacion de Usuarios del Acueducto Palmira Marial-El Marial</t>
  </si>
  <si>
    <t>Vereda  Santa Ana</t>
  </si>
  <si>
    <t>Asociacion de Usuarios del Acueducto Joaquin y Ana</t>
  </si>
  <si>
    <t>Vereda  La Chapa</t>
  </si>
  <si>
    <t>Asociacion de Usuarios del Acueducto La Chapa</t>
  </si>
  <si>
    <t>Vereda  Santa Ines</t>
  </si>
  <si>
    <t>Asociacion de Usuarios del Acueducto Multiveredal El Salto, Santa Ines, Primavera, Culebra-Santa Ines</t>
  </si>
  <si>
    <t>Vereda  El Salto</t>
  </si>
  <si>
    <t>Asociacion de Usuarios del Acueducto Multiveredal El Salto, Santa Ines, Primavera, Culebra-El Salto</t>
  </si>
  <si>
    <t>Vereda  Culebra</t>
  </si>
  <si>
    <t>Asociacion de Usuarios del Acueducto Multiveredal El Salto, Santa Ines, Primavera, Culebra-Culebra</t>
  </si>
  <si>
    <t>Vereda  Primavera</t>
  </si>
  <si>
    <t>Asociacion de Usuarios del Acueducto Multiveredal El Salto, Santa Ines, Primavera, Culebra-Primavera</t>
  </si>
  <si>
    <t>Vereda  Palmira</t>
  </si>
  <si>
    <t>Asociacion de Usuarios del Acueducto Palmira Marial-Palmira</t>
  </si>
  <si>
    <t>Vereda  Palestina</t>
  </si>
  <si>
    <t>Asociacion de Socios, Suscriptores y Usuarios del Acueducto Bonilla-Palestina -Palestina</t>
  </si>
  <si>
    <t>Vereda  El Morro</t>
  </si>
  <si>
    <t>Asociacion de Usuarios Acueducto Jesús Arcesio Botero-El Morro</t>
  </si>
  <si>
    <t>Vereda  Concordia</t>
  </si>
  <si>
    <t>Asociacion de Usuarios Acueducto Helida Concordia-Concordia</t>
  </si>
  <si>
    <t>Vereda  Bonilla</t>
  </si>
  <si>
    <t xml:space="preserve"> Asociacion de Socios, Suscriptores y Usuarios del Acueducto Bonilla  palestina -Bonilla parte baja</t>
  </si>
  <si>
    <t>Vereda  La Cristalina</t>
  </si>
  <si>
    <t>Asociacion de Usuarios del Acueducto Vereda La Cristalina</t>
  </si>
  <si>
    <t>Vereda  Uvital</t>
  </si>
  <si>
    <t>Asociacion de Usuarios Acueducto Jesús Arcesio Botero- El Uvital</t>
  </si>
  <si>
    <t>Vereda  La Meseta</t>
  </si>
  <si>
    <t>Asociacion de Usuarios del Acueducto El Chilco -Chiquinquira y La Meseta-La Meseta</t>
  </si>
  <si>
    <t>Vereda  El Chilco</t>
  </si>
  <si>
    <t>Asociacion de Usuarios del Acueducto El Chilco -Chiquinquira y La Meseta-El Chilco</t>
  </si>
  <si>
    <t>Vereda  Chiquinquira</t>
  </si>
  <si>
    <t>Asociacion de Usuarios del Acueducto El Chilco -Chiquinquira y La Meseta-Chiquinquira</t>
  </si>
  <si>
    <t>Vereda  Guamito</t>
  </si>
  <si>
    <t xml:space="preserve"> Asociacion de Usuarios del Acueducto Guamito - Guamito</t>
  </si>
  <si>
    <t>Vereda  Puente Hondita</t>
  </si>
  <si>
    <t>Asociacion de Socios Suscriptores y Usuarios del Acueducto Puente Hondita</t>
  </si>
  <si>
    <t>Asociacion de Usuarios del Acueducto El Chilco (Arriba)</t>
  </si>
  <si>
    <t>Asociacion de Usuarios Acueducto Jesús Arcesio Botero-Chiquinquira</t>
  </si>
  <si>
    <t>Sector la Zulia</t>
  </si>
  <si>
    <t>Asociacion de Usuarios Acueducto Jesús Arcesio Botero-Zulia</t>
  </si>
  <si>
    <t xml:space="preserve"> Asociacion de Usuarios del Acueducto Guamito - El Morro</t>
  </si>
  <si>
    <t>Asociacion de Usuarios Acueducto Horizontes-El Salto (parte baja)</t>
  </si>
  <si>
    <t>Vereda Don Diego</t>
  </si>
  <si>
    <t>Corporación Civica de Socios del Acueducto Don Diego</t>
  </si>
  <si>
    <t>Vereda Villa Elena</t>
  </si>
  <si>
    <t>Vereda Pantalio</t>
  </si>
  <si>
    <t>Vereda Pantanillo</t>
  </si>
  <si>
    <t>Vereda Los Medios</t>
  </si>
  <si>
    <t>Vereda Los Salados</t>
  </si>
  <si>
    <t>Vereda El Portento</t>
  </si>
  <si>
    <t>Vereda Lejos del Nido</t>
  </si>
  <si>
    <t>Sector la Fé</t>
  </si>
  <si>
    <t>Aguas del Oriente Antioqueño S.A. E.S.P. El Retiro-Vereda Don Diego Sector La Fe.</t>
  </si>
  <si>
    <t>Corregimiento La Cruzada</t>
  </si>
  <si>
    <t xml:space="preserve">Asociacion de Usuarios de Acueducto y Alcantarillado Corregimiento La Cruzada </t>
  </si>
  <si>
    <t>Corregimiento Santa Isabel</t>
  </si>
  <si>
    <t>Asociacion de Usuarios del Acueducto del Corregimiento de Santa Isabel</t>
  </si>
  <si>
    <t>Vereda Santa Lucia</t>
  </si>
  <si>
    <t>Junta de Accion Comunal  Santa Lucia</t>
  </si>
  <si>
    <t>Vereda Ceiba</t>
  </si>
  <si>
    <t>Junta de Accion Comunal  Ceiba</t>
  </si>
  <si>
    <t>Vereda Martana</t>
  </si>
  <si>
    <t>Junta de Accion Comunal Martana</t>
  </si>
  <si>
    <t>Vereda Cañaveral</t>
  </si>
  <si>
    <t>Junta de Accion Comunal Cañaveral</t>
  </si>
  <si>
    <t>Vereda La Cruz</t>
  </si>
  <si>
    <t>Junta de Accion Comunal La Cruz</t>
  </si>
  <si>
    <t>Corregimiento Cristales</t>
  </si>
  <si>
    <t>Acueducto Multiveredal Cristales</t>
  </si>
  <si>
    <t>Vereda Villa nueva</t>
  </si>
  <si>
    <t>Acueducto Multiveredal Cristales-Villa Nueva</t>
  </si>
  <si>
    <t>Vereda Quiebra Honda</t>
  </si>
  <si>
    <t>Acueducto Multiveredal Cristales-Quiebra Honda</t>
  </si>
  <si>
    <t>Vereda Patio Bonito</t>
  </si>
  <si>
    <t>Acueducto Multiveredal Cristales-Patio Bonito</t>
  </si>
  <si>
    <t>Vereda Marbella</t>
  </si>
  <si>
    <t>Acueducto Multiveredal Cristales-Marbella</t>
  </si>
  <si>
    <t>Vereda La Jota</t>
  </si>
  <si>
    <t>Acueducto Multiveredal Cristales-La Jota</t>
  </si>
  <si>
    <t>Vereda Frailes</t>
  </si>
  <si>
    <t>Acueducto Multiveredal Cristales-Frailes</t>
  </si>
  <si>
    <t>Acueducto Multiveredal Cristales-El Diamante</t>
  </si>
  <si>
    <t>Vereda Corocito</t>
  </si>
  <si>
    <t>Acueducto Multiveredal Cristales-Corocito</t>
  </si>
  <si>
    <t>Vereda Santa Barbara</t>
  </si>
  <si>
    <t>Asociacion de Usuarios del Acueducto Veredal Santa Barbara</t>
  </si>
  <si>
    <t>Vereda Cabildo</t>
  </si>
  <si>
    <t>Acueducto Multiveredal Cristales-Cabildo</t>
  </si>
  <si>
    <t>Vereda La Mora</t>
  </si>
  <si>
    <t>Asociación de Usuarios del Acueducto Veredal La Mora</t>
  </si>
  <si>
    <t>Vereda El Brasil</t>
  </si>
  <si>
    <t>Acueducto Multiveredal Cristales-Brasil</t>
  </si>
  <si>
    <t>Vereda Barcino</t>
  </si>
  <si>
    <t>Acueducto Multiveredal Cristales-Barcino</t>
  </si>
  <si>
    <t>Corregimiento San Jose Nus</t>
  </si>
  <si>
    <t>Empresa de Servicios Publicos San Jose del Nus</t>
  </si>
  <si>
    <t>Vereda Encarnaciones</t>
  </si>
  <si>
    <t>Junta de Acción Comunal La Encarnaciones</t>
  </si>
  <si>
    <t>Vereda La Guzmana</t>
  </si>
  <si>
    <t>Junta de Acción Comunal Acueducto La Guzmana</t>
  </si>
  <si>
    <t>Vereda San Juan</t>
  </si>
  <si>
    <t>Junta de Acción Comunal Acueducto San Juan</t>
  </si>
  <si>
    <t>Vereda Montemar</t>
  </si>
  <si>
    <t>Asociacion de Usuarios del Acueducto Veredal Montemar</t>
  </si>
  <si>
    <t>Vereda Mulatal</t>
  </si>
  <si>
    <t>Junta Administradora Acueducto Veredal Mulatal</t>
  </si>
  <si>
    <t>Vereda El Jardin</t>
  </si>
  <si>
    <t xml:space="preserve">Asociacion de Usuarios del Acueducto Veredal El Jardin </t>
  </si>
  <si>
    <t>Vereda La Candelaria</t>
  </si>
  <si>
    <t>Asociacion de Usuarios del Acueducto La Candelaria</t>
  </si>
  <si>
    <t>Vereda Vesubio</t>
  </si>
  <si>
    <t>Asociación de Usuarios del Acueducto Multiveredal San Matias - Vesubio</t>
  </si>
  <si>
    <t>Vereda San José del Nare</t>
  </si>
  <si>
    <t xml:space="preserve">Asociación de Usuarios del Acueducto Multiveredal San José Nare San Pablo -San José </t>
  </si>
  <si>
    <t xml:space="preserve">Asociación de Usuarios del Acueducto Multiveredal San José Nare SanPablo-San Pablo </t>
  </si>
  <si>
    <t>Vereda La Pureza</t>
  </si>
  <si>
    <t>Asociación de Usuarios del Acueducto Multiveredal San Matias - La Pureza</t>
  </si>
  <si>
    <t>Vereda San Matias</t>
  </si>
  <si>
    <t>Asociación de Usuarios del Acueducto Multiveredal San Matias-San Matias</t>
  </si>
  <si>
    <t>Corregimiento Providencia</t>
  </si>
  <si>
    <t>Asociacion de Usuarios del Agua La Cascada Providencia</t>
  </si>
  <si>
    <t>Asociacion Junta de Acueducto y Alcantarillado La Plata Corregimiento Providencia</t>
  </si>
  <si>
    <t>Vereda Playa Rica</t>
  </si>
  <si>
    <t>Junta de Acción Comunal Vereda Playa Rica</t>
  </si>
  <si>
    <t>Vereda El Tachira</t>
  </si>
  <si>
    <t>Junta de Acción Comunal Vereda El Táchira</t>
  </si>
  <si>
    <t>Vereda El Piramo</t>
  </si>
  <si>
    <t>Junta de Acción Comunal El Píramo</t>
  </si>
  <si>
    <t>Vereda Santa Teresa Alta</t>
  </si>
  <si>
    <t>Asociación Acueducto Vereda Santa Teresa y Canalones La Union</t>
  </si>
  <si>
    <t>Junta de Accion Comunal - La Palma ( realizado por cisneros)</t>
  </si>
  <si>
    <t>Vereda Cantayus Bajo</t>
  </si>
  <si>
    <t>Junta Administradora - Cantayus Bajo</t>
  </si>
  <si>
    <t>Vereda Faldas Del Nus</t>
  </si>
  <si>
    <t>Usuarios del Sistema - Faldas Del Nus</t>
  </si>
  <si>
    <t>Vereda Sofia</t>
  </si>
  <si>
    <t>Junta Administradora - Sofia ( realizado por yolombo)</t>
  </si>
  <si>
    <t>Corregimiento Santiago</t>
  </si>
  <si>
    <t>Junta de Acción Comunal - Corregimiento Santiago</t>
  </si>
  <si>
    <t>Corregimiento El Limón</t>
  </si>
  <si>
    <t>Junta de Acción Comunal - Corregimiento El Limón</t>
  </si>
  <si>
    <t>Vereda El Rayo</t>
  </si>
  <si>
    <t>Junta de Acción Comunal - El Rayo</t>
  </si>
  <si>
    <t>Vereda Santa Gertrudis</t>
  </si>
  <si>
    <t>Junta Administradora Sistema Uno - Sta Gertrudis</t>
  </si>
  <si>
    <t>Vereda Guadualejo</t>
  </si>
  <si>
    <t>Junta de Acción Comunal - Guadualejo</t>
  </si>
  <si>
    <t>Corregimiento Versalles</t>
  </si>
  <si>
    <t>ESPD del Municipio De Cisneros S.A. E.S.P-Corregimiento de Versalles</t>
  </si>
  <si>
    <t>Vereda Vainillal</t>
  </si>
  <si>
    <t>Junta Administradora - Vainillal</t>
  </si>
  <si>
    <t>Junta de Acción Comunal - La Quiebra</t>
  </si>
  <si>
    <t>Vereda Piedras Blancas</t>
  </si>
  <si>
    <t>Junta de Acción Comunal - Piedras Blancas</t>
  </si>
  <si>
    <t>Vereda Las Animas</t>
  </si>
  <si>
    <t>Junta de Acción Comunal - Las Animas</t>
  </si>
  <si>
    <t>Vereda El Balzal</t>
  </si>
  <si>
    <t>Junta Administradora Acueducto- El Balzal</t>
  </si>
  <si>
    <t>Aguas de Porcesito</t>
  </si>
  <si>
    <t>Asociación de Usuarios del Acueducto Aguas de Porcesito</t>
  </si>
  <si>
    <t>Corregimiento Botero</t>
  </si>
  <si>
    <t>Asociación de Usuarios Pro Acueducto Corregimiento Botero</t>
  </si>
  <si>
    <t>Corregimiento de Fraguas La
 Esperanza</t>
  </si>
  <si>
    <t>Junta de Acción Comunal Corregimiento Fraguas-La Esperanza</t>
  </si>
  <si>
    <t>Vereda El Aporriado</t>
  </si>
  <si>
    <t>Junta de Acción Comunal El Aporriado</t>
  </si>
  <si>
    <t>Vereda Marmajon</t>
  </si>
  <si>
    <t>Junta Administradora Acueducto Marmajon</t>
  </si>
  <si>
    <t>Vereda Manzanillo</t>
  </si>
  <si>
    <t xml:space="preserve">Gran Colombia Gold </t>
  </si>
  <si>
    <t xml:space="preserve">Vereda Juan Tereso </t>
  </si>
  <si>
    <t>Junta de Acción Comunal Juan Tereso</t>
  </si>
  <si>
    <t>Vereda  Puerto Calavera</t>
  </si>
  <si>
    <t>Junta de Acción Comunal Puerto Calavera</t>
  </si>
  <si>
    <t>Vereda  El Chispero</t>
  </si>
  <si>
    <t>Junta de Acción Comunal  Vereda El Chispero</t>
  </si>
  <si>
    <t>Corregimiento de Fraguas-Machuca</t>
  </si>
  <si>
    <t>Junta de Acción Comunal Corregimiento Fraguas-Machuca</t>
  </si>
  <si>
    <t>Aguas del Pocuné S.A.S. E.S.P - Campo Alegre</t>
  </si>
  <si>
    <t>Vereda El Cristo</t>
  </si>
  <si>
    <t>Junata Administradora El Cristo ASUAVEC</t>
  </si>
  <si>
    <t>Vereda El Cenizo</t>
  </si>
  <si>
    <t>Junta de Acción Comunal El Cenizo</t>
  </si>
  <si>
    <t>Juntas De Accion Comunal Vereda La Esperanza</t>
  </si>
  <si>
    <t>Vereda La Gallinera</t>
  </si>
  <si>
    <t>ASUGASA E.S.P.-La Gallinera</t>
  </si>
  <si>
    <t>Vereda San Pacual</t>
  </si>
  <si>
    <t>ASUGASA E.S.P.-San Pascual</t>
  </si>
  <si>
    <t>Vereda La Sierra</t>
  </si>
  <si>
    <t>ASUGASA E.S.P.-La Sierra</t>
  </si>
  <si>
    <t>Corregimiento el Tigre</t>
  </si>
  <si>
    <t>ASOCOTI-El Tigre</t>
  </si>
  <si>
    <t>Vereda Villanita</t>
  </si>
  <si>
    <t>Asociación Junta Administradora de Acueducto Veredal Villanita</t>
  </si>
  <si>
    <t>Vereda Montañitas</t>
  </si>
  <si>
    <t>Asociación Junta Administradora de Acueducto Veredal Montañitas</t>
  </si>
  <si>
    <t>Vereda  Puerto Estafa</t>
  </si>
  <si>
    <t>Asociación Junta Administradora Acueducto Puerto Estafa</t>
  </si>
  <si>
    <t>Vereda San Jorge</t>
  </si>
  <si>
    <t>Junta Administradora de Acueducto San Jorge</t>
  </si>
  <si>
    <t>Vereda Montebello</t>
  </si>
  <si>
    <t>Junta Administradora de Acueducto Motebello</t>
  </si>
  <si>
    <t>Vereda Hatillo</t>
  </si>
  <si>
    <t>Asociación Junta Administradora de Acueducto Multiveredal Hatillo Montebello-Hatillo</t>
  </si>
  <si>
    <t>Asociación Junta Administradora de Acueducto Veredal Santa Barbara</t>
  </si>
  <si>
    <t>Vereda La Brillantina</t>
  </si>
  <si>
    <t>Asociación Junta Administradora de Acueducto Vereda Brillantina</t>
  </si>
  <si>
    <t>Vereda Casa Mora</t>
  </si>
  <si>
    <t>Asociación Junta Administradora de Acueducto Casa Mora</t>
  </si>
  <si>
    <t>Vereda Mascara</t>
  </si>
  <si>
    <t>Asociacion Junta Administradora Acueducto La Mascara</t>
  </si>
  <si>
    <t>Carmen de Viboral</t>
  </si>
  <si>
    <t>Vereda Tabacal parte baja</t>
  </si>
  <si>
    <t>Multiveredal Nazareth</t>
  </si>
  <si>
    <t>Vereda Tabacal parte alta</t>
  </si>
  <si>
    <t>Vereda La fe</t>
  </si>
  <si>
    <t>Multiveredal Vereda Pantanillo</t>
  </si>
  <si>
    <t>Multiveredal Vereda La Amapola</t>
  </si>
  <si>
    <t>Multiveredal Vereda Pantalio</t>
  </si>
  <si>
    <t>Vereda El Chuscal (seminario)</t>
  </si>
  <si>
    <t>Vereda El Chuscal (Luis Arenas)</t>
  </si>
  <si>
    <t>Vereda Carrizales parte alta</t>
  </si>
  <si>
    <t>Vereda Carrizales parte baja</t>
  </si>
  <si>
    <t>Vereda Villa Elena. (Altos del Cauce)</t>
  </si>
  <si>
    <t>Vereda Nazareth Bajo</t>
  </si>
  <si>
    <t>A. U. del Acueducto Multiveredal Nazareth y Tabacal. (Nazareth Alto)</t>
  </si>
  <si>
    <t>A. U.del Acueducto Multiveredal Nazareth y Tabacal. (Tabacal  Bajo).</t>
  </si>
  <si>
    <t>A.U. de Acueducto y Alcantarillado Villa Elena</t>
  </si>
  <si>
    <t>Corporación de Usuarios del Acueducto el Portento</t>
  </si>
  <si>
    <t>A. U.del Acueducto Tabacal Alto</t>
  </si>
  <si>
    <t>Asociación de Usuarios del Acueducto  Lejos del Nido</t>
  </si>
  <si>
    <t>Asociación de Usuarios del Acueducto Pantalio</t>
  </si>
  <si>
    <t>Asociación de Usuarios  del Acueducto  La fe</t>
  </si>
  <si>
    <t>Junta Administradora Sistema de Acueducto Los Medios</t>
  </si>
  <si>
    <t>Acueducto Multiveredal de las Veredas Pantanillo, Amapola y Pantalio. (Amapola)</t>
  </si>
  <si>
    <t>Acueducto Multiveredal de las Veredas Pantanillo, Amapola y Pantalio . (Pantanillo)</t>
  </si>
  <si>
    <t>Acueducto Multiveredal de las Veredas Pantanillo y Pantalio. (Pantalio)</t>
  </si>
  <si>
    <t>Asociación de Usuarios del Acueducto El Chuscal.  (Seminario)</t>
  </si>
  <si>
    <t>Asociacion de Usuarios del Acueducto El Chuscal. (Luis Arenas)</t>
  </si>
  <si>
    <t>Asociacion de Usuarios del Acueducto  Los Salados.</t>
  </si>
  <si>
    <t>Corporación de Usuarios del Acueducto Carrizales Parte alta.</t>
  </si>
  <si>
    <t>Asociacion de Usuarios del Acueducto Carrizales bajo</t>
  </si>
  <si>
    <t>Asociacion de Usuarios del Acueducto  Altos del Cauce</t>
  </si>
  <si>
    <t>Asociacion de Usuarios del Acueducto  Nazareth Parte baja.</t>
  </si>
  <si>
    <t>Corregimiento  El Ruby.</t>
  </si>
  <si>
    <t xml:space="preserve">Asociación Comunitaria Acueducto El Ruby. </t>
  </si>
  <si>
    <t>Corregimiento La Floresta (Versalles)</t>
  </si>
  <si>
    <t>Junta Administradora de Acueducto Corregimiento La Floresta-Versalles</t>
  </si>
  <si>
    <t>Corregimiento La Floresta (Ruby)</t>
  </si>
  <si>
    <t>Junta Administradora de Acueducto Corregimiento La Floresta-Rubi</t>
  </si>
  <si>
    <t>Corregimiento Villa Nueva</t>
  </si>
  <si>
    <t xml:space="preserve">Empresa de Servicios Públicos Corregimiento Villa Nueva </t>
  </si>
  <si>
    <t>Vereda Bareño</t>
  </si>
  <si>
    <t>Junta Administradora del Acueducto Bareño</t>
  </si>
  <si>
    <t>Comité Empresarial del Acueducto</t>
  </si>
  <si>
    <t>Vereda El Tapon</t>
  </si>
  <si>
    <t>Acueducto El Tapón</t>
  </si>
  <si>
    <t xml:space="preserve">Vereda La Melonada </t>
  </si>
  <si>
    <t>Junta de Acción Comunal Vereda La Melonada</t>
  </si>
  <si>
    <t>Vereda La Ceiba</t>
  </si>
  <si>
    <t>Junta Administradora Acueducto La Ceiba</t>
  </si>
  <si>
    <t>Vereda  Las Frías</t>
  </si>
  <si>
    <t>Asociación de Usuarios del Acueducto Veredal Las Frías</t>
  </si>
  <si>
    <t>Junta Acciión Comunal Vereda La María</t>
  </si>
  <si>
    <t>Vereda Estación Sofia</t>
  </si>
  <si>
    <t xml:space="preserve">Junta de Acción Comunal Estación Sofia. </t>
  </si>
  <si>
    <t>Junta Administradora de Acueducto La Soledad</t>
  </si>
  <si>
    <t>Vereda San Jacinto</t>
  </si>
  <si>
    <t>Acueducto Vereda San Jacinto</t>
  </si>
  <si>
    <t xml:space="preserve">Vereda Vargas </t>
  </si>
  <si>
    <t>Asociación de Usuarios Acueducto Multiveredal Vargas Pantanillo-Vargas</t>
  </si>
  <si>
    <t>Asociación de Usuarios Acueducto Multiveredal Vargas-Pantanillo</t>
  </si>
  <si>
    <t>Vereda Pavas</t>
  </si>
  <si>
    <t xml:space="preserve">Asociación de Usuarios Acueducto Vereda Pavas La Cuchilla E.P.S.D-Pavas </t>
  </si>
  <si>
    <t>Vereda Señor Caído</t>
  </si>
  <si>
    <t>Asociación de Usuarios Acueducto Vereda Pavas La Cuchilla E.P.S.D-Señor Caido E.P.S.D.</t>
  </si>
  <si>
    <t>Vereda El Carmelo</t>
  </si>
  <si>
    <t>Asociación de Usuarios del Acueducto Multiveredal El Carmelo Lourdes- El Carmelo</t>
  </si>
  <si>
    <t>Vereda Lourdes</t>
  </si>
  <si>
    <t>Asociación de Usuarios del Acueducto Multiveredal El Carmelo Lourdes- Lourdes</t>
  </si>
  <si>
    <t>Asociación de Usuarios del Acueducto Veredal Portachuelo de El Santuario Ant.</t>
  </si>
  <si>
    <t xml:space="preserve">Asociación de Usuarios Acueducto Pantanillo-La Milagrosa </t>
  </si>
  <si>
    <t>Vereda La Floresta</t>
  </si>
  <si>
    <t>Asociación de Copropietarios y Usuarios Acueducto Vereda La Floresta</t>
  </si>
  <si>
    <t>Vereda El Socorro</t>
  </si>
  <si>
    <t>Asociación de Usuarios Acueducto Vereda El Socorro</t>
  </si>
  <si>
    <t>Asociación de Usuarios Acueducto Vereda  San Matias</t>
  </si>
  <si>
    <t>Vereda  El Salaito</t>
  </si>
  <si>
    <t xml:space="preserve">Asociacion de Usuarios Acueducto El Salaito </t>
  </si>
  <si>
    <t>Vereda Valle María</t>
  </si>
  <si>
    <t>Asociación de Usuarios del Acueducto Multiveredal Valle de Maria La Chapa</t>
  </si>
  <si>
    <t xml:space="preserve">Vereda Potrerito  </t>
  </si>
  <si>
    <t>Asociación de Usuarios Acueducto Potrerito Aldana Municipio El Santuario-Potrerito</t>
  </si>
  <si>
    <t xml:space="preserve"> Vereda Aldana</t>
  </si>
  <si>
    <t>Asociación de Usuarios Acueducto Potrerito Aldana Municipio El Santuario-Aldana</t>
  </si>
  <si>
    <t>Asociación de Usuarios Acueducto Multiveredal San Eusebio El Roble Aldana Las Lajas El Carmelo Municipio El Santuario- El Roble</t>
  </si>
  <si>
    <t>Vereda Aldana</t>
  </si>
  <si>
    <t>Asociación de Usuarios Acueducto Multiveredal San Eusebio El Roble Aldana Las Lajas El Carmelo Municipio El Santuario- Aldana</t>
  </si>
  <si>
    <t>Asociación de Usuarios Acueducto Vereda El Morro</t>
  </si>
  <si>
    <t>Vereda Las Lajas</t>
  </si>
  <si>
    <t xml:space="preserve">Asociación de Usuarios Acueducto Vereda Las Lajas </t>
  </si>
  <si>
    <t>Vereda Las Palmas</t>
  </si>
  <si>
    <t>Asociación de Usuarios Acueducto Veredal Las Palmas</t>
  </si>
  <si>
    <t>Vereda Palmar  La Paz</t>
  </si>
  <si>
    <t xml:space="preserve">Asociación de Usuarios Acueducto Palmar La Paz </t>
  </si>
  <si>
    <t>Vereda Morritos</t>
  </si>
  <si>
    <t>Asociación de Usuarios Acueducto Morritos</t>
  </si>
  <si>
    <t>Vereda Las Colinas</t>
  </si>
  <si>
    <t>Asociación de Usuarios Acueducto Las Colinas</t>
  </si>
  <si>
    <t>Vereda El Salto</t>
  </si>
  <si>
    <t>Asociación de Usuarios Acueducto Palmarcito El Salto E.S.P.D-El Salto</t>
  </si>
  <si>
    <t>Vereda San Eusebio</t>
  </si>
  <si>
    <t>Asociación de Usuarios Acueducto Multiveredal San Eusebio El Roble Aldana Las Lajas El Carmelo Municipio El Santuario-San Eusebio</t>
  </si>
  <si>
    <t>Vereda  La  Aurora</t>
  </si>
  <si>
    <t>Asociación de Usuarios Acueducto Veredal La Aurora</t>
  </si>
  <si>
    <t>Vereda La Cuchilla</t>
  </si>
  <si>
    <t>Asociación de Usuarios Acueducto Vereda Pavas La Cuchilla E.P.S.D- La Cuchilla</t>
  </si>
  <si>
    <t>Asociación de Usuarios Acueducto Multiveredal San Eusebio El Roble Aldana Las Lajas El Carmelo Municipio El Santuario- Las Lajas</t>
  </si>
  <si>
    <t>Junta Administradora Acueducto Campo Alegre</t>
  </si>
  <si>
    <t>Vereda Aldana Arriba</t>
  </si>
  <si>
    <t>Asociacion de Usuarios Acueducto Vereda Aldana Arriba</t>
  </si>
  <si>
    <t>Vereda Bodeguitas</t>
  </si>
  <si>
    <t>Junta Administradora Acueducto Vereda Bodeguitas</t>
  </si>
  <si>
    <t>Vereda La Teneria</t>
  </si>
  <si>
    <t>Asociación de Usuarios y Suscriptores del Servicio Publico de Acueducto de La Vereda La Teneria E.P.S.D.</t>
  </si>
  <si>
    <t>Vereda La Serrania</t>
  </si>
  <si>
    <t>Asociacion de Usuarios del Acueducto La Serrania E.S.P.D</t>
  </si>
  <si>
    <t>Asociación de Usuarios Acueducto Vereda El Salto</t>
  </si>
  <si>
    <t xml:space="preserve">Junta Administradora Acueducto Vereda Buena Vista                    </t>
  </si>
  <si>
    <t>Barrio El Calvario Rural</t>
  </si>
  <si>
    <t>Asociación de Usuarios Acueducto Barrio Alto del Calvario- Zona Rural</t>
  </si>
  <si>
    <t>Vereda El Salaito</t>
  </si>
  <si>
    <t>Asociación de Usuarios del Acueducto Multiveredal Lourdes-Salaito</t>
  </si>
  <si>
    <t>Junta de Acción Comunal San Matías</t>
  </si>
  <si>
    <t>Junta de Acción Comunal El Vergel</t>
  </si>
  <si>
    <t>Vereda Vahitos</t>
  </si>
  <si>
    <t>Junta de Acción Comunal Vahitos</t>
  </si>
  <si>
    <t>Junta de Acción Comunal La Cascada</t>
  </si>
  <si>
    <t>Vereda Tafetanes</t>
  </si>
  <si>
    <t>Junta de Acción Comunal Tafetanes</t>
  </si>
  <si>
    <t>Asociación de Usuarios Suscriptores del Acueducto Rural Aguas Cristalinas- Los Medios</t>
  </si>
  <si>
    <t>Asociacion de Usuarios Suscriptores del Acueducto Rural- La Quiebra</t>
  </si>
  <si>
    <t>Vereda Reyes</t>
  </si>
  <si>
    <t>Junta de Acción Comunal Reyes</t>
  </si>
  <si>
    <t>Junta de Acción Comunal Quebradona Abajo</t>
  </si>
  <si>
    <t>Junta de Acción Comunal Malpaso</t>
  </si>
  <si>
    <t>Vereda Primavera</t>
  </si>
  <si>
    <t>Junta de Acción Comunal Primavera</t>
  </si>
  <si>
    <t>Vereda Los Planes</t>
  </si>
  <si>
    <t>Junta de Acción Comunal Los Planes</t>
  </si>
  <si>
    <t>Vereda Buenavista</t>
  </si>
  <si>
    <t>Junta de Acción Comunal Buena Vista</t>
  </si>
  <si>
    <t>NO</t>
  </si>
  <si>
    <t>Vereda El Tabor</t>
  </si>
  <si>
    <t>Junta de Acción Comunal El Tabor</t>
  </si>
  <si>
    <t>Vereda La Merced</t>
  </si>
  <si>
    <t>Junta de Acción Comunal La Merced</t>
  </si>
  <si>
    <t>Vereda El Eden</t>
  </si>
  <si>
    <t>Acueducto Multiveredal San Esteban, El Roble y El Eden-El Eden</t>
  </si>
  <si>
    <t>Acueducto Multiveredal San Esteban, El Roble y El Eden-El Roble</t>
  </si>
  <si>
    <t>Vereda Las Vegas</t>
  </si>
  <si>
    <t>Junta de Acción Comunal Las Vegas</t>
  </si>
  <si>
    <t>Acueducto Multiveredal San Esteban, El Roble y El Eden-San Esteban</t>
  </si>
  <si>
    <t>Vereda La Aguada</t>
  </si>
  <si>
    <t>Asociacion de Usuarios Suscriptores del Acueducto Rural Los Pomos de La Vereda- La Aguada</t>
  </si>
  <si>
    <t>Vereda Minitas</t>
  </si>
  <si>
    <t>Junta Administradora  de Acueducto Vereda Minitas</t>
  </si>
  <si>
    <t>Junta Administradora  de Acueducto Vereda Santa Ana</t>
  </si>
  <si>
    <t>Vereda Las Faldas</t>
  </si>
  <si>
    <t>Junta Administradora  de Acueducto Vereda Las Faldas</t>
  </si>
  <si>
    <t>Vereda Juan XXIII</t>
  </si>
  <si>
    <t>Asociacion de Suscriptores del Acueducto Multiveredal Juan XXIII-Chaparrall- Juan XXIII</t>
  </si>
  <si>
    <t>Junta de Acción Comunal Vereda Bellavista</t>
  </si>
  <si>
    <t>Vereda San Jose Canoas Sector Bajo</t>
  </si>
  <si>
    <t>Asociacion de Usuarios del Acueducto Veredal San Jose - Canoas Sector Bajo</t>
  </si>
  <si>
    <t>Asociacion de Usuarios del Acueducto Veredal San Jose -  San Jose</t>
  </si>
  <si>
    <t>Vereda San Jose Hondita SectorII</t>
  </si>
  <si>
    <t>Asociacion de Usuarios del Acueducto Veredal San Jose -  Hondita Sector II</t>
  </si>
  <si>
    <t>Vereda San Jose Honda Sector III</t>
  </si>
  <si>
    <t>Asociacion de Usuarios del Acueducto Veredal San Jose -Honda Sector III</t>
  </si>
  <si>
    <t>Vereda San Jose Hojas Anchas Sector alto</t>
  </si>
  <si>
    <t>Asociacion de Usuarios del Acueducto Veredal San Jose - Hojas Anchas Sector Alto</t>
  </si>
  <si>
    <t>Vereda Yolombal</t>
  </si>
  <si>
    <t>Asociación de Suscriptores del Acueducto Multiveredal El Roble - Yolombal</t>
  </si>
  <si>
    <t>Vereda La Enea</t>
  </si>
  <si>
    <t>Asociacion de Suscriptores del Acueducto Multiveredal El Roble - La Enea</t>
  </si>
  <si>
    <t>Vereda Palmar</t>
  </si>
  <si>
    <t>Asociación de Suscriptores del Acueducto Multiveredal El Roble - El Palmar</t>
  </si>
  <si>
    <t>Asociacion de Usuarios del Servicio de Acueducto de La Vereda Yolombal</t>
  </si>
  <si>
    <t>Vereda Hojas Anchas</t>
  </si>
  <si>
    <t>Asociacion de Suscriptores del Acueducto Hondita Hojas Anchas del Municipio de Guarne ASACUHAN – Hojas Anchas</t>
  </si>
  <si>
    <t>Asociacion de Suscriptores del Acueducto Hondita Hojas Anchas del Municipio de Guarne ASACUHAN – La Clara</t>
  </si>
  <si>
    <t>Asociacion de Suscriptores del Acueducto Hondita Hojas Anchas del Municipio de Guarne ASACUHAN– Bellavista</t>
  </si>
  <si>
    <t>Vereda Toldas</t>
  </si>
  <si>
    <t>Asociacion de Suscriptores del Acueducto Hondita Hojas Anchas del Municipio de Guarne ASACUHAN – Toldas</t>
  </si>
  <si>
    <t>Vereda Canoas</t>
  </si>
  <si>
    <t>Asociacion de Suscriptores del Acueducto Hondita Hojas Anchas del Municipio de Guarne ASACUHAN – Canoas</t>
  </si>
  <si>
    <t>Vereda La Mosquita</t>
  </si>
  <si>
    <t>Asociacion de Suscriptores del Acueducto Hondita Hojas Anchas del Municipio de Guarne ASACUHAN – La Mosquita</t>
  </si>
  <si>
    <t>Asociacion de Suscriptores del Acueducto Hondita Hojas Anchas del Municipio de Guarne ASACUHAN – San Jose</t>
  </si>
  <si>
    <t>Vereda La Hondita</t>
  </si>
  <si>
    <t>Aasociacion de Suscriptores del Acueducto Hondita Hojas Anchas del Municipio de Guarne ASACUHAN – Hondita</t>
  </si>
  <si>
    <t>Asociacion de Usuarios del Acueducto Ensenillo Asoense - El Salado</t>
  </si>
  <si>
    <t>Vereda La Brizuela</t>
  </si>
  <si>
    <t>Asociacion de Usuarios del Acueducto Ensenillo Asoense- La Brizuela</t>
  </si>
  <si>
    <t>Asociacion de Usuarios del Acueducto Ensenillo Asoense-San Isidro</t>
  </si>
  <si>
    <t>Vereda Sango parte baja</t>
  </si>
  <si>
    <t>Asociacion de Usuarios del Acueducto Ensenillo Asoense- Sango Parte Baja</t>
  </si>
  <si>
    <t>Asociacion de Usuarios del Acueducto El Rosario Piedras Blancas- Piedras Blancas</t>
  </si>
  <si>
    <t>Asociacion de Usuarios del Acueducto El Rosario Piedras Blanca- La Brizuela</t>
  </si>
  <si>
    <t>Vereda Pueblito</t>
  </si>
  <si>
    <t>Asociacion de Usuarios del Acueducto El Rosario Piedras Blanca- Pueblito</t>
  </si>
  <si>
    <t>Vereda Barro Blanco</t>
  </si>
  <si>
    <t>Asociacion de Usuarios del Acueducto El Rosario Piedras Blanca- Barro Blanco</t>
  </si>
  <si>
    <t>Asociacion de Usuarios del Acueducto El Rosario Piedras Blanca- San Isidro</t>
  </si>
  <si>
    <t>Vereda San Antonio Parte Baja</t>
  </si>
  <si>
    <t>Asociacion de Suscriptores del Acueducto Barrio San Antonio Aguasanan-San Antonio Parte Baja</t>
  </si>
  <si>
    <t>Vereda Guapante</t>
  </si>
  <si>
    <t>Asociacion Acueducto Guapante Asoagua</t>
  </si>
  <si>
    <t>Vereda Chaparral</t>
  </si>
  <si>
    <t>Asociacion de Suscriptores del Acueducto Multiveredal Juan XXIII Chaparral- Chaparral</t>
  </si>
  <si>
    <t>Asociacion de Suscriptores del Acueducto Multiveredal Juan XXIII Chaparral-Guamito</t>
  </si>
  <si>
    <t>Vereda Garrido</t>
  </si>
  <si>
    <t>Asociacion de Suscriptores del Acueducto Multiveredal Juan XXIII Chaparral-Garrido</t>
  </si>
  <si>
    <t>Vereda San Antonio Parte Alta</t>
  </si>
  <si>
    <t>Asociacion de Suscriptores del Acueducto Barrio San Antonio Aguasanan- San Antonio Parte Alta</t>
  </si>
  <si>
    <t>Vereda La Charanga</t>
  </si>
  <si>
    <t>Asociacion de Suscriptores del Acueducto Barrio San Antonio Aguasanan - La Charanga</t>
  </si>
  <si>
    <t>Asociacion de Usuarios del Acueducto Veredal La Clara</t>
  </si>
  <si>
    <t>Vereda El Colorado</t>
  </si>
  <si>
    <t>Asociacion de Suscriptores Acueducto Multiveredal El Colorado Asucol - Colorado</t>
  </si>
  <si>
    <t>Asociacion de Suscriptores Acueducto Multiveredal El Colorado Asucol - Bellavista</t>
  </si>
  <si>
    <t>Vereda  Garrido</t>
  </si>
  <si>
    <t>Asociacion de Suscriptores Acueducto Multiveredal El Colorado Asucol - Garrido</t>
  </si>
  <si>
    <t>Asociacion de Suscriptores Acueducto Multiveredal El Colorado Asucol - Toldas</t>
  </si>
  <si>
    <t>Vereda La Mosca</t>
  </si>
  <si>
    <t xml:space="preserve">Asociacion de Suscriptores Acueducto Multiveredal El Colorado Asucol - La Mosca </t>
  </si>
  <si>
    <t>Asociacion de Suscriptores Acueducto Multiveredal El Colorado Asucol - Chaparral</t>
  </si>
  <si>
    <t>Vereda Berracal</t>
  </si>
  <si>
    <t>Asociacion de Suscriptores Acueducto Multiveredal El Colorado Asucol - Berracal</t>
  </si>
  <si>
    <t>Vereda La Charanga Parte Alta</t>
  </si>
  <si>
    <t>Asociacion de Usuarios Acueducto La Charanga Parte Alta</t>
  </si>
  <si>
    <t>Asociacion de Usuarios del Acueducto de La Vereda La Brizuela</t>
  </si>
  <si>
    <t>Asociacion de Suscriptores Aguas La Chorrera  - La Mosquita</t>
  </si>
  <si>
    <t>Vereda San Ignacio</t>
  </si>
  <si>
    <t>Asociacion de Usuarios del Acueducto San Ignacio A.S.U.A.S.I. -San Ignacio</t>
  </si>
  <si>
    <t xml:space="preserve">Vereda El Porvenir </t>
  </si>
  <si>
    <t>Asociacion de Usuarios del Acueducto San Ignacio A.S.U.A.S.I. - El Porvenir</t>
  </si>
  <si>
    <t>Vereda Montañez</t>
  </si>
  <si>
    <t>Asociacion de Usuarios del Acueducto Montanes El Aguacate - Montañez</t>
  </si>
  <si>
    <t>Vereda El Sango</t>
  </si>
  <si>
    <t>Asociacion de Usuarios del Servicio de Acueducto de La Vereda El Sango -El Sango</t>
  </si>
  <si>
    <t>Vereda El Molino</t>
  </si>
  <si>
    <t>Asociacion de Usuarios del Servicio de Acueducto de La Vereda El Sango - El Molino</t>
  </si>
  <si>
    <t>Vereda  Montañez</t>
  </si>
  <si>
    <t>Asociacion de Usuarios del Servicio de Acueducto de La Vereda El Sango - Montañez</t>
  </si>
  <si>
    <t>Vereda  El Salado</t>
  </si>
  <si>
    <t>Asociacion de Usuarios del Servicio de Acueducto de La Vereda El Sango - El Salado</t>
  </si>
  <si>
    <t>Vereda  San Isidro</t>
  </si>
  <si>
    <t>Asociacion de Usuarios del Servicio de Acueducto de La Vereda El Sango - San Isidro</t>
  </si>
  <si>
    <t>Vereda  Romeral</t>
  </si>
  <si>
    <t>Asociacion de Usuarios del Servicio de Acueducto de La Vereda El Sango - Romeral</t>
  </si>
  <si>
    <t>Asociacion de Usuarios del Acueducto de La Vereda San Isidro- San Isidro</t>
  </si>
  <si>
    <t>Vereda El Sango parte alta</t>
  </si>
  <si>
    <t>Asociacion de Usuarios del Acueducto de La Vereda San Isidro- Sango Parte Alta</t>
  </si>
  <si>
    <t>Vereda Batea Seca</t>
  </si>
  <si>
    <t>Asociacion de Usuarios del Acueducto de La Vereda San Isidro- Batea Seca</t>
  </si>
  <si>
    <t>Asociacion de Usuarios del Acueducto de La Vereda San Isidro- Salado Parte Baja</t>
  </si>
  <si>
    <t>Vereda El Aguacate parte baja</t>
  </si>
  <si>
    <t>Asociacion de Usuarios del Acueducto Montanes El Aguacate - El Agucate Sector Bajo</t>
  </si>
  <si>
    <t>Vereda La Cabaña</t>
  </si>
  <si>
    <t>Asociacion de Usuarios del Acueducto Montanes El Aguacate - La Cabaña</t>
  </si>
  <si>
    <t>Vereda El Romeral</t>
  </si>
  <si>
    <t xml:space="preserve"> Asociacion de Usuarios del Acueducto de La Vereda Romeral</t>
  </si>
  <si>
    <t>Vereda La Pastorcita</t>
  </si>
  <si>
    <t>Asociacion de Usuarios del Acueducto La Pastorcita - La Pastorcita</t>
  </si>
  <si>
    <t>Vereda Batea Seca parte baja</t>
  </si>
  <si>
    <t>Asociacion de Usuarios del Acueducto La Pastorcita - Batea Seca Parte Baja</t>
  </si>
  <si>
    <t>Asociacion de Usuarios del Acueducto La Pastorcita - El Molino</t>
  </si>
  <si>
    <t>Asociacion de Usuarios del Acueducto Multiveredal El Molino -El Molino</t>
  </si>
  <si>
    <t>Vereda Sierra Linda</t>
  </si>
  <si>
    <t>Asociacion de Usuarios del Acueducto Multiveredal El Molino -Sierra Linda</t>
  </si>
  <si>
    <t>Asociacion de Usuarios del Acueducto Multiveredal El Molino -Romeral</t>
  </si>
  <si>
    <t>Asociacion de Usuarios del Acueducto Multiveredal El Molino -La Pastorcita</t>
  </si>
  <si>
    <t>Vereda Alto de la Virgen</t>
  </si>
  <si>
    <t>Asociacion de Usuarios del Acueducto Alto de La Virgen - Alto de La Virgen</t>
  </si>
  <si>
    <t>Vereda Alto de La Virgen Parte Alta</t>
  </si>
  <si>
    <t>Asociacion de Usuarios del Acueducto Alto de La Virgen - Parte Alta</t>
  </si>
  <si>
    <t>Vereda Romeral</t>
  </si>
  <si>
    <t>Asociacion de Usuarios del Acueducto Alto de La Virgen- Romeral</t>
  </si>
  <si>
    <t>Vereda La Mejia</t>
  </si>
  <si>
    <t>Asociacion Acueducto Vereda La Mejia - La Mejia</t>
  </si>
  <si>
    <t>Vereda Monteoscuro</t>
  </si>
  <si>
    <t>Asociacion Acueducto Vereda La Mejia -Monteoscuro</t>
  </si>
  <si>
    <t>Asociacion Acueducto Vereda La Mejia -Guapante</t>
  </si>
  <si>
    <t>Asociacion Acueducto Vereda La Mejia -Yolombal</t>
  </si>
  <si>
    <t>Asociacion Acueducto Vereda La Mejia -Alto de La Virgen</t>
  </si>
  <si>
    <t>Asociacion Acueducto Vereda La Mejia - Montañez</t>
  </si>
  <si>
    <t>Vereda La Charanga San Antonio Parte Alta</t>
  </si>
  <si>
    <t>Asociacion de Suscriptores del Acueducto Barrio San Antonio Aguasanan - La Charanga San Antonio Parte Alta</t>
  </si>
  <si>
    <t>Junta Administradora Acueducto Sonadora</t>
  </si>
  <si>
    <t>Vereda La Piedra</t>
  </si>
  <si>
    <t>Asociacion de Usuarios del Acueducto Multiveredal La Piedra La Pena y Los Naranjos-La Piedra</t>
  </si>
  <si>
    <t>Junta de Acción Comunal Vereda El Roble</t>
  </si>
  <si>
    <t>Junta Administradora Acueducto Quebrada Arriba</t>
  </si>
  <si>
    <t>Vereda San Miguel</t>
  </si>
  <si>
    <t>Vereda Guamito sector Capiro</t>
  </si>
  <si>
    <t>Vereda Los Saltos</t>
  </si>
  <si>
    <t>Vereda Piedras El Salvio</t>
  </si>
  <si>
    <t>Vereda  San Nicolas</t>
  </si>
  <si>
    <t>Corregimiento San Jose Cestillal</t>
  </si>
  <si>
    <t>Corregimiento San Jose La Palma</t>
  </si>
  <si>
    <t>Vereda La Miel</t>
  </si>
  <si>
    <t>Vereda El Higuerón Los Planes</t>
  </si>
  <si>
    <t>Vereda Colmenas (sin tratamiento)</t>
  </si>
  <si>
    <t xml:space="preserve">Vereda las lomitas </t>
  </si>
  <si>
    <t>Vereda El Tambo</t>
  </si>
  <si>
    <t>Sector La Palma -El Romeral</t>
  </si>
  <si>
    <t>Vereda San Gerardo</t>
  </si>
  <si>
    <t>Vereda La Loma</t>
  </si>
  <si>
    <t>Vereda Vallejuelitos Peñas</t>
  </si>
  <si>
    <t xml:space="preserve">Junta de Accion Comunal Vallejuelito Peñas </t>
  </si>
  <si>
    <t>Vereda La Concha</t>
  </si>
  <si>
    <t>Junta de Accion Comunal La Concha</t>
  </si>
  <si>
    <t>Corregimiento Mesopotamia</t>
  </si>
  <si>
    <t>Asociación de Usuarios del Acueducto y Alcantarillado del Corregimiento de Mesopotamia</t>
  </si>
  <si>
    <t>Junta de Accion Comunal  Pantalio</t>
  </si>
  <si>
    <t>Vereda La Almeria</t>
  </si>
  <si>
    <t>Asociacion de Usuarios del Acueducto de La Vereda La Almeria</t>
  </si>
  <si>
    <t xml:space="preserve">Junta de Accion Comunal Minitas </t>
  </si>
  <si>
    <t>Vereda La Palmera</t>
  </si>
  <si>
    <t>Junta de Accion Comunal La Palmera</t>
  </si>
  <si>
    <t>Vereda Chuscalito</t>
  </si>
  <si>
    <t>Asociación de Usuarios del Acueducto Chuscalito</t>
  </si>
  <si>
    <t>Asociación de Usuarios del Acueducto y Alcantarillado de La Vereda Buenavista</t>
  </si>
  <si>
    <t>Vereda El Cardal</t>
  </si>
  <si>
    <t>Asociación de Asociados del Acueducto de La Vereda El Cardal</t>
  </si>
  <si>
    <t>Vereda Las Teresas</t>
  </si>
  <si>
    <t>Asociación de Asociados del Acueducto de La Vereda Las Teresas</t>
  </si>
  <si>
    <t>Asociación de Usuarios del Acueducto de La Vereda Quebrada Negra Asuaquen Municipio de La Union departamento de Antioquia</t>
  </si>
  <si>
    <t>Vereda El Guarango</t>
  </si>
  <si>
    <t>Asociación de Usuarios del Acueducto de La Vereda El Guarango Asuagun Municipio de La Union departamento de Antioquia</t>
  </si>
  <si>
    <t>Vereda Fatima</t>
  </si>
  <si>
    <t>Asociacion de Asociados del Acueducto de La Vereda Fatima</t>
  </si>
  <si>
    <t>Asociación de Usuarios del Acueducto San Juan</t>
  </si>
  <si>
    <t>Vereda Colmenas García</t>
  </si>
  <si>
    <t>Asociación de Usuarios del Acueducto y/o Alcantarillado Colmenas García</t>
  </si>
  <si>
    <t>Vereda Las Brisas</t>
  </si>
  <si>
    <t xml:space="preserve">Junta de Accion Comunal Las Brisas </t>
  </si>
  <si>
    <t>Asociación de Socios del Acueducto de Las Acacias del Municipio del Carmen de Viboral - Las Acacias</t>
  </si>
  <si>
    <t>Sector El Hoyo</t>
  </si>
  <si>
    <t>Asociacion de Usuarios Propietarios de Acueducto Rural de Llanadas-Sector El Hoyo</t>
  </si>
  <si>
    <t>Sector Yolombos</t>
  </si>
  <si>
    <t>Asociacion de Usuarios Propietarios de Acueducto Rural de Llanadas-Sector Yolombos</t>
  </si>
  <si>
    <t>Vereda Cascajo Abajo</t>
  </si>
  <si>
    <t>Asociados del Acueducto de Cascajo- Cascajo Abajo</t>
  </si>
  <si>
    <t>Asociados del Acueducto de Cascajo - Campo Alegre</t>
  </si>
  <si>
    <t>Vereda Cimarronas</t>
  </si>
  <si>
    <t>Asociados del Acueducto de Cascajo- Cimarronas</t>
  </si>
  <si>
    <t>Vereda Cascajo Arriba</t>
  </si>
  <si>
    <t>Asociados del Acueducto de Cascajo- Cascajo Arriba</t>
  </si>
  <si>
    <t>Vereda Las Mercedes</t>
  </si>
  <si>
    <t>Acueducto Las Mercedes, La Esperanza, La Esmeralda y El Chagualo-Las Mercedes</t>
  </si>
  <si>
    <t>Vereda La Esmeralda</t>
  </si>
  <si>
    <t>Acueducto Las Mercedes, La Esperanza, La Esmeralda y El Chagualo-La Esmeraldo</t>
  </si>
  <si>
    <t>Acueducto Las Mercedes, La Esperanza, La Esmeralda y El Chagualo-La Esperanza</t>
  </si>
  <si>
    <t>Vereda El Chagualo</t>
  </si>
  <si>
    <t>Acueducto Las Mercedes, La Esperanza, La Esmeralda y El Chagualo-El Chagualo</t>
  </si>
  <si>
    <t>Vereda Chocho Mayo</t>
  </si>
  <si>
    <t>Asociación de Usuarios Propietarios del Acueducto Rural Alto del Mercado-Chocho Mayo</t>
  </si>
  <si>
    <t>Vereda Alto del Mercado</t>
  </si>
  <si>
    <t>Asociación de Usuarios Propietarios del Acueducto Rural Alto del Mercado-Alto del Mercado</t>
  </si>
  <si>
    <t>Vereda Santa Cruz</t>
  </si>
  <si>
    <t>Asociación de Usuarios Propietarios del Acueducto Rural Alto del Mercado-Santa Cruz</t>
  </si>
  <si>
    <t>Asociación de Usuarios Propietarios del Acueducto Rural Alto del Mercado-San Jose</t>
  </si>
  <si>
    <t>Vereda Pozo</t>
  </si>
  <si>
    <t>Asociacion de Usuarios Propietarios del Acueducto Multiveredal Pozo, La Inmaculada, Milagrosa-Pozo</t>
  </si>
  <si>
    <t>Asociacion de Usuarios Propietarios del Acueducto Multiveredal Pozo, La Inmaculada, Milagrosa-La Inmaculada</t>
  </si>
  <si>
    <t>Asociacion de Usuarios Propietarios del Acueducto Multiveredal Pozo, La Inmaculada, Milagrosa-El Rosario</t>
  </si>
  <si>
    <t>Asociacion de Usuarios Propietarios del Acueducto Multiveredal Pozo, La Inmaculada, Milagrosa-La Milagrosa</t>
  </si>
  <si>
    <t>Asociacion de Usuarios Propietarios del Acueducto Multiveredal Pozo, La Inmaculada, Milagrosa-El Porvenir</t>
  </si>
  <si>
    <t>Vereda Salto Arriba</t>
  </si>
  <si>
    <t>Asociacion Usuarios Propietarios del Acueducto Multiveredal Los Saltos-Salto Arriba</t>
  </si>
  <si>
    <t>Vereda Salto Abajo</t>
  </si>
  <si>
    <t>Asociacion Usuarios Propietarios del Acueducto Multiveredal Los Saltos-Salto Abajo</t>
  </si>
  <si>
    <t>Asociacion Usuarios Propietarios del Acueducto Multiveredal Los Saltos-Chocho Mayo</t>
  </si>
  <si>
    <t>Asociacion Usuarios Propietarios del Acueducto Multiveredal Los Saltos-El Rosario</t>
  </si>
  <si>
    <t>Vereda Montañita Arriba</t>
  </si>
  <si>
    <t>Asociacion de Usuarios Propietarios del Acueducto Montañita Arriba</t>
  </si>
  <si>
    <t>Vereda Montañita</t>
  </si>
  <si>
    <t>Asociacion Usuarios Propietarios del Acueducto Multiveredal Los Saltos-Montañita</t>
  </si>
  <si>
    <t>Vereda La Asuncion</t>
  </si>
  <si>
    <t>Asociacion Usuarios Propietarios del Acueducto Multiveredal Los Saltos-La Asunción</t>
  </si>
  <si>
    <t>Vereda Yarumos</t>
  </si>
  <si>
    <t>Asociacion Usuarios Propietarios del Acueducto Multiveredal Los Saltos-Yarumos</t>
  </si>
  <si>
    <t>Vereda  La Peña</t>
  </si>
  <si>
    <t>Asociacion Usuarios Propietarios del Acueducto Multiveredal Los Saltos-La Peña</t>
  </si>
  <si>
    <t>Asociacion Usuarios Propietarios del Acueducto Multiveredal Los Saltos-El Porvenir</t>
  </si>
  <si>
    <t xml:space="preserve"> Vereda Gaviria Sector La Escuela</t>
  </si>
  <si>
    <t>Asociación de Usuarios Propietarios del Acueducto Multiveredal Gaviria San Juan Bosco Aguas-Gaviria Sector La Escuela</t>
  </si>
  <si>
    <t>Verda Gaviria Sector Planta de Tratamiento</t>
  </si>
  <si>
    <t>Asociación de Usuarios Propietarios del Acueducto Multiveredal Gaviria San Juan Bosco Aguas-Gaviria Sector Planta de Tratamiento</t>
  </si>
  <si>
    <t>Asociación de Usuarios Propietarios del Acueducto Multiveredal Gaviria San Juan Bosco Aguas-Cristo Rey</t>
  </si>
  <si>
    <t>Vereda San Juan Bosco</t>
  </si>
  <si>
    <t>Asociación de Usuarios Propietarios del Acueducto Multiveredal Gaviria San Juan Bosco Aguas-San Juan Bosco</t>
  </si>
  <si>
    <t>Vereda El Recodo</t>
  </si>
  <si>
    <t>Asociación de Usuarios Propietarios del Acueducto Multiveredal Gaviria San Juan Bosco Aguas-El Recodo</t>
  </si>
  <si>
    <t>Asociación de Usuarios Propietarios del Acueducto Rural La Primavera El Socorro La Asunción y Parte del Alto del Mercado-El Socorro</t>
  </si>
  <si>
    <t>Vereda La Asunción</t>
  </si>
  <si>
    <t>Asociación de Usuarios Propietarios del Acueducto Rural La Primavera El Socorro La Asunción y Parte del Alto del Mercado-La Asunción</t>
  </si>
  <si>
    <t>Vereda Alto Del Mercado</t>
  </si>
  <si>
    <t>Asociación de Usuarios Propietarios del Acueducto Rural La Primavera El Socorro La Asunción y Parte del Alto del Mercado-Alto del Mercado</t>
  </si>
  <si>
    <t>Asociación de Usuarios Propietarios del Acueducto Rural La Primavera El Socorro La Asunción y Parte del Alto del Mercado-La Primavera</t>
  </si>
  <si>
    <t>Vereda La Aurora</t>
  </si>
  <si>
    <t>Sajonia - Barro Blanco - Aeropuerto - Chachafruto - La Convención - Playa Rica - Yarumal</t>
  </si>
  <si>
    <t>Asociación Usuarios Acueducto Rural Sajonia - Alto Vallejo - ARSA</t>
  </si>
  <si>
    <t>Cuatro Esquinas - Cimarronas - El Vergel</t>
  </si>
  <si>
    <t>AUAA Cuatro Esquinas</t>
  </si>
  <si>
    <t>vereda galicia</t>
  </si>
  <si>
    <t>Corporacion de acueducto de Galicia J.H.G.N</t>
  </si>
  <si>
    <t>AS Aguas La Chorrera</t>
  </si>
  <si>
    <t>La Enea - Galicia - Garrido - La Laja - La Playa</t>
  </si>
  <si>
    <t>Corporación La Enea</t>
  </si>
  <si>
    <t>La Quiebra</t>
  </si>
  <si>
    <t>Corporación Aguas del Mirador</t>
  </si>
  <si>
    <t>San Antonio de Pereira</t>
  </si>
  <si>
    <t>CC San Antonio de Pereira</t>
  </si>
  <si>
    <t>Vereda Cabeceras de Llano Grande - Planta I</t>
  </si>
  <si>
    <t>AA Cabeceras Llano Grande</t>
  </si>
  <si>
    <t xml:space="preserve">Asosiación Libardo González Echeverri </t>
  </si>
  <si>
    <t>Cuchillas - Carmín - Mampuesto</t>
  </si>
  <si>
    <t>CAM Carmín, Cuchillas, Mampuesto y Anexos</t>
  </si>
  <si>
    <t>Vereda El Capiro</t>
  </si>
  <si>
    <t>CUA El Capiro</t>
  </si>
  <si>
    <t>Vereda Pontezuela</t>
  </si>
  <si>
    <t>AUA Pontezuela</t>
  </si>
  <si>
    <t>Vereda Rancherías</t>
  </si>
  <si>
    <t>JA Servicio Agua Potable Rancherías</t>
  </si>
  <si>
    <t>Río Abajo - Los Piinos</t>
  </si>
  <si>
    <t>Acueducto Río Abajo Los Pinos</t>
  </si>
  <si>
    <t>Vereda San Luis - Santa Bárbara</t>
  </si>
  <si>
    <t>CC San Luis - Santa Bárbara</t>
  </si>
  <si>
    <t>Vereda Santa Teresa</t>
  </si>
  <si>
    <t>CC Acueducto Santa Teresa</t>
  </si>
  <si>
    <t>Vereda Tablazo</t>
  </si>
  <si>
    <t>AA El Tablazo</t>
  </si>
  <si>
    <t>Vereda La Convención</t>
  </si>
  <si>
    <t>AJAA vereda La Convención</t>
  </si>
  <si>
    <t xml:space="preserve">Vereda El Tablacito </t>
  </si>
  <si>
    <t>AA El Tablacito</t>
  </si>
  <si>
    <t>Tres Puertas - Guayabito</t>
  </si>
  <si>
    <t>Aguas de Llanogrande</t>
  </si>
  <si>
    <t>Junta de Accion Comunal Vereda El Tabor</t>
  </si>
  <si>
    <t>Vereda Peñoles</t>
  </si>
  <si>
    <t>Junta de Accion Comunal Vereda Peñoles</t>
  </si>
  <si>
    <t>Vereda Arenosas</t>
  </si>
  <si>
    <t>Junta de Accion Comunal Arenosas</t>
  </si>
  <si>
    <t>Corregimiento El Jordan</t>
  </si>
  <si>
    <t>Asociacion de Usuarios Acueducto El Jordan AUAJOR</t>
  </si>
  <si>
    <t>Corregimiento Puerto Garza</t>
  </si>
  <si>
    <t>Junta de Accion Comunal Corregimiento Puerto Garza</t>
  </si>
  <si>
    <t>Vereda Dinamarca</t>
  </si>
  <si>
    <t>Junta de Accion Comunal Vereda Dinamarca</t>
  </si>
  <si>
    <t>Vereda Palmichal</t>
  </si>
  <si>
    <t>Asociacion de Usuarios Acueducto Palmichal</t>
  </si>
  <si>
    <t>Vereda La Rapida</t>
  </si>
  <si>
    <t>Asociacion de Usuarios del Acueducto La Rapida</t>
  </si>
  <si>
    <t>Vereda Santa Rita</t>
  </si>
  <si>
    <t>Junta de Accion Comunal Vereda Santa Rita</t>
  </si>
  <si>
    <t>Vereda Dos Quebradas</t>
  </si>
  <si>
    <t>Junta de Accion Comunal Vereda Dos Quebradas</t>
  </si>
  <si>
    <t>Junta de Accion Comunal Vereda El Choco</t>
  </si>
  <si>
    <t>Corregimiento Samana del Norte</t>
  </si>
  <si>
    <t>Junta de Accion Comunal Corregimiento Samana del Norte</t>
  </si>
  <si>
    <t>Vereda La Holanda</t>
  </si>
  <si>
    <t>Junta de Accion Comunal La Holanda</t>
  </si>
  <si>
    <t>Vereda El Paraguas</t>
  </si>
  <si>
    <t>Junta de Accion Comunal Vereda El Paraguas</t>
  </si>
  <si>
    <t>Vereda Agualinda</t>
  </si>
  <si>
    <t>Junta de Accion Comunal Agualinda</t>
  </si>
  <si>
    <t>Corregimiento Aquitania</t>
  </si>
  <si>
    <t>Junta de Accion Comunal Vereda Aquitania</t>
  </si>
  <si>
    <t>Vereda Pocitos</t>
  </si>
  <si>
    <t>Junta de Accion Comunal  Vereda Pocitos</t>
  </si>
  <si>
    <t>Vereda El Pajui</t>
  </si>
  <si>
    <t>Junta de Accion Comunal Vereda El Pajui</t>
  </si>
  <si>
    <t>Junta de Accion Comunal San Isidro</t>
  </si>
  <si>
    <t>Junta de Accion Comunal Vereda La Esperanza</t>
  </si>
  <si>
    <t>Vereda La Cristalina</t>
  </si>
  <si>
    <t>Junta de Accion Comunal Vereda La Cristalina</t>
  </si>
  <si>
    <t>Vereda Farallones</t>
  </si>
  <si>
    <t>Junta de Accion Comunal Vereda Farallones</t>
  </si>
  <si>
    <t xml:space="preserve">Corregimiento El Prodigio Central     </t>
  </si>
  <si>
    <t>Junta de Accion Comunal El Prodigio Central</t>
  </si>
  <si>
    <t xml:space="preserve">Corregimiento El Prodigio Barrio Valencia     </t>
  </si>
  <si>
    <t>Junta de Accion Comunal Barrio Valencia</t>
  </si>
  <si>
    <t>Junta de Accion Comunal Buenos Aires</t>
  </si>
  <si>
    <t>Vereda La Josefina</t>
  </si>
  <si>
    <t>Junta Administradora de Acueducto  La Josefina</t>
  </si>
  <si>
    <t>Junta de Accion Comunal Monteloro</t>
  </si>
  <si>
    <t>Vereda Cuba</t>
  </si>
  <si>
    <t>Junta de Accion Comunal Cuba</t>
  </si>
  <si>
    <t>Junta de Accion Comunal La Estrella</t>
  </si>
  <si>
    <t>Junta de Accion Comunal San Francisco</t>
  </si>
  <si>
    <t>Vereda Sopetran</t>
  </si>
  <si>
    <t>Junta de Accion Comunal Sopetran</t>
  </si>
  <si>
    <t>Vereda El Arenal</t>
  </si>
  <si>
    <t>Junta de Accion Comunal Barrio Totumito-Totumito</t>
  </si>
  <si>
    <t>Vereda la Rápida</t>
  </si>
  <si>
    <t>Junta de Accion Comunal La Rapida</t>
  </si>
  <si>
    <t>Vereda Bizcocho</t>
  </si>
  <si>
    <t>Junta de Accion Comunal El Bizcocho</t>
  </si>
  <si>
    <t>Vereda el Silencio</t>
  </si>
  <si>
    <t>Junta de Accion Comunal Vereda El Silencio</t>
  </si>
  <si>
    <t xml:space="preserve">Vereda Balsas </t>
  </si>
  <si>
    <t>Junta de Accion Comunal Balsas</t>
  </si>
  <si>
    <t>Junta de Accion Comunal El Brasil</t>
  </si>
  <si>
    <t>Vereda El Charco</t>
  </si>
  <si>
    <t>Junta de Accion Comunal El Charco</t>
  </si>
  <si>
    <t>Vereda El Topacio</t>
  </si>
  <si>
    <t>Junta de Accion Comunal El Topacio</t>
  </si>
  <si>
    <t>Vereda La Dorada</t>
  </si>
  <si>
    <t>Junta de Accion Comunal La Dorada</t>
  </si>
  <si>
    <t>Vereda Arenal</t>
  </si>
  <si>
    <t>Junta de Accion Comunal Barrio Totumito-El Arenal</t>
  </si>
  <si>
    <t>Vereda Piedras Arriba</t>
  </si>
  <si>
    <t>Junta Administradora Piedrasan-Piedras Arriba</t>
  </si>
  <si>
    <t>Vereda Danticas</t>
  </si>
  <si>
    <t>Junta Administradora Piedrasan-Danticas</t>
  </si>
  <si>
    <t>Vereda Tesorito</t>
  </si>
  <si>
    <t>Junta de Accion Comunal Tesorito</t>
  </si>
  <si>
    <t>Vereda La Cumbre</t>
  </si>
  <si>
    <t>Junta de Accion Comunal La Cumbre</t>
  </si>
  <si>
    <t>Vereda San Julian</t>
  </si>
  <si>
    <t>Junta de Accion Comunal San Julian</t>
  </si>
  <si>
    <t>Vereda El Brasil Parte Baja</t>
  </si>
  <si>
    <t>Junta de Accion Comunal Guayabal</t>
  </si>
  <si>
    <t>Acueducto Alto de La Compañía-Alto de La Compañía</t>
  </si>
  <si>
    <t>Asociacion de Suscriptores del Acueducto Veredal La Mina Vereda La Enea-La Enea</t>
  </si>
  <si>
    <t>Asociacion de Suscriptores del Acueducto Veredal La Mina Vereda La Enea-San Nicolás</t>
  </si>
  <si>
    <t>Acueducto Alto de La Compañía-El Potrero</t>
  </si>
  <si>
    <t>Asociacion de Usuarios del Acueducto de Chaparral</t>
  </si>
  <si>
    <t>Asociacion de Usuarios del Acueducto de La Vereda La Magdalena</t>
  </si>
  <si>
    <t>Asociacion de Usuarios del Acueducto de La Vereda El Porvenir-La Magdalena</t>
  </si>
  <si>
    <t>Asociacion de Usuarios del Acueducto de La Vereda El Porvenir-El Calvario</t>
  </si>
  <si>
    <t>Asociacion de Usuarios del Acueducto de La Vereda El Porvenir-Guaciru</t>
  </si>
  <si>
    <t>Asociacion de Usuarios del Acueducto de La Vereda El Porvenir-Travesias</t>
  </si>
  <si>
    <t>Asociacion de Usuarios del Acueducto de La Vereda El Porvenir-Santa Ana</t>
  </si>
  <si>
    <t>Asociacion de Usuarios del Acueducto de La Vereda El Porvenir-Porvenir</t>
  </si>
  <si>
    <t>Asociacion de Usuarios del Acueducto Multiveredal San Jose -San Jose</t>
  </si>
  <si>
    <t>Asociacion de Usuarios del Acueducto Multiveredal San Jose -Cantor</t>
  </si>
  <si>
    <t>Asociacion de Usuarios del Acueducto Multiveredal San Jose-San Ignacio</t>
  </si>
  <si>
    <t>Asociacion de Usuarios del Acueducto Multiveredal Carmelo Corrientes-El Carmelo</t>
  </si>
  <si>
    <t>Asociacion de Usuarios del Acueducto Multiveredal Carmelo Corrientes-El Canelo</t>
  </si>
  <si>
    <t>Asociacion de Usuarios del Acueducto Multiveredal Carmelo Corrientes-El Porvenir</t>
  </si>
  <si>
    <t>Asociacion de Usuarios del Acueducto Multiveredal Carmelo Corrientes-Piedragorda</t>
  </si>
  <si>
    <t>Asociacion de Usuarios del Acueducto Multiveredal Carmelo Corrientes-Corrientes</t>
  </si>
  <si>
    <t>Asociacion de Usuarios del Acueducto Multiveredal Piedragorda-Piedragorda</t>
  </si>
  <si>
    <t>Acueducto Multiveredal Piedragorda, La Cabaña, Peñolcito, Guamal, Potrerito-Potrerito</t>
  </si>
  <si>
    <t>Acueducto Multiveredal Piedragorda, La Cabaña, Peñolcito, Guamal, Potrerito-La Cabaña</t>
  </si>
  <si>
    <t>Acueducto Multiveredal Piedragorda, La Cabaña, Peñolcito, Guamal, Potrerito-Peñolcitos</t>
  </si>
  <si>
    <t>Acueducto Multiveredal Piedragorda, La Cabaña, Peñolcito, Guamal, Potrerito-Guamal</t>
  </si>
  <si>
    <t>Asociacion de Usuarios del Acueducto de La Vereda El Porvenir-San Cristobal</t>
  </si>
  <si>
    <t xml:space="preserve"> Acueducto Multiveredal Santa Rita Parte Baja, Perpetuo Socorro, San Antonio, La Porquera y Las Hojas-Perpetuo Socorro</t>
  </si>
  <si>
    <t xml:space="preserve"> Acueducto Multiveredal Santa Rita Parte Baja, Perpetuo Socorro, San Antonio, La Porquera y Las Hojas-Las Hojas</t>
  </si>
  <si>
    <t xml:space="preserve"> Acueducto Multiveredal Santa Rita Parte Baja, Perpetuo Socorro, San Antonio, La Porquera y Las Hojas-La Porquera</t>
  </si>
  <si>
    <t xml:space="preserve"> Acueducto Multiveredal Santa Rita Parte Baja, Perpetuo Socorro, San Antonio, La Porquera y Las Hojas-San Antonio</t>
  </si>
  <si>
    <t xml:space="preserve"> Acueducto Multiveredal Santa Rita Parte Baja, Perpetuo Socorro, San Antonio, La Porquera y Las Hojas-La Compañía</t>
  </si>
  <si>
    <t xml:space="preserve"> Acueducto Multiveredal Santa Rita Parte Baja, Perpetuo Socorro, San Antonio, La Porquera y Las Hojas-Santa Rita</t>
  </si>
  <si>
    <t>Asociacion de Usuarios del Acueducto Guaciru-El Calvario</t>
  </si>
  <si>
    <t>Asociacion de Usuarios del Acueducto Guaciru-Travesias</t>
  </si>
  <si>
    <t>Asociacion de Usuarios del Acueducto Guaciru-San Cristobal</t>
  </si>
  <si>
    <t>Asociacion de Usuarios del Acueducto Guaciru-Magdalena</t>
  </si>
  <si>
    <t>Asociacion de Usuarios del Acueducto Honda, Floresta,  Santa Ana-La Peña</t>
  </si>
  <si>
    <t>Asociacion de Usuarios del Acueducto Guaciru-Guaciru</t>
  </si>
  <si>
    <t>Asociacion de Usuarios del Acueducto Santa Rita</t>
  </si>
  <si>
    <t>Asociacion de Usuarios del Acueducto Honda, Floresta,  Santa Ana-La Honda</t>
  </si>
  <si>
    <t>Asociacion de Usuarios del Acueducto Honda, Floresta,  Santa Ana-La Floresta</t>
  </si>
  <si>
    <t>Asociacion de Usuarios del Acueducto Honda, Floresta,  Santa Ana-Peñolcitos</t>
  </si>
  <si>
    <t>Asociacion de Usuarios del Acueducto Honda, Floresta,  Santa Ana-Santa Ana</t>
  </si>
  <si>
    <t>Vereda El Calvario</t>
  </si>
  <si>
    <t>Vereda Travesias</t>
  </si>
  <si>
    <t>Vereda San Cristobal</t>
  </si>
  <si>
    <t>Vereda La Magdalena</t>
  </si>
  <si>
    <t>Vereda Guaciru</t>
  </si>
  <si>
    <t>Vereda La Honda</t>
  </si>
  <si>
    <t>Vereda Peñolcito</t>
  </si>
  <si>
    <t>Vereda Alto de La Compañia</t>
  </si>
  <si>
    <t xml:space="preserve">Vereda La Enea </t>
  </si>
  <si>
    <t>Vereda San Nicolas</t>
  </si>
  <si>
    <t>Vereda El Potrero</t>
  </si>
  <si>
    <t>Vereda Cantor</t>
  </si>
  <si>
    <t>Vereda El Canelo</t>
  </si>
  <si>
    <t>Vereda  Piedragorda</t>
  </si>
  <si>
    <t>Vereda Piedragorda</t>
  </si>
  <si>
    <t>Vereda Peñolcitos</t>
  </si>
  <si>
    <t>Vereda Guamal</t>
  </si>
  <si>
    <t>Vereda El Perpetuo Socorro</t>
  </si>
  <si>
    <t>Vereda Las Hojas</t>
  </si>
  <si>
    <t>Vereda La Porquera</t>
  </si>
  <si>
    <t>Vereda La Compañia</t>
  </si>
  <si>
    <t>Vereda La Danta</t>
  </si>
  <si>
    <t>Aguas del Páramo de Sonsón S.A.S E.S.P. -La Danta</t>
  </si>
  <si>
    <t xml:space="preserve">Asociación de Usuarios del Acueducto Alcantarillado y Aseo de San Miguel </t>
  </si>
  <si>
    <t>Vereda Alto de Sabanas</t>
  </si>
  <si>
    <t>Junta Administradora de Acueducto Veredal Alto de Sabanas</t>
  </si>
  <si>
    <t>Vereda Los Potreros</t>
  </si>
  <si>
    <t>Junta Administradora de Acueducto Los Potreros</t>
  </si>
  <si>
    <t>Junta Administradora de Acueducto Veredal Arenillal Aguacates- Las Brisas</t>
  </si>
  <si>
    <t>Vereda La Habana La Loma</t>
  </si>
  <si>
    <t>Junta de Acueducto Veredal La Habana La Loma</t>
  </si>
  <si>
    <t>Proacueducto Piedras Blancas</t>
  </si>
  <si>
    <t>Junta Administradora de Acueducto Veredal Guamal</t>
  </si>
  <si>
    <t>Vereda Megallo Centro</t>
  </si>
  <si>
    <t>Junta Administradora de Acueducto Veredal Megallo Centro</t>
  </si>
  <si>
    <t>Vereda Roblalito B</t>
  </si>
  <si>
    <t>Junta Administradora de Acueductos Veredales  Roblalito B</t>
  </si>
  <si>
    <t>Vereda Yarumal Alta Vista</t>
  </si>
  <si>
    <t>Junta Administradora de Acueducto Veredal Yarumal Alta Vista</t>
  </si>
  <si>
    <t>Vereda Jerusalen</t>
  </si>
  <si>
    <t>Junta Administradora de Acueducto Veredal Jerusalén</t>
  </si>
  <si>
    <t>Junta de Acueducto Veredal Rio Arriba - San Francisco</t>
  </si>
  <si>
    <t>Vereda El Chirimoyo</t>
  </si>
  <si>
    <t xml:space="preserve">Junta de Acueducto Veredal El Chirymoyo </t>
  </si>
  <si>
    <t>Vereda Rio Arriba</t>
  </si>
  <si>
    <t>Junta de Acueducto Veredal  Rio Arriba</t>
  </si>
  <si>
    <t>Junta Administradora Acueducto los  Planes</t>
  </si>
  <si>
    <t>Vereda Arenillal</t>
  </si>
  <si>
    <t>Junta Administradora de Acueducto Veredal Arenillal Aguacates- Arenillal</t>
  </si>
  <si>
    <t>Vereda Cascaron</t>
  </si>
  <si>
    <t>Vereda El Pital</t>
  </si>
  <si>
    <t>Vereda Sardinas</t>
  </si>
  <si>
    <t>Vereda Quebradona</t>
  </si>
  <si>
    <t>Vereda Santa Isabel</t>
  </si>
  <si>
    <t>Vereda Canalones</t>
  </si>
  <si>
    <t>Vereda  El Bagre</t>
  </si>
  <si>
    <t>Vereda El 62</t>
  </si>
  <si>
    <t>Vereda  Canutillo</t>
  </si>
  <si>
    <t>Vereda Corrales</t>
  </si>
  <si>
    <t>Corregimiento La Susana</t>
  </si>
  <si>
    <t>Corregimiento La Floresta</t>
  </si>
  <si>
    <t>Vereda El Ingenio</t>
  </si>
  <si>
    <t>Vereda Alto Dolores</t>
  </si>
  <si>
    <t>Vereda Guardasol</t>
  </si>
  <si>
    <t>Corregimiento El Brasil</t>
  </si>
  <si>
    <t>Junta de Acción Comunal Corregimiento El Brasil</t>
  </si>
  <si>
    <t>Corregimiento Virginias</t>
  </si>
  <si>
    <t>Junta de Acción Comunal corregimiento Virginias</t>
  </si>
  <si>
    <t>Corregimiento Puerto Murillo</t>
  </si>
  <si>
    <t>Junta de Acción Comunal corregimiento  Puerto Murillo</t>
  </si>
  <si>
    <t>Junta de Acción Comunal Vereda La Cristalina</t>
  </si>
  <si>
    <t>Batallon Bombona</t>
  </si>
  <si>
    <t>Acueducto Batallón Bombona</t>
  </si>
  <si>
    <t>Vereda  Las Flores</t>
  </si>
  <si>
    <t>Junta de Acción Comunal Vereda Las Flores</t>
  </si>
  <si>
    <t>Vereda  La Carlota</t>
  </si>
  <si>
    <t>Junta de Acción Comunal Vereda La Carlota</t>
  </si>
  <si>
    <t>Vereda Dorado Calamar</t>
  </si>
  <si>
    <t>Junta de Acción Comunal Vereda el Dorado-Calamar</t>
  </si>
  <si>
    <t>Vereda  San Juan Debedout</t>
  </si>
  <si>
    <t>Junta de Acción Comunal Vereda San Juan de Bedouth</t>
  </si>
  <si>
    <t>Vereda  Minas de Vapor</t>
  </si>
  <si>
    <t>Junta de Acción Comunal Minas de Vapor</t>
  </si>
  <si>
    <t>Vereda Santa Martina</t>
  </si>
  <si>
    <t>Junta de Acción Comunal Vereda Santa Martina</t>
  </si>
  <si>
    <t>Vereda Bodegas</t>
  </si>
  <si>
    <t>Junta de Acción Comunal Vereda Bodegas</t>
  </si>
  <si>
    <t>Vereda Estación la Malena</t>
  </si>
  <si>
    <t>Junta de Acción Comunal Vereda Estación la Malena</t>
  </si>
  <si>
    <t>Vereda Estacion Calera</t>
  </si>
  <si>
    <t>Junta de Acción Comunal Vereda Calera</t>
  </si>
  <si>
    <t>Vereda Cabañas</t>
  </si>
  <si>
    <t>Junta de Acción Comunal Vereda Cabañas</t>
  </si>
  <si>
    <t>Corregimiento La Unión</t>
  </si>
  <si>
    <t>Empresas Públicas Municipales de Puerto Nare - Corregimiento La Unión</t>
  </si>
  <si>
    <t>Empresas Públicas Municipales de Puerto Nare - Corregimiento La Mina</t>
  </si>
  <si>
    <t>Corregimiento La Pesca</t>
  </si>
  <si>
    <t>Empresas Públicas Municipales de Puerto Nare - Corregimiento La Pesca</t>
  </si>
  <si>
    <t>Corregimiento La Sierra</t>
  </si>
  <si>
    <t>Empresas Públicas de Puerto Nare - Corregimiento La Sierra</t>
  </si>
  <si>
    <t>Vereda Los Delirios</t>
  </si>
  <si>
    <t>Empresas Públicas Municipales de Puerto Nare - Vereda La Clara</t>
  </si>
  <si>
    <t>Vereda Las Angelitas</t>
  </si>
  <si>
    <t>Vereda Alto del Pollo</t>
  </si>
  <si>
    <t>Asociación de Usuarios del Acueducto de La Vereda Alto del Pollo E.S.P</t>
  </si>
  <si>
    <t>Corregimiento Estación Cocorná</t>
  </si>
  <si>
    <t>Junta Administradora del Acueducto de Estación Cocorná</t>
  </si>
  <si>
    <t>Corremiento Las Mercedes</t>
  </si>
  <si>
    <t>Asociación de Ususarios del Acueducto y Alcantarillado de Las Mercedes Puerto Triunfo</t>
  </si>
  <si>
    <t>Corregimiento Doradal</t>
  </si>
  <si>
    <t>Asociación Junta Administradora del Acueducto y Alcantarillado de Doradal</t>
  </si>
  <si>
    <t>Asociación Junta Administradora del Acueducto La Florida</t>
  </si>
  <si>
    <t>Corregimiento Puerto Perales</t>
  </si>
  <si>
    <t>Asociación de Usuarios del Acueducto y Alcantarillado de Puerto Perales E.S.P</t>
  </si>
  <si>
    <t>Hacienda Napoles (Doradal)</t>
  </si>
  <si>
    <t>INPEC-El Pesebre</t>
  </si>
  <si>
    <t>Vereda Estación Pita</t>
  </si>
  <si>
    <t>Acueducto Estacion Pita</t>
  </si>
  <si>
    <t>Vereda Tres Ranchos</t>
  </si>
  <si>
    <t>Asociación de Usuarios del Acueducto y Alcantarillado  Tres Ranchos (E.S.P.)</t>
  </si>
  <si>
    <t>Corregimiento Santiago Berrio</t>
  </si>
  <si>
    <t>Asociación de Usuarios del Acueducto Corregimiento Santiago Berrio</t>
  </si>
  <si>
    <t>Vereda Napoles</t>
  </si>
  <si>
    <t>Acueducto Parcelas Napoles</t>
  </si>
  <si>
    <t>Vereda San Luis Beltrán</t>
  </si>
  <si>
    <t>Junta de Acción Comunal San Luis Beltran</t>
  </si>
  <si>
    <t xml:space="preserve">Corregimiento San Miguel  El Tigre </t>
  </si>
  <si>
    <t>Junta de Acción Comunal Corregimiento San Miguel "El Tigre"</t>
  </si>
  <si>
    <t>Vereda San Francisco Alto Cimitarra</t>
  </si>
  <si>
    <t>Junta de Acción Comunal San Francisco Alto Cimitarra</t>
  </si>
  <si>
    <t>Vereda Puerto Nuevo</t>
  </si>
  <si>
    <t>Junta de Acción Comunal Puerto Nuevo</t>
  </si>
  <si>
    <t xml:space="preserve">Vereda Boca de Don Juan </t>
  </si>
  <si>
    <t>Junta de Acción Comunal Bocas de Don Juan</t>
  </si>
  <si>
    <t>Junta de Acción Comunal El Porvenir</t>
  </si>
  <si>
    <t>Vereda Kilómetro Cinco</t>
  </si>
  <si>
    <t>Junta de Acción Comunal Kilometro Cinco</t>
  </si>
  <si>
    <t>Vereda Puerto Matilde</t>
  </si>
  <si>
    <t>Junta de Acción Comunal Puerto Matilde</t>
  </si>
  <si>
    <t>Vereda Vietnam</t>
  </si>
  <si>
    <t>Junta de Acción Comunal El Vietnam</t>
  </si>
  <si>
    <t>Vereda San Juan Ite</t>
  </si>
  <si>
    <t>Junta de Acción Comunal San Juan Hacienda Ite</t>
  </si>
  <si>
    <t>Vereda Cienaga de Barbacoas</t>
  </si>
  <si>
    <t>Junta de Accion Comunal Cienaga de Barbacoas</t>
  </si>
  <si>
    <t>Vereda La Congoja</t>
  </si>
  <si>
    <t>Junta de Acción Comunal Vereda La Congoja</t>
  </si>
  <si>
    <t>Vereda No Te Pases</t>
  </si>
  <si>
    <t>Junta de Acción Comunal No Te Pases</t>
  </si>
  <si>
    <t>Vereda Jabonal</t>
  </si>
  <si>
    <t>Junta de Acción Comunal Jabonal</t>
  </si>
  <si>
    <t>Vereda Caño Bodegas</t>
  </si>
  <si>
    <t>Junta de Acción Comunal Caño Bodegas Asociacion de Afrodescendientes</t>
  </si>
  <si>
    <t>Junta de Acción Comunal La Raya</t>
  </si>
  <si>
    <t>Vereda El Bagre</t>
  </si>
  <si>
    <t>Junta de Acción Comunal "El Bagre"</t>
  </si>
  <si>
    <t>Vereda Caño Blanco</t>
  </si>
  <si>
    <t>Junta de Acción Comunal Caño Blanco</t>
  </si>
  <si>
    <t>Vereda La Represa</t>
  </si>
  <si>
    <t xml:space="preserve">Junta de Acción Comunal Vereda La Represa </t>
  </si>
  <si>
    <t xml:space="preserve">Vereda Caño Negro  </t>
  </si>
  <si>
    <t>Junta de Acción Comunal "Caño Negro"</t>
  </si>
  <si>
    <t>Zona Rural Plana</t>
  </si>
  <si>
    <t>Aguas y Aseo de Yondó S.A. E.S.P. -  Zona Rural Plana</t>
  </si>
  <si>
    <t>Vereda La Esmeralda Barranquillita</t>
  </si>
  <si>
    <t>Junta de Accion Comunal La Esmeralda</t>
  </si>
  <si>
    <t>Corregimiento Margento</t>
  </si>
  <si>
    <t>ACUAMAR-Acueducto Margento</t>
  </si>
  <si>
    <t>Junta de Accion Comunal Risaralda</t>
  </si>
  <si>
    <t>Vereda La Union</t>
  </si>
  <si>
    <t>Junta de Accion Comunal La Union</t>
  </si>
  <si>
    <t>Vereda Las Peñitas</t>
  </si>
  <si>
    <t>Vereda Puerto Triana</t>
  </si>
  <si>
    <t>Junta de Accion Comunal Puerto Triana-Puerto Triana</t>
  </si>
  <si>
    <t>Corregimiento Cacerí</t>
  </si>
  <si>
    <t>Junta de Accion Comunal Caceri</t>
  </si>
  <si>
    <t>Vereda Santa Rosita</t>
  </si>
  <si>
    <t>Junta de Acion Comunal Santa Rosita</t>
  </si>
  <si>
    <t xml:space="preserve"> </t>
  </si>
  <si>
    <t>Junta de Accion Comunal Campo Alegre</t>
  </si>
  <si>
    <t>Corregimiento Cuturu</t>
  </si>
  <si>
    <t>Acueducto San Jose- Acueducto Cuturu</t>
  </si>
  <si>
    <t>Vereda Puerto Colombia</t>
  </si>
  <si>
    <t>Junta de Accion Comunal Puerto Colombia</t>
  </si>
  <si>
    <t>Junta de Acción Administradora Asovirgen-Acueducto La Virgen</t>
  </si>
  <si>
    <t>Corregimiento Palanca</t>
  </si>
  <si>
    <t>Junta de Acción Comunal Corregimiento Palanca</t>
  </si>
  <si>
    <t>Corregimiento La ilusión</t>
  </si>
  <si>
    <t>Junta de Acción Comunal Corregimiento La Ilusión</t>
  </si>
  <si>
    <t>Junta de Accion Comunal Santo Domingo</t>
  </si>
  <si>
    <t>Vereda Villa del Socorro</t>
  </si>
  <si>
    <t>Junta de Accion Comunal Villa del Socorro</t>
  </si>
  <si>
    <t>Corregimiento El Pando</t>
  </si>
  <si>
    <t>Junta de Accion Comunal  Corregimiento El Pando</t>
  </si>
  <si>
    <t>Cabildo Indigena Zenu</t>
  </si>
  <si>
    <t>Corregimiento Palomar</t>
  </si>
  <si>
    <t>Junta de Accion Comunal Palomar</t>
  </si>
  <si>
    <t>Barrio Chino</t>
  </si>
  <si>
    <t>Junta de Accion Comunal Vereda Barrio Chino</t>
  </si>
  <si>
    <t>Cooperativa Yarumal de Aguas</t>
  </si>
  <si>
    <t>Vereda El Morro</t>
  </si>
  <si>
    <t>Asociación de Usuarios de Acueducto del Acueducto  Vereda El Morro</t>
  </si>
  <si>
    <t>Vereda Pueblito de los Sánchez</t>
  </si>
  <si>
    <t>Asociación de Usuarios de Acueducto del Acueducto y Alcantarillado de la Vereda Pueblito de los Sanchez</t>
  </si>
  <si>
    <t>Vereda La Ferreria</t>
  </si>
  <si>
    <t>Vereda Maní Parte Baja</t>
  </si>
  <si>
    <t>AUAMCAM-E.S.P-Vereda La Mani Parte Baja</t>
  </si>
  <si>
    <t>Vereda Deposito La Virgen</t>
  </si>
  <si>
    <t>AUAMCAM-E.S.P-Deposito La Virgen</t>
  </si>
  <si>
    <t>AUAMCAM-E.S.P- Vereda El Morro</t>
  </si>
  <si>
    <t>Centro Poblado Camilo C</t>
  </si>
  <si>
    <t>Asociación de Suscriptores Acueducto de Camilo C - ASOCAMILO</t>
  </si>
  <si>
    <t>Vereda Sector El Mangal</t>
  </si>
  <si>
    <t>Asociación de Usuarios del Acueducto de Travesias Sector Carretera El Mangal</t>
  </si>
  <si>
    <t>Vereda Caseta Comunal</t>
  </si>
  <si>
    <t>Asociación de Usuarios del Acueducto de Vereda Travesías Caseta Comunal</t>
  </si>
  <si>
    <t>Vereda Parte Baja</t>
  </si>
  <si>
    <t>Vereda Malabrigo Parte Alta Fuente Malabriga</t>
  </si>
  <si>
    <t>Asociación de Usuarios del Acueducto  de la vereda Malabrigo parte Alta - Fuente La Malabriga</t>
  </si>
  <si>
    <t>VeredaMalabrigo Parte Alta Fuente La Chinca</t>
  </si>
  <si>
    <t xml:space="preserve">Asociación de Usuarios del Acueducto  de la vereda Malabrigo parte Alta - Fuente La Chinca </t>
  </si>
  <si>
    <t>Vereda Malabrigo Parte Baja</t>
  </si>
  <si>
    <t>Asociación de Usuarios del Acueducto  de la vereda Malabrigo parte Baja</t>
  </si>
  <si>
    <t>Vereda Yarumal</t>
  </si>
  <si>
    <t>Vereda Pueblito San Jose Sector Taborda</t>
  </si>
  <si>
    <t>Vereda Pueblito San Jose Sector La Escuela</t>
  </si>
  <si>
    <t>Vereda Mani de las Casas</t>
  </si>
  <si>
    <t>Vereda Piedecuesta</t>
  </si>
  <si>
    <t>Asociación de Usuarios del Acueducto Calle Nueva-Piedecuesta</t>
  </si>
  <si>
    <t>Vereda Maní Parte Alta</t>
  </si>
  <si>
    <t>AUAMCAM-E.S.P- Vereda La Mani Parte Alta</t>
  </si>
  <si>
    <t>Vereda Nicanor La Paja</t>
  </si>
  <si>
    <t>Vereda Nicanor Sabaletica</t>
  </si>
  <si>
    <t>Vereda Los Aljibes</t>
  </si>
  <si>
    <t>Vereda Paso Nivel</t>
  </si>
  <si>
    <t>Centro Poblado Minas</t>
  </si>
  <si>
    <t>Corregimiento La Clarita</t>
  </si>
  <si>
    <t>Centro Poblado El Cedro</t>
  </si>
  <si>
    <t>Sector Naranjitos</t>
  </si>
  <si>
    <t>Asociación de Usuarios del Acueducto Naranjitos</t>
  </si>
  <si>
    <t>Barrio Los Alvarez</t>
  </si>
  <si>
    <t>Corregimiento  El Cedro Sector Las Faldas</t>
  </si>
  <si>
    <t>Centro Poblado Camilo C Sector El Trincho</t>
  </si>
  <si>
    <t>Asociación de Usuarios Acueducto La Comunidad</t>
  </si>
  <si>
    <r>
      <t xml:space="preserve">SUBREGION: </t>
    </r>
    <r>
      <rPr>
        <sz val="11"/>
        <rFont val="Arial"/>
        <family val="2"/>
      </rPr>
      <t>SUROESTE</t>
    </r>
  </si>
  <si>
    <t xml:space="preserve">Junta Administradora de Acueducto Corregimiento Buenos Aires </t>
  </si>
  <si>
    <t>Corregimiento Santa Rita</t>
  </si>
  <si>
    <t>Junta de Acción Comunal Santa Rita-Corregimiento Santa Rita</t>
  </si>
  <si>
    <t>Sector La Palmera</t>
  </si>
  <si>
    <t xml:space="preserve">Empresa de Servicios Públicos de Andes S.A E.S.P - Sistema Palmera </t>
  </si>
  <si>
    <t>Corregimiento Santa Inés</t>
  </si>
  <si>
    <t>Acueducto Santa Ines -Corregimiento Santa Inés</t>
  </si>
  <si>
    <t>Corregimiento San Jose</t>
  </si>
  <si>
    <t>Asociación de Usuarios del Acueducto Veredal Corregimiento San Jose Andes E.S.P.</t>
  </si>
  <si>
    <t>Vereda La Lejía</t>
  </si>
  <si>
    <t>Asociación de Usuarios del Acueducto Veredal La Lejia Taparto Andes E.S.P</t>
  </si>
  <si>
    <t>Vereda La Cedrona</t>
  </si>
  <si>
    <t>Junta de Acción Comunal La Cedrona</t>
  </si>
  <si>
    <t>Vereda  Los Almendros</t>
  </si>
  <si>
    <t>Asociación de Usuarios del Acueducto Multiveredal del Municipio de Andes - Urbanización Los Almendros</t>
  </si>
  <si>
    <t>Vereda La Aguada Sector La Pava</t>
  </si>
  <si>
    <t>Vereda Las Flores</t>
  </si>
  <si>
    <t>Vereda La Solita</t>
  </si>
  <si>
    <t>Junta de Acción Comunal La Solita</t>
  </si>
  <si>
    <t>Corregimiento San Bartolo</t>
  </si>
  <si>
    <t>Asociación de Usuarios del Acueducto Multiveredal del Municipio de Andes - Corregimiento San Bartolo</t>
  </si>
  <si>
    <t>Empresa de Servicios Públicos de Andes S.A E.S.P - Sistema Maria Auxiliadora</t>
  </si>
  <si>
    <t>Vereda San Hernando</t>
  </si>
  <si>
    <t>Asociación de Usuarios del Acueducto Multiveredal del Municipio de Andes - Vereda San Hernando</t>
  </si>
  <si>
    <t>Vereda La Yolanda</t>
  </si>
  <si>
    <t>Asociación de Usuarios del Acueducto Veredal La Yolanda-La Yolanda</t>
  </si>
  <si>
    <t>Vereda El Crucero</t>
  </si>
  <si>
    <t>Acueducto El Cedrón y El Crucero-El Crucero</t>
  </si>
  <si>
    <t>Vereda El Cedrón</t>
  </si>
  <si>
    <t>Acueducto El Cedrón y El Crucero-El Cedrón</t>
  </si>
  <si>
    <t>Acueducto El Empedrado Vereda Risaralda</t>
  </si>
  <si>
    <t>Acueducto La Primavera Sector El Barrio Corregimiento de Buenos Aires</t>
  </si>
  <si>
    <t>Vereda La Carmelita</t>
  </si>
  <si>
    <t>Asociación de Usuarios del Acueducto Multiveredal del Municipio de Andes - La Carmelita</t>
  </si>
  <si>
    <t>Vereda  San Carlos</t>
  </si>
  <si>
    <t>Asociación de Usuarios del Acueducto Multiveredal del Municipio de Andes - Vereda San Carlos</t>
  </si>
  <si>
    <t>Junta Administradora de Acueducto del Municipio de Andes - Vereda alto del Rayo La Solita</t>
  </si>
  <si>
    <t>Vereda El Tapao</t>
  </si>
  <si>
    <t>Asociación de Usuarios del Acueducto Multiveredal del Municipio de Andes - Vereda El Tapao</t>
  </si>
  <si>
    <t>Sector El Empedrado</t>
  </si>
  <si>
    <t>Asociación de Usuarios del Acueducto Multiveredal del Municipio de Andes - Sector El Empedrado</t>
  </si>
  <si>
    <t>Sector Santa Elena</t>
  </si>
  <si>
    <t>Junta de Acción Comunal Santa Rita-El Pencal Sector Santa Elena</t>
  </si>
  <si>
    <t>Vereda La Quinta</t>
  </si>
  <si>
    <t>Junta de Acción Comunal Santa Rita-La Quinta</t>
  </si>
  <si>
    <t>Vereda Contrafuerte</t>
  </si>
  <si>
    <t>Fundación Berta Martínez-La Aguada</t>
  </si>
  <si>
    <t>Vereda Alto del Rayo</t>
  </si>
  <si>
    <t>Asociación de Usuarios del Acueducto Multiveredal del Municipio de Andes - Vereda Alto del Rayo</t>
  </si>
  <si>
    <t>Vereda El Cabrero</t>
  </si>
  <si>
    <t xml:space="preserve">Asociación de Usuarios del Acueducto Multiveredal del Municipio de Andes - Vereda El Cabrero </t>
  </si>
  <si>
    <t>Sector La Ciudad</t>
  </si>
  <si>
    <t>Acueducto La Ciudad, El Morro y El Palmar- Sector La Ciudad</t>
  </si>
  <si>
    <t>Sector Villa Luz</t>
  </si>
  <si>
    <t>Acueducto La Ciudad, El Morro y El Palmar- Sector Villa Luz</t>
  </si>
  <si>
    <t>Vereda Piamonte</t>
  </si>
  <si>
    <t>Asociación de Usuarios del Acueducto Multiveredal del Municipio de Andes - Vereda Piamonte</t>
  </si>
  <si>
    <t>Asociación de Usuarios del Acueducto Multiveredal del Municipio de Andes - Vereda Risaralda</t>
  </si>
  <si>
    <t>Sector la Manchurria</t>
  </si>
  <si>
    <t xml:space="preserve">Asociación de Usuarios del Acueducto Multiveredal del Municipio de Andes - Sector La Manchurria </t>
  </si>
  <si>
    <t>Vereda la Comuna</t>
  </si>
  <si>
    <t>Asociación de Usuarios del Acueducto Multiveredal del Municipio de Andes - Vereda La Comuna</t>
  </si>
  <si>
    <t>Vereda La Camelia</t>
  </si>
  <si>
    <t>Asociación de Usuarios del Acueducto Multiveredal del Municipio de Andes - Vereda La Camelia</t>
  </si>
  <si>
    <t>Vereda  la Alsacia</t>
  </si>
  <si>
    <t xml:space="preserve">Asociación de Usuarios del Acueducto  La Alsacia </t>
  </si>
  <si>
    <t>Asociación de Usuarios del Acueducto Multiveredal del Municipio de Andes -Palestina</t>
  </si>
  <si>
    <t>Vereda Alto Cañaveral Chorros Parte Alta</t>
  </si>
  <si>
    <t>Asociación de Usuarios del Acueducto Multiveredal del Municipio de Andes -Vereda Alto Cañaveral Chorros Parte Alto</t>
  </si>
  <si>
    <t>Vereda Alto Cañaveral La Negra</t>
  </si>
  <si>
    <t>Asociación de Usuarios del Acueducto Multiveredal del Municipio de Andes - Vereda Alto Cañaveral La Negra</t>
  </si>
  <si>
    <t>Asociación de Usuarios del Acueducto Multiveredal del Municipio de Andes -Vereda Alto Cañaveral Chorros Parte Bajo</t>
  </si>
  <si>
    <t>Vereda  El Rojo</t>
  </si>
  <si>
    <t>Asociación de Usuarios del Acueducto Multiveredal del Municipio de Andes - Vereda El Rojo</t>
  </si>
  <si>
    <t>Vereda  Bajo Cañaveral</t>
  </si>
  <si>
    <t xml:space="preserve">Asociación de Usuarios del Acueducto Multiveredal del Municipio de Andes - Vereda Bajo Cañaveral </t>
  </si>
  <si>
    <t>Vereda Monte Blanco</t>
  </si>
  <si>
    <t xml:space="preserve">Asociación de Usuarios del Acueducto Multiveredal del Municipio de Andes - Vereda Monte Blanc </t>
  </si>
  <si>
    <t>Corregimiento de Taparto</t>
  </si>
  <si>
    <t>Asociación de Usuarios del Acueducto del Corregimiento de Taparto (ADUACOT)</t>
  </si>
  <si>
    <t>Vereda el Golgota</t>
  </si>
  <si>
    <t>Asociación de Usuarios del Acueducto Multiveredal del Municipio de Andes - Vereda el Golgota</t>
  </si>
  <si>
    <t>Empresa de Aseo Caceres S.A ESP-Corregimiento El Jardin</t>
  </si>
  <si>
    <t>Empresa de Aseo Caceres S.A ESP-Corregimiento Puerto Belgica</t>
  </si>
  <si>
    <t>Corregimiento Manizalez</t>
  </si>
  <si>
    <t>Junta de Acción Comunal Manizalez</t>
  </si>
  <si>
    <t>Vereda Rio Man</t>
  </si>
  <si>
    <t xml:space="preserve">Junta de Acción Comunal Rio Man </t>
  </si>
  <si>
    <t>Vereda Nicaragua</t>
  </si>
  <si>
    <t xml:space="preserve">Junta de Acción Comunal Nicaragua </t>
  </si>
  <si>
    <t>Corregimiento La Estacion</t>
  </si>
  <si>
    <t>Dirección de Servicios Públicos Angelópolis - Corregimiento La Estacion</t>
  </si>
  <si>
    <t xml:space="preserve">Vereda Cienaguita  </t>
  </si>
  <si>
    <t>Junta de Accion Comunal Vereda Cieneguita</t>
  </si>
  <si>
    <t>Vereda El  Barro</t>
  </si>
  <si>
    <t>Asociación de Usuarios del Acueducto Multiveredal Angelopolis, Amaga y Titiribi - El Barro</t>
  </si>
  <si>
    <t>Vereda El Nudillo</t>
  </si>
  <si>
    <t>Asociación de Usuarios del Acueducto Multiveredal Angelopolis, Amaga y Titiribi - El Nudillo</t>
  </si>
  <si>
    <t xml:space="preserve">Junta de Usuarios Acueducto  Santa Bárbara </t>
  </si>
  <si>
    <t>Vereda Barrio Nuevo</t>
  </si>
  <si>
    <t>Asociación de Usuarios del Acueducto Multiveredal Angelopolis, Amaga y Titiribi - Barrio Nuevo</t>
  </si>
  <si>
    <t>Vereda La Miranda</t>
  </si>
  <si>
    <t>Asociación de Usuarios del Acueducto Multiveredal Angelopolis, Amaga y Titiribi - La Miranda</t>
  </si>
  <si>
    <t>Asociación de Usuarios del Acueducto Multiveredal Angelopolis, Amaga y Titiribi - Cienaguita</t>
  </si>
  <si>
    <t>Asociación de Usuarios del Acueducto Multiveredal Angelopolis, Amaga y Titiribi - San Isidro</t>
  </si>
  <si>
    <t>Junta Administradora de Acueducto El Nudillo</t>
  </si>
  <si>
    <t>Asociación de Suscriptores o Usuarios del Acueducto  El Barro</t>
  </si>
  <si>
    <t xml:space="preserve">Vereda Bellavista </t>
  </si>
  <si>
    <t>Asociación de Usuarios del Acueducto Bellavista, Los Aguacates y Santa Ana-Bellavista</t>
  </si>
  <si>
    <t>Asociación de Usuarios del Acueducto Bellavista, Los Aguacates y Santa Ana-Santa Ana</t>
  </si>
  <si>
    <t>Vereda Los Aguacates</t>
  </si>
  <si>
    <t>Asociación de Usuarios del Acueducto Bellavista, Los Aguacates y Santa Ana-Los Aguacates</t>
  </si>
  <si>
    <t>Vereda Pedral Abajo</t>
  </si>
  <si>
    <t>Asociación de Usuarios del Acueducto Multiveredal Betania - Hispania E.S.P-Pedral Abajo</t>
  </si>
  <si>
    <t>Vereda Las Travesias</t>
  </si>
  <si>
    <t>Asociación de Usuarios del Acueducto Multiveredal Betania - Hispania E.S.P-Las Travesias</t>
  </si>
  <si>
    <t>Asociación de Usuarios del Acueducto Multiveredal Betania - Hispania E.S.P-Las Mercedes</t>
  </si>
  <si>
    <t>Asociación de Usuarios del Acueducto Multiveredal Betania - Hispania E.S.P-Las Animas</t>
  </si>
  <si>
    <t>Asociación de Usuarios del Acueducto Multiveredal Betania - Hispania E.S.P-La Julia</t>
  </si>
  <si>
    <t>Vereda Palenque</t>
  </si>
  <si>
    <t>Vereda Media Luna</t>
  </si>
  <si>
    <t>Asociación de Usuarios del Acueducto Multiveredal Betania - Hispania E.S.P-Media Luna</t>
  </si>
  <si>
    <t>Vereda La Hermosa</t>
  </si>
  <si>
    <t>Asociación de Usuarios del Acueducto Multiveredal Betania - Hispania E.S.P-La Hermosa</t>
  </si>
  <si>
    <t>Vereda Alto del Oso</t>
  </si>
  <si>
    <t>Asociación de Usuarios del Acueducto Multiveredal Betania - Hispania E.S.P-Alto del Oso</t>
  </si>
  <si>
    <t>Asociación de Usuarios del Acueducto de Altamira Municipio de Betulia - El Tostado</t>
  </si>
  <si>
    <t>Vereda  El Cuchillon</t>
  </si>
  <si>
    <t>Junta de Acción Comunal El Cuchillon</t>
  </si>
  <si>
    <t>Corregimiento Cangrejo</t>
  </si>
  <si>
    <t>Junta de Accion Comunal Corregimiento de Cangrejo</t>
  </si>
  <si>
    <t>Vereda El Piñonal</t>
  </si>
  <si>
    <t>Junta de Acción Comunal Piñonal</t>
  </si>
  <si>
    <t>Vereda Las Ánimas</t>
  </si>
  <si>
    <t>Junta de Acción Comunal Las Animas</t>
  </si>
  <si>
    <t>Asociacion de Usuarios del Acueducto Multiveredal Las Iglesias Betulia E.S.P-Santa Rita</t>
  </si>
  <si>
    <t>Vereda El Cuchuco</t>
  </si>
  <si>
    <t>Junta de Accion Comunal El Cuchuco</t>
  </si>
  <si>
    <t>Vereda La Manguita</t>
  </si>
  <si>
    <t>Asociación de Usuarios El yerbal - Paraje La Manguita</t>
  </si>
  <si>
    <t>Junta de Accion Comunal San Antonio</t>
  </si>
  <si>
    <t>Vereda Los Animes</t>
  </si>
  <si>
    <t>Asociación de Usuarios Los Animes</t>
  </si>
  <si>
    <t>Junta de Accion Comunal El Guadual</t>
  </si>
  <si>
    <t>Vereda Pueblo Duro</t>
  </si>
  <si>
    <t>Asociación de Usuarios El Yerbal -Pueblo Duro</t>
  </si>
  <si>
    <t>Vereda  El León</t>
  </si>
  <si>
    <t>Junta de Acción Comunal El Leon</t>
  </si>
  <si>
    <t>Vereda El Indio</t>
  </si>
  <si>
    <t>Asociación de Usuarios del Acueducto Multiveredal "Luciano Restrepo" -  El Indio y Pinguro</t>
  </si>
  <si>
    <t>Vereda La Guaimalita</t>
  </si>
  <si>
    <t>Asociación de Usuarios del Acueducto Multiveredal "Luciano Restrepo"-  La Guamalita</t>
  </si>
  <si>
    <t>Corregimiento Luciano Restrepo</t>
  </si>
  <si>
    <t>Asociación de Usuarios del Acueducto Multiveredal "Luciano Restrepo"-Corregimiento Luciano Restrepo</t>
  </si>
  <si>
    <t>Vereda La Vargas</t>
  </si>
  <si>
    <t>Junta de Accion Comunal La Vargas</t>
  </si>
  <si>
    <t xml:space="preserve">Vereda La Asomadera </t>
  </si>
  <si>
    <t xml:space="preserve">Junta de Acción Comunal La Asomadera </t>
  </si>
  <si>
    <t>Vereda Altamira</t>
  </si>
  <si>
    <t>Asociación de Usuarios del Acueducto de Altamira Municipio de Betulia-Altamira</t>
  </si>
  <si>
    <t>Vereda  La Ceibala</t>
  </si>
  <si>
    <t>Asociación de Usuarios El Yerbal - La Ceibala</t>
  </si>
  <si>
    <t>Vereda  La Iracala</t>
  </si>
  <si>
    <t>Asociación de Usuarios El Yerbal -La Iracala</t>
  </si>
  <si>
    <t>Vereda  Quebrada Arriba</t>
  </si>
  <si>
    <t>Junta de Acción Comunal Quebrada Arriba</t>
  </si>
  <si>
    <t>Vereda La Cibeles</t>
  </si>
  <si>
    <t>Asociacion de Usuarios del Acueducto Multiveredal Las Iglesias Betulia E.S.P.-La Cibeles</t>
  </si>
  <si>
    <t>Vereda La Urraeña</t>
  </si>
  <si>
    <t>Junta de Accion Comunal La Urraeña</t>
  </si>
  <si>
    <t>Vereda Purco</t>
  </si>
  <si>
    <t>Asociación de Usuarios del Acueducto de Altamira-Purco</t>
  </si>
  <si>
    <t>Vereda El Yerbal</t>
  </si>
  <si>
    <t>Junta Administradora Acueducto Multiveredal Guayabal-El Yerbal</t>
  </si>
  <si>
    <t>Vereda La Ciénaga</t>
  </si>
  <si>
    <t>Asociación de Usuarios del Acueducto de Altamira Municipio de Betulia - La Cienaga</t>
  </si>
  <si>
    <t>Junta de Accion Comunal La Quiebra</t>
  </si>
  <si>
    <t>Corregimeinto Puerto Lopez</t>
  </si>
  <si>
    <t>Junta de Accion Comunal Corregimiento Puerto López</t>
  </si>
  <si>
    <t>Corregiemiento Puerto Claver</t>
  </si>
  <si>
    <t>ASUAPUCLA-Corregimiento Puerto Claver</t>
  </si>
  <si>
    <t>Junta de Accion Comunal Corregimento Las Flores</t>
  </si>
  <si>
    <t>Corregimento de Colorado</t>
  </si>
  <si>
    <t>Junta de Accion Comunal Corregimento de Colorado</t>
  </si>
  <si>
    <t>Corregimento Las Conchas</t>
  </si>
  <si>
    <t>Junta de Accion Comunal Corregimento Las Conchas</t>
  </si>
  <si>
    <t>Corregimento Puerto de los Indios</t>
  </si>
  <si>
    <t>Junta de Accion Comunal Corregimento Puerto de los Indios</t>
  </si>
  <si>
    <t>Corregimento Puerto Gaitan</t>
  </si>
  <si>
    <t>Junta de Accion Comunal Corregimento Puerto Gaitan</t>
  </si>
  <si>
    <t>Corregimiento  La Caucana Rural</t>
  </si>
  <si>
    <t>Administracion Municipal Taraza-La Caucana</t>
  </si>
  <si>
    <t>Junta Accion Comunal el Oasis Buenos Aires</t>
  </si>
  <si>
    <t>Vereda El Tres</t>
  </si>
  <si>
    <t>Junta de Accion Comunal El Tres</t>
  </si>
  <si>
    <t>Corregimiento Barro Blanco</t>
  </si>
  <si>
    <t>Junta Accion Comunal Montenegro-Barro Blanco</t>
  </si>
  <si>
    <t>Corregimiento El Guimaro</t>
  </si>
  <si>
    <t>Junta de Accion Comunal El Guaimaro</t>
  </si>
  <si>
    <t>Corregimiento El Doce</t>
  </si>
  <si>
    <t>Junta de Accion Comunal   El Doce</t>
  </si>
  <si>
    <t>Corregimiento Puerto Antioquia</t>
  </si>
  <si>
    <t>Junta de Accion Comunal Puerto Antioquia</t>
  </si>
  <si>
    <t>Vereda La Pipiola</t>
  </si>
  <si>
    <t>Junta Accion Comunal La Pipola</t>
  </si>
  <si>
    <t>Vereda Pueblo Nuevo</t>
  </si>
  <si>
    <t>Junta de Acueducto Pueblo Nuevo</t>
  </si>
  <si>
    <t>Vereda El Paramo</t>
  </si>
  <si>
    <t>Junta de Acción Comunal El Paramo</t>
  </si>
  <si>
    <t>Vereda Pablo Muera</t>
  </si>
  <si>
    <t>Resguardo Indigena</t>
  </si>
  <si>
    <t>Junta de Acción Comunal La Arenosa</t>
  </si>
  <si>
    <t>Vereda La Clarita</t>
  </si>
  <si>
    <t>Junta de Acción Comunal La Clarita</t>
  </si>
  <si>
    <t>Corregimiento El Pato</t>
  </si>
  <si>
    <t>ASOAGUA La Fortuna</t>
  </si>
  <si>
    <t>Vereda La Pajuila</t>
  </si>
  <si>
    <t>Junta de Acción Comunal La Pajuila</t>
  </si>
  <si>
    <t>Verdea Chilona Abajo</t>
  </si>
  <si>
    <t>Junta de Accion Comunal Chichona Abajo</t>
  </si>
  <si>
    <t>Vereda La Quebradona</t>
  </si>
  <si>
    <t>Junta Administradora de Acueducto Quebradona Número Uno</t>
  </si>
  <si>
    <t>Vereda Vegas de Segovia</t>
  </si>
  <si>
    <t>ACUAVEGA-Vegas de Segovia</t>
  </si>
  <si>
    <t>Junta de Acción Comunal La Porquera</t>
  </si>
  <si>
    <t>Vereda El Saltillo</t>
  </si>
  <si>
    <t>ASOA-Vereda El Saltillo</t>
  </si>
  <si>
    <t>Junta de Acción Comunal El Retiro</t>
  </si>
  <si>
    <t>Junta de Acción Comunal La Estrella</t>
  </si>
  <si>
    <t>Vereda La Muñoz</t>
  </si>
  <si>
    <t>Asociación de Usuarios de Acueducto  La Muñoz</t>
  </si>
  <si>
    <t>Vereda La Culebra</t>
  </si>
  <si>
    <t>Asociación de Usuarios de Acueducto Pajarito-La Culebra</t>
  </si>
  <si>
    <t>Asociación de Usuarios de Acueducto Santa Rita</t>
  </si>
  <si>
    <t>Vereda La Trinidad</t>
  </si>
  <si>
    <t>Asociación de Usuarios de Acueducto La Trinidad</t>
  </si>
  <si>
    <t>VeredaLa Chiquita</t>
  </si>
  <si>
    <t>Asociación de Usuarios de Acueducto Manzanillo-La Chuiquita</t>
  </si>
  <si>
    <t>Asociación de Usuarios de Acueducto Los Pantanos</t>
  </si>
  <si>
    <t>Asociación de Usuarios de Acueducto Batea Seca</t>
  </si>
  <si>
    <t>VeredaMatablanco</t>
  </si>
  <si>
    <t>Asociación de Usuarios de Acueducto Altorhin Matablanco</t>
  </si>
  <si>
    <t>Vereda Santa Anita</t>
  </si>
  <si>
    <t>Asociación de Usuarios de Acueducto Quiebra Arriba-Santa Anita</t>
  </si>
  <si>
    <t>Vereda Los Pinos</t>
  </si>
  <si>
    <t>Asociación de Usuarios de Acueducto  Los Pinos</t>
  </si>
  <si>
    <t>Vereda Santa Ana Los Chochos</t>
  </si>
  <si>
    <t>Acueducto Multiveredal Santa Ana Los Chochos</t>
  </si>
  <si>
    <t>Vereda Altorhin</t>
  </si>
  <si>
    <t xml:space="preserve">Asociación de Usuarios de Acueducto Altorhin </t>
  </si>
  <si>
    <t>Vereda El Olivo</t>
  </si>
  <si>
    <t>Asociación de Usuarios de Acueducto Canoas-Maldonado-El Olivo-Montañita</t>
  </si>
  <si>
    <t>Vereda Quiebra Arriba</t>
  </si>
  <si>
    <t xml:space="preserve">Asociación de Usuarios de Acueducto Quiebra Arriba </t>
  </si>
  <si>
    <t>Vereda San Alejandro</t>
  </si>
  <si>
    <t>Asociación de Usuarios de Acueducto San Alejandro</t>
  </si>
  <si>
    <t>Vereda Los Cañaveral es</t>
  </si>
  <si>
    <t>Asociación de Usuarios de Acueducto Los Cañaverales</t>
  </si>
  <si>
    <t>Asociación de Usuarios de Acueducto El Socorro</t>
  </si>
  <si>
    <t>Vereda El Oriente</t>
  </si>
  <si>
    <t>Asociación de Usuarios de Acueducto El Oriente</t>
  </si>
  <si>
    <t>Vereda Llanos de Cuiva</t>
  </si>
  <si>
    <t>Asociación de Usuarios de Acueducto Llanos de Cuiva</t>
  </si>
  <si>
    <t>Vereda Guajira Abajo</t>
  </si>
  <si>
    <t>Asociación de Usuarios de Acueducto Guajira Abajo</t>
  </si>
  <si>
    <t>Vereda Guajira Arriba</t>
  </si>
  <si>
    <t>Asociación de Usuarios de Acueducto Guajira Arriba</t>
  </si>
  <si>
    <t>Asociación de Usuarios de Acueducto La Milagrosa</t>
  </si>
  <si>
    <t>Vereda La Quiebrita</t>
  </si>
  <si>
    <t>Asociación de Usuarios de Acueducto La Quiebrita</t>
  </si>
  <si>
    <t>Vereda Pajarito Arriba</t>
  </si>
  <si>
    <t xml:space="preserve">Asociación de Usuarios de Acueducto Veredal de La Quinta </t>
  </si>
  <si>
    <t>Corregimiento  Barro Blanco</t>
  </si>
  <si>
    <t>Junta Administradora de Acueducto Corregimiento de Barro Blanco</t>
  </si>
  <si>
    <t>Corregimiento  Alegrías</t>
  </si>
  <si>
    <t>Asociación de Usuarios del Acueducto Multiveredal del Corregimiento de Alegrías (AMCA)</t>
  </si>
  <si>
    <t>Vereda La Frisolera</t>
  </si>
  <si>
    <t>Junta de Acción Comunal Vereda La Frisolera</t>
  </si>
  <si>
    <t>Corregimiento  Sucre</t>
  </si>
  <si>
    <t>Junta Administradora de Acueducto Corregimiento de Sucre</t>
  </si>
  <si>
    <t>Vereda Aguadita Grande</t>
  </si>
  <si>
    <t>Junta de Acción Comunal Vereda La Aguadita Grande</t>
  </si>
  <si>
    <t>Vereda Aguadita Chiquita</t>
  </si>
  <si>
    <t>Junta de Acción Comunal Vereda La Aguadita Chiquita</t>
  </si>
  <si>
    <t>Junta de Acccion Comunal  Vereda San Antonio</t>
  </si>
  <si>
    <t>Vereda Chirapoto</t>
  </si>
  <si>
    <t>Junta de Acccion Comunal Vereda Chirapoto</t>
  </si>
  <si>
    <t>Junta de Acción Comunal Vereda La Cascada</t>
  </si>
  <si>
    <t>Vereda La Sirena</t>
  </si>
  <si>
    <t>Junta de Acción Comunal Vereda La Sirena</t>
  </si>
  <si>
    <t>Vereda Yarumalito</t>
  </si>
  <si>
    <t>Junta de Acción Comunal Vereda Yarumalito</t>
  </si>
  <si>
    <t>Junta de Acción Comunal Vereda San Pablo</t>
  </si>
  <si>
    <t>Sector Corozal</t>
  </si>
  <si>
    <t>Junta Administradora de Acueducto Vereda Cañas Sector Corozal</t>
  </si>
  <si>
    <t>Junta Administradora de Acueducto Vereda Palmichal</t>
  </si>
  <si>
    <t>Vereda El Balso</t>
  </si>
  <si>
    <t>Junta Administradora de Acueducto Vereda El Balso</t>
  </si>
  <si>
    <t>Vereda Peladeros</t>
  </si>
  <si>
    <t>Junta Administradora de Acueducto Vereda Peladeros</t>
  </si>
  <si>
    <t>Vereda El Tostado</t>
  </si>
  <si>
    <t>SI</t>
  </si>
  <si>
    <t>Planta de tratamiento</t>
  </si>
  <si>
    <t>Asociación de Usuarios del Acueducto Multiveredal Betania - Hispania E.S.P-Planta de tratamiento</t>
  </si>
  <si>
    <t>Asociacion de Usuarios de Acueducto Vereda Santa Rita (ASOSANI)</t>
  </si>
  <si>
    <t>88.67</t>
  </si>
  <si>
    <t>70.77</t>
  </si>
  <si>
    <t>Asociacion del Acueducto Vereda La Aguada-Sector La Pava</t>
  </si>
  <si>
    <t>89.87</t>
  </si>
  <si>
    <t>Asociacion del Acueducto de Santa Ines Vereda Las Flores</t>
  </si>
  <si>
    <t>Asociacion del Acueducto de Santa Ines Vereda San Antonio</t>
  </si>
  <si>
    <t>88.07</t>
  </si>
  <si>
    <t>69.7</t>
  </si>
  <si>
    <t>Asociacion del Acueducto Vereda La Aguada-El Molino</t>
  </si>
  <si>
    <t>76.64</t>
  </si>
  <si>
    <t>32.17</t>
  </si>
  <si>
    <t>91.97</t>
  </si>
  <si>
    <t>22.1</t>
  </si>
  <si>
    <t>73.77</t>
  </si>
  <si>
    <t xml:space="preserve">66.2 </t>
  </si>
  <si>
    <t>Asociacion de Usuarios del Acueducto Multiveredal del Municipio de Andes - Sector El Empedrado</t>
  </si>
  <si>
    <t>91.67</t>
  </si>
  <si>
    <t>Asociacion de Usuarios del Acueducto Multiveredal de Jardin-Contrafuerte</t>
  </si>
  <si>
    <t>77.27</t>
  </si>
  <si>
    <t>88.37</t>
  </si>
  <si>
    <t>67.5</t>
  </si>
  <si>
    <t>84.77</t>
  </si>
  <si>
    <t>70.74</t>
  </si>
  <si>
    <t>23.8</t>
  </si>
  <si>
    <t>21.7</t>
  </si>
  <si>
    <t>Vereda Alto Cañaveral Chorros Parte Baja</t>
  </si>
  <si>
    <t>Vereda Peñas Azules</t>
  </si>
  <si>
    <t xml:space="preserve">Acueducto Veredal Peñas Azules </t>
  </si>
  <si>
    <t>91.37</t>
  </si>
  <si>
    <t xml:space="preserve">Vereda Santa Elena </t>
  </si>
  <si>
    <t>Acueducto Vereda Santa Elena</t>
  </si>
  <si>
    <t>92.57</t>
  </si>
  <si>
    <t>Vereda La Melliza</t>
  </si>
  <si>
    <t>Asociación de Usuarios del Acueducto Veredal La Melliza</t>
  </si>
  <si>
    <t>90.77</t>
  </si>
  <si>
    <t>Vereda  Monte Verde</t>
  </si>
  <si>
    <t>Asociación de Usuarios del Acueducto Veredal  Monte Verde</t>
  </si>
  <si>
    <t>90.47</t>
  </si>
  <si>
    <t>Asociacion de Usuarios del Acueducto de La Ferreria</t>
  </si>
  <si>
    <t>Asociacion de Usuarios del Acueducto y Alcantarillado de La Vereda El Cedro-Parte Baja</t>
  </si>
  <si>
    <t>Asociacion de Usuarios del Acueducto Vereda Yarumal</t>
  </si>
  <si>
    <t>Asociacion de Usuarios del Acueducto Vereda Pueblito de San Jose- Sector Taborda</t>
  </si>
  <si>
    <t xml:space="preserve">Asociacion de Usuarios del Acueducto Vereda Pueblito de San Jose- Sector La Escuela </t>
  </si>
  <si>
    <t>Asociacion de Usuarios del Acueducto de La Vereda Mani de Las Casas</t>
  </si>
  <si>
    <t>Asociacion de Usuarios del Acueducto Vereda Guaimaral</t>
  </si>
  <si>
    <t>Asociacion de Usuarios del Acueducto de Piedecuesta</t>
  </si>
  <si>
    <t>Asociacion de Usuarios del Acueducto de Alto de Nicanor-Vereda Nicanor La Paja</t>
  </si>
  <si>
    <t>Asociacion de Usuarios del Acueducto de Alto de Nicanor-Vereda Nicanor La Sabaletica</t>
  </si>
  <si>
    <t>Asociacion de Usuarios del Acueducto de Los Aljibes-Pueblito Sánchez</t>
  </si>
  <si>
    <t>Asociacion de Usuarios del Acueducto de Pasonivel</t>
  </si>
  <si>
    <t>Asociacion de Usuarios del Acueducto del Corregimiento Minas</t>
  </si>
  <si>
    <t>Asociación de Usuarios de Acueducto del Centro Poblado La Clarita</t>
  </si>
  <si>
    <t>Junta Administradora del Acueducto la Paniagua</t>
  </si>
  <si>
    <t>Junta Administradora del Acueducto la Florida</t>
  </si>
  <si>
    <t>Asociacion de Usuarios del Acueducto Multiveredal de los Municipios Angelopolis Amaga y Tititibi-Centro Poblado El Cedro</t>
  </si>
  <si>
    <t>Asociacion de Usuarios del Acueducto la Esperanza</t>
  </si>
  <si>
    <t>Vereda Buena Vista - Sector la Caseta</t>
  </si>
  <si>
    <t>Asociacion de Usuarios del Acueducto AVBTA - Caseta</t>
  </si>
  <si>
    <t>Asociacion de Usuarios del Acueducto AVBTA - Escuela</t>
  </si>
  <si>
    <t>Vereda Alto De Los Jaramillos</t>
  </si>
  <si>
    <t>Acueducto Altos de Los Jaramillos</t>
  </si>
  <si>
    <t>Asociación de Usuarios del Acueducto Veredal Samaria</t>
  </si>
  <si>
    <t>Corregimiento Alfonso Lopez</t>
  </si>
  <si>
    <t>Asociación de Usuarios del Acueducto y Alcantarillado Corregimiento Alfonso Lopez "ASUAAL E.S.P" - Planta de Tratamiento Parte Alta</t>
  </si>
  <si>
    <t>Asociación de Usuarios del Acueducto y Alcantarillado Corregimiento Alfonso Lopez "ASUAAL E.S.P" - Planta de Tratamiento Parte Baja</t>
  </si>
  <si>
    <t>Vereda  Bolívar Arriba</t>
  </si>
  <si>
    <t>Asociacion Usuarios Acueducto Multiveredal Bolivar Arriba (AMBA)</t>
  </si>
  <si>
    <t>Vereda Punta Brava</t>
  </si>
  <si>
    <t>Acueducto Multiveredal La Marina</t>
  </si>
  <si>
    <t>Acueducto Veredal Punta Brava</t>
  </si>
  <si>
    <t>Vereda  Lindaja</t>
  </si>
  <si>
    <t>Acueducto Junta de Acción Comunal La Lindaja Aguas Frías-La Lindaja</t>
  </si>
  <si>
    <t>Vereda la Lindaja - Planta de tratamiento</t>
  </si>
  <si>
    <t>Asociacion de Usuarios del Acueducto La Lindaja-Planta de Tratamiento</t>
  </si>
  <si>
    <t>Vereda  La Arboleda</t>
  </si>
  <si>
    <t>Asociacion de Suscriptores o Usuarios del Acueducto La Arboleda</t>
  </si>
  <si>
    <t>Vereda Puerto Limón</t>
  </si>
  <si>
    <t>Asociacion de Usuarios del Acueducto Veredal Puerto Limon</t>
  </si>
  <si>
    <t>Vereda  Manzanillo</t>
  </si>
  <si>
    <t>Asociación de Usuarios del Acueducto Veredal El Manzanillo</t>
  </si>
  <si>
    <t>Corregimiento  Farallones</t>
  </si>
  <si>
    <t>Asociación de Suscriptores o Usuarios del Acueducto San Bernardo de Los Farallones</t>
  </si>
  <si>
    <t>Vereda  Ventorrillo</t>
  </si>
  <si>
    <t>Asociación de Usuarios del Acueducto Multiveredal Ventorrillo, Abejero - Ventorillo</t>
  </si>
  <si>
    <t>Vereda  Abejero</t>
  </si>
  <si>
    <t>Asociación de Usuarios del Acueducto Multiveredal Ventorrillo, Abejero - Abejero</t>
  </si>
  <si>
    <t>Vereda La María</t>
  </si>
  <si>
    <t>Asociación de Usuarios Acueducto La María</t>
  </si>
  <si>
    <t>Sector  La Raya</t>
  </si>
  <si>
    <t>Junta de Acción Comunal La Raya.</t>
  </si>
  <si>
    <t>Sector Corrales</t>
  </si>
  <si>
    <t>Asociación de Usuarios Acueducto Corrales.</t>
  </si>
  <si>
    <t>Vereda San Jose del Golpe</t>
  </si>
  <si>
    <t>Asociación de Usuarios Acueducto El Golpe</t>
  </si>
  <si>
    <t>Vereda La Aurora Llanadas</t>
  </si>
  <si>
    <t>Asociación de Usuarios Acueducto Vereda La Aurora Llanadas</t>
  </si>
  <si>
    <t>Asociación de Usuarios Acueducto La Esperanza-La Esperanza</t>
  </si>
  <si>
    <t>Vereda Llanaditas</t>
  </si>
  <si>
    <t>Asociación de Usuarios Acueducto Llanaditas-Llanaditas</t>
  </si>
  <si>
    <t>Vereda  Morrón</t>
  </si>
  <si>
    <t>Asociación de Usuarios del Acueducto Vereda Morron</t>
  </si>
  <si>
    <t>Asociación de Usuarios del Acueducto Virgen La Milagrosa Vereda La Cristalina</t>
  </si>
  <si>
    <t>Corregimiento El Socorro</t>
  </si>
  <si>
    <t>Junta de Acción Comunal Corregimiento El Socorro</t>
  </si>
  <si>
    <t>Vereda Morelia San Pacho</t>
  </si>
  <si>
    <t>Junta Administradora de Los Servicios de Acueducto y Alcantarillado de Morelia San Pacho</t>
  </si>
  <si>
    <t>Sector Partidas de Morelia</t>
  </si>
  <si>
    <t>Junta Administradora del Acueducto Partidas de Morelia</t>
  </si>
  <si>
    <t>Vereda Palosanto</t>
  </si>
  <si>
    <t>Asociación de Usuarios del Acueducto Palo Santo Municipio de Concordia</t>
  </si>
  <si>
    <t>Vereda Rumbadero</t>
  </si>
  <si>
    <t>Asociación de Usuarios Acueducto Rumbadero</t>
  </si>
  <si>
    <t>Barrio Salazar</t>
  </si>
  <si>
    <t>Junta Administradora de Acueducto Barrio Salazar</t>
  </si>
  <si>
    <t>Asociación de Usuarios del Acueducto del Corregimiento La Loma del Municipio de Yarumal</t>
  </si>
  <si>
    <t>Vereda Pueblorrico Sector Casagrande</t>
  </si>
  <si>
    <t>Asociación de Usuarios Acueducto Sector Casagrande</t>
  </si>
  <si>
    <t>Vereda El Higuerón</t>
  </si>
  <si>
    <t>Asociación de Usuarios Acueducto El Higuerón</t>
  </si>
  <si>
    <t>Vereda Pueblo Riico</t>
  </si>
  <si>
    <t>Asociación de Usuarios Acueducto Pueblo Rico</t>
  </si>
  <si>
    <t>Vereda  Campanas</t>
  </si>
  <si>
    <t>Asociación de Usuarios Acueducto Campanas-Campanas</t>
  </si>
  <si>
    <t>Asociación de Usuarios del Acueducto Vereda Santa Rita Abajo-Santa Rita</t>
  </si>
  <si>
    <t>Vereda Hoyo Frio</t>
  </si>
  <si>
    <t>Asociación de Usuarios del Acueducto de Hoyo Frio</t>
  </si>
  <si>
    <t>Asociación de Usuarios del Acueducto de La Vereda "El Calvario"</t>
  </si>
  <si>
    <t>Vereda  El Zancudo</t>
  </si>
  <si>
    <t xml:space="preserve">Asociación de Usuarios del Acueducto y Alcantarillado de La Vereda El Zancudo </t>
  </si>
  <si>
    <t>Vereda El Cinco</t>
  </si>
  <si>
    <t>Asociación de Usuarios del Acueducto de La Vereda El Cinco</t>
  </si>
  <si>
    <t>Vereda Murrapal</t>
  </si>
  <si>
    <t>Asociación de Usuarios del Acueducto de La Vereda Murrapal  - ASOMURRA</t>
  </si>
  <si>
    <t>Vereda Combia Grande</t>
  </si>
  <si>
    <t>Asociación de Usuarios del Acueducto La Milagrosa de La Vereda Combia Grande</t>
  </si>
  <si>
    <t>Vereda Combia Chiquita</t>
  </si>
  <si>
    <t>Asociación de Usuarios Acueducto Vereda Combia Chiquita</t>
  </si>
  <si>
    <t>Corregimiento Marsella</t>
  </si>
  <si>
    <t>Asociación de Usuarios del Acueducto del Corregimiento de Marsella</t>
  </si>
  <si>
    <t>Corregimiento Palomos</t>
  </si>
  <si>
    <t>Asociación de Usuarios del Acueducto del Corregimiento Los Palomos</t>
  </si>
  <si>
    <t xml:space="preserve"> Corregimiento Puente Iglesias</t>
  </si>
  <si>
    <t xml:space="preserve">Asociación de Usuarios del Acueducto Puente Iglesias </t>
  </si>
  <si>
    <t>Vereda Jonas</t>
  </si>
  <si>
    <t>Asociación de Usuarios del Acueducto de Jonas</t>
  </si>
  <si>
    <t>Vereda Asaqui</t>
  </si>
  <si>
    <t>Asociación Aguas de La Quiebra - Asaqui</t>
  </si>
  <si>
    <t>Vereda El Plan</t>
  </si>
  <si>
    <t>ASUAMFRAB- El Plan</t>
  </si>
  <si>
    <t>Vereda El Mango</t>
  </si>
  <si>
    <t>Asociacion de Usuarios del Acueducto Vereda El Mango</t>
  </si>
  <si>
    <t>Vereda  La Toscana</t>
  </si>
  <si>
    <t>ASUAMFRAB- La Toscana</t>
  </si>
  <si>
    <t>Vereda  El Carretero</t>
  </si>
  <si>
    <t>ASUAMFRAB- El Carretero</t>
  </si>
  <si>
    <t>ASUAMFRAB-  La Loma</t>
  </si>
  <si>
    <t>Vereda  El Uvital</t>
  </si>
  <si>
    <t>ASUAMFRAB- El Uvital</t>
  </si>
  <si>
    <t>Vereda El Filo del Uvital</t>
  </si>
  <si>
    <t>ASUAMFRAB-El Filo del Uvital</t>
  </si>
  <si>
    <t>Vereda Sabaletas</t>
  </si>
  <si>
    <t>Asociación de Usuarios del Acueducto de La Vereda Sabaletas E.S.P.-Sabaletas</t>
  </si>
  <si>
    <t>Vereda Alto de Los Fernandez</t>
  </si>
  <si>
    <t xml:space="preserve">Asociacioón de Usuarios de La Vereda Alto de Los Fernandez </t>
  </si>
  <si>
    <t>Asociacion de Usuarios del Acueducto del Sector Tacamocho, de Ña Vereda El Zancudo</t>
  </si>
  <si>
    <t>Vereda La Cordillera</t>
  </si>
  <si>
    <t xml:space="preserve">Asociación de Usuarios del Acueducto La Cordillera </t>
  </si>
  <si>
    <t>Vereda  El Porvenir</t>
  </si>
  <si>
    <t>Asociación de Usuarios del Acueducto El Porvenir</t>
  </si>
  <si>
    <t>Vereda  Buenos Aires</t>
  </si>
  <si>
    <t>Asociacion de Usuarios del Acueducto de Buenos Aires</t>
  </si>
  <si>
    <t>Vereda  El Vainillo</t>
  </si>
  <si>
    <t>Asociacion de Usuarios Acueducto Vereda El Vainillo</t>
  </si>
  <si>
    <t>Vereda  Aguacatal</t>
  </si>
  <si>
    <t>Asociacion de Usuarios del Acueducto de Aguacatal</t>
  </si>
  <si>
    <t>Vereda  Naranjal Poblanco</t>
  </si>
  <si>
    <t>Asociacion de Usuarios del Acueducto Vereda Naranjal Poblanco</t>
  </si>
  <si>
    <t>Vereda Cadenas</t>
  </si>
  <si>
    <t>Junta de Accion Comunal Vereda Cadenas</t>
  </si>
  <si>
    <t>Corregimiento Piedra Verde</t>
  </si>
  <si>
    <t>Junta de Accion Comunal Corregimiento Piedra Verde</t>
  </si>
  <si>
    <t>Vereda Chamuscados</t>
  </si>
  <si>
    <t>Asociacion de Usuarios Acueducto de La Vereda Chamuscados</t>
  </si>
  <si>
    <t>Vereda La Garrucha</t>
  </si>
  <si>
    <t>Asociación de Usuarios del Acueducto de La Vereda La Garrucha- ASOGAR</t>
  </si>
  <si>
    <t>Asociacion de Usuarios Acueducto Vereda El  Molino</t>
  </si>
  <si>
    <t>ASUAMFRAB- Travesias</t>
  </si>
  <si>
    <t>Asociación de Usuarios del Acueducto Veredal Agua Pura La Maria</t>
  </si>
  <si>
    <r>
      <t xml:space="preserve">Asociacion de Usuarios del Acueducto  La </t>
    </r>
    <r>
      <rPr>
        <sz val="11"/>
        <rFont val="Arial"/>
        <family val="2"/>
      </rPr>
      <t>Cabuyala</t>
    </r>
  </si>
  <si>
    <t>Vereda la Florida</t>
  </si>
  <si>
    <t>Asociación de Usuarios del Acueducto Multiveredal Mulato-La Florida</t>
  </si>
  <si>
    <t>Vereda El Llanete</t>
  </si>
  <si>
    <t>Asociación de Usuarios del Acueducto Multiveredal Mulato-El Llanete</t>
  </si>
  <si>
    <t>Vereda La cuelga</t>
  </si>
  <si>
    <t>Asociación de Usuarios del Acueducto Multiveredal Mulato-La Cuelga</t>
  </si>
  <si>
    <t>Vereda El Silencio</t>
  </si>
  <si>
    <t>Asociación de Usuarios del Acueducto Multiveredal Mulato-El Silencio</t>
  </si>
  <si>
    <t>Vereda El Tablazo</t>
  </si>
  <si>
    <t>Asociación de Usuarios del Acueducto Multiveredal Betania-Hispania E.S.P-El Tablazo</t>
  </si>
  <si>
    <t>Vereda Armenia Alta</t>
  </si>
  <si>
    <t>Asociación de Usuarios del Acueducto Multiveredal Betania-Hispania E.S.P-Armenia Alta</t>
  </si>
  <si>
    <t>Vereda La Palmira</t>
  </si>
  <si>
    <t>Asociación de Usuarios del Acueducto Multiveredal Betania-Hispania E.S.P-La Palmira</t>
  </si>
  <si>
    <t>Vereda Armenia baja</t>
  </si>
  <si>
    <t>Asociación de Usuarios del Acueducto Multiveredal Betania-Hispania E.S.P-Armenia Baja</t>
  </si>
  <si>
    <t>Vereda La Seca</t>
  </si>
  <si>
    <t>Asociación de Usuarios del Acueducto Multiveredal Betania-Hispania E.S.P-La Seca</t>
  </si>
  <si>
    <t>Vereda La Salada</t>
  </si>
  <si>
    <t>Asociacion de Usuarios del Acueducto Aguas Unidas-La Salada</t>
  </si>
  <si>
    <t>VeredaQuebrada Bonita</t>
  </si>
  <si>
    <t>Asociacion de Usuarios del Acueducto Aguas Unidas-Quebrada Bonita</t>
  </si>
  <si>
    <t>Vereda Los Pomos</t>
  </si>
  <si>
    <t>Acueducto Veredal Serranias-Los Pomos</t>
  </si>
  <si>
    <t>Vereda La Herrerita</t>
  </si>
  <si>
    <t>Acueducto Veredal Serranias-La Herrerita</t>
  </si>
  <si>
    <t>Acueducto Veredal Serranias-Las Peñas</t>
  </si>
  <si>
    <t>Vereda La Curia</t>
  </si>
  <si>
    <t>Acueducto Veredal Serranias-La Curia</t>
  </si>
  <si>
    <t>Vereda Serranias Parte Baja</t>
  </si>
  <si>
    <t>Acueducto La Valencia-Serranias Parte Baja</t>
  </si>
  <si>
    <t>VeredaSerranias</t>
  </si>
  <si>
    <t>Acueducto Veredal Serranias-Serranias</t>
  </si>
  <si>
    <t>VeredaLa Herrera</t>
  </si>
  <si>
    <t>Acueducto Veredal Serranias-La Herrera</t>
  </si>
  <si>
    <t>Vereda La Casiana</t>
  </si>
  <si>
    <t>Asociacion de Usuarios del Acueducto Multiveredal de Jardin-La Casiana</t>
  </si>
  <si>
    <t>Vereda Morro Amarillo</t>
  </si>
  <si>
    <t>Asociacion de Usuarios del Acueducto Multiveredal de Jardin-Morro Amarillo</t>
  </si>
  <si>
    <t>Vereda San Bartolo Jardin</t>
  </si>
  <si>
    <t>Asociacion de Usuarios del Acueducto Multiveredal de Jardin-San Bartolo Jardín</t>
  </si>
  <si>
    <t>Vereda Cristianía</t>
  </si>
  <si>
    <t>Asociacion de Usuarios del Acueducto Multiveredal de Jardin-Cristiania</t>
  </si>
  <si>
    <t>Vereda El Tapado</t>
  </si>
  <si>
    <t>Asociacion de Usuarios del Acueducto Multiveredal de Jardin-El Tapado</t>
  </si>
  <si>
    <t>Vereda Caramanta</t>
  </si>
  <si>
    <t>Asociacion de Usuarios del Acueducto Multiveredal de Jardin-Caramanta</t>
  </si>
  <si>
    <t>Vereda La Linda</t>
  </si>
  <si>
    <t>Asociacion de Usuarios del Acueducto Multiveredal de Jardin-La Linda</t>
  </si>
  <si>
    <t>Vereda La Arboleda</t>
  </si>
  <si>
    <t>Asociación de Usuarios del Acueducto La Arboleda Rio Claro del Municipio de Jardin-La Arboleda</t>
  </si>
  <si>
    <t>Vereda Rio Claro</t>
  </si>
  <si>
    <t>Asociación de Usuarios del Acueducto La Arboleda Rio Claro del Municipio de Jardin-Rio Claro</t>
  </si>
  <si>
    <t>Vereda Alto Del Indio</t>
  </si>
  <si>
    <t>Asociación de Usuarios del Acueducto La Arboleda Rio Claro del Municipio de Jardin-Alto del Indio</t>
  </si>
  <si>
    <t>Asociación de Usuarios del Acueducto La Arboleda Rio Claro del Municipio de Jardin-La Montañita</t>
  </si>
  <si>
    <t>Vereda Gibraltar</t>
  </si>
  <si>
    <t>Junta de Usuarios del Acueducto de Avermar-Gibraltar</t>
  </si>
  <si>
    <t>Vereda Las Margaritas</t>
  </si>
  <si>
    <t>Junta de Usuarios del Acueducto de Avermar-Las Margaritas</t>
  </si>
  <si>
    <t>Vereda Verdun</t>
  </si>
  <si>
    <t>Acueducto Verdun Gibraltar-Verdun</t>
  </si>
  <si>
    <t>Vereda Guacamayal</t>
  </si>
  <si>
    <t>Junta de Acción Comunal Vereda Guacamayal</t>
  </si>
  <si>
    <t>Vereda  La Leona</t>
  </si>
  <si>
    <t>Junta de Acción Comunal Vereda La Leona</t>
  </si>
  <si>
    <t>Vereda San Ramón</t>
  </si>
  <si>
    <t>Junta de Acción Comunal San Ramón - Los Arrayanes</t>
  </si>
  <si>
    <t>Asociación de Usuarios del Acueducto La Hermosa</t>
  </si>
  <si>
    <t>Corregimiento Palo Cabildo</t>
  </si>
  <si>
    <t>Asociación Comunitaria del Acueducto del Corregimiento de Palocabildo Municipio de Jerico - Aguas del Roble.</t>
  </si>
  <si>
    <t>Vereda La Pradera</t>
  </si>
  <si>
    <t>Junta de Acción Comunal Vereda La Pradera</t>
  </si>
  <si>
    <t>Vereda Estrella Nueva</t>
  </si>
  <si>
    <t>Asociacion de Usuarios del Acueducto de Las Veredas Estrella Nueva y Estrella Vieja</t>
  </si>
  <si>
    <t>Vereda La Pista</t>
  </si>
  <si>
    <t>Asociación de Usuarios del Acueducto Multiveredal El Chuscal - Multichuscal - La Pista</t>
  </si>
  <si>
    <t>Asociación de Usuarios del acueducto aguas de La Soledad</t>
  </si>
  <si>
    <t>Vereda Los Patios</t>
  </si>
  <si>
    <t>Asociacion de Usuarios del Acueducto Multiveredal Los Patios  - Ciudadela - Acupatios</t>
  </si>
  <si>
    <t>Vereda El Zacatin</t>
  </si>
  <si>
    <t>Junta de Acción Comunal Vereda El Zacatín</t>
  </si>
  <si>
    <t>Asociación de Usuarios del Acueducto Multiveredal Guacamayal -La Leona (Multiedesa) - La Leona</t>
  </si>
  <si>
    <t>Junta Administradora del Acueducto Vereda La Aguada</t>
  </si>
  <si>
    <t xml:space="preserve">Asociación de Usuarios del Acueducto Palenque - La Virgen </t>
  </si>
  <si>
    <t>Multiveredal Buga - Palenque  - Buga (Acuebuga)</t>
  </si>
  <si>
    <t>Vereda  Palenquito</t>
  </si>
  <si>
    <t>Junta de Acción Comunal Vereda Palenquito</t>
  </si>
  <si>
    <t>Vereda Castalia</t>
  </si>
  <si>
    <t xml:space="preserve">Asociación de Usuarios del Acueducto de La Vereda Castalia - Asuveca </t>
  </si>
  <si>
    <t>Vereda Cauca Viejo</t>
  </si>
  <si>
    <t>Operadores de Servicios S.A. E.S.P-Cauca Viejo</t>
  </si>
  <si>
    <t>Junta de Acción Comunal de Altamira</t>
  </si>
  <si>
    <t>Vereda Vallecitos</t>
  </si>
  <si>
    <t>Asociación Comunitaria Acueducto Vereda Vallecitos</t>
  </si>
  <si>
    <t>Vereda Quebradona Arriba</t>
  </si>
  <si>
    <t>Junta de Acción Comunal Quebradona Arriba</t>
  </si>
  <si>
    <t>Vereda La Fé</t>
  </si>
  <si>
    <t>Junta de Acción Comunal Vereda La Fé</t>
  </si>
  <si>
    <t>Vereda La Cestillala</t>
  </si>
  <si>
    <t>Junta de Acción Comunal Vereda Cestillala</t>
  </si>
  <si>
    <t>Corregimiento Sabaletas</t>
  </si>
  <si>
    <t>Junta de Acción Comunal Corregimiento Sabaletas</t>
  </si>
  <si>
    <t>Vereda El Churimo</t>
  </si>
  <si>
    <t>Junta de Acción Comunal Vereda El Churimo</t>
  </si>
  <si>
    <t>Junta de Acción Comunal Vereda El Tablazo</t>
  </si>
  <si>
    <t>Junta de Acción Comunal Vereda Campo Alegre</t>
  </si>
  <si>
    <t>Vereda El Olival Parte Alta</t>
  </si>
  <si>
    <t>Asociación de Usuarios del Acueducto Veredal Agua Viva El Olival  Parte Alta</t>
  </si>
  <si>
    <t>Vereda Encenillo</t>
  </si>
  <si>
    <t>Junta de Acción Comunal Vereda Encenillo</t>
  </si>
  <si>
    <t>Junta de Acción Comunal Vereda La Quiebra</t>
  </si>
  <si>
    <t>Junta de Acción Comunal VeredaSan Antonio</t>
  </si>
  <si>
    <t>VeredaEl Olival Parte Baja</t>
  </si>
  <si>
    <t>Asociación de Usuarios del Acueducto Veredal Agua Viva El Olival Parte Baja</t>
  </si>
  <si>
    <t>VeredaLa Peña Parte Alta</t>
  </si>
  <si>
    <t>Junta de Acción Comunal Vereda La Peña Parte Alta</t>
  </si>
  <si>
    <t>Vereda La Peña Parte Baja</t>
  </si>
  <si>
    <t>Junta de Acción Comunal Vereda La Peña Parte Baja</t>
  </si>
  <si>
    <t>Vereda Getsemani</t>
  </si>
  <si>
    <t>Junta de Acción Comunal Vereda Getsemani</t>
  </si>
  <si>
    <t>Vereda El Gavilan</t>
  </si>
  <si>
    <t>Junta de Acción Comunal Vereda El Gavilan</t>
  </si>
  <si>
    <t>Vereda La Granja</t>
  </si>
  <si>
    <t>Junta de Acción Comunal Vereda La Granja</t>
  </si>
  <si>
    <t>Vereda Zarcitos Parte Alta</t>
  </si>
  <si>
    <t>Junta de Acción Comunal Vereda Zarcitos Parte Alta</t>
  </si>
  <si>
    <t>Vereda Sabanitas Parte Alta</t>
  </si>
  <si>
    <t>Asociación de Usuarios Acueducto Fuentes Unidas Sabanitas Parte Alta</t>
  </si>
  <si>
    <t>Vereda Sabanitas Parte Baja</t>
  </si>
  <si>
    <t>Asociación de Usuarios Acueducto Fuentes Unidas Sabanitas Parte Baja</t>
  </si>
  <si>
    <t>Vereda Zarcitos Parte Baja</t>
  </si>
  <si>
    <t>Junta de Acción Comunal Vereda Zarcitos Parte Baja</t>
  </si>
  <si>
    <t>Vereda Piedra Galana</t>
  </si>
  <si>
    <t>Junta de Acción Comunal Vereda Piedra Galana</t>
  </si>
  <si>
    <t>Vereda  La Pica</t>
  </si>
  <si>
    <t>Asociacion de Usuarios del  Acueducto de la  Vereda La Pica del municipio de Pueblorrico</t>
  </si>
  <si>
    <t>Vereda  Santa  Bárbara</t>
  </si>
  <si>
    <t>Junta Administradora del Acueducto Santa Bárbara</t>
  </si>
  <si>
    <t xml:space="preserve">Vereda California </t>
  </si>
  <si>
    <t>Asociacion de Usuarios del Acueducto de La Vereda California  del municipio de Pueblorrico</t>
  </si>
  <si>
    <t>Vereda Mulatico</t>
  </si>
  <si>
    <t>Asociacion de Usuarios del Acueducto de La Vereda Mulatico del municipio de Pueblorrico</t>
  </si>
  <si>
    <t>Vereda  La Gómez</t>
  </si>
  <si>
    <t>Asociacion de Usuarios  del  Acueducto de la Vereda La Gómez del municipio de Pueblorrico</t>
  </si>
  <si>
    <t>Vereda El Barcino</t>
  </si>
  <si>
    <t>Asociacion de Usuarios del Acueducto de La Vereda El Barcino  de Pueblorrcio Antioquia</t>
  </si>
  <si>
    <t>Vereda La Humareda</t>
  </si>
  <si>
    <t>Asociación de Usuarios La Humareda</t>
  </si>
  <si>
    <t xml:space="preserve">Asociación de Usuarios del Acueducto de La Vereda El Carmelo </t>
  </si>
  <si>
    <t>Vereda Chaquiro Arriba</t>
  </si>
  <si>
    <t>Asociación de Usuarios del Acueducto de La Vereda La Chaquiro Arriba</t>
  </si>
  <si>
    <t xml:space="preserve">Vereda El Carmelo Paraje Dos </t>
  </si>
  <si>
    <t xml:space="preserve">Asociación de Usuarios del Acueducto de La Vereda El Carmelo Paraje Dos </t>
  </si>
  <si>
    <t>Vereda  Bella Vista</t>
  </si>
  <si>
    <t xml:space="preserve">Asociación de Usuarios del Acueducto de La Vereda Bella Vista </t>
  </si>
  <si>
    <t>Vereda Gulunga Parte Alta</t>
  </si>
  <si>
    <t>Asociación de Usuarios del Acueducto de La Vereda La Gulunga Parte Alta</t>
  </si>
  <si>
    <t>Vereda Corregimiento La Margarita</t>
  </si>
  <si>
    <t>Asociación de Usuarios del Acueducto del Corregimiento La Margarita</t>
  </si>
  <si>
    <t>Vereda El Leon</t>
  </si>
  <si>
    <t xml:space="preserve">Asociación de Usuarios del Acueducto de La Vereda El Leon </t>
  </si>
  <si>
    <t>Asociación de Usuarios del Acueducto La Montañita</t>
  </si>
  <si>
    <t>ASO-La Taborda</t>
  </si>
  <si>
    <t>Asociación de Usuarios La Taborda</t>
  </si>
  <si>
    <t>Vereda Llanadas</t>
  </si>
  <si>
    <t xml:space="preserve">Asociación de Usuarios del Acueducto de La Vereda Llanadas </t>
  </si>
  <si>
    <t>Vereda Corregimiento Concilio</t>
  </si>
  <si>
    <t xml:space="preserve">Asociación de Usuarios del Acueducto del Corregimiento El Concilio </t>
  </si>
  <si>
    <t>Vereda Corregimiento Peñalisa</t>
  </si>
  <si>
    <t>Asociación de Usuarios Peñalisa</t>
  </si>
  <si>
    <t>Corregimiento La Margarita</t>
  </si>
  <si>
    <t>Empresas Publicas de Salgar S.A. E.S.P.-Corregimiento La Margarita</t>
  </si>
  <si>
    <t>Vereda Corregimiento La Camara</t>
  </si>
  <si>
    <t>Asociación de Usuarios del Acueducto del Corregimiento La Cámara</t>
  </si>
  <si>
    <t>Vereda La Chaquiro Abajo</t>
  </si>
  <si>
    <t xml:space="preserve">Asociación de Usuarios del Acueducto de La Vereda La Chaquiro Abajo </t>
  </si>
  <si>
    <t>Vereda Clara Arriba</t>
  </si>
  <si>
    <t>Asociación de Usuarios del Acueducto de La Vereda Clara Arriba</t>
  </si>
  <si>
    <t>Vereda La Chuchita</t>
  </si>
  <si>
    <t>Asociación de Usuarios La Chuchita</t>
  </si>
  <si>
    <t xml:space="preserve">Asociación de Usuarios del Acueducto de La Vereda Morritos </t>
  </si>
  <si>
    <t>Vereda Santa Luisa Parte Alta</t>
  </si>
  <si>
    <t xml:space="preserve">Asociación de Usuarios del Acueducto de La Vereda Santa Luisa Parte Alta </t>
  </si>
  <si>
    <t>No esta en uso</t>
  </si>
  <si>
    <t>AUA La Montañita- Miraflores</t>
  </si>
  <si>
    <t>Asociación  de Usuarios del Acueducto La Montañita-Miraflores</t>
  </si>
  <si>
    <t>Vereda Paraje Uno</t>
  </si>
  <si>
    <t>Asociación De Usuarios Acueducto El Carmelo Paraje Uno</t>
  </si>
  <si>
    <t>Vereda Chaquiro Dos</t>
  </si>
  <si>
    <t>Asociación De Usuarios Acueducto Vereda Chaquiro Dos</t>
  </si>
  <si>
    <t>Paraje El Clavel</t>
  </si>
  <si>
    <t xml:space="preserve">Asociación de Usuarios del Acueducto El Paraje El Clavel </t>
  </si>
  <si>
    <t>Vereda Ovejita</t>
  </si>
  <si>
    <t xml:space="preserve">Asociación de Usuarios del Acueducto de La Vereda La Ovejita </t>
  </si>
  <si>
    <t>Vereda Siberia</t>
  </si>
  <si>
    <t>Asociación de Usuarios del Acueducto de La Vereda La Siberia</t>
  </si>
  <si>
    <t>Vereda Alto de Marines</t>
  </si>
  <si>
    <t xml:space="preserve">Asociación de Usuarios del Acueducto de La Vereda Los Marines </t>
  </si>
  <si>
    <t>Corregimiento de Damasco</t>
  </si>
  <si>
    <t>Asociación de Usuarios del Acueducto Multiveredal del Corregimiento de Damasco-Corregimiento de Damasco</t>
  </si>
  <si>
    <t xml:space="preserve">Asociación Usuarios Acueducto Palmichal </t>
  </si>
  <si>
    <t>Asociación de Usuarios Acueducto Yarumalito</t>
  </si>
  <si>
    <t xml:space="preserve"> Corregimiento Versalles</t>
  </si>
  <si>
    <t>Asociación de Usuarios del Acueducto del Corregimiento de Versalles</t>
  </si>
  <si>
    <t>Buenavista</t>
  </si>
  <si>
    <t>Acueducto Junta de Acción Comunal- Buenavista</t>
  </si>
  <si>
    <t>Sector La ondina</t>
  </si>
  <si>
    <t>Acueducto Junta de Acción Comunal -Sector La Ondina</t>
  </si>
  <si>
    <t>Vereda Cordoncillo</t>
  </si>
  <si>
    <t>Asociación Acueducto Vereda Cordoncillo</t>
  </si>
  <si>
    <t xml:space="preserve">Junta de Acción Comunal Vereda Cristo Rey </t>
  </si>
  <si>
    <t>Quiebra del Barro</t>
  </si>
  <si>
    <t>Acueducto Quiebra del Barro</t>
  </si>
  <si>
    <t>Vereda Quiebra de Guamito</t>
  </si>
  <si>
    <t>Asociación de Acueducto Vereda Quiebra de Guamito</t>
  </si>
  <si>
    <t>Asociación de Usuarios del Acueducto Multiveredal Las Mercedes Los Naranjos Pitayo-Las Mercedes</t>
  </si>
  <si>
    <t xml:space="preserve">Asociación  Acueducto Vereda Guamal </t>
  </si>
  <si>
    <t>Vereda El Guacimo Parte Baja</t>
  </si>
  <si>
    <t>Asociación de Usuarios del Acueducto Multiveredal del Corregimiento de Damasco-Vereda El Guacimo Parte Baja</t>
  </si>
  <si>
    <t>Vereda La Umbría</t>
  </si>
  <si>
    <t>Asociación de Usuarios del Acueducto Multiveredal del Corregimiento de Damasco-Vereda La Umbría</t>
  </si>
  <si>
    <t>Vereda Pavas Parte Alta</t>
  </si>
  <si>
    <t>Operadores de Servicios S.A E.S.P - Vereda Pavas Parte Alta</t>
  </si>
  <si>
    <t>VeredaLa Liboriana</t>
  </si>
  <si>
    <t>Asociacion de Suscriptores del Acueducto y Alcantarillado de La Vereda La Liboriana, Corregimiento de Versalles - ACAVELI</t>
  </si>
  <si>
    <t>Vereda San Isidro Parte Baja</t>
  </si>
  <si>
    <t>Junta Administradora Acueducto Vereda San Isidro Parte Baja</t>
  </si>
  <si>
    <t>Vereda Aguacatal</t>
  </si>
  <si>
    <t>Junta de Acción Comunal Vereda Aguacatal</t>
  </si>
  <si>
    <t>Vereda Corozal</t>
  </si>
  <si>
    <t>Junta de Acción Comunal Vereda Corozal</t>
  </si>
  <si>
    <t xml:space="preserve">Junta de Acción Comunal Vereda La Primavera </t>
  </si>
  <si>
    <t>Morroplancho Parte Baja- Campamento</t>
  </si>
  <si>
    <t>Coorporación Acueducto Morroplancho Parte Baja Sector Campamento</t>
  </si>
  <si>
    <t>Morroplancho Parte Alta- Campamento</t>
  </si>
  <si>
    <t>Coorporación Acueducto Morroplancho Parte Alta Sector Campamento</t>
  </si>
  <si>
    <t>Vereda Pitayó</t>
  </si>
  <si>
    <t>Asociación Usuarios Acueducto Pitayo</t>
  </si>
  <si>
    <t>Vereda Poblanco</t>
  </si>
  <si>
    <t xml:space="preserve">Asociación de Usuarios del Acueducto Poblanco </t>
  </si>
  <si>
    <t>Vereda El Helechal</t>
  </si>
  <si>
    <t>Asociación de Usuarios del Acueducto de La Vereda El Helechal</t>
  </si>
  <si>
    <t>JAC-La Esperanza</t>
  </si>
  <si>
    <t>Acueducto Junta de Acción Comunal La Esperanza</t>
  </si>
  <si>
    <t>Vereda Alto de los Gomez</t>
  </si>
  <si>
    <t>Operadores de Servicios S.A E.S.P - Vereda Alto de Los Gomez</t>
  </si>
  <si>
    <t>Vereda Atanasio</t>
  </si>
  <si>
    <t>Operadores de Servicios S.A E.S.P - Vereda  Atanasio</t>
  </si>
  <si>
    <t>Vereda  La Ursula</t>
  </si>
  <si>
    <t>Operadores de Servicios S.A E.S.P - Vereda La Ursula</t>
  </si>
  <si>
    <t>Operadores de Servicios S.A E.S.P - Vereda El Guayabo</t>
  </si>
  <si>
    <t>Vereda Corozal Parte Alta</t>
  </si>
  <si>
    <t xml:space="preserve">Operadores de Servicios S.A E.S.P - Vereda  Corozal Parte Alta </t>
  </si>
  <si>
    <t>Operadores de Servicios S.A E.S.P - Vereda El Vergel</t>
  </si>
  <si>
    <t>Vereda Los Charcos</t>
  </si>
  <si>
    <t>Operadores de Servicios S.A E.S.P - Vereda Los Charcos</t>
  </si>
  <si>
    <t>Vereda Quiebra del Barro</t>
  </si>
  <si>
    <t>Operadores de Servicios S.A E.S.P - Vereda Quiebra del Barro</t>
  </si>
  <si>
    <t>Vereda Loma Larga Parte Alta</t>
  </si>
  <si>
    <t>Operadores de Servicios S.A E.S.P - Vereda Loma Larga Parte Alta</t>
  </si>
  <si>
    <t xml:space="preserve">Vereda Loma Larga </t>
  </si>
  <si>
    <t>Asociación Junta Administradora Acueducto Loma Larga</t>
  </si>
  <si>
    <t>Vereda San Isidro Parte Alta</t>
  </si>
  <si>
    <t>Operadores de Servicios S.A E.S.P - San Isidro Parte Alto</t>
  </si>
  <si>
    <t>Vereda Palocoposo</t>
  </si>
  <si>
    <t>Operadores de Servicios S.A E.S.P - Vereda Palocoposo</t>
  </si>
  <si>
    <t>Vereda La Arcadia</t>
  </si>
  <si>
    <t>Asociación Acueducto Vereda La Arcadia</t>
  </si>
  <si>
    <t>Vereda Loma de Don Santos</t>
  </si>
  <si>
    <t xml:space="preserve">Junta Administradora de Acueducto Vereda Loma de Don Santos </t>
  </si>
  <si>
    <t>Junta Administradora de Acueducto Vereda San Luis  Lora</t>
  </si>
  <si>
    <t>Corregimiento de Palermo</t>
  </si>
  <si>
    <t>Junta Administradora de Acueducto Corregimiento de Palermo</t>
  </si>
  <si>
    <t>Junta Administradora de Acueducto Vereda  Corozal</t>
  </si>
  <si>
    <t>Corregimiento San Pablo</t>
  </si>
  <si>
    <t>Junta Administradora de Acueducto Corregimiento de San Pablo</t>
  </si>
  <si>
    <t>Veredas Rio Claro-Otrabanda</t>
  </si>
  <si>
    <t>Junta Administradora de Acueducto Rio Claro -Otrabanda</t>
  </si>
  <si>
    <t>Junta Administradora del Acueducto Vereda Travesias</t>
  </si>
  <si>
    <t xml:space="preserve">Vereda Cedeño Bajo( viejo) </t>
  </si>
  <si>
    <t>Junta Administradora del Acueducto Vereda Cedeño Bajo</t>
  </si>
  <si>
    <t>Vereda Manzanares</t>
  </si>
  <si>
    <t>Junta Administradora de Acueducto Manzanares</t>
  </si>
  <si>
    <t>Vereda Cedeño Alto</t>
  </si>
  <si>
    <t>Junta Administradora de Acueducto Multiveredal Acuacartama-Cedeño Alto</t>
  </si>
  <si>
    <t>Vereda Cedeño Bajo</t>
  </si>
  <si>
    <t>Junta Administradora de Acueducto Multiveredal Acuacartama-Cedeño Bajo</t>
  </si>
  <si>
    <t xml:space="preserve">Vereda La Alacena </t>
  </si>
  <si>
    <t>Asociacion de Usuarios de Acueducto Multiveredal La Alacena, El Hacha y El Tabor-La Alacena</t>
  </si>
  <si>
    <t>Vereda El Hacha</t>
  </si>
  <si>
    <t>Asociacion de Usuarios de Acueducto Multiveredal La Alacena, El Hacha y El Tabor-El Hacha</t>
  </si>
  <si>
    <t>Asociacion de Usuarios de Acueducto Multiveredal La Alacena, El Hacha y El Tabor-El Tabor</t>
  </si>
  <si>
    <t>Vereda El Encanto</t>
  </si>
  <si>
    <t>ASOAGUAS -El Encanto</t>
  </si>
  <si>
    <t>ASOAGUAS -El Pescadero</t>
  </si>
  <si>
    <t>Vereda El Libano</t>
  </si>
  <si>
    <t>Junta Administradora de Acueducto El Libano</t>
  </si>
  <si>
    <t>Asociación de Usuarios Acueducto San Isidro, El Rayo-San Isidro</t>
  </si>
  <si>
    <t>ASOAGUAS -El Rayo</t>
  </si>
  <si>
    <t>Asociacion de Usuarios de Acueducto Veredal Santa Teresa-Santa Teresa</t>
  </si>
  <si>
    <t>Vereda San Pedro</t>
  </si>
  <si>
    <t>Multiveredal Campo Alegre- La Matilde- San Pedro</t>
  </si>
  <si>
    <t>Vereda La Matilde</t>
  </si>
  <si>
    <t>Multiveredal Campo Alegre- La Matilde- La Matilde</t>
  </si>
  <si>
    <t>Multiveredal Campo Alegre- Campo Alegre</t>
  </si>
  <si>
    <t>vereda  La Mirla</t>
  </si>
  <si>
    <t>Junta Administradora de Acueducto Multiveredal Acuacartama-La Mirla</t>
  </si>
  <si>
    <t>Junta Administradora de Acueducto Multiveredal Acuacartama- La Florida</t>
  </si>
  <si>
    <t>Junta Administradora de Acueducto Multiveredal Acuacartama-Guayabal</t>
  </si>
  <si>
    <t>Junta Administradora de Acueducto Multiveredal Acuacartama-Resguardo Indigena</t>
  </si>
  <si>
    <t>Vereda La Pastora</t>
  </si>
  <si>
    <t>Junta Administradora de Acueducto Multiveredal Acuacartama-La Pastora</t>
  </si>
  <si>
    <t>Vereda Nudillales</t>
  </si>
  <si>
    <t>Junta Administradora de Acueducto Multiveredal Acuacartama-Nudillales</t>
  </si>
  <si>
    <t>Vereda La Argentina</t>
  </si>
  <si>
    <t>Junta Administradora  Acueducto Piedra de Moler-La Argentina</t>
  </si>
  <si>
    <t>Vereda La Mesa</t>
  </si>
  <si>
    <t>Asociacion de Usuarios de Acueducto Vereda  La Mesa</t>
  </si>
  <si>
    <t>Veredas Rio Claro-Rio Claro</t>
  </si>
  <si>
    <t>Junta Administradora de Acueducto Rio Claro-Rio Claro</t>
  </si>
  <si>
    <t>Vereda Piedra de Moler</t>
  </si>
  <si>
    <t>Junta Administradora  Acueducto Piedra de Moler-Piedra de Moler</t>
  </si>
  <si>
    <t>Vereda Canaan</t>
  </si>
  <si>
    <t>Parcelacion Cauca Viejo-Tarso</t>
  </si>
  <si>
    <t>Vereda  La Linda</t>
  </si>
  <si>
    <t>Junta de Acción Comunal Vereda La Linda</t>
  </si>
  <si>
    <t>Vereda  El Cedron</t>
  </si>
  <si>
    <t>Junta de Acción Comunal Vereda El Cedron</t>
  </si>
  <si>
    <t>Junta de Acción Comunal Vereda La Arboleda</t>
  </si>
  <si>
    <t>Vereda  San Afortunato</t>
  </si>
  <si>
    <t>Junta de Acción Comunal Vereda La Dolores-San Afortunato</t>
  </si>
  <si>
    <t>Vereda  San Francisco</t>
  </si>
  <si>
    <t>Condominio Campestre Palma Real Vereda San Francisco</t>
  </si>
  <si>
    <t>Vereda  Chaguany</t>
  </si>
  <si>
    <t>Junta de Acción Comunal Vereda Chaguany</t>
  </si>
  <si>
    <t>Empresa de Servicios Publicos de Tarso S.A E.S.P. Vereda Patio Bonito</t>
  </si>
  <si>
    <t>Corregimiento La Meseta Sector El Hoyo</t>
  </si>
  <si>
    <t>Asociacion de Suscriptores o Usuarios del Acueducto y Alcantarillado La Meseta - Sector El Hoyo</t>
  </si>
  <si>
    <t>Corregimiento La Meseta</t>
  </si>
  <si>
    <t>Asociacion de Suscriptores o Usuarios del Acueducto y Alcantarillado La Meseta-Meseta</t>
  </si>
  <si>
    <t xml:space="preserve"> Corregimiento Sitio Viejo</t>
  </si>
  <si>
    <t>Asociacion de Usuarios del Acueducto y Alcantarillado Corregimiento Sitio Viejo</t>
  </si>
  <si>
    <t>Corregimiento La Otra Mina</t>
  </si>
  <si>
    <t>Junta Administradora del Acueducto de Otramina</t>
  </si>
  <si>
    <t>Vereda Falda Del Cauca</t>
  </si>
  <si>
    <t>Asociacion de Suscriptores o Usuarios del Acueducto y Alcantarillado Falda del Cauca</t>
  </si>
  <si>
    <t>Asociacion de Suscriptores o Usuarios Acueducto y Alcantarillado Vereda El Morro</t>
  </si>
  <si>
    <t>Junta Administradora Acueducto y Alcantarillado El Zancudo</t>
  </si>
  <si>
    <t>Asociacion de Suscriptores o Usuarios del Acueducto y Alcantarillado Campo Alegre</t>
  </si>
  <si>
    <t>Vereda Alto de Corcovado</t>
  </si>
  <si>
    <t>Acueducto Alto de Corcovado</t>
  </si>
  <si>
    <t>Sector Falda de los Upegui</t>
  </si>
  <si>
    <t>Asociacion de Suscriptores o Usuarios del Acueducto Falda de Los Upegui</t>
  </si>
  <si>
    <t>Vereda Los Micos</t>
  </si>
  <si>
    <t>Asociacion de Suscriptores o Usuarios del Acueducto y Alcantarillado Los Micos - ASUAALOSMI</t>
  </si>
  <si>
    <t>Corregimiento La Albania</t>
  </si>
  <si>
    <t>Asociacion Junta Acueducto Sector Hoyo del Barro, Corregimiento del Libano, La Albania</t>
  </si>
  <si>
    <t>Asociación de Suscriptores o Usuarios Acueducto y Alcantarillado El Porvenir</t>
  </si>
  <si>
    <t>Vereda Puerto Escondido</t>
  </si>
  <si>
    <t>Asociación de Suscriptores o Usuarios del Acueducto y Alcantarillado Puerto Escondido</t>
  </si>
  <si>
    <t>Vereda El Caracol</t>
  </si>
  <si>
    <t>Asociación de Usuarios del Acueducto Multiveredal Angelopolis, Amaga y Titiribi-El Caracol</t>
  </si>
  <si>
    <t>Vereda El Volcàn</t>
  </si>
  <si>
    <t>Asociacion de Suscriptores o Usuarios Acueducto y Alcantarillado El Volcan</t>
  </si>
  <si>
    <t>Corregimiento La Albania-Sector El Filo</t>
  </si>
  <si>
    <t>Asociación Acueducto El Trapiche, La Polla Sector El Filo</t>
  </si>
  <si>
    <t>Asociacion de Usuarios del Acueducto "Amigos del Agua" de La Vereda La Peña - ASUAVEPE</t>
  </si>
  <si>
    <t>Vereda Corcovado</t>
  </si>
  <si>
    <t>Asociacion de Suscriptores o Usuarios del Acueducto El Nacedero-Corcovado</t>
  </si>
  <si>
    <t>Corcovado Parte Baja</t>
  </si>
  <si>
    <t>Asociacion de Usuarios del Acueducto La Nueva ola - Vereda Corcovado - Parte Baja</t>
  </si>
  <si>
    <t>Vereda Los Pantanos No2</t>
  </si>
  <si>
    <t xml:space="preserve"> Asociación de Usuarios del Acueducto La Tora-Los Pantanos N° 2</t>
  </si>
  <si>
    <t>Vereda Loma Del Guamo</t>
  </si>
  <si>
    <t>Asociación de Suscriptores o Usuarios  Acueducto y Alcantarillado Loma del Guamo</t>
  </si>
  <si>
    <t>Asociacion de Usuarios del Acueducto del Rebose de La Vereda La Peña -Corregimiento La Albania</t>
  </si>
  <si>
    <t>Venta - Saladitos</t>
  </si>
  <si>
    <t>Junta de Acción Comunal Vereda Saladitos</t>
  </si>
  <si>
    <t>Orobugo Medio</t>
  </si>
  <si>
    <t>Asociación de Usuarios Acueducto Vereda Orobugo Medio</t>
  </si>
  <si>
    <t>Barrancos (muy alejado del casco urbano)</t>
  </si>
  <si>
    <t>Junta de Acción Comunal Barrancos</t>
  </si>
  <si>
    <t>Junta de Acción Comunal Vereda San Luis</t>
  </si>
  <si>
    <t>Vereda El Tunal</t>
  </si>
  <si>
    <t xml:space="preserve">Asociación de Usuarios Vereda  El Tunal </t>
  </si>
  <si>
    <t>Los Animes - El sireno</t>
  </si>
  <si>
    <t>Junta de Acción Comunal Vereda Los Animes</t>
  </si>
  <si>
    <t>San Fernando La Lucia</t>
  </si>
  <si>
    <t>Asociación Administradora del Acueducto San Fenando - La Lucia "Asaferlu"</t>
  </si>
  <si>
    <t>El Llano</t>
  </si>
  <si>
    <t>Junta de Acción Comunal El Llano</t>
  </si>
  <si>
    <t>Junta de Acción Comunal San Rafael</t>
  </si>
  <si>
    <t>Corregimiento La Encarnacion</t>
  </si>
  <si>
    <t>Junta de Acción Comunal Corregimiento La Encarnacion</t>
  </si>
  <si>
    <t>Los Quemados</t>
  </si>
  <si>
    <t>Junta de Acción Comunal Vereda Los Quemados</t>
  </si>
  <si>
    <t>Vasquez (a mas de 1 día de camino)</t>
  </si>
  <si>
    <t>Junta de Acción Comunal Vasquez</t>
  </si>
  <si>
    <t>La Loma</t>
  </si>
  <si>
    <t>Junta de Acción Comunal Vereda La Loma</t>
  </si>
  <si>
    <t>Puntas De Ocaido( a mas de 2 días de camino )</t>
  </si>
  <si>
    <t>Junta de Acción Comunal Puntas de Ocaido</t>
  </si>
  <si>
    <t>San Vidal</t>
  </si>
  <si>
    <t>Junta de Acción Comunal Vereda San Vidal</t>
  </si>
  <si>
    <t>San Matias</t>
  </si>
  <si>
    <t>Junta de Acción Comunal Vereda San Matias</t>
  </si>
  <si>
    <t>Vereda El Chuscal</t>
  </si>
  <si>
    <t>Junta de Acción Comunal Vereda El Chuscal</t>
  </si>
  <si>
    <t>Sabanas</t>
  </si>
  <si>
    <t>Junta de Acción Comunal Vereda Sabanas</t>
  </si>
  <si>
    <t>El Topacio</t>
  </si>
  <si>
    <t xml:space="preserve">Asociación de Usuarios Vereda El Topacio </t>
  </si>
  <si>
    <t>Asociación de Usuarios Vereda La Honda</t>
  </si>
  <si>
    <t>Vereda Guapantal</t>
  </si>
  <si>
    <t xml:space="preserve">Asociación de Usuarios  Vereda Guapantal </t>
  </si>
  <si>
    <t>Vereda La San Jose</t>
  </si>
  <si>
    <t>Junta Administradora Acueducto  San Jose</t>
  </si>
  <si>
    <t>Vereda Aguacates</t>
  </si>
  <si>
    <t>Asociación de Usuarios Acueducto Aguacates</t>
  </si>
  <si>
    <t>Pavon La Concentracion</t>
  </si>
  <si>
    <t xml:space="preserve">Junta  Acción Comunal Comité de Acueducto Pavon </t>
  </si>
  <si>
    <t>Vereda Pringamozal</t>
  </si>
  <si>
    <t xml:space="preserve">Junta Administradora  Acueducto Vereda Pringamosal </t>
  </si>
  <si>
    <t>Vereda La Cartagena</t>
  </si>
  <si>
    <t>Asociación de Usuarios Acueducto La Cartagena</t>
  </si>
  <si>
    <t>Vereda Arenales</t>
  </si>
  <si>
    <t>Junta Administradora  de Acueducto Vereda Arenales</t>
  </si>
  <si>
    <t>El Porvenir - Pavon</t>
  </si>
  <si>
    <t>Junta de Acción Comunal El Porvenir - Pavon</t>
  </si>
  <si>
    <t>Junta  Acción Comunal Pavon Santa Catalina</t>
  </si>
  <si>
    <t>Pavon Hoyo Rico</t>
  </si>
  <si>
    <t>Junta Administradora  Acueducto Vereda Pavon Hoyo Rico</t>
  </si>
  <si>
    <t>Vereda El Salvador</t>
  </si>
  <si>
    <t>Asociación de Usarios El Salvador</t>
  </si>
  <si>
    <t>Vereda Comuna  La Virgen</t>
  </si>
  <si>
    <t>Junta Administradora Acueducto Comuna La Virgen</t>
  </si>
  <si>
    <t>Vereda Comuna San Jose</t>
  </si>
  <si>
    <t>Asociacion Usuarios Acueducto Comuna San Jose</t>
  </si>
  <si>
    <t>Vereda El Bosque</t>
  </si>
  <si>
    <t>Asociacion Usuarios Acueducto El Bosque</t>
  </si>
  <si>
    <t>Asociacion de Usuarios Acueducto "El Guayabo"</t>
  </si>
  <si>
    <t>Vereda La Fabiana</t>
  </si>
  <si>
    <t>Junta Administradora Acueducto Itima -La Fabiana</t>
  </si>
  <si>
    <t>Vereda La Cumbre-La Graciela</t>
  </si>
  <si>
    <t>Junta Administradora Acueducto La Cumbre-La Graciela</t>
  </si>
  <si>
    <t>Vereda Mallarino</t>
  </si>
  <si>
    <t>Asociacion Usuarios Acueducto Mallarino</t>
  </si>
  <si>
    <t>Vereda Naranjal</t>
  </si>
  <si>
    <t>Junta Administradora Acueducto Naranjal</t>
  </si>
  <si>
    <t>Asociacion Usuarios Acueducto Playa Rica</t>
  </si>
  <si>
    <t>Asociacion Usuarios Acueducto El Libano</t>
  </si>
  <si>
    <t>Junta Administradora Acueducto Sabaletas</t>
  </si>
  <si>
    <t>Vereda La Herradura</t>
  </si>
  <si>
    <t>Junta Administradora Acueducto La Herradura</t>
  </si>
  <si>
    <t>Resguardo Indigena Marcelino Tascon</t>
  </si>
  <si>
    <t xml:space="preserve">Acueducto Resguardo Indigena Marcelino Tascon </t>
  </si>
  <si>
    <t>Corregimiento de Bolombolo</t>
  </si>
  <si>
    <t>Acueductos y Alcantarillados Sostenibles A.A.S S.A.   E.S.P.-Bolombolo</t>
  </si>
  <si>
    <t>Corregimiento La Mina</t>
  </si>
  <si>
    <t>Asociación de Usuarios del Acueducto del Corregimiento de Minas</t>
  </si>
  <si>
    <t>Acueducto Multiveredal Cerro Bravo-Palenque</t>
  </si>
  <si>
    <t>Acueducto Multiveredal Cerro Bravo-Palmichal</t>
  </si>
  <si>
    <t>Vereda La Amalia</t>
  </si>
  <si>
    <t>Acueducto Multiveredal Cerro Bravo-La Amalia</t>
  </si>
  <si>
    <t>Asociación de Suscriptores o Usuarios Acueducto El Cerro</t>
  </si>
  <si>
    <t>Vereda Ventiadero</t>
  </si>
  <si>
    <t>Asociación de Usuarios del Acueducto Vereda Carrizales Parte Baja El Ventiadero</t>
  </si>
  <si>
    <t>Vereda El Narciso</t>
  </si>
  <si>
    <t>Asociación de Usuarios del Acueducto de La Vereda El Narciso</t>
  </si>
  <si>
    <t>Vereda La Arabia</t>
  </si>
  <si>
    <t>Asociación de Usuarios del Acueducto de La Vereda La Arabia</t>
  </si>
  <si>
    <t>Acueducto Multiveredal El Vergel El Hoyo</t>
  </si>
  <si>
    <t>Vereda El Rincon</t>
  </si>
  <si>
    <t>Junta Administradora Vereda El Rincon</t>
  </si>
  <si>
    <t>Vereda El Llano La Antigua</t>
  </si>
  <si>
    <t>Junta Administradora Acueducto El Llano - Vereda El Llano La Antigua</t>
  </si>
  <si>
    <t>Vereda La Timotea</t>
  </si>
  <si>
    <t>Junta de Acción Comunal La Timotea - Vereda La Timotea</t>
  </si>
  <si>
    <t xml:space="preserve">Junta Administradora del Acueducto Santa Teresa - Vereda Santa Teresa </t>
  </si>
  <si>
    <t>Vereda La Nancui</t>
  </si>
  <si>
    <t xml:space="preserve">Junta Administradora del Acueducto La Nancui - Vereda La Nancuí </t>
  </si>
  <si>
    <t>Vereda Potreros 1</t>
  </si>
  <si>
    <t>Junta de Accion Comunal Potreros - Vereda Potreros 1</t>
  </si>
  <si>
    <t>Vereda Quimulá</t>
  </si>
  <si>
    <t>Junta Administra de Acueducto Quimulá - Vereda Quimulá</t>
  </si>
  <si>
    <t>Junta Administra de Acueducto El Eden - Vereda El Eden</t>
  </si>
  <si>
    <t>Vereda El Pedrero</t>
  </si>
  <si>
    <t>Asociación de Usuarios Acueducto Veredal El Pedrero</t>
  </si>
  <si>
    <t>Asociación de Usuarios Acueducto Veredal La Cejita</t>
  </si>
  <si>
    <t>Vereda Monterredondo</t>
  </si>
  <si>
    <t>Asociación de Usuarios del Acueducto Aguas Unidas de Anzá-Monterredondo</t>
  </si>
  <si>
    <t>Corregimiento de Guintar</t>
  </si>
  <si>
    <t>Asociación de Usuarios del Acueducto Corregimiento de Guintar</t>
  </si>
  <si>
    <t>Vereda La Mata</t>
  </si>
  <si>
    <t>Asociación de Usuarios del Acueducto Vereda La Mata</t>
  </si>
  <si>
    <t>Vereda La Quiuna</t>
  </si>
  <si>
    <t>Asociación de Usuarios del Acueducto Aguas Unidas de Anzá - La Quiuna</t>
  </si>
  <si>
    <t>Vereda Los Llanos</t>
  </si>
  <si>
    <t>Junta Administradora Acueducto Vereda Los Llanos</t>
  </si>
  <si>
    <t>Vereda Higuina</t>
  </si>
  <si>
    <t xml:space="preserve">Asociación de Usuarios del Acueducto Vereda Higuina </t>
  </si>
  <si>
    <t>Asociación de Usuarios Acueducto El Nudillo</t>
  </si>
  <si>
    <t>Vereda Vendiagujal</t>
  </si>
  <si>
    <t>Asociación de Usuarios del Acueducto Aguas Unidas de Anzá -Vendiagujal</t>
  </si>
  <si>
    <t>Asociación de Usuarios del Acueducto Aguas Unidas de Anzá -Lomitas</t>
  </si>
  <si>
    <t>Asociación de Usuarios Acueducto Veredal La Quiebra</t>
  </si>
  <si>
    <t>Asociación de Usuarios Acueducto Veredal El Encanto</t>
  </si>
  <si>
    <t>Asociación de Usuarios Acueducto Veredal La Cordillera</t>
  </si>
  <si>
    <t>Vereda La Chuscalita</t>
  </si>
  <si>
    <t>Asociación de Usuarios Acueducto Veredal La Chuscalita</t>
  </si>
  <si>
    <t>Junta Administradora Acueducto Vereda Las Travesias</t>
  </si>
  <si>
    <t>Vereda La Choclína</t>
  </si>
  <si>
    <t>Asociación de Usuarios del Acueducto Aguas Unidas de Anzá-La Choclína</t>
  </si>
  <si>
    <t>Vereda El Gredal</t>
  </si>
  <si>
    <t>Asociación de Usuarios Acueducto Veredal El Gredal</t>
  </si>
  <si>
    <t>Vereda La Pescadora</t>
  </si>
  <si>
    <t>Asociación Usuarios Acueducto La Pescadora</t>
  </si>
  <si>
    <t>Vereda  La Herradura</t>
  </si>
  <si>
    <t>Asociación Usuarios Acueducto La Herradura</t>
  </si>
  <si>
    <t>Asociación Usuarios Acueducto La Quiebra</t>
  </si>
  <si>
    <t>Asociación Usuarios Acueducto La Cuchilla</t>
  </si>
  <si>
    <t>Buriticá</t>
  </si>
  <si>
    <t>Corregimeinto de  Guarco</t>
  </si>
  <si>
    <t>Junta de Acción Comunal Corregimiento Guarco</t>
  </si>
  <si>
    <t>Corregimeinto de El Naranjo</t>
  </si>
  <si>
    <t>Junta de Acción Comunal Corregimiento El Naranjo</t>
  </si>
  <si>
    <t>Corregimeinto de la Angelina</t>
  </si>
  <si>
    <t>Junta de Acción Comunal Corregimiento de la Angelina</t>
  </si>
  <si>
    <t>Corregimeinto de Urarco</t>
  </si>
  <si>
    <t>Junta de Acción Comunal Corregimiento Urarco</t>
  </si>
  <si>
    <t>Vereda Llano Chiquito</t>
  </si>
  <si>
    <t>Junta de Acción Comunal Vereda Llano Chiquito</t>
  </si>
  <si>
    <t>Vereda Los Arados</t>
  </si>
  <si>
    <t>Junta de Acción Comunal Vereda de  los Arados</t>
  </si>
  <si>
    <t>Junta de Acción Comunal  Vereda Buenavista</t>
  </si>
  <si>
    <t>Vereda Sincierco</t>
  </si>
  <si>
    <t>Junta de Acción Comunal Vereda Sincierco</t>
  </si>
  <si>
    <t>Vereda Sopetrancito</t>
  </si>
  <si>
    <t>Junta de Acción Comunal Vereda de  Sopetrancito</t>
  </si>
  <si>
    <t>Vereda Untí</t>
  </si>
  <si>
    <t>Junta de Acción Comunal Vereda Untí</t>
  </si>
  <si>
    <t>Vereda Bubará</t>
  </si>
  <si>
    <t>Empresa de Servicios Publicos Domiciliarios de Buritica S.A.  E.S.P.-Bubara</t>
  </si>
  <si>
    <t>Vereda Asomadera</t>
  </si>
  <si>
    <t>Empresa de Servicios Publicos Domiciliarios de Buritica S.A.  E.S.P.-Asomadera</t>
  </si>
  <si>
    <t>Empresa de Servicios Publicos Domiciliarios de Buritica S.A.  E.S.P.-Piedragorda</t>
  </si>
  <si>
    <t>Vereda Carauquia</t>
  </si>
  <si>
    <t>Junta de Acción Comunal Vereda Carauquia</t>
  </si>
  <si>
    <t>Vereda Chunchunco</t>
  </si>
  <si>
    <t>Junta de Acción Comunal Vereda Chunchunco</t>
  </si>
  <si>
    <t>Vereda Conejos</t>
  </si>
  <si>
    <t>Junta de Acción Comunal Vereda Conejos</t>
  </si>
  <si>
    <t>Vereda Costas</t>
  </si>
  <si>
    <t>Junta de Acción Comunal Vereda de Costas</t>
  </si>
  <si>
    <t>Vereda Alto del Obispo</t>
  </si>
  <si>
    <t>Junta de Acción Comunal Vereda Alto del Obispo</t>
  </si>
  <si>
    <t>Vereda Tabacal</t>
  </si>
  <si>
    <t>Junta de Acción Comunal Vereda Tabacal</t>
  </si>
  <si>
    <t>Vereda El León</t>
  </si>
  <si>
    <t>Junta de Acción Comunal Vereda El Leon</t>
  </si>
  <si>
    <t>Junta de Acción Comunal Vereda Guadual</t>
  </si>
  <si>
    <t>Vereda Higabra</t>
  </si>
  <si>
    <t>Junta de Acción Comunal Vereda Higabra</t>
  </si>
  <si>
    <t>Junta de Acción Comunal Vereda Las Brisas</t>
  </si>
  <si>
    <t>Junta de Acción Comunal Vereda La Cordillera</t>
  </si>
  <si>
    <t>Vereda La Fragua</t>
  </si>
  <si>
    <t>Junta de Acción Comunal Vereda de la Fragua</t>
  </si>
  <si>
    <t>Junta de Acción Comunal Vereda La Palma</t>
  </si>
  <si>
    <t>Junta de Acción Comunal Vereda de la Playa</t>
  </si>
  <si>
    <t>Vereda La Vega</t>
  </si>
  <si>
    <t>Junta de Acción Comunal Vereda La Vega</t>
  </si>
  <si>
    <t>Vereda Las Cuatro</t>
  </si>
  <si>
    <t>Junta de Acción Comunal Vereda Las Cuatro</t>
  </si>
  <si>
    <t>Vereda Mogotes</t>
  </si>
  <si>
    <t>Junta de Acción Comunal Vereda Mogotes</t>
  </si>
  <si>
    <t>Vereda Pajarito</t>
  </si>
  <si>
    <t>Junta de Acción Comunal Vereda Pajarito</t>
  </si>
  <si>
    <t>Junta de Acción Comunal Vereda Palenque</t>
  </si>
  <si>
    <t>Junta de Acción Comunal Vereda Llano Grande</t>
  </si>
  <si>
    <t>Vereda El Siento</t>
  </si>
  <si>
    <t>Junta de Acción Comunal Vereda El Siento</t>
  </si>
  <si>
    <t>Vereda El Guaimaro</t>
  </si>
  <si>
    <t>Junta de Acción Comunal Vereda El Guaimaro</t>
  </si>
  <si>
    <t>Junta de Acción Comunal Vereda Murrapal</t>
  </si>
  <si>
    <t>Junta de Acción Comunal Vereda Santa Teresa</t>
  </si>
  <si>
    <t>Vereda Los Asientos</t>
  </si>
  <si>
    <t>Junta de Acción Comunal Vereda Los Asientos</t>
  </si>
  <si>
    <t>Vereda Altavista</t>
  </si>
  <si>
    <t>Junta Administradora Acueducto Altavista</t>
  </si>
  <si>
    <t>Vereda Casanova</t>
  </si>
  <si>
    <t>Asociación de Usuarios del Acueducto Multiveredal Hato-Casanova Vereda Casanova</t>
  </si>
  <si>
    <t>Vereda Chochal</t>
  </si>
  <si>
    <t>Asociación de Usuarios del Acueducto San Juan-Chochal Vereda Chochal</t>
  </si>
  <si>
    <t>Vereda El Playon</t>
  </si>
  <si>
    <t>Asociación de Usuarios del Acueducto Multiveredal Playon-Chochal Vereda El Playón</t>
  </si>
  <si>
    <t>Vereda Los Sauces</t>
  </si>
  <si>
    <t>Asociación de Usuarios del Acueducto Multiveredal Pinos-Cortada Vereda Los Sauces</t>
  </si>
  <si>
    <t>Vereda La Garcia</t>
  </si>
  <si>
    <t>Asociación de Usuarios del Acueducto Multiveredal Pinos-Cortada Vereda La Garcia</t>
  </si>
  <si>
    <t>Vereda Asesi</t>
  </si>
  <si>
    <t>Junta Administradora Acueducto Asesi</t>
  </si>
  <si>
    <t>Vereda La Cortada</t>
  </si>
  <si>
    <t>Asociación de Usuarios del Acueducto Multiveredal Pinos-Cortada Vereda Cortada</t>
  </si>
  <si>
    <t>Vereda La Cascajala</t>
  </si>
  <si>
    <t xml:space="preserve"> Junta Administradora de Acueducto Multiveredal La Salazar- Cascajala </t>
  </si>
  <si>
    <t>Vereda La Manga</t>
  </si>
  <si>
    <t>Asociación de Usuarios del Acueducto La Manga</t>
  </si>
  <si>
    <t>Asociación de Usuarios del Acueducto El Encanto</t>
  </si>
  <si>
    <t>Asociación de Usuarios del Acueducto La Soledad</t>
  </si>
  <si>
    <t>Vereda La Salazar</t>
  </si>
  <si>
    <t>Asociación de Usuarios del Acueducto La Salazar</t>
  </si>
  <si>
    <t>Vereda El Hato</t>
  </si>
  <si>
    <t>Asociación de Usuarios del Acueducto Multiveredal Hato-Casanova Vereda El Hato</t>
  </si>
  <si>
    <t>Asociación de Usuarios del Acueducto San Juan-Chochal Vereda San Juan</t>
  </si>
  <si>
    <t>Vereda Playón Parte Baja</t>
  </si>
  <si>
    <t>Asociación de Usuarios del Acueducto San Juan-Chochal Vereda Playón Parte Baja</t>
  </si>
  <si>
    <t>Vereda La Balsita</t>
  </si>
  <si>
    <t>Junta Administradora  Acueducto de La Balsita</t>
  </si>
  <si>
    <t>Junta Administradora Acueducto El Socorro</t>
  </si>
  <si>
    <t>Vereda La Aldea</t>
  </si>
  <si>
    <t>Junta de Acciòn Comunal La Aldea</t>
  </si>
  <si>
    <t>Vereda La Loma de San Pascual</t>
  </si>
  <si>
    <t>Junta Administradora Acueducto de La Loma San Pascual</t>
  </si>
  <si>
    <t>Corregimiento Cestillal</t>
  </si>
  <si>
    <t>Junta Administradora Acueducto El Silguero-Corregimiento Cestillal</t>
  </si>
  <si>
    <t>Corregimiento Juntas de Uramita</t>
  </si>
  <si>
    <t>Junta de Acción Comunal Acueducto de Juntas de Uramita-Corregimiento Juntas de Uramita</t>
  </si>
  <si>
    <t>Vereda Alto del Roble</t>
  </si>
  <si>
    <t>Junta Administradora Acueducto Alto del Roble</t>
  </si>
  <si>
    <t>Junta Administradora Acueducto de Guadual</t>
  </si>
  <si>
    <t>Vereda San Luís del Café</t>
  </si>
  <si>
    <t>Junta de Acción Comunal Acueducto San Luis del Café</t>
  </si>
  <si>
    <t>Vereda Insor Quebrada de Minas</t>
  </si>
  <si>
    <t>Junta Administradora Vereda Buenos Aires-Parte Alta</t>
  </si>
  <si>
    <t>Vereda Alto de Buenavista Juntas</t>
  </si>
  <si>
    <t>Junta Administradora Acueducto Alto de Buena Vista Juntas</t>
  </si>
  <si>
    <t>Vereda Los Antioqueños</t>
  </si>
  <si>
    <t>Junta Administradora Acueducto Los Antioqueños</t>
  </si>
  <si>
    <t>Junta Administradora Acueducto Corregimiento de Cestillal</t>
  </si>
  <si>
    <t>Vereda Los Naranjos</t>
  </si>
  <si>
    <t>Junta Administradora Acueducto Los Naranjos</t>
  </si>
  <si>
    <t>Junta Administradora Acueducto de La Manga</t>
  </si>
  <si>
    <t>Junta Administradora Acueducto El Retiro</t>
  </si>
  <si>
    <t>Vereda Cumbarrá</t>
  </si>
  <si>
    <t>Junta Administradora Acueducto de Cumbarrà</t>
  </si>
  <si>
    <t>Vereda La Curva</t>
  </si>
  <si>
    <t>Junta Administradora Acueducto de San Pascual-La Curva</t>
  </si>
  <si>
    <t>Vereda Morotó</t>
  </si>
  <si>
    <t>Junta Administradora Acueducto de Morotó</t>
  </si>
  <si>
    <t>Vereda Ciriguan</t>
  </si>
  <si>
    <t>Junta Administradora Acueducto de Ciriguan</t>
  </si>
  <si>
    <t>Corregimietno San Pascual</t>
  </si>
  <si>
    <t>Junta Administradora Acueducto de San Pascual-San Pascual</t>
  </si>
  <si>
    <t>Vereda Loma de la Alegría</t>
  </si>
  <si>
    <t>Junta Administradora Acueducto Loma de La Alegria</t>
  </si>
  <si>
    <t>Vereda Buenos aires-Parte Baja</t>
  </si>
  <si>
    <t>Junta Administradora Acueducto Buenos Aires-Parte Baja</t>
  </si>
  <si>
    <t>Vereda Caracolal</t>
  </si>
  <si>
    <t>Junta Administradora Acueducto Caracolal</t>
  </si>
  <si>
    <t>Vereda Buenos Aires-Parte Alta</t>
  </si>
  <si>
    <t>Junta Administradora Acueducto Buenos Aires-Parte Alta</t>
  </si>
  <si>
    <t>Vereda Juan Gomez</t>
  </si>
  <si>
    <t>Junta Administradora Acueducto Juan Gomez</t>
  </si>
  <si>
    <t>Vereda El Madero</t>
  </si>
  <si>
    <t>Junta Administradora Acueducto El Madero</t>
  </si>
  <si>
    <t>Vereda Alto de la Aldea</t>
  </si>
  <si>
    <t xml:space="preserve">Asociación de Usuarios Acueducto Multiveredal La Berrionda Cestillal-Alto de La Aldea </t>
  </si>
  <si>
    <t>Vereda La Unión</t>
  </si>
  <si>
    <t>Junta Administradora Acueducto Vereda La Unión</t>
  </si>
  <si>
    <t>Vereda Menbrillal</t>
  </si>
  <si>
    <t>Junta Administradora Acueducto de Membrillal</t>
  </si>
  <si>
    <t>Asociación de Usuarios Acueducto Multiveredal La Berrionda Cestillal-Guayabal</t>
  </si>
  <si>
    <t>Junta Administradora Acueducto de Guayabal</t>
  </si>
  <si>
    <t>Junta Administradora Acueducto Llano Grande</t>
  </si>
  <si>
    <t>Asociación de Usuarios Acueducto Multiveredal La Berrionda Cestillal San Miguel</t>
  </si>
  <si>
    <t>Junta Administradora Acueducto San Miguel Cestillal</t>
  </si>
  <si>
    <t>Vereda La Balsa</t>
  </si>
  <si>
    <t>Junta Administradora Acueducto Vereda La Balsa</t>
  </si>
  <si>
    <t>Barrio Los Balsos</t>
  </si>
  <si>
    <t>Junta Administradora Acueducto Barrio Los Balsos</t>
  </si>
  <si>
    <t>Vereda Imantago</t>
  </si>
  <si>
    <t>Junta Administradora Acueducto Imantago</t>
  </si>
  <si>
    <t>Vereda Rubicón</t>
  </si>
  <si>
    <t>Asociación de UsuariosAcueducto Multiveredal La Berrionda Cestillal-Rubicòn</t>
  </si>
  <si>
    <t>Junta Administradora Acueducto de Rubicòn</t>
  </si>
  <si>
    <t>Junta Administradora Acueducto Vereda El Canelo</t>
  </si>
  <si>
    <t>Vereda El Canelito</t>
  </si>
  <si>
    <t>Junta Administradora Acueducto Vereda El Canelito</t>
  </si>
  <si>
    <t>Vereda Media Cuesta</t>
  </si>
  <si>
    <t>Asociación de UsuariosAcueducto Vereda Mediacuesta Cañasgordas</t>
  </si>
  <si>
    <t>Vereda Paso Arriba</t>
  </si>
  <si>
    <t>Junta Administradora Acueducto de Paso Arriba</t>
  </si>
  <si>
    <t>Vereda El Paso</t>
  </si>
  <si>
    <t>Junta Administradora Vereda El Paso</t>
  </si>
  <si>
    <t>Vereda Botija Arriba</t>
  </si>
  <si>
    <t xml:space="preserve">Asociación de Usuarios Acueducto Multiveredal La Berrionda Cestillal-Botija Arriba </t>
  </si>
  <si>
    <t>Vereda Botija Abajo</t>
  </si>
  <si>
    <t xml:space="preserve">Asociación de Usuarios Acueducto Multiveredal Cestillal-Botija Abajo </t>
  </si>
  <si>
    <t>Asociación de Usuarios Acueducto Multiveredal La Berrionda Cestillal-La Quiebra</t>
  </si>
  <si>
    <t>Vereda Santo Cristo</t>
  </si>
  <si>
    <t>Asociación de Usuarios Acueducto Multiveredal La Berrionda Cestillal-Santo Cristo</t>
  </si>
  <si>
    <t>Vereda Uvital</t>
  </si>
  <si>
    <t>Asociación de Usuarios Acueducto Multiveredal Uvital</t>
  </si>
  <si>
    <t>Asociación de Usuarios Acueducto Multiveredal Cestillal-San Antonio</t>
  </si>
  <si>
    <t>Asociación de Usuarios Acueducto Multiveredal Cestillal-Naranjal</t>
  </si>
  <si>
    <t>Junta Administradora Acueducto La Aguada</t>
  </si>
  <si>
    <t>Vereda Apucarco</t>
  </si>
  <si>
    <t>Junta Administradora Acueducto Apucarco-Apucarco</t>
  </si>
  <si>
    <t>Verreda San Julian</t>
  </si>
  <si>
    <t>Junta de Aciòn Comunal Acueducto de Juntas de Uramita-San Julian</t>
  </si>
  <si>
    <t>Barrio Versalles</t>
  </si>
  <si>
    <t>Junta Administradora Acueducto La Aguada-Barrio Versalles</t>
  </si>
  <si>
    <t>Barrio El Chispero</t>
  </si>
  <si>
    <t>Junta Administradora Acueducto Apucarco-Barrio El Chispero</t>
  </si>
  <si>
    <t>Barrio Cordoncillal</t>
  </si>
  <si>
    <t>Asociación de Usuarios Acueducto Multiveredal La Berrionda Cestillal-Barrio Cordoncillal</t>
  </si>
  <si>
    <t>Asociación de Usuarios Acueducto Multiveredal La Cristalina-Bellavista</t>
  </si>
  <si>
    <t>Vereda Armenia</t>
  </si>
  <si>
    <t>Junta de Acción Comunal Vereda Armenia</t>
  </si>
  <si>
    <t>Vereda La Falda</t>
  </si>
  <si>
    <t>Junta de Acción Comunal Vereda La Falda</t>
  </si>
  <si>
    <t xml:space="preserve"> Vereda Carrá</t>
  </si>
  <si>
    <t>Junta de Acción Comunal Vereda Carrá</t>
  </si>
  <si>
    <t xml:space="preserve">Vereda  Lopia </t>
  </si>
  <si>
    <t>Junta de Acción Comunal Vereda  Lopia</t>
  </si>
  <si>
    <t xml:space="preserve">Vereda  Anta </t>
  </si>
  <si>
    <t>Junta de Acción Comunal Vereda  Anta</t>
  </si>
  <si>
    <t>Vereda Dabeiba Viejo</t>
  </si>
  <si>
    <t>Junta de Acción Comunal Dabeiba Viejo-Dabeiba Viejo</t>
  </si>
  <si>
    <t>Vereda Pegado</t>
  </si>
  <si>
    <t>Junta de Acción Comunal Vereda Pegadó</t>
  </si>
  <si>
    <t>Vereda Llanogrande Chimiado</t>
  </si>
  <si>
    <t>Junta de Acción Comunal Vereda Llanogrande</t>
  </si>
  <si>
    <t>Vereda Llano  de Cruces</t>
  </si>
  <si>
    <t>Junta de Acción Comunal Vereda Llano de Cruces</t>
  </si>
  <si>
    <t>Corregimiento Cruces de Urama</t>
  </si>
  <si>
    <t>Junta de Acción Comunal Corregimiento Cruces de Urama</t>
  </si>
  <si>
    <t>Corregimiento San José de Urama</t>
  </si>
  <si>
    <t>Junta de Acción Comunal Vereda Urama-Corregimiento San José de Urama</t>
  </si>
  <si>
    <t>Corremiento San Rafael</t>
  </si>
  <si>
    <t>Junta de Acción Comunal Corremiento San Rafael</t>
  </si>
  <si>
    <t>Vereda Chever</t>
  </si>
  <si>
    <t xml:space="preserve">Junta de Accion Comunal Vereda Chever  </t>
  </si>
  <si>
    <t>Vereda  Dabeiba Viejo(Indigena)</t>
  </si>
  <si>
    <t>Comunidad Indigena Dabeiba Viejo</t>
  </si>
  <si>
    <t>Vereda Culantrillales</t>
  </si>
  <si>
    <t>Junta de Accion Comunal Culantrillales</t>
  </si>
  <si>
    <t>Vereda Dabeiba viejo Coco Guayabito</t>
  </si>
  <si>
    <t>Junta de Acción Comunal Dabeiba Viejo-Coco Guayabito</t>
  </si>
  <si>
    <t>Vereda El Mohan</t>
  </si>
  <si>
    <t>Junata de Accion Comunal El Mohan</t>
  </si>
  <si>
    <t>Vereda Pueblecito</t>
  </si>
  <si>
    <t>Junta de Accion Comunal Pueblecito</t>
  </si>
  <si>
    <t>Vereda El Jordan</t>
  </si>
  <si>
    <t>Junata de Accion Comunal El Jordan</t>
  </si>
  <si>
    <t>Vereda El Tigre</t>
  </si>
  <si>
    <t>Junta de Accion comunal el tigre</t>
  </si>
  <si>
    <t>Vereda El Plancito</t>
  </si>
  <si>
    <t>Junta de Accion Comunal El Plancito</t>
  </si>
  <si>
    <t>Junta de Accion Comunal El Plan</t>
  </si>
  <si>
    <t>Vereda Betania</t>
  </si>
  <si>
    <t>Junta de Accion Comunal Betania- Puente Nuevo</t>
  </si>
  <si>
    <r>
      <t>V</t>
    </r>
    <r>
      <rPr>
        <sz val="11"/>
        <rFont val="Arial"/>
        <family val="2"/>
      </rPr>
      <t>vereda Antado sector El Rodeo</t>
    </r>
  </si>
  <si>
    <t>Junta de Accion Comunal Antado-El Rodeo</t>
  </si>
  <si>
    <t>Junta de Accion Comunal Los Naranjos</t>
  </si>
  <si>
    <t>Vereda Caracolon El Paraiso</t>
  </si>
  <si>
    <t>Junta de Accion Comunal Caracolon El Paraiso</t>
  </si>
  <si>
    <t>Corregimiento Sevilla</t>
  </si>
  <si>
    <t>Asociación de Suscriptores o Usuarios del Servicio de Acueducto del Corregimiento El Brasil-Sevilla</t>
  </si>
  <si>
    <t>Vereda La Cuchara</t>
  </si>
  <si>
    <t>Asociación Usuarios Acuanieves E.S.P- La Cuchara</t>
  </si>
  <si>
    <t>Asociación Usuarios Acuanieves-La Cruz</t>
  </si>
  <si>
    <t>Asociación Usuarios Acuanieves E.S.P- La Quinta</t>
  </si>
  <si>
    <t>Vereda El Saibo</t>
  </si>
  <si>
    <t>Asociación Usuarios Acuanieves--El Saibo</t>
  </si>
  <si>
    <t>Vereda Mano de Oso</t>
  </si>
  <si>
    <t>Asociación Usuarios Acuanieves E.S.P-Mano de Oso</t>
  </si>
  <si>
    <t>Asociación Usuarios Acuanieves E.S.P-La Aldea</t>
  </si>
  <si>
    <t>Vereda Boca Negra</t>
  </si>
  <si>
    <t>Asociación Usuarios Acuanieves E.S.P-Boca Negra</t>
  </si>
  <si>
    <t>Vereda El Bagio</t>
  </si>
  <si>
    <t>Asociación Usuarios Acuanieves E.S.P-El Bagío</t>
  </si>
  <si>
    <t>Vereda El Palon</t>
  </si>
  <si>
    <t>Asociación Usuarios Acuanieves E.S.P-El Palón</t>
  </si>
  <si>
    <t>Vereda Charrascal</t>
  </si>
  <si>
    <t>Asociación Usuarios Acuanieves E.S.P-Charrascal</t>
  </si>
  <si>
    <t>Vereda  La Palma</t>
  </si>
  <si>
    <t>Asociación Usuarios Acuanieves E.S.P- La Palma</t>
  </si>
  <si>
    <t xml:space="preserve">Corregimiento Guayabal </t>
  </si>
  <si>
    <t>Asociación de Usuarios del Acueducto Multiveredal del Municipio de Ebejico-Guayabal</t>
  </si>
  <si>
    <t>Vereda Filo San Jose</t>
  </si>
  <si>
    <t>Asociación de Usuarios del Acueducto Multiveredal del Municipio de Ebejico-Filo San José</t>
  </si>
  <si>
    <t>Asociación de Usuarios del Acueducto Multiveredal del Municipio de Ebejico-Las Brisas</t>
  </si>
  <si>
    <t>Asociación de Usuarios del Acueducto Multiveredal del Municipio de Ebejico-La Quiebra</t>
  </si>
  <si>
    <t>Vereda Blanquizal</t>
  </si>
  <si>
    <t>Asociación de Usuarios del Acueducto Multiveredal del Municipio de Ebejico-Blanquizal</t>
  </si>
  <si>
    <t>Asociación de Usuarios del Acueducto Multiveredal del Municipio de Ebejico-Campo Alegre</t>
  </si>
  <si>
    <t>Asociación de Usuarios del Acueducto Multiveredal del Municipio de Ebejico-El Retiro</t>
  </si>
  <si>
    <t>Vereda Las Coles</t>
  </si>
  <si>
    <t>Asociación de Usuarios del Acueducto Multiveredal del Municipio de Ebejico-Alto de Las Coles</t>
  </si>
  <si>
    <t>Vereda Holanda</t>
  </si>
  <si>
    <t>Asociación de Usuarios del Acueducto Multiveredal del Municipio de Ebejico-Holanda</t>
  </si>
  <si>
    <t>Vereda Santander</t>
  </si>
  <si>
    <t>Asociación de Usuarios del Acueducto Multiveredal del Municipio de Ebejico-Santander</t>
  </si>
  <si>
    <t>Vereda La Renta</t>
  </si>
  <si>
    <t>Asociación de Usuarios del Acueducto Multiveredal del Municipio de Ebejico-La Renta</t>
  </si>
  <si>
    <t>Asociación de Suscriptores o Usuarios del Servicio de Acueducto del Corregimiento El Brasil-La Gramala</t>
  </si>
  <si>
    <t>Vereda Alto El Brasil</t>
  </si>
  <si>
    <t>Asociación de Suscriptores o Usuarios del Servicio de Acueducto del Corregimiento El Brasil-Alto El Brasil</t>
  </si>
  <si>
    <t>Vereda Falda de la Suiza</t>
  </si>
  <si>
    <t>Asociación de Suscriptores o Usuarios del Servicio de Acueducto del Corregimiento El Brasil-La Suiza</t>
  </si>
  <si>
    <t>Asociación de Suscriptores o Usuarios del Servicio de Acueducto del Corregimiento El Brasil-Los Pomos</t>
  </si>
  <si>
    <t>Vereda Saguá</t>
  </si>
  <si>
    <t>Asociación de Suscriptores o Usuarios del Servicio de Acueducto del Corregimiento El Brasil-Saguá</t>
  </si>
  <si>
    <t>Junta Administradora Acueducto La Esmeralda</t>
  </si>
  <si>
    <t>Corregimiento La Clara</t>
  </si>
  <si>
    <t>Asociación Usuarios Acueducto ASUCLARA-Corregimiento La Clara</t>
  </si>
  <si>
    <t>Vereda  Arenales</t>
  </si>
  <si>
    <t>Asociación Usuarios Acueducto ASUCLARA-Arenales</t>
  </si>
  <si>
    <t>Asociación Usuarios Acueducto ASUCLARA-Murrapal</t>
  </si>
  <si>
    <t>Vereda Llano Santa Barbara</t>
  </si>
  <si>
    <t>Asociación Usuarios Acueducto ASUCLARA-Llano Santa Barbara</t>
  </si>
  <si>
    <t>Junta Administradora Acueducto-El Socorro</t>
  </si>
  <si>
    <t>Vereda Chachafruto</t>
  </si>
  <si>
    <t xml:space="preserve">Junta Administradora Acueducto Chachafruto </t>
  </si>
  <si>
    <t>Vereda Fátima</t>
  </si>
  <si>
    <t>Junta Administradora Acueducto-Fátima</t>
  </si>
  <si>
    <t xml:space="preserve">Vereda Nariño </t>
  </si>
  <si>
    <t xml:space="preserve">Junta Administradora Acueducto-Nariño </t>
  </si>
  <si>
    <t>Vereda El Zarzal</t>
  </si>
  <si>
    <t>Junta Administradora del Servicio de Acueducto de La Vereda El Zarzal</t>
  </si>
  <si>
    <t>Vereda El Cedro</t>
  </si>
  <si>
    <t>Junta Administradora Acueducto El Cedro</t>
  </si>
  <si>
    <t>Vereda Comunidad</t>
  </si>
  <si>
    <t>Asociación de Usuarios Acueducto Vereda Comunidad</t>
  </si>
  <si>
    <t>Vereda Chachafrutal</t>
  </si>
  <si>
    <t>Asociación Usuarios Acueducto Multiveredal Tres Montañas Chachafrutal</t>
  </si>
  <si>
    <t xml:space="preserve">Vereda  El Bosque </t>
  </si>
  <si>
    <t>Asociación Usuarios Acueducto Multiveredal  Tres Montañas  El Bosque</t>
  </si>
  <si>
    <t>Vereda Quirimará Placitas</t>
  </si>
  <si>
    <t>Junta Administradora Acueducto Quimara-Placitas</t>
  </si>
  <si>
    <t>Vereda Quirimará Rodeo</t>
  </si>
  <si>
    <t>Junta Administradora Acueducto Quimara - Rodeo</t>
  </si>
  <si>
    <t>Vereda Filo de las Arboledas</t>
  </si>
  <si>
    <t>Junta Administradora Acueducto-Vereda Filo de las Arboledas</t>
  </si>
  <si>
    <t>Vereda Nobogá</t>
  </si>
  <si>
    <t>Junta Administradora de Acueducto Nobogá</t>
  </si>
  <si>
    <t>Vereda Cabritas</t>
  </si>
  <si>
    <t>Junta Administradora de Acueducto Cabritas</t>
  </si>
  <si>
    <t>Vereda  Madre Laura</t>
  </si>
  <si>
    <t>Junta de Accion Comunal Acueducto Multiveredal Piedras Blanquitas - Madre Laura</t>
  </si>
  <si>
    <t>Vereda Paso Ancho</t>
  </si>
  <si>
    <t>Junta de Accion Comunal Acueducto Multiveredal Piedras Blanquitas - Paso Ancho</t>
  </si>
  <si>
    <t xml:space="preserve">Junta de Accion Comunal Acueducto Multiveredal Piedras Blanquitas - El Paso </t>
  </si>
  <si>
    <t>Vereda Chuscal de Musinga</t>
  </si>
  <si>
    <t>Junta de Acción Comunal Acueducto Chuscal de Musinga</t>
  </si>
  <si>
    <t>Vereda Chontaduro</t>
  </si>
  <si>
    <t>Junta Administradora Multiveredal Chontaduro, La Quiebra-Chontaduro</t>
  </si>
  <si>
    <t>Vereda Nobogacita</t>
  </si>
  <si>
    <t>Junta Administradora Acueducto Nobogacita</t>
  </si>
  <si>
    <t>Vereda Cuajron La Escuela</t>
  </si>
  <si>
    <t>Junta Administradora Acueducto Cuajron La Escuela</t>
  </si>
  <si>
    <t>Vereda San Lázaro</t>
  </si>
  <si>
    <t>Junta de Acción Comunal Acueducto San Lázaro</t>
  </si>
  <si>
    <t>Vereda El Rayo Cañaveral</t>
  </si>
  <si>
    <t>Junta de Accion Comunal Multiveredal  El Rayo Cañaveral</t>
  </si>
  <si>
    <t>Junta Administradora de Acueducto Multiveredal Los Israeles - El Rayo</t>
  </si>
  <si>
    <t>Junta Administradora de Acueducto Multiveredal Los Israeles - Nobogá</t>
  </si>
  <si>
    <t>Junta Administradora de Acueducto Multiveredal Los Israeles - Cabritas</t>
  </si>
  <si>
    <t>Vereda Loma de los Indios</t>
  </si>
  <si>
    <t>Junta Administradora de Acueducto Multiveredal Los Israeles - Loma de los Indios</t>
  </si>
  <si>
    <t>Vereda Las Cruces</t>
  </si>
  <si>
    <t>Junta Administradora Acueducto Las Cruces</t>
  </si>
  <si>
    <t>Vereda La Campiña</t>
  </si>
  <si>
    <t>Junta de Acción Comunal Acueducto La Campiña</t>
  </si>
  <si>
    <t>Vereda Los Monos</t>
  </si>
  <si>
    <t>Junta de Acción Comunal Vereda Los Monos</t>
  </si>
  <si>
    <t>Vereda Nutibara</t>
  </si>
  <si>
    <t>Cabildo Indigena Nusido Acueducto Nusido-Nutibara</t>
  </si>
  <si>
    <t>Vereda Nusido</t>
  </si>
  <si>
    <t>Cabildo Indigena Nusido Acueducto Nusido-Nusido</t>
  </si>
  <si>
    <t>Asociación de Usuarios Acueducto Multiveredal ASUACUM - La Honda</t>
  </si>
  <si>
    <t>Vereda El Chaquiro</t>
  </si>
  <si>
    <t>Asociación de Usuarios Acueducto Multiveredal ASUACUM - El Chaquiro</t>
  </si>
  <si>
    <t>Asociación de Usuarios Acueducto Multiveredal ASUACUM - La Primavera</t>
  </si>
  <si>
    <t>Vereda La Cañada Pontón</t>
  </si>
  <si>
    <t>Asociación de Usuarios Acueducto Multiveredal ASUACUM - La Cañada Pontón</t>
  </si>
  <si>
    <t>Asociación de Usuarios Acueducto Multiveredal ASUACUM - La Hondita</t>
  </si>
  <si>
    <t>Asociación de Usuarios Acueducto Multiveredal ASUACUM - La Herradura</t>
  </si>
  <si>
    <t>Vereda Alto de Frontino</t>
  </si>
  <si>
    <t>Asociación de Usuarios Acueducto Multiveredal ASUACUM - Alto de Frontino</t>
  </si>
  <si>
    <t>Vereda San Andrés</t>
  </si>
  <si>
    <t>Junta de Accion Comunal Acueducto Multiveredal San Andrés Murindó-San Andrés</t>
  </si>
  <si>
    <t>Vereda Murindó</t>
  </si>
  <si>
    <t>Junta de Accion Comunal Acueducto Multiveredal San Andrés Murindó-Murindó</t>
  </si>
  <si>
    <t>Vereda Blanquita</t>
  </si>
  <si>
    <t>Junta de Acción Comunal Acueducto La Blanquita</t>
  </si>
  <si>
    <t>Vereda Ponton</t>
  </si>
  <si>
    <t>Junta Administradora  Vereda Ponton</t>
  </si>
  <si>
    <t>Vereda La Blanquita</t>
  </si>
  <si>
    <t>Vereda Fuemia</t>
  </si>
  <si>
    <t>Junta de Acción Comunal Acueducto Fuemia</t>
  </si>
  <si>
    <t>Vereda Barrancas</t>
  </si>
  <si>
    <t>Junta de Acción Comunal Vereda  Barrancas</t>
  </si>
  <si>
    <t>Vereda Nore</t>
  </si>
  <si>
    <t>Junta de Acción Comunal Acueducto Nore</t>
  </si>
  <si>
    <t>Vereda Montañon</t>
  </si>
  <si>
    <t>Junta de Acción Comunal Acueducto Montañón</t>
  </si>
  <si>
    <t>Vereda Loma de Los Indios</t>
  </si>
  <si>
    <t>Junta de Acción Comunal Acueducto Loma de Los Indios</t>
  </si>
  <si>
    <t>Junta de Acción Comunal Vereda La Cabaña</t>
  </si>
  <si>
    <t>Vereda Llano de Musinga Tablaito</t>
  </si>
  <si>
    <t>Junta de Acción Comunal Acueducto Llano de Musinga CaseríoTablaito</t>
  </si>
  <si>
    <t>Junta de Acción Comunal El Cerro</t>
  </si>
  <si>
    <t>Vereda Llano de Musinga</t>
  </si>
  <si>
    <t>Junta de Acción Comunal Acueducto Llano de Musinga</t>
  </si>
  <si>
    <t>Vereda Las Cabras</t>
  </si>
  <si>
    <t>Junta de Acción Comunal Vereda Las Cabras</t>
  </si>
  <si>
    <t>Vereda El Matadero</t>
  </si>
  <si>
    <t>Junta de Acción Comunal Vereda El Matadero</t>
  </si>
  <si>
    <t>Corregimiento Nutibara</t>
  </si>
  <si>
    <t>Empresa de Servicios Publicos de Frontino E.S.P. Corregimiento Nutibara</t>
  </si>
  <si>
    <t>Vereda La Sierrita</t>
  </si>
  <si>
    <t>Junta de Accion Comunal La Sierrita-La Sierrita</t>
  </si>
  <si>
    <t>Vereda El Puente</t>
  </si>
  <si>
    <t>Junta de Accion Comunal Cuajaron-Sector El Puente</t>
  </si>
  <si>
    <t>Vereda Quiebritas</t>
  </si>
  <si>
    <t>Junta de Accion Comunal Cuajaron-Sector Quiebritas</t>
  </si>
  <si>
    <t>Vereda Escuela</t>
  </si>
  <si>
    <t>Junta de Accion Comunal Cuajaron-La Escuela</t>
  </si>
  <si>
    <t>Vereda  Filo Del Medio</t>
  </si>
  <si>
    <t>Junta de Accion Comunal Filo del Medio</t>
  </si>
  <si>
    <t>Vereda El Roblar</t>
  </si>
  <si>
    <t>Junta de Accion Comunal El Roblal</t>
  </si>
  <si>
    <t>Vereda El Aguila</t>
  </si>
  <si>
    <t>Junta de Accion Comunal El Aguila</t>
  </si>
  <si>
    <t>Junta de Accion Comunal La Sierra</t>
  </si>
  <si>
    <t>Junta de Accion Comunal El Tambo- El Tambo</t>
  </si>
  <si>
    <t>Sector La Trampa</t>
  </si>
  <si>
    <t>Junta de Accion Comunal El Tambo-Sector La Trampa</t>
  </si>
  <si>
    <t>Vereda Toyo Parte Alta</t>
  </si>
  <si>
    <t>Junta de Accion Comunal Toyo-Parte Alta</t>
  </si>
  <si>
    <t>Vereda El Limo</t>
  </si>
  <si>
    <t>Junta de Accion Comunal El Limo</t>
  </si>
  <si>
    <t>Junta de Accion Comunal El Balso</t>
  </si>
  <si>
    <t>Corregimiento Pinguro</t>
  </si>
  <si>
    <t>Junta de Accion Comunal Corregimiento Pinguro</t>
  </si>
  <si>
    <t>Vereda Tinajitas</t>
  </si>
  <si>
    <t>Junta de Accion Comunal Tinajitas</t>
  </si>
  <si>
    <t>Vereda La Cienaga</t>
  </si>
  <si>
    <t>Junta de Accion Comunal La Cienaga-La Cienaga</t>
  </si>
  <si>
    <t>Vereda La Bonanza</t>
  </si>
  <si>
    <t>Junta de Accion Comunal La Cienaga-La Bonanza</t>
  </si>
  <si>
    <t>Vereda La Planta</t>
  </si>
  <si>
    <t>Junta de Accion Comunal La Planta</t>
  </si>
  <si>
    <t xml:space="preserve">Corregimiento Manglar </t>
  </si>
  <si>
    <t>Asociación de Usuarios de Acuedcuto y Alcantarillado del Corregimiento Manglar</t>
  </si>
  <si>
    <t>Vereda la Cienaga Uruta</t>
  </si>
  <si>
    <t xml:space="preserve"> Junta de Accion Comunal la Cienaga Uruta</t>
  </si>
  <si>
    <t>Vereda Ceferino</t>
  </si>
  <si>
    <t>Acueducto Ceferino</t>
  </si>
  <si>
    <t>Corregimiento Alto del Corral</t>
  </si>
  <si>
    <t>Asociación de Usuarios del Acueducto Multiveredal del Corregimiento "Alto del Corral"</t>
  </si>
  <si>
    <t>Corregimiento Pueblito</t>
  </si>
  <si>
    <t>Junta Administradora del Acueducto Corregimiento Pueblito</t>
  </si>
  <si>
    <t xml:space="preserve">Vereda Palo Blanco </t>
  </si>
  <si>
    <t>Asociación de Usuarios del Acueducto Multiveredal Tres Montañas-Paloblanco</t>
  </si>
  <si>
    <t>Asociación de Usuarios del Acueducto Multiveredal Tres Montañas-La Pradrea</t>
  </si>
  <si>
    <t>Asociación de Usuarios del Acueducto Multiveredal Tres Montañas-Chachafruto</t>
  </si>
  <si>
    <t>Asociación de Usuarios del Acueducto Multiveredal Tres Montañas-Los Naranjos</t>
  </si>
  <si>
    <t xml:space="preserve">Vereda La Pava </t>
  </si>
  <si>
    <t>Acueducto La Pava</t>
  </si>
  <si>
    <t>Asociación de Usuarios del Acueducto Multiveredal Tres Montañas-Guayabal</t>
  </si>
  <si>
    <t xml:space="preserve"> Corregimiento Llano de San Jose</t>
  </si>
  <si>
    <t>Junta Administradora del Acueducto Corregimiento Llano de San Jose</t>
  </si>
  <si>
    <t>Vereda El Chocho</t>
  </si>
  <si>
    <t>Junta Administradora Vereda El Chocho</t>
  </si>
  <si>
    <t>Vereda Los Botes</t>
  </si>
  <si>
    <t>Acueducto Los Botes</t>
  </si>
  <si>
    <t>Vereda Las Estancias</t>
  </si>
  <si>
    <t>Junta de Accion Comunal Ventiadero Las Estancias</t>
  </si>
  <si>
    <t>Asociación de Usuarios del Acueducto Corregimiento El Potrero</t>
  </si>
  <si>
    <t>Vereda Los Granadillos</t>
  </si>
  <si>
    <t>Junta  de Acción Comunal Los Granadillos</t>
  </si>
  <si>
    <t>Corregimiento La Merced del Playón</t>
  </si>
  <si>
    <t>Asociación de Usuarios del Acueducto Corregimiento La Merced del Playón</t>
  </si>
  <si>
    <t>Corregimiento San Diego</t>
  </si>
  <si>
    <t>Asociación de Usuarios del Acueducto Corregimiento San Diego</t>
  </si>
  <si>
    <t>Corregimiento El Carmen de La Venta</t>
  </si>
  <si>
    <t>Junta de Administradora de Acueducto La Venta</t>
  </si>
  <si>
    <t>Corregimiento Honda</t>
  </si>
  <si>
    <t>Junta Administradora Acueducto La Honda</t>
  </si>
  <si>
    <t>Vereda La Hacienda</t>
  </si>
  <si>
    <t>Junta de Administrado de Acueducto San Pascual-La Hacienda</t>
  </si>
  <si>
    <t>Vereda Malvazá</t>
  </si>
  <si>
    <t xml:space="preserve">Asociación de Usuarios del Acueducto Malvazá </t>
  </si>
  <si>
    <t>Junta Administradora Acueducto San Miguel</t>
  </si>
  <si>
    <t>Vereda Los Recuerdos</t>
  </si>
  <si>
    <t>Junta de Acción Comunal Vereda Los Recuerdos</t>
  </si>
  <si>
    <t>Vereda Los Peñoles</t>
  </si>
  <si>
    <t>Junta Administradora Acueducto Multiveredal Peñoles, Ceja, La Palma -Los Peñoles</t>
  </si>
  <si>
    <t>Junta Administradora Acueducto Multiveredal Peñoles, Ceja, La Palma -La Palma</t>
  </si>
  <si>
    <t>Vereda La Ceja</t>
  </si>
  <si>
    <t xml:space="preserve">Junta Administradora Acueducto Multiveredal Peñoles, Ceja, La Palma-La Ceja </t>
  </si>
  <si>
    <t>Vereda Provincial</t>
  </si>
  <si>
    <t>Junta Administradora Acueducto Vereda Provincial-Provincial</t>
  </si>
  <si>
    <t>Junta Administradora Acueducto Vereda Montañita</t>
  </si>
  <si>
    <t xml:space="preserve">Junta de Acción Comunal Vereda El Morro </t>
  </si>
  <si>
    <t>Vereda La Hondura</t>
  </si>
  <si>
    <t>Junta de Accion comunal Vereda Las Abejas-La Hondura</t>
  </si>
  <si>
    <t>Vereda Porvenir</t>
  </si>
  <si>
    <t>Junta  Acción Comunal Vereda Porvenir</t>
  </si>
  <si>
    <t>Junta de Accion Comunal El Socorro</t>
  </si>
  <si>
    <t>Vereda Montenegro</t>
  </si>
  <si>
    <t>Junta  Administradora Acueducto Montenegro</t>
  </si>
  <si>
    <t>Vereda Los Ensenillos</t>
  </si>
  <si>
    <t>Junta de Acción Comunal Vereda Los Ensenillos</t>
  </si>
  <si>
    <t>Vereda El Guamal</t>
  </si>
  <si>
    <t xml:space="preserve">Junta de Accion Comunal El Guamal </t>
  </si>
  <si>
    <t>Vereda Rodas</t>
  </si>
  <si>
    <t>Junta de Accion Comunal Rodas</t>
  </si>
  <si>
    <t>Vereda San Pascual</t>
  </si>
  <si>
    <t>Junta de Administrado de Acueducto San Pascual-San Pascual</t>
  </si>
  <si>
    <t>Vereda Curiti</t>
  </si>
  <si>
    <t xml:space="preserve">Asociación de Usuarios del Acueducto Curiti Guamal-Curiti </t>
  </si>
  <si>
    <t>Vereda Sobresabanas</t>
  </si>
  <si>
    <t>Junta  Administradora Acueducto Sobresabanas</t>
  </si>
  <si>
    <t>Junta de Accion Comunal La Florida</t>
  </si>
  <si>
    <t>Vereda El Peregrino</t>
  </si>
  <si>
    <t>Junta  Acción Comunal Vereda Peregrino</t>
  </si>
  <si>
    <t>Junta  Acción Comunal Vereda Barrio Nuevo</t>
  </si>
  <si>
    <t>Vereda Cristobal</t>
  </si>
  <si>
    <t>Junta  Administradora Acueducto Cristobal</t>
  </si>
  <si>
    <t>Vereda Las Abejas</t>
  </si>
  <si>
    <t>Junta de Accion comunal Vereda Las Abejas-Las Abejas</t>
  </si>
  <si>
    <t xml:space="preserve">Olaya </t>
  </si>
  <si>
    <t>Junta  de Accion Comunal La Playa</t>
  </si>
  <si>
    <t>Asociación de Usuarios y Suscriptores del Acueducto de Llanadas ACUALLAN-Llanadas</t>
  </si>
  <si>
    <t>Vereda Pencal</t>
  </si>
  <si>
    <t>Junta de Accion Comunal Pencal</t>
  </si>
  <si>
    <t>Vereda Quebrada Seca</t>
  </si>
  <si>
    <t>Unidad de Servicios Públicos Domiciliarios-Quebrada Seca</t>
  </si>
  <si>
    <t>Vereda Piñones</t>
  </si>
  <si>
    <t>ASOPIÑONES-Vereda Piñones</t>
  </si>
  <si>
    <t>Corregimiento Sucre</t>
  </si>
  <si>
    <t>Aguas Regionales EPM S.A. E.S.P-Sucre</t>
  </si>
  <si>
    <t>Vereda Guayabo</t>
  </si>
  <si>
    <t>Junta  de Accion Comunal Guayabo</t>
  </si>
  <si>
    <t>Vereda La Colchona</t>
  </si>
  <si>
    <t>Junta  de Accion Comunal La Colchona</t>
  </si>
  <si>
    <t>Vereda Las Lomas</t>
  </si>
  <si>
    <t>Vereda Los Naipes</t>
  </si>
  <si>
    <t>Vereda San Julian de Barbacoas</t>
  </si>
  <si>
    <t>Vereda La Loma Del Sauce</t>
  </si>
  <si>
    <t>Vereda El Agrio</t>
  </si>
  <si>
    <t>Vereda Barbacoas</t>
  </si>
  <si>
    <t>Corregimiento Los Llanos</t>
  </si>
  <si>
    <t xml:space="preserve">Vereda Las Faldas </t>
  </si>
  <si>
    <t>Vereda Las Faldas Del Café</t>
  </si>
  <si>
    <t>Vereda La Escuela</t>
  </si>
  <si>
    <t>Vereda El Filo</t>
  </si>
  <si>
    <t>Vereda La Antigua</t>
  </si>
  <si>
    <t>Vereda El Páramo</t>
  </si>
  <si>
    <t>Vereda Llano Del Pueblo</t>
  </si>
  <si>
    <t>Vereda Italia 90</t>
  </si>
  <si>
    <t>Vereda Pojonal</t>
  </si>
  <si>
    <t>Vereda Guayabal La Falda</t>
  </si>
  <si>
    <t>Vereda Popal</t>
  </si>
  <si>
    <t>Vereda La Guadua</t>
  </si>
  <si>
    <t>Vereda Santa Agueda</t>
  </si>
  <si>
    <t>Vereda Renegado Valle</t>
  </si>
  <si>
    <t>Vereda  Guayabal de Pená</t>
  </si>
  <si>
    <t>Corregimiento de Lomitas</t>
  </si>
  <si>
    <t>Vereda San Juan de Renegado</t>
  </si>
  <si>
    <t>Corregimiento La Vega del Inglés</t>
  </si>
  <si>
    <t>Vereda  La Nueva Llanada</t>
  </si>
  <si>
    <t>Vereda El Junco</t>
  </si>
  <si>
    <t>Asociación de Usuarios del Acueducto Rural de La Vereda El Junco</t>
  </si>
  <si>
    <t>Corregimiento El Oro</t>
  </si>
  <si>
    <t>Junta de Acción Comunal Corregimiento El Oro</t>
  </si>
  <si>
    <t>Vereda El Tesorero</t>
  </si>
  <si>
    <t>Junta Administradora del Acueducto-Tesorero</t>
  </si>
  <si>
    <t>Junta Administradora del Acueducto del Socorro</t>
  </si>
  <si>
    <t>Junta Administradora del Acueducto del Madero</t>
  </si>
  <si>
    <t>Vereda La Pedrona</t>
  </si>
  <si>
    <t>Junta Administradora Acueducto de La Pedrona</t>
  </si>
  <si>
    <t>Junta de Acción Comunal del Acueducto El Tambo</t>
  </si>
  <si>
    <t>Junta de Acción Comunal Vereda El Encanto</t>
  </si>
  <si>
    <t>Vereda Llano de los Encuentros</t>
  </si>
  <si>
    <t>Junta de Acción Comunal Llano de Los Encuentros</t>
  </si>
  <si>
    <t>Vereda San Cristobal Pená</t>
  </si>
  <si>
    <t>Junta de Acción Comunal Vereda San Cristobal Pená</t>
  </si>
  <si>
    <t>Vereda La Ermita</t>
  </si>
  <si>
    <t>Junta Administradora Acueducto La Ermita</t>
  </si>
  <si>
    <t>Vereda Niquia</t>
  </si>
  <si>
    <t>Junta de Acción Comunal Vereda Niquia</t>
  </si>
  <si>
    <t>Junta Administradora Acueducto La Ceja</t>
  </si>
  <si>
    <t>Junta Administradora Acueducto de Buenos Aires</t>
  </si>
  <si>
    <t>Vereda Tesorerito</t>
  </si>
  <si>
    <t>Junta de Acción Comunal Vereda Tesorerito</t>
  </si>
  <si>
    <t>Vereda Llano del Oro</t>
  </si>
  <si>
    <t>Junta de Acción Comunal Vereda Llano del Oro</t>
  </si>
  <si>
    <t>Junta de Acción Comunal Vereda La Aurora</t>
  </si>
  <si>
    <t>Vereda Los Tendidos</t>
  </si>
  <si>
    <t>Junta de Acción Comunal Vereda Los Tendidos</t>
  </si>
  <si>
    <t>Vereda Machado</t>
  </si>
  <si>
    <t>Junta de Acción Comunal Vereda Machado</t>
  </si>
  <si>
    <t>Vereda Macanal</t>
  </si>
  <si>
    <t>Junta Administradora Acueducto Vereda Macanal</t>
  </si>
  <si>
    <t>Vereda Membrillal</t>
  </si>
  <si>
    <t>Junta de Acción Copmunal Vereda Membrillal</t>
  </si>
  <si>
    <t>Vereda El Placer</t>
  </si>
  <si>
    <t>Junta de Acción Comunal Vereda El Placer</t>
  </si>
  <si>
    <t>Junta de Acción Comunal Vereda La Meseta</t>
  </si>
  <si>
    <t>Junta Administradora del Acueducto La Loma</t>
  </si>
  <si>
    <t>Vereda Filo de Los Pérez</t>
  </si>
  <si>
    <t>Junta de Acción Comunal Vereda El Filo de Los Perez</t>
  </si>
  <si>
    <t>Vereda El Clavel</t>
  </si>
  <si>
    <t>Junta de Acción Comunal del Acueducto-El Clavel</t>
  </si>
  <si>
    <t>Vereda Veliguarin</t>
  </si>
  <si>
    <t>Corporacion Veliguarin</t>
  </si>
  <si>
    <t>Vereda El Chocho Parte Baja</t>
  </si>
  <si>
    <t>Asociación de Usuarios del Acueducto Los Cedros-El Chocho Parte Baja</t>
  </si>
  <si>
    <t>Asociación de Usuarios del Acueducto Buenos Aires</t>
  </si>
  <si>
    <t>Vereda Alto Colorado</t>
  </si>
  <si>
    <t xml:space="preserve">Asociación de  Suscriptores o Usuarios del Acueducto de La Vereda Alto Colorado </t>
  </si>
  <si>
    <t>Vereda  El Calvario</t>
  </si>
  <si>
    <t xml:space="preserve">Asociación de  Suscriptores o Usuarios del Acueducto de La Vereda El Calvario </t>
  </si>
  <si>
    <t>Asociación de Usuarios del Acueducto  La Cienaga</t>
  </si>
  <si>
    <t>Junta de Accion Comunal Vereda Cabuyal</t>
  </si>
  <si>
    <t xml:space="preserve">Vereda Llano Arriba </t>
  </si>
  <si>
    <t>Acueducto Llano Arriba</t>
  </si>
  <si>
    <t>Vereda Sector San Vicente</t>
  </si>
  <si>
    <t xml:space="preserve">Asociación de Usuarios del Acueducto del Barrio San Vicente </t>
  </si>
  <si>
    <t>Vereda Espiritu Santo</t>
  </si>
  <si>
    <t>Asociación de  Suscriptores o Usuarios del Acueducto Poleal Espiritu Santo</t>
  </si>
  <si>
    <t>Vereda Matazano</t>
  </si>
  <si>
    <t xml:space="preserve">Asociación de  Suscriptores o Usuarios  del Acueducto de La Vereda Matazano </t>
  </si>
  <si>
    <t>Vereda Loma Hermosa</t>
  </si>
  <si>
    <t>Asociación de  Suscriptores o Usuarios del Acueducto de La Vereda Pesquinal- Loma Hermosa</t>
  </si>
  <si>
    <t>Vereda El Mestizo</t>
  </si>
  <si>
    <t xml:space="preserve">Asociación de  Suscriptores o Usuariosdel Acueducto de La Vereda El Mestizo </t>
  </si>
  <si>
    <t xml:space="preserve">Asociación de  Usuarios del  de La Vereda Montefrio </t>
  </si>
  <si>
    <t>Vereda El Pomar</t>
  </si>
  <si>
    <t xml:space="preserve">Asociación de  Usuarios del  Acueducto El Pomar </t>
  </si>
  <si>
    <t>Vereda Aguas Poleal</t>
  </si>
  <si>
    <t>Aguas de Poleal</t>
  </si>
  <si>
    <t>Vereda Llano de San Juan</t>
  </si>
  <si>
    <t>Corporacion  Llano de San Juan</t>
  </si>
  <si>
    <t>Vereda  Llano de Aguirre</t>
  </si>
  <si>
    <t>Asociación de  Usuarios del Acueducto de La Vereda Llano de Aguirre</t>
  </si>
  <si>
    <t>Vereda La Palma Parte Baja</t>
  </si>
  <si>
    <t>Asociación de  Usuarios del Acueducto de La Vereda La Palma Parte Baja</t>
  </si>
  <si>
    <t>Vereda La Palma Parte Alta</t>
  </si>
  <si>
    <t>Asociación de  Usuarios del Acueducto de La Vereda La Palma Parte Alta</t>
  </si>
  <si>
    <t>Vereda  Piedra Negra</t>
  </si>
  <si>
    <t>Asociación de  Usuarios del Acueducto Piedra Negra</t>
  </si>
  <si>
    <t>Vereda Qimbayo</t>
  </si>
  <si>
    <t>Asociación de Usuarios del Acueducto de la Vereda Alticos -Quimbayo</t>
  </si>
  <si>
    <t>Vereda Guayabos</t>
  </si>
  <si>
    <t>Acueducto San Francisco</t>
  </si>
  <si>
    <t>Asociación de Usuarios del Acueducto de la Vereda Tafetanes</t>
  </si>
  <si>
    <t>Vereda Mestizal</t>
  </si>
  <si>
    <t>Asociación de Usuarios del Acueducto de la Vereda Mestizal</t>
  </si>
  <si>
    <t xml:space="preserve">Vereda Estancias </t>
  </si>
  <si>
    <t>Asociación de Usuarios del Acueducto de la Vereda Estancias</t>
  </si>
  <si>
    <t>Vereda Cenegueta</t>
  </si>
  <si>
    <t>Asociación de Usuarios del Acueducto de la Vereda Cenegueta</t>
  </si>
  <si>
    <t>Vereda Pie de Cuesta</t>
  </si>
  <si>
    <t>Asociación de Usuarios del Acueducto de la Vereda  Pie de Cuesta</t>
  </si>
  <si>
    <t>Santafe de Antioquia</t>
  </si>
  <si>
    <t>Asociación de Usuarios Acueducto El Plan-Vereda El Plan</t>
  </si>
  <si>
    <t>Vereda El Rodeo</t>
  </si>
  <si>
    <t>Asociación de Usuarios Acueducto Rural Vereda El Rodeo</t>
  </si>
  <si>
    <t>Vereda Yerbabuenal</t>
  </si>
  <si>
    <t>Asociación de Suscriptores Acueducto Yerbabuenal Centro-Vereda Yerbabuenal</t>
  </si>
  <si>
    <t>Asociación de Usuarios del Acueducto de La Vereda El Filo</t>
  </si>
  <si>
    <t>Asociación de Usuarios Acueducto La Aldea-Vereda La Aldea</t>
  </si>
  <si>
    <t>Corregimiento  Socorro Sabanas</t>
  </si>
  <si>
    <t>Junta de Acción Comunal Sabanas-Corregimiento Sabanas</t>
  </si>
  <si>
    <t xml:space="preserve">VeredaKilometro Dos </t>
  </si>
  <si>
    <t>Junta de Acción Comunal Vereda Km 2</t>
  </si>
  <si>
    <t xml:space="preserve">Vereda Kilometro Dos </t>
  </si>
  <si>
    <t>Aguas Regionales EPM S.A. E.S.P-Vereda Km 2</t>
  </si>
  <si>
    <t>Aguas Regionales EPM S.A. E.S.P-Vereda El Tunal</t>
  </si>
  <si>
    <t>Corregimiento Tonusco Arriba</t>
  </si>
  <si>
    <t>Junta Administradora de Acueducto-Corregimiento Tonusco Arriba</t>
  </si>
  <si>
    <t>Corregimiento Tonusco La Aguada</t>
  </si>
  <si>
    <t>Junta Administradora de Acueducto-Corregimiento Tonusco La Aguada</t>
  </si>
  <si>
    <t>Vereda El Chorrillo</t>
  </si>
  <si>
    <t>Junta de Acción Comunal Vereda El Chorrillo</t>
  </si>
  <si>
    <t>Junta Administradora de Acueducto Vereda La Milagrosa</t>
  </si>
  <si>
    <t>Vereda Las Coloradas</t>
  </si>
  <si>
    <t>Junta de Acción Comunal Vereda Las Coloradas</t>
  </si>
  <si>
    <t>Junta de Acción Comunal Vereda Fátima</t>
  </si>
  <si>
    <t>Vereda El Carmen</t>
  </si>
  <si>
    <t>Junta de Acción Comunal Vereda El Carmen</t>
  </si>
  <si>
    <t>Vereda San Carlos</t>
  </si>
  <si>
    <t>Asociación de Usuarios Acueducto Chuscales Loma Larga-Vereda San Carlos</t>
  </si>
  <si>
    <t>Vereda El Churimbo</t>
  </si>
  <si>
    <t>Junta de Acción Comunal Churimbo-Vereda Churimbo</t>
  </si>
  <si>
    <t>Corregimiento Cativo</t>
  </si>
  <si>
    <t>Asociación de Usuarios del Acueducto del Corregimiento de Cativo.</t>
  </si>
  <si>
    <t>Asociación de Usuarios Acueducto Chuscales Loma Larga-Vereda Chaparral</t>
  </si>
  <si>
    <t>Vereda La Mariana</t>
  </si>
  <si>
    <t>Asociación de Usuarios Acueducto Chuscales Loma Larga-Vereda La Mariana</t>
  </si>
  <si>
    <t>Junta de Acción Comunal Vereda San Antonio</t>
  </si>
  <si>
    <t>Vereda Coloradas</t>
  </si>
  <si>
    <t>Asociación de Usuarios Acueducto Chuscales Loma Larga-Vereda Las Coloradas</t>
  </si>
  <si>
    <t>Corregimiento El Pescado</t>
  </si>
  <si>
    <t>Junta de Acción Comunal El Pescado-Corregimiento El Pescado</t>
  </si>
  <si>
    <t>Vereda la Mesa</t>
  </si>
  <si>
    <t>Acueducto Multiveredal  La Tolda Vereda La Mesa</t>
  </si>
  <si>
    <t>Vereda La Tolda</t>
  </si>
  <si>
    <t>Acueducto Multiveredal  La Tolda Vereda La Tolda</t>
  </si>
  <si>
    <t>Corregimiento Laureles</t>
  </si>
  <si>
    <t>Junta Administradora Acueducto Corregimiento Laureles</t>
  </si>
  <si>
    <t>Vereda Moraditas</t>
  </si>
  <si>
    <t xml:space="preserve">Asociación de Usuarios Acueducto Moraditas-Vereda Moraditas </t>
  </si>
  <si>
    <t>Vereda Moraditas Alta</t>
  </si>
  <si>
    <t>Asociación de Usuarios Acueducto Moraditas-Vereda Moraditas Alta</t>
  </si>
  <si>
    <t>Corregimiento Nurqui</t>
  </si>
  <si>
    <t>Asociación de Usuarios Acueducto Chuscales Loma Larga-Vereda Nurqui</t>
  </si>
  <si>
    <t>Asociación de Usuarios del Acueducto de La Vereda El "Madero"</t>
  </si>
  <si>
    <t>Vereda El Espinal</t>
  </si>
  <si>
    <t>Aguas Regionales EPM S.A. E.S.P-Vereda El Espinal</t>
  </si>
  <si>
    <t>Vereda La Noque</t>
  </si>
  <si>
    <t>Aguas Regionales EPM S.A. E.S.P-Vereda La Noque</t>
  </si>
  <si>
    <t>Aguas Regionales EPM S.A. E.S.P-Vereda El Paso</t>
  </si>
  <si>
    <t>Vereda Obregon</t>
  </si>
  <si>
    <t>Aguas Regionales EPM S.A. E.S.P-Vereda Obregon</t>
  </si>
  <si>
    <t>Vereda El Pedregal</t>
  </si>
  <si>
    <t>Junta de Acción Comunal El Pedregal-Vereda El Pedregal</t>
  </si>
  <si>
    <t xml:space="preserve">Sopetran </t>
  </si>
  <si>
    <t>Corregimiento Horizontes</t>
  </si>
  <si>
    <t>Asociación de Suscriptores o Usuarios del Acueducto Corregimiento de Horizontes Municipio de Sopetran Entidad Sin Animo de Lucro</t>
  </si>
  <si>
    <t xml:space="preserve">Acueducto Rural El Rayo </t>
  </si>
  <si>
    <t>Vereda Loma del Medio</t>
  </si>
  <si>
    <t>Asociación de Suscriptores o Usuarios del Acueducto Loma del Medio</t>
  </si>
  <si>
    <t>Corregimiento Nuevo Horizontes</t>
  </si>
  <si>
    <t>Asociación de Usuarios del Acueducto de Santa Barbara Corregimiento Nuevo Horizontes</t>
  </si>
  <si>
    <t>Vereda Pomar -Santa Rita</t>
  </si>
  <si>
    <t>Asociación de Suscriptores o Usuarios del Acueducto de Las Veredas Pomar-Santa Rita</t>
  </si>
  <si>
    <t>Vereda Palogrande</t>
  </si>
  <si>
    <t>Junta Administradora Acueducto Vereda Palo Grande</t>
  </si>
  <si>
    <t>Vereda Alta  La Miranda</t>
  </si>
  <si>
    <t xml:space="preserve">Junta Administradora Acueducto Veredal manantial de la ayuna vereda Alta La Miranda </t>
  </si>
  <si>
    <t>Vereda Cordoba</t>
  </si>
  <si>
    <t>Junta Administradora Acueducto Cordoba</t>
  </si>
  <si>
    <t>Corregimiento San Nicolás de Bary</t>
  </si>
  <si>
    <t xml:space="preserve">Junta Administradora de Acueducto Corregimiento San Nicolás de Bary </t>
  </si>
  <si>
    <t>Vereda Ciruelar</t>
  </si>
  <si>
    <t>Junta Administradora Acueducto Vereda El Ciruelar</t>
  </si>
  <si>
    <t>Vereda Montegrande</t>
  </si>
  <si>
    <t>Junta Administradora del Acueducto Guataqui Montegrande</t>
  </si>
  <si>
    <t>Vereda La Aguada Montegrande</t>
  </si>
  <si>
    <t>Asociación de Usuarios del Acueducto El Pedrero La Aguada Montegrande</t>
  </si>
  <si>
    <t xml:space="preserve">Junta Adminstradora Acueducto Vereda Morron </t>
  </si>
  <si>
    <t xml:space="preserve">Vereda Los Pomos Guayabal </t>
  </si>
  <si>
    <t xml:space="preserve">Acueducto Rural Pomos Guayabal </t>
  </si>
  <si>
    <t>Vereda La Puerta</t>
  </si>
  <si>
    <t>Junta Administradora Acueducto veredal la cangrejo S.A.E.S.P</t>
  </si>
  <si>
    <t xml:space="preserve">Vereda Juntas </t>
  </si>
  <si>
    <t xml:space="preserve">Junta Administradora Acueducto Vereda Juntas </t>
  </si>
  <si>
    <t xml:space="preserve">Vereda  palenque </t>
  </si>
  <si>
    <t xml:space="preserve">Asociación de Usuarios del Acueducto  ACUAPALENQUE Vereda Fuentes del Alto Grande </t>
  </si>
  <si>
    <t>Vereda Montires</t>
  </si>
  <si>
    <t xml:space="preserve">Junta Administradora Acueducto Vereda Montires </t>
  </si>
  <si>
    <t>Aguas Regionales E.P.M. S.A. E.S.P-Vereda El Rodeo Sabanazo -El Rodeo</t>
  </si>
  <si>
    <t>Vereda Guaymaral</t>
  </si>
  <si>
    <t xml:space="preserve">Acueducto La Vid S.A.E.S.P </t>
  </si>
  <si>
    <t>Vereda Juntas Fuente La Sucia</t>
  </si>
  <si>
    <t>Aguas de San Nicolas S.A. E.S.P.</t>
  </si>
  <si>
    <t xml:space="preserve">La Miranda </t>
  </si>
  <si>
    <t xml:space="preserve">Junta Administradora del Acueducto de La Vereda Aguas Claras- LLano de  Miranda </t>
  </si>
  <si>
    <t>Aguas Regionales E.P.M. S.A. E.S.P-Vereda Tafetnaes</t>
  </si>
  <si>
    <t>Vereda Llano de Montaña</t>
  </si>
  <si>
    <t>Aguas Regionales E.P.M. S.A. E.S.P-Vereda El Llano de Montaña</t>
  </si>
  <si>
    <t>Vereda Otrabanda</t>
  </si>
  <si>
    <t>Aguas Regionales E.P.M. S.A. E.S.P-Vereda La otra Banda</t>
  </si>
  <si>
    <t>Vereda Guaymarala</t>
  </si>
  <si>
    <t>Junta Administradora Acueducto Vereda Guaymarala</t>
  </si>
  <si>
    <t xml:space="preserve">Uramita </t>
  </si>
  <si>
    <t>Alto del Pital</t>
  </si>
  <si>
    <t>Junta de Acción Comunal Acueducto Alto del Pital</t>
  </si>
  <si>
    <t>Vereda Ambalema</t>
  </si>
  <si>
    <t>Junta de Acción Comunal Acueducto Ambalema</t>
  </si>
  <si>
    <t>Vereda El Oso</t>
  </si>
  <si>
    <t>Junta de Acción Comunal Acueducto El Oso</t>
  </si>
  <si>
    <t>Vereda El Llano</t>
  </si>
  <si>
    <t>Junta de Accion Comunal Vereda El Llano</t>
  </si>
  <si>
    <t>Junta de Accion Comunal Vereda El Madero</t>
  </si>
  <si>
    <t>Junta de Accion Comunal de La Vereda El Retiro</t>
  </si>
  <si>
    <t>Junta de Accion Comunal Acueducto de La Vereda La Cumbre</t>
  </si>
  <si>
    <t>Junta de Accion Comunal Acueducto Vereda Murrapal</t>
  </si>
  <si>
    <t>Vereda Iracal</t>
  </si>
  <si>
    <t>Junta de Accion Comunal Vereda Iracal</t>
  </si>
  <si>
    <t>Vereda Monos</t>
  </si>
  <si>
    <t>Junta de Accion Comunal Acueducto Vereda Monos</t>
  </si>
  <si>
    <t>Fuera de servicio</t>
  </si>
  <si>
    <t>Junta de Accion Comunal de La Palma</t>
  </si>
  <si>
    <t>Junta Administadora  Acueducto Vereda La Meseta</t>
  </si>
  <si>
    <t>Vereda Palon</t>
  </si>
  <si>
    <t>Junta Administadora  Acueducto Vereda El Palon</t>
  </si>
  <si>
    <t>Vereda Limon Cabuyal</t>
  </si>
  <si>
    <t>Junta Administadora  Acueducto Vereda Limon Cabuyal</t>
  </si>
  <si>
    <t>Vereda Encalichada</t>
  </si>
  <si>
    <t>Junta de Accion Comunal La Encalichada</t>
  </si>
  <si>
    <t>Junta de Accion Comunal El Pital</t>
  </si>
  <si>
    <t>Vereda Caunce</t>
  </si>
  <si>
    <t>Junta de Accion Comunal Vereda El Caunce</t>
  </si>
  <si>
    <r>
      <t xml:space="preserve">SUBREGION: </t>
    </r>
    <r>
      <rPr>
        <sz val="11"/>
        <rFont val="Arial"/>
        <family val="2"/>
      </rPr>
      <t>OCCIDENTE</t>
    </r>
  </si>
  <si>
    <t>Aguas  Regionales  EPM S.A  E.S.P.-Corregimiento El Reposo</t>
  </si>
  <si>
    <t>Acueducto Naranjales</t>
  </si>
  <si>
    <t>Acueducto  Vijagual</t>
  </si>
  <si>
    <t>Acueducto  San Pablo</t>
  </si>
  <si>
    <t>Optima de Uraba-Los Mandarinos</t>
  </si>
  <si>
    <t>Vereda San Martin</t>
  </si>
  <si>
    <t xml:space="preserve">Acueducto San Martin </t>
  </si>
  <si>
    <t>Acueducto San Jose  de Apartado</t>
  </si>
  <si>
    <t>Acueducto Churido Pueblo</t>
  </si>
  <si>
    <t>Acueducto Multisectorial Zungo Carretera -  Loma Verde</t>
  </si>
  <si>
    <t>Junta de Acción Comunal Corregimiento de Buenos Aires</t>
  </si>
  <si>
    <t xml:space="preserve">Junta de Acción Comunal Corregimiento El Carmelo </t>
  </si>
  <si>
    <t xml:space="preserve">Junta de Acción Comunal de Garrapatas  </t>
  </si>
  <si>
    <t>Junta de Acción Comunal de La Vereda Canime Campesino</t>
  </si>
  <si>
    <t>Junta de Acción Comunal de La Vereda Canime Indigena</t>
  </si>
  <si>
    <t>Junta de Acción Comunal Vereda El Yeso</t>
  </si>
  <si>
    <t>Junta de Acción Comunal Corregimiento de Trinidad</t>
  </si>
  <si>
    <t>Junta de Acción Comunal de San José del Carmelo</t>
  </si>
  <si>
    <t>Junta de Acción Comunal Corregimiento de La Candelaria</t>
  </si>
  <si>
    <t>Junta de Acción Comunal de La Vereda Pavitas</t>
  </si>
  <si>
    <t>Junta de Acción Comunal de Los Cajones</t>
  </si>
  <si>
    <t>Junta de Acción Comunal Corregimiento de Guadual Arriba</t>
  </si>
  <si>
    <t>Junta de Acción Comunal La Atoyosa</t>
  </si>
  <si>
    <t>Junta de Acción Comunal Pueblo Chino</t>
  </si>
  <si>
    <t>Junta de Acción Comunal de  Nueva Estrella</t>
  </si>
  <si>
    <t>Junta de Acción Comunal Corregimiento de Naranjitas</t>
  </si>
  <si>
    <t>Junta de Acción Comunal de La Vereda Bajo Grande</t>
  </si>
  <si>
    <t>Junta de Acción Comunal Siete Hermanas</t>
  </si>
  <si>
    <t>Junta de Acción Comunal de Platas Arriba-Sector La Esperanza</t>
  </si>
  <si>
    <t>Junta de Acción Comunal de Platas Arriba-Sector Dios Es Amor</t>
  </si>
  <si>
    <t>Junta de Acción Comunal de La Vereda El Coco Kilometro 10</t>
  </si>
  <si>
    <t xml:space="preserve">Junta de Acción Comunal de Las  Santa Fe de Las Platas </t>
  </si>
  <si>
    <t>Junta de Accion Comunal Vereda Aguas Vivas</t>
  </si>
  <si>
    <t>Junta de Accion Comunal El Carmelo</t>
  </si>
  <si>
    <t>Vereda Garrapatas</t>
  </si>
  <si>
    <t>Canime Campesino</t>
  </si>
  <si>
    <t>Canime Indígena</t>
  </si>
  <si>
    <t>Vereda Las Pavitas</t>
  </si>
  <si>
    <t>Vereda La Atoyosa</t>
  </si>
  <si>
    <t>Corregimiento Naranjitas</t>
  </si>
  <si>
    <t>Sector la Esperanza</t>
  </si>
  <si>
    <t>Sector Dios es Amor</t>
  </si>
  <si>
    <t>Vereda El Coco  Kilometro 10</t>
  </si>
  <si>
    <t xml:space="preserve">Vereda aguas Vivas </t>
  </si>
  <si>
    <t>Vereda Arenosa</t>
  </si>
  <si>
    <t>Vereda Canal Uno</t>
  </si>
  <si>
    <t>Junta Administradora de Acueducto Carepita Canal Uno</t>
  </si>
  <si>
    <t>Corregimiento Piedras Blancas</t>
  </si>
  <si>
    <t xml:space="preserve">Junta Administradora de Acueducto y Alcantarillado Corregimiento Piedras Blancas </t>
  </si>
  <si>
    <t>Junta Administradora de Acueducto y Alcantarillado 28 de Octubre</t>
  </si>
  <si>
    <t>Asociacion comunitaria pasion casa verde</t>
  </si>
  <si>
    <t>VeredaEl Encanto</t>
  </si>
  <si>
    <t>Comite Empresarial El Encanto</t>
  </si>
  <si>
    <t>Junta Administradora de Acueducto Carepita Promexcol-Carepita Promexcol</t>
  </si>
  <si>
    <t>Junta Administradora de Acueducto y Alcantarillado Barrio Pueblo Nuevo</t>
  </si>
  <si>
    <t>Vereda Zarabanda</t>
  </si>
  <si>
    <t>Junta Administradora de Acueducto  Zarabanda</t>
  </si>
  <si>
    <t>Vereda Eucalipto</t>
  </si>
  <si>
    <t>Junta Administradora de Acueducto  Eucalipto</t>
  </si>
  <si>
    <t>Vereda Belencito</t>
  </si>
  <si>
    <t>Junta Acción Comunal Vereda Belencito</t>
  </si>
  <si>
    <t>Vereda Caracolí</t>
  </si>
  <si>
    <t>Junta Administradora del Acueducto de Caracolí</t>
  </si>
  <si>
    <t>Vereda11 de Noviembre</t>
  </si>
  <si>
    <t>Junta Administradora de Acueducto y Alcantarillado Barrio 11 de Noviembre</t>
  </si>
  <si>
    <t>Vereda25 de Agosto</t>
  </si>
  <si>
    <t>Junta Administradora del Acueducto 25 de Agosto</t>
  </si>
  <si>
    <t>Bombeo Nueva Esperanza</t>
  </si>
  <si>
    <t>Acueducto Multiveredal El Silencio (La Union 15)-El Silencio</t>
  </si>
  <si>
    <t>Junta de Accion Comunal Corregimiento Barranquillita</t>
  </si>
  <si>
    <t>Vereda El Dos Guapa</t>
  </si>
  <si>
    <t>Junta de Accion Comunal Vereda El Dos - El Dos Guapá</t>
  </si>
  <si>
    <t>Junta de Accion Comunal Vereda El Dos - Guapá La India</t>
  </si>
  <si>
    <t>Junta de Accion Comunal Vereda El Dos - Guapá León</t>
  </si>
  <si>
    <t>Junta de Accion Comunal Chontadural</t>
  </si>
  <si>
    <t>Junta de Accion Comunal Pavarandocito</t>
  </si>
  <si>
    <t>Junta de Accion Comunal Nuevo Mundo</t>
  </si>
  <si>
    <t>Junta de Accion Comunal Caucheras</t>
  </si>
  <si>
    <t xml:space="preserve">Vereda Piñales-Bedo </t>
  </si>
  <si>
    <t>Junta de Accion Comunal Piñales - Bedo</t>
  </si>
  <si>
    <t>Junta de Accion Comunal Bejuquillo</t>
  </si>
  <si>
    <t>Vereda Tierra  Dentro</t>
  </si>
  <si>
    <t>Junta de Accion Comunal Tierra dentro</t>
  </si>
  <si>
    <t>Junta de Accion Comunal Porroso</t>
  </si>
  <si>
    <t>Junta de Accion Comunal Primavera</t>
  </si>
  <si>
    <t>Junta de Accion Comunal Los Cedros</t>
  </si>
  <si>
    <t>Aguas Regionales E.P.M S.A E.S.P.-Belén de Bajirá</t>
  </si>
  <si>
    <t>Junta de Accion Comunal Los Cacaos</t>
  </si>
  <si>
    <t>Comunidad Jaikerazaby</t>
  </si>
  <si>
    <t>Junta de Accion Comunal Vereda Villa Arteaga</t>
  </si>
  <si>
    <t>Vereda  Casa Blanca</t>
  </si>
  <si>
    <t>Vereda Carlos Carretera</t>
  </si>
  <si>
    <t>Vereda Cativo</t>
  </si>
  <si>
    <t>Vereda Bocas de Iguana</t>
  </si>
  <si>
    <t>Vereda Bobal La Playa</t>
  </si>
  <si>
    <t>Acueducto Corregimiento Mulatos</t>
  </si>
  <si>
    <t>Acueducto Corregimiento Las Changas</t>
  </si>
  <si>
    <t>Junta de Acción Comunal Corregimiento Pueblo Nuevo-Corregimiento Pueblo Nuevo</t>
  </si>
  <si>
    <t>Junta de Acción Comunal Corregimiento Pueblo Nuevo-Loma de Piedra</t>
  </si>
  <si>
    <t>Acuototumo -El Totumo</t>
  </si>
  <si>
    <t>Acueducto Vereda Casa Blanca</t>
  </si>
  <si>
    <t>Acueducto La Ceibita</t>
  </si>
  <si>
    <t>Acueducto Carlos Carretera</t>
  </si>
  <si>
    <t>Acueducto Multiveredal Villa Sonia-Villa Nueva</t>
  </si>
  <si>
    <t>Junta de Acción Comunal  Vereda El Cativo</t>
  </si>
  <si>
    <t>Acueducto Multiveredal Villa Sonia</t>
  </si>
  <si>
    <t>Acueducto Corregimiento El Mellito-El Mellito #1</t>
  </si>
  <si>
    <t>Acueducto Corregimiento El Mellito-El Mellito #2</t>
  </si>
  <si>
    <t>Acueducto Corregimiento Mello Villavicencio</t>
  </si>
  <si>
    <t>Acueducto Multiveredal Zapata</t>
  </si>
  <si>
    <t>Acueducto Vereda Mellito Alto</t>
  </si>
  <si>
    <t>Acueducto Multiveredal Zapata-Bocas de Iguana</t>
  </si>
  <si>
    <t>Sistemas Publicos S.A E.S.P.-SISPUB S.A E.S.P- Rio Necoclí</t>
  </si>
  <si>
    <t>Sistemas Publicos S.A E.S.P.-SISPUB S.A E.S.P-El Hoyito</t>
  </si>
  <si>
    <t>Sistemas Publicos S.A E.S.P.-SISPUB S.A E.S.P-Bobal La Playa</t>
  </si>
  <si>
    <t>Sistemas Publicos S.A E.S.P.-SISPUB S.A E.S.P-San Sebastian</t>
  </si>
  <si>
    <t>Acueducto Corregimiento Caribia</t>
  </si>
  <si>
    <t>Acueducto La Comarca</t>
  </si>
  <si>
    <t>Junta Administradora Santa Catalina</t>
  </si>
  <si>
    <t>Corregimiento  Damaquiel</t>
  </si>
  <si>
    <t>Corregimiento  San Nicolas de los  Rios</t>
  </si>
  <si>
    <t>Corregimiento Uvero</t>
  </si>
  <si>
    <t>Corregimiento Siete Vueltas</t>
  </si>
  <si>
    <t>Junta Acción Comunal</t>
  </si>
  <si>
    <t>Junta Administradora Caracoli</t>
  </si>
  <si>
    <t>Junta Administradora El Caño Margen Izquierda</t>
  </si>
  <si>
    <t>Junta Administradora Arenas Monas</t>
  </si>
  <si>
    <t>Junta Administradora Zumbido Medio</t>
  </si>
  <si>
    <t xml:space="preserve">Asociación de Trabajadores por el Litoral-Camerún </t>
  </si>
  <si>
    <t>Junta Administradora de Acueducto y Alcantarillado el Tres</t>
  </si>
  <si>
    <t>Asociación de Trabajadores por el Litoral-Aguas Claras</t>
  </si>
  <si>
    <t xml:space="preserve">Asociación de Trabajadores por el Litoral-La Martina </t>
  </si>
  <si>
    <t>Junta de Acccion Comunal San Vicente</t>
  </si>
  <si>
    <t>Junta de Accion Comunal San Jose de Mulatos</t>
  </si>
  <si>
    <t>Junta de Accion Comunal Nueva Antioquia</t>
  </si>
  <si>
    <t xml:space="preserve">Asociación de Trabajadores por el Litoral-Cope </t>
  </si>
  <si>
    <t xml:space="preserve">Asociación de Trabajadores por el Litoral-Piedrecitas </t>
  </si>
  <si>
    <t>Optima de Urabá S.A E.S.P-Rio Grande</t>
  </si>
  <si>
    <t>Optima de Urabá S.A E.S.P-Currulao</t>
  </si>
  <si>
    <t>Optima de Urabá S.A E.S.P-Nueva Colonia</t>
  </si>
  <si>
    <t>Asociación de Usuarios del Acueducto Corregimiento El Dos E.S.P Asoacuedos E.S.P</t>
  </si>
  <si>
    <t>Junta de accion comunal Alto Mulatos</t>
  </si>
  <si>
    <r>
      <t xml:space="preserve">SUBREGION: </t>
    </r>
    <r>
      <rPr>
        <sz val="11"/>
        <rFont val="Arial"/>
        <family val="2"/>
      </rPr>
      <t>URABA</t>
    </r>
  </si>
  <si>
    <t>Corregimiento de Labores</t>
  </si>
  <si>
    <t>Asociacion de Usuarios de Los Servicios Publicos de Labores (ASUL)</t>
  </si>
  <si>
    <t>Junta de Acción Comunal - Comite Empresarial  del Acueducto Vereda La Miel</t>
  </si>
  <si>
    <t>Vereda El Yuyal</t>
  </si>
  <si>
    <t>Asociacion de Usuarios de Acueducto El Yuyal</t>
  </si>
  <si>
    <t>Vereda La Amoladora</t>
  </si>
  <si>
    <t>Asociacion de Usuarios del Acueducto La Amoladora (ASUAMOL)</t>
  </si>
  <si>
    <t>Junta de Acción Comunal - Comite Empresarial  del  Acueducto La Candelaria</t>
  </si>
  <si>
    <t>Vereda Playas</t>
  </si>
  <si>
    <t>Asociacion de Usuarios del Acueducto Multiveredal Playas La Montaña, Zancudito, Potrerito (AUPLAM)-Las Playas</t>
  </si>
  <si>
    <t>Vereda Zancudito</t>
  </si>
  <si>
    <t>Asociacion de Usuarios del Acueducto Multiveredal Playas La Montaña, Zancudito, Potrerito (AUPLAM)-Zancudito</t>
  </si>
  <si>
    <t>Vereda Zafra</t>
  </si>
  <si>
    <t>Asociación de Usuarios del Acueducto Multiveredal Zafra Zancudito (ASUAZA)</t>
  </si>
  <si>
    <t>Asociacion de Usuarios del Acueducto El Hoyo (ASUDAH)</t>
  </si>
  <si>
    <t>Junta de Acción Comunal Vereda Travesías</t>
  </si>
  <si>
    <t>Vereda El Gurri</t>
  </si>
  <si>
    <t>Junta de Acción Comunal Vereda El Gurrí</t>
  </si>
  <si>
    <t>Vereda El Polvillo</t>
  </si>
  <si>
    <t>Junta de Acción Comunal Vereda El Polvillo</t>
  </si>
  <si>
    <t>Vereda La Rodriguez</t>
  </si>
  <si>
    <t>Junta de Acción Comunal La Rodríguez</t>
  </si>
  <si>
    <t>Vereda Alto de Chiri</t>
  </si>
  <si>
    <t>Junta de Acción Comunal Vereda Alto de Chiri</t>
  </si>
  <si>
    <t>Junta de Acción Comunal Pueblo Nuevo</t>
  </si>
  <si>
    <t>Vereda Chorrillos</t>
  </si>
  <si>
    <t>Junta de Acción Comunal Vereda Chorrillos</t>
  </si>
  <si>
    <t>Junta de Acción Comunal Vereda La Calera</t>
  </si>
  <si>
    <t>Vereda El Hoyo</t>
  </si>
  <si>
    <t>Junta de Acción Comunal Gurimán El Hoyo</t>
  </si>
  <si>
    <t>Vereda El Roblal</t>
  </si>
  <si>
    <t>Junta de Acción Comunal Vereda El Roblal</t>
  </si>
  <si>
    <t>Corregimiento Las Auras</t>
  </si>
  <si>
    <t>Junta Administradora de Acueducto Corregimiento Las Auras</t>
  </si>
  <si>
    <t>Vereda Moravia</t>
  </si>
  <si>
    <t>Junta de Acción comunal Vereda Moravia La Palomita</t>
  </si>
  <si>
    <t>Vereda Chorros Blancos Nº 1</t>
  </si>
  <si>
    <t xml:space="preserve">Vereda La Travesía </t>
  </si>
  <si>
    <t>Vereda Plan De Las Rosas</t>
  </si>
  <si>
    <t>Vereda La Colmena</t>
  </si>
  <si>
    <t>Vereda La Chiquita -Manzanillo</t>
  </si>
  <si>
    <t>Vereda  San Jose La Gloria-El Reposo</t>
  </si>
  <si>
    <t>Vereda El Piñal</t>
  </si>
  <si>
    <t>Vereda Los Ranchos</t>
  </si>
  <si>
    <t>Vereda Los Mangos</t>
  </si>
  <si>
    <t>Junta de Acción Comunal La Frisolera</t>
  </si>
  <si>
    <r>
      <t xml:space="preserve">SUBREGION: </t>
    </r>
    <r>
      <rPr>
        <sz val="11"/>
        <rFont val="Arial"/>
        <family val="2"/>
      </rPr>
      <t>NORTE</t>
    </r>
  </si>
  <si>
    <t>Vereda  La Camelia</t>
  </si>
  <si>
    <t>Secretaria de Medio Ambiente-La Camelia</t>
  </si>
  <si>
    <t>Vereda  La Maria</t>
  </si>
  <si>
    <t>Secretaria de Medio Ambiente-La Maria</t>
  </si>
  <si>
    <t>Vereda Claritas</t>
  </si>
  <si>
    <t>Secretaria de Medio Ambiente-Claritas</t>
  </si>
  <si>
    <t>Secretaria de Medio Ambiente -La Herradura</t>
  </si>
  <si>
    <t>Vereda La Granja La Vega El rio</t>
  </si>
  <si>
    <t>Secretaria de Medio Ambiente - La Granja La Vega El Rio</t>
  </si>
  <si>
    <t>Vereda Troneras</t>
  </si>
  <si>
    <t>Junta de Acción Comunal Vereda El Salto -Troneras</t>
  </si>
  <si>
    <t>Empresas Públicas de Medellín E.S.P-Las Brisas</t>
  </si>
  <si>
    <t>Junta de Acción Comunal San Andres</t>
  </si>
  <si>
    <t>Corregimiento Bellavista</t>
  </si>
  <si>
    <t>Junta de Acción Comunal Corregimiento Bellavista</t>
  </si>
  <si>
    <t>Vereda  La Montera</t>
  </si>
  <si>
    <t>Junta de Acción Comunal La Montera</t>
  </si>
  <si>
    <t xml:space="preserve">Vereda  La Frisolera </t>
  </si>
  <si>
    <t>Vereda  Animas Piedrahita</t>
  </si>
  <si>
    <t>Junta de Acción Comunal Animas Piedrahita</t>
  </si>
  <si>
    <t>Vereda El Progreso</t>
  </si>
  <si>
    <t>Acumultiveredal La Veta-El Progreso</t>
  </si>
  <si>
    <t>Vereda  El Filo</t>
  </si>
  <si>
    <t>Acumultiveredal La Veta-El Filo</t>
  </si>
  <si>
    <t>Acumultiveredal La Veta-Las Brisas</t>
  </si>
  <si>
    <t>Vereda Pio XII</t>
  </si>
  <si>
    <t>Acumultiveredal La Veta-Pio XII</t>
  </si>
  <si>
    <t>Acumultiveredal La Veta-Porvenir</t>
  </si>
  <si>
    <t>Acumultiveredal La Veta-El Tesoro</t>
  </si>
  <si>
    <t>Vereda Peñol</t>
  </si>
  <si>
    <t>Acueducto Multiveredal Manantiales-Peñol</t>
  </si>
  <si>
    <t>Vereda Riochico</t>
  </si>
  <si>
    <t>Acueducto Multiveredal Manantiales-Riochico</t>
  </si>
  <si>
    <t>Vereda Riogrande</t>
  </si>
  <si>
    <t>Acueducto Multiveredal Manantiales-Riogrande</t>
  </si>
  <si>
    <t>Vereda  Yerbabuena</t>
  </si>
  <si>
    <t>Acueducto Multiveredal Manantiales-Yerbabuena</t>
  </si>
  <si>
    <t>Asociacion de Usuarios Propietarios del Acueducto Vereda El Zancudo</t>
  </si>
  <si>
    <t>San Juan De Urabá</t>
  </si>
  <si>
    <t>Asociación de Usuarios Acueducto El  Salto (ASOACUA)- El Salto</t>
  </si>
  <si>
    <t>Vereda La Arenera</t>
  </si>
  <si>
    <t>Asociación de Usuarios Acueducto El  Salto (ASOACUA) -La Arenera</t>
  </si>
  <si>
    <t>Vereda Vega Botero</t>
  </si>
  <si>
    <t>Junta de Acción Comunal Vereda Vega Botero</t>
  </si>
  <si>
    <t xml:space="preserve">Vereda Lorica </t>
  </si>
  <si>
    <t xml:space="preserve">Junta de Acción Comunal Vereda Lorica </t>
  </si>
  <si>
    <t>Corregimiento La Estrella</t>
  </si>
  <si>
    <t>Asociación de Usuarios del Acueducto Corregimiento La Estrella E.S.P.</t>
  </si>
  <si>
    <t>Vereda San Fernandito</t>
  </si>
  <si>
    <t>Asociación de Usuarios del Acueducto Veredal San Fernandito E.S.P.</t>
  </si>
  <si>
    <t>Junta de Acción Comunal Vereda El Brasil</t>
  </si>
  <si>
    <t>Vereda La Bonita</t>
  </si>
  <si>
    <t>Junta de Acción Comunal Vereda La Bonita</t>
  </si>
  <si>
    <t>Vereda La Acequia</t>
  </si>
  <si>
    <t>Junta de Acción Comunal Vereda La Acequia</t>
  </si>
  <si>
    <t>Asociación de Usuarios Acueducto El Cerro</t>
  </si>
  <si>
    <t>Asociación de Usuarios Acueducto El Indio</t>
  </si>
  <si>
    <t>Asociación de Usuarios Acueducto El Guayabo</t>
  </si>
  <si>
    <t>Asociación de Usuarios Acueducto La Primavera</t>
  </si>
  <si>
    <t xml:space="preserve">Vereda La Hondura </t>
  </si>
  <si>
    <t xml:space="preserve">Junta de Acción Comunal Vereda La Hondura </t>
  </si>
  <si>
    <t xml:space="preserve">Vereda San Matias </t>
  </si>
  <si>
    <t xml:space="preserve">Junta de Acción Comunal Vereda San Matias </t>
  </si>
  <si>
    <t xml:space="preserve">Junta de Acción Comunal Vereda Cañaveral </t>
  </si>
  <si>
    <t xml:space="preserve">Vereda La Contrata </t>
  </si>
  <si>
    <t xml:space="preserve">Asociacion de Usuarios Vereda La Contrata </t>
  </si>
  <si>
    <t>Vereda El Tablon</t>
  </si>
  <si>
    <t>Asociación de Usuarios Acueducto El Tablon</t>
  </si>
  <si>
    <t xml:space="preserve">Vereda Quebradona </t>
  </si>
  <si>
    <t xml:space="preserve">Asociación de Usuarios Acueducto Aguas Unidas - Quebradona </t>
  </si>
  <si>
    <t>Vereda Quebradoncita</t>
  </si>
  <si>
    <t>Junta de Acción Comunal Vereda Aguas Unidas Quebradoncita</t>
  </si>
  <si>
    <t>Vereda La Bayadera</t>
  </si>
  <si>
    <t>Asociación de Usuarios Acueducto La Bayadera</t>
  </si>
  <si>
    <t>Vereda La Divisa</t>
  </si>
  <si>
    <t>Junta Administradora La Divisa</t>
  </si>
  <si>
    <t>Vereda Guadalupe IV</t>
  </si>
  <si>
    <t>Empresas Publicas de Medellin E.S.P.Los Cedros-Guadalupe IV</t>
  </si>
  <si>
    <t>Empresa de Servicios Publicos de Guadalupe S.A.S. E.S.P.-Montañita</t>
  </si>
  <si>
    <t>Vereda Candelaria</t>
  </si>
  <si>
    <t>Asociación de Usuarios del Acueducto Veredal La Candelaria</t>
  </si>
  <si>
    <t>Vereda Guanteros</t>
  </si>
  <si>
    <t>Junta Administradora Acueducto Guanteros</t>
  </si>
  <si>
    <t>Vereda El Machete</t>
  </si>
  <si>
    <t>ASOMAGUBA-El Machete</t>
  </si>
  <si>
    <t>Vereda Malabrigo</t>
  </si>
  <si>
    <t>Junta Administradora del Acueducto Malabrigo</t>
  </si>
  <si>
    <t>Vereda San Basilio Abajo</t>
  </si>
  <si>
    <t>Asociacion de Usuarios del Acueducto San Basilio Bajo</t>
  </si>
  <si>
    <t>Vereda Bramadora</t>
  </si>
  <si>
    <t>Junta Administradora El Perico Guadalupe IV-Bramadora</t>
  </si>
  <si>
    <t>Vereda Plan de Perez</t>
  </si>
  <si>
    <t>Junta Administradora de Acueducto Vereda Plan de Perez</t>
  </si>
  <si>
    <t>Vereda San Basilio Medio</t>
  </si>
  <si>
    <t>Junta Administradora del Acueducto San Basilio Medio</t>
  </si>
  <si>
    <t>Vereda Puente Acacias</t>
  </si>
  <si>
    <t>Asociacion de Usuarios del Acueducto Puente Acacias</t>
  </si>
  <si>
    <t>Junta Administradora Acueducto El Morro</t>
  </si>
  <si>
    <t>Asociacion de Usuarios del Acueducto Veredal "Gotas de Agua Pura"-El Guadual</t>
  </si>
  <si>
    <t>Corregimiento de la Granja</t>
  </si>
  <si>
    <t>Junta Administradora Acueducto Corregimiento de la Granja</t>
  </si>
  <si>
    <t>Junta Administradora Acueducto Multiveredal Paloblanco - Buena Vista</t>
  </si>
  <si>
    <t>Vereda La Hundida</t>
  </si>
  <si>
    <t>Junta Administradora Acueducto Multiveredal Paloblanco - La Hundida</t>
  </si>
  <si>
    <t>Vereda Guacharaquero</t>
  </si>
  <si>
    <t>Junta Administradora Acueducto Guacharaquero - La Honda Predio Carlos Taborda</t>
  </si>
  <si>
    <t>Junta Administradora Acueducto Guacharaquero-Arenales</t>
  </si>
  <si>
    <t>Junta de Acción Comunal  Santa Rita - La Hermosa</t>
  </si>
  <si>
    <t>Junta de Acción Comunal  Santa Rita-Arenales</t>
  </si>
  <si>
    <t>Corregimiento El Aro</t>
  </si>
  <si>
    <t>Junta de Acción Comunal  Corregimiento El Aro</t>
  </si>
  <si>
    <t>Junta de Acción Comunal  Santa Rita-Pueblo Nuevo</t>
  </si>
  <si>
    <t>Junta de Acción Comunal Santa Lucia</t>
  </si>
  <si>
    <t>Junta de Acción Comunal  Santa Ana</t>
  </si>
  <si>
    <t>Vereda Pascuita</t>
  </si>
  <si>
    <t>Junta de Acción Comunal Pascuita- Pascuita</t>
  </si>
  <si>
    <t>Junta de Acción Comunal Pascuita-  Palmichal</t>
  </si>
  <si>
    <t>Vereda Las Agüitas</t>
  </si>
  <si>
    <t>Junta de Acción Comunal Pascuita- Las Agüitas</t>
  </si>
  <si>
    <t>Vereda Candelaria Alta</t>
  </si>
  <si>
    <t>Junta Administradora Acueducto de La Candelaria Alta</t>
  </si>
  <si>
    <t>Vereda Brisas</t>
  </si>
  <si>
    <t>Junta Administradora de Acueducto Vereda Brisas</t>
  </si>
  <si>
    <t>Vereda El Cedral</t>
  </si>
  <si>
    <t>Junta Administradora de Acueducto El Cedral</t>
  </si>
  <si>
    <t>Vereda El Tejar</t>
  </si>
  <si>
    <t>Junta Administradora de Acueducto Vereda El Tejar</t>
  </si>
  <si>
    <t>Junta de Administradora de Acueducto La Miranda</t>
  </si>
  <si>
    <t>Vereda Candelaria Baja</t>
  </si>
  <si>
    <t>Junta Administradora de Acueducto Candelaria Baja</t>
  </si>
  <si>
    <t>Junta Administradora Acueducto Multiveredal Chontaduro-Chontaduro</t>
  </si>
  <si>
    <t>Vereda Bajo Ingles</t>
  </si>
  <si>
    <t>Junta Administradora de Acueducto Vereda Bajo Ingles</t>
  </si>
  <si>
    <t>Vereda Las Aguilas</t>
  </si>
  <si>
    <t>Junta Administradora de Acueducto La Georgia-Las Aguilas</t>
  </si>
  <si>
    <t>Vereda El Quibral</t>
  </si>
  <si>
    <t>Junta Administradora de Acueducto La Georgia-El Quibral</t>
  </si>
  <si>
    <t>Junta Administradora de Acueducto La Georgia-El Calvario</t>
  </si>
  <si>
    <t>Vereda Camelia Alta</t>
  </si>
  <si>
    <t xml:space="preserve">Junta de Acción Comunal La Estrella-Camelia Alta </t>
  </si>
  <si>
    <t xml:space="preserve">Junta de Acción Comunal El Tinto La Florida-La Florida </t>
  </si>
  <si>
    <t>Vereda El Tinto La Florida</t>
  </si>
  <si>
    <t>Junta de Acción Comunal El Porvenir-El Tinto La Florida</t>
  </si>
  <si>
    <t>Vereda Paloblanco</t>
  </si>
  <si>
    <t>Junta Administradora Acueducto Multiveredal Paloblanco - Paloblanco</t>
  </si>
  <si>
    <t>Junta Administradora Acueducto  La Honda</t>
  </si>
  <si>
    <t xml:space="preserve">Vereda San Isidro </t>
  </si>
  <si>
    <t>Junta Administradora Acueducto San Isidro</t>
  </si>
  <si>
    <t>Vereda Las Arañas</t>
  </si>
  <si>
    <t>Junta de Acción Comunal Las Arañas</t>
  </si>
  <si>
    <t>Junta Administradora de Acueducto Vereda Las Cuatro</t>
  </si>
  <si>
    <t>Vereda Pio X</t>
  </si>
  <si>
    <t>Junta Administradora Acueducto Vereda Pio X</t>
  </si>
  <si>
    <t>Sector Requintadero</t>
  </si>
  <si>
    <t>Junta Administradora Acueducto de Requintadero</t>
  </si>
  <si>
    <t>Junta Administradora Acueducto Multiveredal Chontaduro - Murrapal</t>
  </si>
  <si>
    <t>Vereda Cenizas</t>
  </si>
  <si>
    <t>Junta Administradora Acueducto Multiveredal Chontaduro - Cenizas</t>
  </si>
  <si>
    <t>Vereda Loma Grande</t>
  </si>
  <si>
    <t>Junta de Acción Comunal Vereda Loma Grande</t>
  </si>
  <si>
    <t>Vereda Alto Seco</t>
  </si>
  <si>
    <t>Junta de Acción Comunal Vereda Alto Seco</t>
  </si>
  <si>
    <t>Junta de Acción Comunal Vereda El Morro</t>
  </si>
  <si>
    <t>Vereda Media Loma</t>
  </si>
  <si>
    <t>Junta de Acción Comunal Vereda Media Loma</t>
  </si>
  <si>
    <t>Junta de Acción Comunal Vereda Santa Gertrudis</t>
  </si>
  <si>
    <t>Junta de Acción Comunal Vereda San Miguel</t>
  </si>
  <si>
    <t>Junta de Acción Comunal Vereda Travesias</t>
  </si>
  <si>
    <t>Junta de Acción Comunal Vereda Cienaga</t>
  </si>
  <si>
    <t>Junta de Acción Comunal Vereda Cruces</t>
  </si>
  <si>
    <t>Vereda Cordillera</t>
  </si>
  <si>
    <t>Vereda Loma del Indio</t>
  </si>
  <si>
    <t>Junta de Acción Comunal Vereda Loma del Indio</t>
  </si>
  <si>
    <t>Junta de Acción Comunal Vereda Montebello</t>
  </si>
  <si>
    <t>Junta de Acción Comunal Vereda La Chorrera</t>
  </si>
  <si>
    <t>Vereda El Bujio</t>
  </si>
  <si>
    <t>Junta de Acción Comunal Vereda El Bujio</t>
  </si>
  <si>
    <t xml:space="preserve"> Vereda El Mico</t>
  </si>
  <si>
    <t>Junta de Acción Comunal Vereda Tabor-El Mico</t>
  </si>
  <si>
    <t xml:space="preserve"> Vereda Cañadusalez</t>
  </si>
  <si>
    <t>Junta de Acción Comunal Vereda Cañaduzales</t>
  </si>
  <si>
    <t>Vereda Vereda Lejia</t>
  </si>
  <si>
    <t>Junta de Acción Comunal Vereda La Lejia</t>
  </si>
  <si>
    <t xml:space="preserve"> Vereda Potrerito</t>
  </si>
  <si>
    <t>Junta de Acción Comunal Potrerito</t>
  </si>
  <si>
    <t>Vereda El Caribe</t>
  </si>
  <si>
    <t>Asociación de Usuarios Manantiales La Arabia</t>
  </si>
  <si>
    <t>Vereda Camburé</t>
  </si>
  <si>
    <t>Junta de Acción Comunal Camburé</t>
  </si>
  <si>
    <t>San José de La Montaña</t>
  </si>
  <si>
    <t xml:space="preserve"> Vereda La Pulgarina</t>
  </si>
  <si>
    <t>Asociacion de Usuarios Acueducto de la Vereda La Pulgarina (ASOPUL)</t>
  </si>
  <si>
    <t xml:space="preserve"> Vereda Alto De Medina</t>
  </si>
  <si>
    <t>Asociacion de Usuarios del Acueducto Alto de Medina</t>
  </si>
  <si>
    <t xml:space="preserve"> Vereda Pantanillo</t>
  </si>
  <si>
    <t>Asociacion de Usuarios del Acueducto de las Veredas Espiritu Santo, Pantanillo (ASUAVEP)</t>
  </si>
  <si>
    <t xml:space="preserve"> Vereda Montefrio</t>
  </si>
  <si>
    <t>Asociacion de Usuarios del Acueducto Multiveredal Montefrio-Montefrio</t>
  </si>
  <si>
    <t xml:space="preserve"> Vereda San Francisco</t>
  </si>
  <si>
    <t>Junta Administradora del Acueducto San Francisco-ACUASFRAN</t>
  </si>
  <si>
    <t xml:space="preserve"> Vereda Monterredondo</t>
  </si>
  <si>
    <t>Acueducto de Monterredondo-Monterredondo</t>
  </si>
  <si>
    <t xml:space="preserve"> Vereda La Maria</t>
  </si>
  <si>
    <t>Asociacion de Usuarios del Acueducto San Juan La Maria (ASOJUMARIA)-La Maria</t>
  </si>
  <si>
    <t xml:space="preserve"> Vereda La Cuchilla</t>
  </si>
  <si>
    <t>Asociacion de Usuarios Junta Administradora Acueducto La Cuchilla San Pedro</t>
  </si>
  <si>
    <t xml:space="preserve"> Vereda  Ovejas</t>
  </si>
  <si>
    <t>Asociación de Usuarios del Acueducto de Ovejas (AACO)</t>
  </si>
  <si>
    <t xml:space="preserve"> Vereda La Empalizada</t>
  </si>
  <si>
    <t>Acueducto La Empalizada</t>
  </si>
  <si>
    <t xml:space="preserve"> Vereda La Lana</t>
  </si>
  <si>
    <t>Asociación de Usuarios del Acueducto La Lana</t>
  </si>
  <si>
    <t xml:space="preserve"> Vereda La Palma</t>
  </si>
  <si>
    <t>Asociación de Usuarios del Acueducto La Palma</t>
  </si>
  <si>
    <t xml:space="preserve"> Vereda La Clarita </t>
  </si>
  <si>
    <t>Asociacion de Usuarios del Acueducto de la Vereda Buenos Aires</t>
  </si>
  <si>
    <t xml:space="preserve"> Vereda San Juan</t>
  </si>
  <si>
    <t>Asociacion de Usuarios del Acueducto San Juan La Maria (ASOJUMARIA)-San Juan</t>
  </si>
  <si>
    <t xml:space="preserve"> Vereda Cerezales</t>
  </si>
  <si>
    <t>Asociacion de Usuarios del Acueducto Multiveredal Montefrio-Cerezales</t>
  </si>
  <si>
    <t>Vereda Santa Bárbara 2</t>
  </si>
  <si>
    <t>Acueducto Santa Bárbara 2</t>
  </si>
  <si>
    <t>Vereda San Jose la Ahumada</t>
  </si>
  <si>
    <t>Asociacion de Usuarios Acueducto ACUESANA -San Jose la Ahumada</t>
  </si>
  <si>
    <t>Corregimiento  San Pablo</t>
  </si>
  <si>
    <t>Asociación de Usuarios del Acueducto y Alcantarillado de San Pablo</t>
  </si>
  <si>
    <t xml:space="preserve">Vereda Santa Ana </t>
  </si>
  <si>
    <t xml:space="preserve">Asociación de Usuarios del Acueducto Multiveredal AMORSSAN- Santa Ana </t>
  </si>
  <si>
    <t>Corregimiento  San Isidro</t>
  </si>
  <si>
    <t xml:space="preserve">Asociación de Usuarios del Acueducto San Isidro </t>
  </si>
  <si>
    <t>Corregimiento Aragón</t>
  </si>
  <si>
    <t xml:space="preserve">Junta Administradora Acueducto Aragon </t>
  </si>
  <si>
    <t xml:space="preserve">Vereda Pontezuela </t>
  </si>
  <si>
    <t>Asociacion de Usuarios Acuadueducto Multiveredal Pontezuela</t>
  </si>
  <si>
    <t>Vereda Malambo</t>
  </si>
  <si>
    <t xml:space="preserve">Asociación de Usuarios Acueducto y Alcantarillado Malambo ASAYAMA </t>
  </si>
  <si>
    <t xml:space="preserve">Junta Administradora Acueducto La Lomita </t>
  </si>
  <si>
    <t>Corregimiento  Hoyorrico</t>
  </si>
  <si>
    <t>Asociación de Usuarios Acueducto Multiveredal La Cejita, San Francisco y Hoyorrico - Hoyorrico</t>
  </si>
  <si>
    <t>Asociación de Usuarios Acueducto Multiveredal La Cejita, San Francisco y Hoyorrico - San Francisco</t>
  </si>
  <si>
    <t xml:space="preserve">Aociacion de Usurios Acueducto El Chaquiro </t>
  </si>
  <si>
    <t xml:space="preserve">Vereda La Piedra </t>
  </si>
  <si>
    <t xml:space="preserve">Asociacion de Usurios Acueducto La Piedra </t>
  </si>
  <si>
    <t>Vereda Minavieja</t>
  </si>
  <si>
    <t>Asociacion de Usuarios Acueducto El Titan</t>
  </si>
  <si>
    <t>Vereda Ahitoncito</t>
  </si>
  <si>
    <t xml:space="preserve">Junta Administradora Acueducto Ahitoncito </t>
  </si>
  <si>
    <t xml:space="preserve">Asociación Acueducto Remanso de Paz de La Vereda El Vergel </t>
  </si>
  <si>
    <t>Vereda Orobajo</t>
  </si>
  <si>
    <t>Asociación de Usuarios del Acueducto Multiveredal AMORSSAN-Orobajo Santa Ines</t>
  </si>
  <si>
    <t xml:space="preserve">Vereda Los Salados  </t>
  </si>
  <si>
    <t xml:space="preserve">Asociación de Usuarios del Acueducto Multiveredal AMORSSAN-Los Salados  </t>
  </si>
  <si>
    <t>Asociación de Usuarios del Acueducto Multiveredal AMORSSAN-La Muñoz</t>
  </si>
  <si>
    <t>Corregimiento Riogrande</t>
  </si>
  <si>
    <t>Asociación de Socios Acueducto y Alcantarillado Corregimiento de Riogrande-ASAACOR</t>
  </si>
  <si>
    <t>Vereda Orobajo -  Riogrande</t>
  </si>
  <si>
    <t>Asociación de Usuarios del Acueducto Multiveredal AMORSSAN-Riogrande</t>
  </si>
  <si>
    <t xml:space="preserve">Junta Administradora Acueducto La Clara </t>
  </si>
  <si>
    <t>Vereda El Caney</t>
  </si>
  <si>
    <t>Asociación de Usuarios del Acueducto El Caney</t>
  </si>
  <si>
    <t>Asociación de Usuarios Acueducto Allachí-El Llano</t>
  </si>
  <si>
    <t>Vereda Chilimaco</t>
  </si>
  <si>
    <t>Asociación de Usuarios Acueducto Allachí-Chilimaco</t>
  </si>
  <si>
    <t>Vereda Salamina</t>
  </si>
  <si>
    <t>Asociación de Usuarios del Acueducto La Pava Salamina -Salamina</t>
  </si>
  <si>
    <t>Vereda La Pava</t>
  </si>
  <si>
    <t>Asociación de Usuarios del Acueducto La Pava Salamina -La Pava</t>
  </si>
  <si>
    <t>Junta Administradora Acueducto Fronteras-Montefrio</t>
  </si>
  <si>
    <t>Junta Administradora Acueducto Fronteras-Barrancas</t>
  </si>
  <si>
    <t xml:space="preserve">Vereda Buenavista </t>
  </si>
  <si>
    <t>Unidad de Servicios Publicos Domiciliarios E.S.P. del Municipio de Toledo -Vereda Buenavista</t>
  </si>
  <si>
    <t>Vereda Miraflores</t>
  </si>
  <si>
    <t>Junta de Acción Comunal de Miraflores</t>
  </si>
  <si>
    <t xml:space="preserve">Junta de Acción Comunal Vereda Barrancas </t>
  </si>
  <si>
    <t>Vereda Brugo</t>
  </si>
  <si>
    <t>Juntade Acuedcuto Vereda de Brugo</t>
  </si>
  <si>
    <t xml:space="preserve">Corregimiento del Valle </t>
  </si>
  <si>
    <t>Unidad de Servicios Publicos Domiciliarios E.S.P. del Municipio de Toledo-Corregimiento del Valle de Toledo</t>
  </si>
  <si>
    <t>Vereda El Cantaro</t>
  </si>
  <si>
    <t>Junta de Acción Comunal Vereda El Cantaro</t>
  </si>
  <si>
    <t>Vereda Biogui</t>
  </si>
  <si>
    <t>Junta de Acuedcuto Vereda Biogui</t>
  </si>
  <si>
    <t>Helechales</t>
  </si>
  <si>
    <t xml:space="preserve">Junta de Acción Comunal Vereda Helechales </t>
  </si>
  <si>
    <t>Unidad de Servicios Publicos Domiciliarios E.S.P. del Municipio de Toledo -Vereda Guayabal</t>
  </si>
  <si>
    <t xml:space="preserve">Vereda Florida </t>
  </si>
  <si>
    <t xml:space="preserve">Junta de Acueducto  Vereda Florida </t>
  </si>
  <si>
    <t>Vereda Taque</t>
  </si>
  <si>
    <t>Junta de Acuedcuto Vereda Taque</t>
  </si>
  <si>
    <t>La Linda</t>
  </si>
  <si>
    <t>Unidad de Servicios Publicos Domiciliarios E.S.P. del Municipio de Toledo -Verda La Linda</t>
  </si>
  <si>
    <t>Vereda El Quince</t>
  </si>
  <si>
    <t>Junta de Acción Comunal El Quince</t>
  </si>
  <si>
    <t>Vereda El Nevado</t>
  </si>
  <si>
    <t>Junta de Acción Comunal El Nevado</t>
  </si>
  <si>
    <t>Vereda La Habana</t>
  </si>
  <si>
    <t>Junta de Acción Comunal Caracoli-La Habana</t>
  </si>
  <si>
    <t>Vereda Palomas</t>
  </si>
  <si>
    <t>Junta de Acción Comunal Palomas</t>
  </si>
  <si>
    <t>Vereda Puerto Raudal</t>
  </si>
  <si>
    <t>Junta de Acción Comunal Puerto Raudal</t>
  </si>
  <si>
    <t>Corregimiento Puerto Valdivia</t>
  </si>
  <si>
    <t>Junta de Acción Comunal Puerto Valdivia</t>
  </si>
  <si>
    <t>Corregimiento Raudal</t>
  </si>
  <si>
    <t>Junta de Acción Comunal Raudal</t>
  </si>
  <si>
    <t>Vereda Zorras</t>
  </si>
  <si>
    <t>Junta de Acción Comunal Buenos Aires</t>
  </si>
  <si>
    <t>Corregimiento Llanos de Cuiva</t>
  </si>
  <si>
    <t>ASPROLLAC-Corregimiento Llanos de Cuiva</t>
  </si>
  <si>
    <t>Vereda Jose Maria Cordoba</t>
  </si>
  <si>
    <t>Junta Administradora del Acueducto Jose Maria Cordoba</t>
  </si>
  <si>
    <t>Vereda Mina Vieja</t>
  </si>
  <si>
    <t>Junta del Acción Comunal Mina Vieja</t>
  </si>
  <si>
    <t>Corregimiento Cedeño</t>
  </si>
  <si>
    <t>Asociación del Usuraios Acueducto Cedeño Asouace</t>
  </si>
  <si>
    <t>Corregimiento Ochali</t>
  </si>
  <si>
    <t>Junta Administardora del Acueducto Ochali</t>
  </si>
  <si>
    <t>Corregimiento El Cedro</t>
  </si>
  <si>
    <t>Junta Administardora del Acueducto El Cedro</t>
  </si>
  <si>
    <t>Vereda  La Estrella</t>
  </si>
  <si>
    <t xml:space="preserve">Junta Admnistradora del Acueduto Mallarino - La Estrella </t>
  </si>
  <si>
    <t>Corregimiento El Llano de Yarumal</t>
  </si>
  <si>
    <t>Junta Administardora del Acueducto El Llano de Yarumal</t>
  </si>
  <si>
    <t>Corregimiento la Loma</t>
  </si>
  <si>
    <t>Junta Administradora Acueducto La Loma</t>
  </si>
  <si>
    <t>Corregimiento El Pueblito</t>
  </si>
  <si>
    <t>Junta Administradora del Acueducto El Pueblito</t>
  </si>
  <si>
    <t>Vereda  Chorros Blancos Abajo</t>
  </si>
  <si>
    <t>Junta Administradora del Acueducto Chorros Blancos Abajo</t>
  </si>
  <si>
    <t>Apartadó</t>
  </si>
  <si>
    <t>Mutatá</t>
  </si>
  <si>
    <t>Chigorodó</t>
  </si>
  <si>
    <t>Necoclí</t>
  </si>
  <si>
    <t>Entrerríos</t>
  </si>
  <si>
    <t>Abriaquí</t>
  </si>
  <si>
    <t>Anzá</t>
  </si>
  <si>
    <t>Ebéjico</t>
  </si>
  <si>
    <t>Amagá</t>
  </si>
  <si>
    <t>Angelópolis</t>
  </si>
  <si>
    <t>Támesis</t>
  </si>
  <si>
    <t>Nechí</t>
  </si>
  <si>
    <t>Puerto Berrío</t>
  </si>
  <si>
    <t>Yondó</t>
  </si>
  <si>
    <t>Anorí</t>
  </si>
  <si>
    <t>Vegachí</t>
  </si>
  <si>
    <t>Yalí</t>
  </si>
  <si>
    <t>Yolombó</t>
  </si>
  <si>
    <t>Corregimiento Santa Elena</t>
  </si>
  <si>
    <t>Corporación de Acueducto Mazo</t>
  </si>
  <si>
    <t>Corporación de Acueducto Las Flores</t>
  </si>
  <si>
    <t>Corregimiento Altavista</t>
  </si>
  <si>
    <t>Junta Administradora Acueducto  Manzanillo</t>
  </si>
  <si>
    <t>Junta Administradora Acueducto Aguas Frías</t>
  </si>
  <si>
    <t>Corporación de Acueducto Altavista-Central</t>
  </si>
  <si>
    <t>Corporación de Acueducto Altavista-Buga</t>
  </si>
  <si>
    <t>Corporación de Acueducto Altavista-Escolástica</t>
  </si>
  <si>
    <t>Corporación de Acueducto Agua Pura</t>
  </si>
  <si>
    <t>Corregimiento San Antonio de Prado</t>
  </si>
  <si>
    <t>Corporación de Acueducto San José</t>
  </si>
  <si>
    <t>Junta Administradora de Acueducto  La Sorbetana</t>
  </si>
  <si>
    <t>Corporación de Acueducto Montañita</t>
  </si>
  <si>
    <t>Junta Administradora Acueducto El Manantial</t>
  </si>
  <si>
    <t xml:space="preserve">Junta Administradora de Servicios Acueducto y Alcantarillado El Vergel </t>
  </si>
  <si>
    <t>Junta Administradora Acueducto El Hato</t>
  </si>
  <si>
    <t>Junta Administradora Acueducto La Iguaná</t>
  </si>
  <si>
    <t>Corporación de Acueducto Arcoiris</t>
  </si>
  <si>
    <t>Corporación de Acueducto La Acuarela</t>
  </si>
  <si>
    <t xml:space="preserve">Empresas Públicas de Medellín ESP San Antonio de Prado </t>
  </si>
  <si>
    <t>Empresas Públicas de Medellín ESP San Cristóbal</t>
  </si>
  <si>
    <t>Empresas Públicas de Medellín ESP Aguas Frias</t>
  </si>
  <si>
    <t>Empresas Públicas de Medellín ESP Palmitas</t>
  </si>
  <si>
    <t>Medellín Suburbano</t>
  </si>
  <si>
    <t>Corporación de Asociados del Acueducto Isaac Gaviria</t>
  </si>
  <si>
    <t>Palmitas</t>
  </si>
  <si>
    <t>Corporación de acueducto Multiveredal Palmitas-La China</t>
  </si>
  <si>
    <t>Corregimiento El Hatillo</t>
  </si>
  <si>
    <t>Asociacion de Acueducto y /o Alcantarillado El Hatillo</t>
  </si>
  <si>
    <t>Acueducto Veredal Buga Cuenca Prehispanica</t>
  </si>
  <si>
    <t>Asociación de Usuarios del Acueducto Multiveredal Aguas Cristalinas (AUAMAC)-La Tolda</t>
  </si>
  <si>
    <t>Vereda San Eugenio-San Eugenio</t>
  </si>
  <si>
    <t>Asociación de Usuarios del Acueducto y/o Alcantarillado del Paraiso Corregimiento del Hatillo</t>
  </si>
  <si>
    <t>Comité Pro Acueductos Mocorongo</t>
  </si>
  <si>
    <t>Acueducto Veredal Buga La Estación</t>
  </si>
  <si>
    <t>Vereda Platanito Parte Baja</t>
  </si>
  <si>
    <t>Asociación de Usuarios de La Vereda Platanito-Platanito Parte Baja</t>
  </si>
  <si>
    <t>Asociación de Usuarios del Acueducto de Buenos Aires</t>
  </si>
  <si>
    <t>Vereda La Ese</t>
  </si>
  <si>
    <t>Asociación de Usuarios del Acueducto La Delgadita</t>
  </si>
  <si>
    <t>Acueducto Parcelación Estación Popalito</t>
  </si>
  <si>
    <t>Asociacion de Usuarios Acueducto Veredal Monteloro</t>
  </si>
  <si>
    <t>Vereda Matasano-Sector La Escuela</t>
  </si>
  <si>
    <t>Comité de Acueducto Vereda Matasano –Sector La Escuela</t>
  </si>
  <si>
    <t>Vereda Matasano Parte Alta</t>
  </si>
  <si>
    <t>Asociación de Usuarios Acueducto Veredal Matasano Parte Alta</t>
  </si>
  <si>
    <t>Vereda  El Viento</t>
  </si>
  <si>
    <t>Acueducto Multiveredal El Viento y El Hoyo  Parte Alta</t>
  </si>
  <si>
    <t xml:space="preserve">Vereda La Lomita </t>
  </si>
  <si>
    <t>Asociación Acueducto Lomitas- Primavera de Barbosa</t>
  </si>
  <si>
    <t>Acueducto Vereda Graciano</t>
  </si>
  <si>
    <t>Asociación de Usuarios del Acueducto y/o Alcantarillado de La Vereda Popalito (ASUAP)-Popalito</t>
  </si>
  <si>
    <t>VeredaTamborcito</t>
  </si>
  <si>
    <t>Asociación de Usuarios del Acueducto Yarumito-Tamborcito</t>
  </si>
  <si>
    <t>Corporación de Acueducto Vereda Aguas Claras Arriba</t>
  </si>
  <si>
    <t>Asociación de Usuarios del Acueducto Multiveredal La Quiebra, Dos Quebradas, Volantín y Tamborcito Barbosa “La Gota de Agua”-La Quiebra</t>
  </si>
  <si>
    <t>Asociación de Usurios del Acueducto El Venado de Las Veredas Chorrohondo y La Meseta</t>
  </si>
  <si>
    <t>Asociación  Acueducto Vereda El Guayabo de Barbosa</t>
  </si>
  <si>
    <t>Vereda La Cuesta</t>
  </si>
  <si>
    <t>Asociación de Usuarios del Acueducto El Peñasco (AUAP)-La Cuesta</t>
  </si>
  <si>
    <t>Vereda Chapa Parte Baja</t>
  </si>
  <si>
    <t>Acueducto de la Vereda El Cortado</t>
  </si>
  <si>
    <t>Acueducto Veredal La Chorrera</t>
  </si>
  <si>
    <t>La Asociación de Usuarios Acueducto Lajas-La Herradura Vereda Las Lajas</t>
  </si>
  <si>
    <t>La Asociación de Usuarios Acueducto Lajas-La Herradura Vereda La Herradura</t>
  </si>
  <si>
    <t>Vereda Pachohondo</t>
  </si>
  <si>
    <t>Comité Pro Acueductos Pachohondo</t>
  </si>
  <si>
    <t>Urbanización Villa Roca</t>
  </si>
  <si>
    <t>Acueducto Urbanización Villa Roca</t>
  </si>
  <si>
    <t>Vereda Cuartas-El Despiste</t>
  </si>
  <si>
    <t>Asociación de Usuarios Acueducto Vereda Cuartas Sector El despiste</t>
  </si>
  <si>
    <t>Vereda Potrerito-Zona Rural</t>
  </si>
  <si>
    <t>Junta de Accion Comunal Vereda Potrerito - Bello Zona Rural.</t>
  </si>
  <si>
    <t>Vereda Tierra Adentro Parte Alta</t>
  </si>
  <si>
    <t>Asociacion de Usuarios de Acueducto y Alcantarillado Vereda Tierradentro Parte Alta</t>
  </si>
  <si>
    <t>Vereda El Cabuyal, parte de Salinas</t>
  </si>
  <si>
    <t>Vereda Peñolcito Parte Alta,  sector de  Autopista Medellín-Bogotá</t>
  </si>
  <si>
    <t>Vereda Zarzal Curazao y parte de la vereda zarzal la Luz</t>
  </si>
  <si>
    <t>La Veta el Pinar y sector Pitaya Cocorollo en el Noral</t>
  </si>
  <si>
    <t xml:space="preserve">Vereda Peñolcito parte baja y un sector de Montañita </t>
  </si>
  <si>
    <t>Vereda Zarzal la Luz, parte de Zarzal Curazao y Patre del Noral</t>
  </si>
  <si>
    <t>Paraje Montañuela y parte de la autopista Medellín-Bogotá</t>
  </si>
  <si>
    <t>Alto de La Virgen</t>
  </si>
  <si>
    <t>Vereda Quebrada Arriba y sector de la autopista Medellín-Bogotá</t>
  </si>
  <si>
    <t>Veredas quebrada Arriba, Sabaneta, El Salado</t>
  </si>
  <si>
    <t>Veredas quebrada Arriba, Sabaneta, El Salado, Alvarado, Peñolcito, Montañita,  Canoas, y Ancón 1</t>
  </si>
  <si>
    <t>Vereda Montañita parte baja, Canoas y Barrio Maria.</t>
  </si>
  <si>
    <t>Salinas, El  Llano, El Convento, Loma de los Garcia y de los Duque.</t>
  </si>
  <si>
    <t>La Veta parte baja</t>
  </si>
  <si>
    <t>La Veta Centro</t>
  </si>
  <si>
    <t>Vereda el Cabuyal sector las Margaritas</t>
  </si>
  <si>
    <t>Vereda Granizal parte baja</t>
  </si>
  <si>
    <t>Vereda Los Encenillos</t>
  </si>
  <si>
    <t>Junta Administradora Acueducto El Sesenta</t>
  </si>
  <si>
    <t>VeredaLa Chuscala</t>
  </si>
  <si>
    <t>Corrala Parte Baja</t>
  </si>
  <si>
    <t>Comité de Acueducto J.A.C. La Corrala y Corrala Parte Baja</t>
  </si>
  <si>
    <t>VeredaLa Corrala</t>
  </si>
  <si>
    <t>Vereda La Quiebra-San Francisco</t>
  </si>
  <si>
    <t>Vereda La Quiebra-Moraima</t>
  </si>
  <si>
    <t>Vereda La Quiebra-Las Juntas</t>
  </si>
  <si>
    <t>Vereda Maní del Cardal</t>
  </si>
  <si>
    <t>Vereda  Salinas-El 30</t>
  </si>
  <si>
    <t>Junta de Acción Comunal Vereda Salinas-El 30</t>
  </si>
  <si>
    <t>Vereda Salinas-Malpaso</t>
  </si>
  <si>
    <t>Asociación de Usuarios de Acueducto Alcantarillado y Otros Servicios Públicos de la Vereda El Cano E.S.P.</t>
  </si>
  <si>
    <t>Vereda San Diego-San Diego</t>
  </si>
  <si>
    <t>Vereda Holanda Parte Baja-Portachuelo</t>
  </si>
  <si>
    <t>Vereda Holanda Parte Baja-La Holanda</t>
  </si>
  <si>
    <t>El Barro-Sector Piedralisa</t>
  </si>
  <si>
    <t>Vereda El Tabano</t>
  </si>
  <si>
    <t>Vereda El  Barro-Los Muñoz</t>
  </si>
  <si>
    <t>Asociación de Usuarios de Acueducto Vereda El Barro Sector El Salto-Los Muñoz</t>
  </si>
  <si>
    <t>Vereda  Potrerito</t>
  </si>
  <si>
    <t>Sistema de Abasto Vereda El cano</t>
  </si>
  <si>
    <t>Vereda  El Barro-El Tigre</t>
  </si>
  <si>
    <t>Vereda  Jamundi-Sector Escuela</t>
  </si>
  <si>
    <t>Vereda  San Esteban-San Esteban</t>
  </si>
  <si>
    <t>Vereda  Jamundi-Sector Los Rieles</t>
  </si>
  <si>
    <t>Vereda Juan Cojo-Los Martinez</t>
  </si>
  <si>
    <t>Vereda El Roble-Pantano Frio</t>
  </si>
  <si>
    <t>Vereda Lomatica -La Mata</t>
  </si>
  <si>
    <t xml:space="preserve">Asociación del Acueducto Multiveredal LOMATICA-Vereda La Mata </t>
  </si>
  <si>
    <t>Vereda El Roble-La Toma</t>
  </si>
  <si>
    <t>La Esperanza - Palmas</t>
  </si>
  <si>
    <t>Acuatel</t>
  </si>
  <si>
    <t>Bosques de la Esperanza</t>
  </si>
  <si>
    <t>Las Brujas</t>
  </si>
  <si>
    <t>Catedral Arenales</t>
  </si>
  <si>
    <t>Chinguí - El Escobero</t>
  </si>
  <si>
    <t>Chinguí N°2</t>
  </si>
  <si>
    <t xml:space="preserve">El Salado </t>
  </si>
  <si>
    <t>El Socorro</t>
  </si>
  <si>
    <t>San Rafael, La Mina y El Capiro, Las Antillas</t>
  </si>
  <si>
    <t>Asomiel Rodas</t>
  </si>
  <si>
    <t>Las Palmas</t>
  </si>
  <si>
    <t>Morgan</t>
  </si>
  <si>
    <t>Urbanización Palmas Paraiso</t>
  </si>
  <si>
    <t>Asopantanillo</t>
  </si>
  <si>
    <t>El Salado, Chinguí y el Escobero</t>
  </si>
  <si>
    <t>Cristal Peñazul</t>
  </si>
  <si>
    <t>El Escobero, los Rodas</t>
  </si>
  <si>
    <t>Los Rodas</t>
  </si>
  <si>
    <t>Vereda Perico</t>
  </si>
  <si>
    <t>San Pedro</t>
  </si>
  <si>
    <t>El Chocho</t>
  </si>
  <si>
    <t>Uribe Angel</t>
  </si>
  <si>
    <t>Corporación de Usuarios de Acueducto y Alcantarillado de La Vereda Pan de Azúcar del Municipio de Sabaneta</t>
  </si>
  <si>
    <t>Vereda La Tablaza</t>
  </si>
  <si>
    <t>Empresa de Servicios Publicos Domiciliarios La Estrella S.A E.S.P - Planta Miraflores-La Tablaza</t>
  </si>
  <si>
    <t>Vereda  La Tablaza</t>
  </si>
  <si>
    <t>Empresa de Servicios Publicos Domiciliarios La Estrella S.A E.S.P - Planta La Culebra-La Tablaza</t>
  </si>
  <si>
    <t>Vereda  Montañita</t>
  </si>
  <si>
    <t>Empresa de Servicios Publicos Domiciliarios La Estrella S.A E.S.P - Planta La Muerte-Montañita</t>
  </si>
  <si>
    <t>Vereda  Pueblo Viejo</t>
  </si>
  <si>
    <t>Vereda Sagrada Familia</t>
  </si>
  <si>
    <t>Vereda Tierra Amarilla Parte Alta</t>
  </si>
  <si>
    <t>Asociación Comunitaria de Beneficiarios del Acueducto Vereda Tierra Amarilla Parte Alta</t>
  </si>
  <si>
    <t>Acueducto Comunitario La Corazona</t>
  </si>
  <si>
    <t>Vereda Los Gomez</t>
  </si>
  <si>
    <t>Vereda El Porvenir sector 3 o parte alta</t>
  </si>
  <si>
    <t>Vereda Los Olivares (Avaco)</t>
  </si>
  <si>
    <t>Vereda Los Olivares (Cuma)</t>
  </si>
  <si>
    <t>Verda Los Gomez (Barrio Nuevo)</t>
  </si>
  <si>
    <t>Verda El Ajizal (Los Florianos)</t>
  </si>
  <si>
    <t>Asociacion de usuarios del acueducto del Pedregal</t>
  </si>
  <si>
    <t>Junta de Accion comunal-Junta Administradora La Esperanza del Porvenir</t>
  </si>
  <si>
    <t>Acueducto veredal Aguas claras Los olivares</t>
  </si>
  <si>
    <t>Junta Administradora de Acueducto veredal comunidad unidad por el mejoramiento del agua Cuma</t>
  </si>
  <si>
    <t>Junta Administradora acueducto vereda El Ajizal sector Los Florianos</t>
  </si>
  <si>
    <t>Comité acueducto-Junta accion comunal Los Gomez</t>
  </si>
  <si>
    <t>Junta de acion comunal-Junta administradora de acueducto veredal fuente de vida sector Los yepes</t>
  </si>
  <si>
    <t>Asociacion Comunitaria del Acueducto Vereda El Cabuyal</t>
  </si>
  <si>
    <t>Asociacion de Usuarios del Acueducto Vereda Peñolcito parte alta y media</t>
  </si>
  <si>
    <t>Asociacion Acueducto Curazao (ASOACUR)</t>
  </si>
  <si>
    <t>Productora Marginal de Servicios Publicos Domiciliarios Acueducto Vereda La Veta El Pinar</t>
  </si>
  <si>
    <t>Acueducto Peñolcito parte baja</t>
  </si>
  <si>
    <t>Corporacion Acueducto Vereda Zarzal La Luz  Aveza</t>
  </si>
  <si>
    <t>Acueducto Pedro Cadavid y EL Salto</t>
  </si>
  <si>
    <t>Acueducto Montañuela</t>
  </si>
  <si>
    <t>Asociacion Administradora del Acueducto Maria Santificadora</t>
  </si>
  <si>
    <t>Acueducto La Cuchilla</t>
  </si>
  <si>
    <t>Asociacion de Usuarios de Acueducto multiveredal Jose Antonio Correa</t>
  </si>
  <si>
    <t>Corporacion Acueducto Multiveredal La Chuscala</t>
  </si>
  <si>
    <t>Acueducto Marginal barrio Maria - Canoas</t>
  </si>
  <si>
    <t>Corporacion multiveredal Salinas, El Convento, El Llano y demas</t>
  </si>
  <si>
    <t>Asociacion de Usuarios del Acueducto La Tolda</t>
  </si>
  <si>
    <t>Acueducto La Veta Centro (AVEC)</t>
  </si>
  <si>
    <t>Junta de Accion Comunal Las Margaritas</t>
  </si>
  <si>
    <t>Junta de Accion Comunal Granizal parte baja</t>
  </si>
  <si>
    <t>Corporación acueducto San Pedro</t>
  </si>
  <si>
    <t>Vereda El Llano-Corregimiento Santa Elena</t>
  </si>
  <si>
    <t>Vereda El Mazo-Corregimiento Santa Elena</t>
  </si>
  <si>
    <t>Vereda Piedragorda-Corregimiento Santa Elena</t>
  </si>
  <si>
    <t>Verda Media Luna-Corregimiento Santa Elena</t>
  </si>
  <si>
    <t>Verda Piedras blancas-Corregimiento Santa Elena</t>
  </si>
  <si>
    <t>Manantial de Ana Diaz</t>
  </si>
  <si>
    <t>Manantial Ana Diaz-Corregimiento Altavista</t>
  </si>
  <si>
    <t>Vereda San Jose de Manzanillo-Corregimiento Altavista</t>
  </si>
  <si>
    <t>Vereda El Salado-Corregimiento San Antonio de Prado</t>
  </si>
  <si>
    <t>Vereda San Jose-Corregimiento San Antonio de Prado</t>
  </si>
  <si>
    <t>Vereda La Florida-Corregimiento San Antonio de Prado</t>
  </si>
  <si>
    <t>Corregimiento San Cristobal</t>
  </si>
  <si>
    <t>Verda El Llano-Corregimiento San Cristobal</t>
  </si>
  <si>
    <t>Vereda La Palma-Corregimiento San Cristobal</t>
  </si>
  <si>
    <t>Vereda Boqueron-Corregimiento San Cristobal</t>
  </si>
  <si>
    <t>Verda El Yolombo-Corregimiento San Cristobal</t>
  </si>
  <si>
    <t>Vereda El Manzanillo-Corregimiento Altavista</t>
  </si>
  <si>
    <t>Vereda El Vergel-Corregimiento de San Antonio de Prado</t>
  </si>
  <si>
    <t>Corregimiento Palmitas</t>
  </si>
  <si>
    <t>ANTIOQUIA - SUBREGION VALLE DE ABURRA - 2018</t>
  </si>
  <si>
    <t>ANTIOQUIA - SUBREGION URABA - 2018</t>
  </si>
  <si>
    <t>ANTIOQUIA - SUBREGION  NORTE- 2018</t>
  </si>
  <si>
    <t>ANTIOQUIA - SUBREGION OCCIDENTE - 2018</t>
  </si>
  <si>
    <t>ANTIOQUIA - SUBREGION SUROESTE- 2018</t>
  </si>
  <si>
    <t>ANTIOQUIA -  SUBREGION  MAGDALENA MEDIO 2018</t>
  </si>
  <si>
    <t>ANTIOQUIA - SUBREGION NORDESTE - 2018</t>
  </si>
  <si>
    <t>ANTIOQUIA - SUBREGION ORIENTE - 2018</t>
  </si>
  <si>
    <t xml:space="preserve"> TOTAL ANTIOQUIA 2018</t>
  </si>
  <si>
    <t>ANTIOQUIA -  SUBREGION  BAJO CAUCA 2018</t>
  </si>
  <si>
    <t>CONSOLIDADO ACUEDUCTOS RURALES 2018</t>
  </si>
  <si>
    <t>Sopetrán</t>
  </si>
  <si>
    <t>ñ</t>
  </si>
  <si>
    <t>0.0 - 5 %: 
Sin Riesgo</t>
  </si>
  <si>
    <t>5.1  - 14 %:  Riesgo Bajo</t>
  </si>
  <si>
    <t>14.1  -  35 % Riesgo Medio</t>
  </si>
  <si>
    <t>35.1 - 80 %  Alto</t>
  </si>
  <si>
    <t>80.1 -  100 %:  Inviable Sanitariamente</t>
  </si>
  <si>
    <t>Total  Muestras</t>
  </si>
  <si>
    <r>
      <t xml:space="preserve">SUBREGION: </t>
    </r>
    <r>
      <rPr>
        <sz val="11"/>
        <rFont val="Arial"/>
        <family val="2"/>
      </rPr>
      <t>BAJO CAUCA</t>
    </r>
  </si>
  <si>
    <t xml:space="preserve">Total Muetras </t>
  </si>
  <si>
    <t>Total de Muestras con Riesgo</t>
  </si>
  <si>
    <t>Verda Limón afuera</t>
  </si>
  <si>
    <t>Junta de Acueducto Limón afuera</t>
  </si>
  <si>
    <t>Corregimiento Puerto Venus</t>
  </si>
  <si>
    <t>Asociacion de Usuarios del Acueducto Corregimiento Puerto Venus</t>
  </si>
  <si>
    <t>Vereda La Balsora</t>
  </si>
  <si>
    <t>Junta Administradora Acueducto Balsora</t>
  </si>
  <si>
    <t>Vereda Mangas</t>
  </si>
  <si>
    <t>Junta Administradora Acueducto de Las Mangas</t>
  </si>
  <si>
    <t>Vereda Puente Linda</t>
  </si>
  <si>
    <t>Junta Administradora Acueducto de Puente Linda</t>
  </si>
  <si>
    <t>Vereda El Jazmin</t>
  </si>
  <si>
    <t>Junta Administradora Acueducto El Jazmin</t>
  </si>
  <si>
    <t>Junta Administradora Acueducto El Llano</t>
  </si>
  <si>
    <t>Junta Administradora Acueducto La Hermosa</t>
  </si>
  <si>
    <t>Vereda Morro Azul</t>
  </si>
  <si>
    <t>Junta Administradora Acueducto Morro Azul</t>
  </si>
  <si>
    <t>Junta Administradora Acueducto Pedregal- Quebrada Negra</t>
  </si>
  <si>
    <t>Vereda Santa Rosa</t>
  </si>
  <si>
    <t>Junta Administradora Acueducto Santa Rosa</t>
  </si>
  <si>
    <t>Vereda  Guamal</t>
  </si>
  <si>
    <t>Junta Administradora del Acueducto Guamal</t>
  </si>
  <si>
    <t xml:space="preserve">Vereda Yarumal </t>
  </si>
  <si>
    <t>Santa Ana ojo de agua</t>
  </si>
  <si>
    <t>Junta de Acción Comunal La Cascada-Comité de Aguas y Acueducto</t>
  </si>
  <si>
    <t>Junta de Acción Comunal  Vereda  Pajonal</t>
  </si>
  <si>
    <t>Junta Administradora de Acueducto El Bosque(En el  2018 no se realizan visitas a acueductos rurales toda vez que no hay técnico de base en este municipio y se priorizo la zona urbana)</t>
  </si>
  <si>
    <t>Junta de Accion Comunal Corregimiento la Susana(En el  2018 no se realizan visitas a acueductos rurales ni toma de muestras)</t>
  </si>
  <si>
    <t>Asociación de Usuarios del Acueducto y/o Alcantarillado VEDSAGUEL Vereda San Miguel(En el  2018 no se realizan visitas a acueductos rurales ni toma de muestras)</t>
  </si>
  <si>
    <t>Parcelacion El Yarumo-Vereda San Miguel(En el  2018 no se realizan visitas a acueductos rurales ni toma de muestras)</t>
  </si>
  <si>
    <t>Asociacion de Usuarios del Acueducto Veredal  El Capiro(En el  2018 no se realizan visitas a acueductos rurales ni toma de muestras)</t>
  </si>
  <si>
    <t>Asociacion de Usuarios Acueducto San Rafael - Los Saltos(En el  2018 no se realizan visitas a acueductos rurales ni toma de muestras)</t>
  </si>
  <si>
    <t>Asociacion de Usuarios del Acueducto Piedras El Salvio (En el  2018 no se realizan visitas a acueductos rurales ni toma de muestras)</t>
  </si>
  <si>
    <t>Asociación Usuarios del Acueducto y Alcantarillado de La Vereda San Nicolas  Planta N 1(En el  2018 no se realizan visitas a acueductos rurales ni toma de muestras)</t>
  </si>
  <si>
    <t>Asociación Usuarios del Acueducto y Alcantarillado de La Vereda San Nicolas  Planta N 2(En el  2018 no se realizan visitas a acueductos rurales ni toma de muestras)</t>
  </si>
  <si>
    <t>Asociación Usuarios del Acueducto y Alcantarillado de La Vereda San Nicolas  Planta N 3(En el  2018 no se realizan visitas a acueductos rurales ni toma de muestras)</t>
  </si>
  <si>
    <t>Asociación de Usuarios del Acueducto y Alcantarillado Cestillal La Palma - Corregimiento San Jose Cestillal(En el  2018 no se realizan visitas a acueductos rurales ni toma de muestras)</t>
  </si>
  <si>
    <t>Asociación de Usuarios del Acueducto y Alcantarillado Cestillal La Palma - Corregimiento San Jose La Palma(En el  2018 no se realizan visitas a acueductos rurales ni toma de muestras)</t>
  </si>
  <si>
    <t>Asociación de Usuarios del Acueduto y Alcantarillado Veramiel (En el  2018 no se realizan visitas a acueductos rurales ni toma de muestras)</t>
  </si>
  <si>
    <t>Junta de Accion Comunal Vereda El Higueron -Los Planes(En el  2018 no se realizan visitas a acueductos rurales ni toma de muestras)</t>
  </si>
  <si>
    <t>Asociacion Acueducto Colmenas (En el  2018 no se realizan visitas a acueductos rurales ni toma de muestras)</t>
  </si>
  <si>
    <t>Parcelacion La Esmeralda(En el  2018 no se realizan visitas a acueductos rurales ni toma de muestras)</t>
  </si>
  <si>
    <t>Asociación de Usuarios del Acueducto La Permfumería de La Vereda El Tambo(En el  2018 no se realizan visitas a acueductos rurales ni toma de muestras)</t>
  </si>
  <si>
    <t>Asociacion de Usuarios del Acueducto Multiveredal Sector La Palma -El Romeral(En el  2018 no se realizan visitas a acueductos rurales ni toma de muestras)</t>
  </si>
  <si>
    <t>Asociacion de Usuarios del Acueducto Vereda San Gerardo(En el  2018 no se realizan visitas a acueductos rurales ni toma de muestras)</t>
  </si>
  <si>
    <t>Asociación de Usuarios Acueducto La Loma(En el  2018 no se realizan visitas a acueductos rurales ni toma de muestras)</t>
  </si>
  <si>
    <t>PROGRAMA VIGILANCIA DE LA CALIDAD DEL AGUA PARA CONSUMO HUMANO Y USO RECREATIVO</t>
  </si>
  <si>
    <t>PROGRAMA VIGILANCIA DE LA CALIDAD DEL AGUA DE CONSUMO HUMANO Y USO RECREATIVO</t>
  </si>
  <si>
    <t>Resume / Nivel de Riesgo</t>
  </si>
  <si>
    <t>N° Muestras con Riesgo</t>
  </si>
  <si>
    <t>Resumen / Nivel de Riesgo</t>
  </si>
  <si>
    <t>Junta Administradora De Acueductos La Mina</t>
  </si>
  <si>
    <t>Junat de Acción Comunal Vereda La Primavera</t>
  </si>
  <si>
    <t>Junta de Administradora de Acuedcucto Chorros Blancos Nº 1</t>
  </si>
  <si>
    <t>Junta Administradora de Acueducto Llanadas</t>
  </si>
  <si>
    <t>Junta de Acción Comunal La Travesía</t>
  </si>
  <si>
    <t>Junta Administradora de Acueducto La Colmena</t>
  </si>
  <si>
    <t>Junta Administradora de Acueductos Plan de Las Rosas</t>
  </si>
  <si>
    <t>Junta Administradora de Acueducto Cañaveral</t>
  </si>
  <si>
    <t>Junta Administradora de Acueducto La Chiquita</t>
  </si>
  <si>
    <t>Junta Administradora de Acueducto El Reposo San José La Gloria</t>
  </si>
  <si>
    <t>Junta De Acción Comunal El Piñal</t>
  </si>
  <si>
    <t>Junta de Acción Comunal Los Ranchos</t>
  </si>
  <si>
    <t>Junta Administradora de Acueducto Los Mangos</t>
  </si>
  <si>
    <t>Resumen/ Nivel de Riesgo</t>
  </si>
  <si>
    <t>Junta de Acción Comunal  Las Lomas</t>
  </si>
  <si>
    <t>Junta de Acción Comunal Los Naipes</t>
  </si>
  <si>
    <t>Junta de Acción Comunal San Julian de Barbacoas</t>
  </si>
  <si>
    <t>Junta de Acción Comunal-La Loma del Sauce</t>
  </si>
  <si>
    <t>Junta de Acción Comunal El Agrio</t>
  </si>
  <si>
    <t>Junta de Acción Comunal Barbacoas</t>
  </si>
  <si>
    <t>Junta de Acción Comunal CTO Los Llanos</t>
  </si>
  <si>
    <t>Junta de Acción Comunal Las Faldas</t>
  </si>
  <si>
    <t>Junta de Acción Comunal San José</t>
  </si>
  <si>
    <t>Junta de Acción Comunal Las Faldas del Café</t>
  </si>
  <si>
    <t>Junta de Acción Comunal San Pablo-La Escuela</t>
  </si>
  <si>
    <t>Junta de Acción Comunal San Pablo-El Filo</t>
  </si>
  <si>
    <t>Junta de Acción Comunal La Antigua</t>
  </si>
  <si>
    <t>Junta de Acción Comunal Romeral</t>
  </si>
  <si>
    <t>Junta de Acción Comunal El Parámo</t>
  </si>
  <si>
    <t>Junta de Acción Comunal Llano del Pueblo</t>
  </si>
  <si>
    <t>Junta de Acción Comunal Italia 90</t>
  </si>
  <si>
    <t>Junta de Acción Comunal San Julián</t>
  </si>
  <si>
    <t>Junta Administradora de Acueducto Jerigua-Escuela</t>
  </si>
  <si>
    <t>Junta Administradora de Acueducto Jerigua-Pojonal</t>
  </si>
  <si>
    <t>Junta de Acción Comunal Guayabal La Falda</t>
  </si>
  <si>
    <t>Junta de Acción Comunal Popal</t>
  </si>
  <si>
    <t>Junta de Acción Comunal La Guadua</t>
  </si>
  <si>
    <t>Junta de Acción Comunal Santa Agueda</t>
  </si>
  <si>
    <t>Junta de Acción Comunal Bellavista</t>
  </si>
  <si>
    <t>Junta de Acción Comunal Renegado Valle</t>
  </si>
  <si>
    <t>Junta de Acción Comunal Guayabal de Pena</t>
  </si>
  <si>
    <t>Junta de Acción Comunal CTO Lomitas</t>
  </si>
  <si>
    <t>Junta Administradora Acueducto La Vega del Inglés</t>
  </si>
  <si>
    <t>Junta de Acción Comunal Toldas</t>
  </si>
  <si>
    <t>Junta de Acción Comunal La Nueva Llanada</t>
  </si>
  <si>
    <t>Junta de Acción Comunal San Juan de Renegado</t>
  </si>
  <si>
    <t>Junta Administradora del Acueducto  Vereda  Cascaron</t>
  </si>
  <si>
    <t>Junta de Acción Comunal Vereda El Pital</t>
  </si>
  <si>
    <t>Junta de Acción Comunal Vereda Sardinas</t>
  </si>
  <si>
    <t>Junta de Acción  Comunal Quebradona</t>
  </si>
  <si>
    <t xml:space="preserve">Junta de Acción Comunal Vereda Santa Isabe </t>
  </si>
  <si>
    <t>Junta de Acción Comunal Vereda Canalones</t>
  </si>
  <si>
    <t>Junta de Acción Comunal Acueducto Vereda El Bagre</t>
  </si>
  <si>
    <t>Junta Administradora del Acueducto Vereda  El 62</t>
  </si>
  <si>
    <t>Junta de Acción Comunal Vereda Canutillo</t>
  </si>
  <si>
    <t>Acueducto La Cuchilla-Vereda Corrales</t>
  </si>
  <si>
    <t>Junta de Acción Comunal Acueducto Asoflan-Corregimiento la Floresta</t>
  </si>
  <si>
    <t>Junta de Acción Comunal Acueducto El Ingenio</t>
  </si>
  <si>
    <t>Acueducto Alto de Dolores</t>
  </si>
  <si>
    <t>Junta Administradora de Acueducto Guardasol</t>
  </si>
  <si>
    <t>NUMERO DE VIVIENDAS RURALES CON ACUEDUCTO - ANUARIO ESTADISTICO          2017</t>
  </si>
  <si>
    <t>N° de Muestras</t>
  </si>
  <si>
    <t xml:space="preserve"> N° de Muestras</t>
  </si>
  <si>
    <t>CONSOLIDADO REGIONAL ACUEDUCTOS RURALES POR NIVEL DE RIESGO  2018</t>
  </si>
  <si>
    <t xml:space="preserve"> TOTAL POR MUESTRAS POR NIVEL DE RIESGO -  ANTIOQUIA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</si>
</sst>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 [$€-2]\ * #,##0.00_ ;_ [$€-2]\ * \-#,##0.00_ ;_ [$€-2]\ * &quot;-&quot;??_ 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2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Verdana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Verdana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Verdana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9" tint="-0.249977111117893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47">
    <xf numFmtId="0" fontId="0" fillId="0" borderId="0"/>
    <xf numFmtId="0" fontId="27" fillId="9" borderId="0" applyNumberFormat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10" borderId="20" applyNumberFormat="0" applyFont="0" applyAlignment="0" applyProtection="0"/>
    <xf numFmtId="0" fontId="26" fillId="10" borderId="20" applyNumberFormat="0" applyFont="0" applyAlignment="0" applyProtection="0"/>
    <xf numFmtId="0" fontId="26" fillId="10" borderId="20" applyNumberFormat="0" applyFont="0" applyAlignment="0" applyProtection="0"/>
    <xf numFmtId="0" fontId="26" fillId="10" borderId="20" applyNumberFormat="0" applyFont="0" applyAlignment="0" applyProtection="0"/>
    <xf numFmtId="0" fontId="26" fillId="10" borderId="20" applyNumberFormat="0" applyFont="0" applyAlignment="0" applyProtection="0"/>
    <xf numFmtId="0" fontId="26" fillId="10" borderId="20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10" borderId="20" applyNumberFormat="0" applyFont="0" applyAlignment="0" applyProtection="0"/>
  </cellStyleXfs>
  <cellXfs count="59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0" xfId="0" applyFont="1" applyAlignment="1">
      <alignment wrapText="1"/>
    </xf>
    <xf numFmtId="2" fontId="3" fillId="2" borderId="0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/>
    <xf numFmtId="0" fontId="4" fillId="0" borderId="0" xfId="0" applyFont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0" fillId="11" borderId="0" xfId="0" applyFill="1" applyBorder="1"/>
    <xf numFmtId="0" fontId="0" fillId="11" borderId="0" xfId="0" applyFill="1"/>
    <xf numFmtId="0" fontId="8" fillId="0" borderId="3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left" wrapText="1"/>
    </xf>
    <xf numFmtId="0" fontId="3" fillId="12" borderId="0" xfId="0" applyFont="1" applyFill="1"/>
    <xf numFmtId="0" fontId="0" fillId="0" borderId="0" xfId="0" applyProtection="1">
      <protection locked="0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Border="1" applyAlignment="1"/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0" fillId="0" borderId="5" xfId="0" applyBorder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vertical="center"/>
      <protection locked="0"/>
    </xf>
    <xf numFmtId="0" fontId="11" fillId="11" borderId="0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0" borderId="3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64" fontId="10" fillId="13" borderId="3" xfId="0" applyNumberFormat="1" applyFont="1" applyFill="1" applyBorder="1" applyAlignment="1">
      <alignment horizontal="center" vertical="center"/>
    </xf>
    <xf numFmtId="164" fontId="9" fillId="13" borderId="3" xfId="0" applyNumberFormat="1" applyFont="1" applyFill="1" applyBorder="1" applyAlignment="1">
      <alignment horizontal="center" vertical="top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0" fontId="4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2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textRotation="90" wrapText="1"/>
    </xf>
    <xf numFmtId="164" fontId="8" fillId="14" borderId="3" xfId="0" applyNumberFormat="1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vertical="center"/>
    </xf>
    <xf numFmtId="0" fontId="8" fillId="14" borderId="3" xfId="0" applyFont="1" applyFill="1" applyBorder="1" applyAlignment="1">
      <alignment horizontal="center" vertical="center"/>
    </xf>
    <xf numFmtId="164" fontId="8" fillId="14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3" xfId="17" applyNumberFormat="1" applyFont="1" applyFill="1" applyBorder="1" applyAlignment="1">
      <alignment horizontal="center" vertical="center"/>
    </xf>
    <xf numFmtId="0" fontId="13" fillId="11" borderId="3" xfId="17" applyFont="1" applyFill="1" applyBorder="1" applyAlignment="1">
      <alignment horizontal="left" vertical="center" wrapText="1"/>
    </xf>
    <xf numFmtId="0" fontId="3" fillId="0" borderId="3" xfId="0" applyFont="1" applyBorder="1"/>
    <xf numFmtId="164" fontId="13" fillId="2" borderId="12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3" fillId="11" borderId="3" xfId="1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0" fillId="0" borderId="0" xfId="17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19" borderId="3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28" fillId="0" borderId="3" xfId="34" applyFont="1" applyFill="1" applyBorder="1" applyAlignment="1">
      <alignment horizontal="left" vertical="center" wrapText="1"/>
    </xf>
    <xf numFmtId="0" fontId="28" fillId="0" borderId="3" xfId="34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18" fillId="11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11" borderId="3" xfId="34" applyFont="1" applyFill="1" applyBorder="1" applyAlignment="1">
      <alignment horizontal="left" vertical="center" wrapText="1"/>
    </xf>
    <xf numFmtId="0" fontId="28" fillId="0" borderId="3" xfId="34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164" fontId="13" fillId="0" borderId="3" xfId="17" applyNumberFormat="1" applyFont="1" applyFill="1" applyBorder="1" applyAlignment="1">
      <alignment horizontal="center" vertical="center"/>
    </xf>
    <xf numFmtId="0" fontId="13" fillId="0" borderId="3" xfId="17" applyFont="1" applyFill="1" applyBorder="1" applyAlignment="1">
      <alignment horizontal="center" vertical="center" wrapText="1"/>
    </xf>
    <xf numFmtId="0" fontId="13" fillId="0" borderId="0" xfId="0" applyFont="1"/>
    <xf numFmtId="0" fontId="16" fillId="2" borderId="9" xfId="0" applyFont="1" applyFill="1" applyBorder="1" applyAlignment="1">
      <alignment vertic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6" fillId="2" borderId="2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164" fontId="13" fillId="2" borderId="3" xfId="0" applyNumberFormat="1" applyFont="1" applyFill="1" applyBorder="1" applyAlignment="1" applyProtection="1">
      <alignment horizontal="center" vertical="top"/>
      <protection locked="0"/>
    </xf>
    <xf numFmtId="0" fontId="13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5" fillId="0" borderId="3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11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  <protection locked="0"/>
    </xf>
    <xf numFmtId="0" fontId="28" fillId="0" borderId="3" xfId="34" applyFont="1" applyFill="1" applyBorder="1" applyAlignment="1" applyProtection="1">
      <alignment horizontal="left" vertical="center"/>
    </xf>
    <xf numFmtId="164" fontId="13" fillId="2" borderId="3" xfId="0" applyNumberFormat="1" applyFont="1" applyFill="1" applyBorder="1" applyAlignment="1" applyProtection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3" fillId="3" borderId="3" xfId="0" applyNumberFormat="1" applyFont="1" applyFill="1" applyBorder="1" applyAlignment="1" applyProtection="1">
      <alignment horizontal="center" vertical="center"/>
    </xf>
    <xf numFmtId="164" fontId="28" fillId="3" borderId="3" xfId="0" applyNumberFormat="1" applyFont="1" applyFill="1" applyBorder="1" applyAlignment="1" applyProtection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13" fillId="0" borderId="3" xfId="34" applyFont="1" applyFill="1" applyBorder="1" applyAlignment="1">
      <alignment horizontal="left" vertical="center" wrapText="1"/>
    </xf>
    <xf numFmtId="0" fontId="13" fillId="2" borderId="3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Border="1" applyAlignment="1">
      <alignment wrapText="1"/>
    </xf>
    <xf numFmtId="0" fontId="13" fillId="0" borderId="3" xfId="0" applyFont="1" applyFill="1" applyBorder="1" applyAlignment="1" applyProtection="1">
      <alignment horizontal="centerContinuous" vertical="center"/>
      <protection locked="0"/>
    </xf>
    <xf numFmtId="0" fontId="25" fillId="0" borderId="3" xfId="0" applyFont="1" applyBorder="1" applyAlignment="1">
      <alignment horizontal="left" vertical="center"/>
    </xf>
    <xf numFmtId="0" fontId="13" fillId="0" borderId="3" xfId="0" applyFont="1" applyFill="1" applyBorder="1" applyAlignment="1" applyProtection="1">
      <alignment vertical="center"/>
      <protection locked="0"/>
    </xf>
    <xf numFmtId="164" fontId="13" fillId="18" borderId="3" xfId="0" applyNumberFormat="1" applyFont="1" applyFill="1" applyBorder="1" applyAlignment="1" applyProtection="1">
      <alignment horizontal="center" vertical="center"/>
      <protection locked="0"/>
    </xf>
    <xf numFmtId="164" fontId="13" fillId="18" borderId="3" xfId="0" applyNumberFormat="1" applyFont="1" applyFill="1" applyBorder="1" applyAlignment="1" applyProtection="1">
      <alignment horizontal="center" vertical="center"/>
    </xf>
    <xf numFmtId="164" fontId="13" fillId="22" borderId="3" xfId="0" applyNumberFormat="1" applyFont="1" applyFill="1" applyBorder="1" applyAlignment="1" applyProtection="1">
      <alignment horizontal="center" vertical="center"/>
    </xf>
    <xf numFmtId="164" fontId="13" fillId="13" borderId="3" xfId="0" applyNumberFormat="1" applyFont="1" applyFill="1" applyBorder="1" applyAlignment="1" applyProtection="1">
      <alignment horizontal="center" vertical="center"/>
    </xf>
    <xf numFmtId="0" fontId="13" fillId="11" borderId="3" xfId="0" applyFont="1" applyFill="1" applyBorder="1" applyAlignment="1" applyProtection="1">
      <alignment horizontal="center" vertical="center"/>
      <protection locked="0"/>
    </xf>
    <xf numFmtId="0" fontId="13" fillId="11" borderId="3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28" fillId="0" borderId="3" xfId="0" applyFont="1" applyFill="1" applyBorder="1" applyAlignment="1" applyProtection="1">
      <alignment vertical="center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11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1" fillId="11" borderId="0" xfId="0" applyFont="1" applyFill="1" applyBorder="1" applyAlignment="1" applyProtection="1">
      <alignment vertical="center" wrapText="1"/>
      <protection locked="0"/>
    </xf>
    <xf numFmtId="0" fontId="16" fillId="2" borderId="9" xfId="0" applyFont="1" applyFill="1" applyBorder="1" applyAlignment="1">
      <alignment vertical="center" wrapText="1"/>
    </xf>
    <xf numFmtId="0" fontId="13" fillId="0" borderId="8" xfId="0" applyFont="1" applyBorder="1" applyAlignment="1" applyProtection="1">
      <alignment vertical="center" wrapText="1"/>
      <protection locked="0"/>
    </xf>
    <xf numFmtId="0" fontId="28" fillId="11" borderId="3" xfId="34" applyFont="1" applyFill="1" applyBorder="1" applyAlignment="1" applyProtection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2" borderId="3" xfId="0" applyNumberFormat="1" applyFont="1" applyFill="1" applyBorder="1" applyAlignment="1" applyProtection="1">
      <alignment horizontal="center" vertical="top"/>
    </xf>
    <xf numFmtId="164" fontId="13" fillId="3" borderId="3" xfId="0" applyNumberFormat="1" applyFont="1" applyFill="1" applyBorder="1" applyAlignment="1" applyProtection="1">
      <alignment horizontal="center" vertical="top"/>
    </xf>
    <xf numFmtId="164" fontId="28" fillId="3" borderId="3" xfId="0" applyNumberFormat="1" applyFont="1" applyFill="1" applyBorder="1" applyAlignment="1" applyProtection="1">
      <alignment horizontal="center" vertical="top"/>
    </xf>
    <xf numFmtId="0" fontId="13" fillId="11" borderId="3" xfId="17" applyFont="1" applyFill="1" applyBorder="1" applyAlignment="1" applyProtection="1">
      <alignment horizontal="center" vertical="center" wrapText="1"/>
    </xf>
    <xf numFmtId="0" fontId="13" fillId="0" borderId="3" xfId="17" applyFont="1" applyFill="1" applyBorder="1" applyAlignment="1">
      <alignment horizontal="left" vertical="center" wrapText="1"/>
    </xf>
    <xf numFmtId="0" fontId="13" fillId="0" borderId="3" xfId="17" applyFont="1" applyFill="1" applyBorder="1" applyAlignment="1" applyProtection="1">
      <alignment horizontal="left" vertical="center" wrapText="1"/>
    </xf>
    <xf numFmtId="164" fontId="13" fillId="20" borderId="3" xfId="0" applyNumberFormat="1" applyFont="1" applyFill="1" applyBorder="1" applyAlignment="1" applyProtection="1">
      <alignment horizontal="center" vertical="center"/>
    </xf>
    <xf numFmtId="164" fontId="13" fillId="2" borderId="0" xfId="17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64" fontId="25" fillId="3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</xf>
    <xf numFmtId="164" fontId="28" fillId="3" borderId="0" xfId="0" applyNumberFormat="1" applyFont="1" applyFill="1" applyBorder="1" applyAlignment="1" applyProtection="1">
      <alignment horizontal="center" vertical="center"/>
    </xf>
    <xf numFmtId="164" fontId="13" fillId="2" borderId="3" xfId="17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0" fontId="13" fillId="2" borderId="3" xfId="17" applyFont="1" applyFill="1" applyBorder="1" applyAlignment="1" applyProtection="1">
      <alignment horizontal="center" vertical="center"/>
      <protection locked="0"/>
    </xf>
    <xf numFmtId="164" fontId="13" fillId="2" borderId="3" xfId="17" applyNumberFormat="1" applyFont="1" applyFill="1" applyBorder="1" applyAlignment="1" applyProtection="1">
      <alignment horizontal="center" vertical="center"/>
      <protection locked="0"/>
    </xf>
    <xf numFmtId="164" fontId="25" fillId="3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/>
    </xf>
    <xf numFmtId="164" fontId="28" fillId="0" borderId="3" xfId="0" applyNumberFormat="1" applyFont="1" applyFill="1" applyBorder="1" applyAlignment="1" applyProtection="1">
      <alignment horizontal="center" vertical="center"/>
    </xf>
    <xf numFmtId="164" fontId="13" fillId="0" borderId="3" xfId="0" applyNumberFormat="1" applyFont="1" applyFill="1" applyBorder="1" applyAlignment="1" applyProtection="1">
      <alignment horizontal="center" vertical="center"/>
    </xf>
    <xf numFmtId="164" fontId="13" fillId="16" borderId="3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 vertical="top"/>
      <protection locked="0"/>
    </xf>
    <xf numFmtId="0" fontId="13" fillId="0" borderId="3" xfId="17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3" xfId="17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3" fillId="2" borderId="3" xfId="0" applyFont="1" applyFill="1" applyBorder="1" applyAlignment="1" applyProtection="1">
      <alignment horizontal="left" vertical="center"/>
      <protection locked="0"/>
    </xf>
    <xf numFmtId="164" fontId="13" fillId="22" borderId="3" xfId="0" applyNumberFormat="1" applyFont="1" applyFill="1" applyBorder="1" applyAlignment="1">
      <alignment horizontal="center" vertical="center"/>
    </xf>
    <xf numFmtId="3" fontId="13" fillId="2" borderId="3" xfId="17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3" xfId="17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top"/>
    </xf>
    <xf numFmtId="0" fontId="25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center"/>
      <protection locked="0"/>
    </xf>
    <xf numFmtId="164" fontId="13" fillId="2" borderId="8" xfId="0" applyNumberFormat="1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/>
    </xf>
    <xf numFmtId="0" fontId="28" fillId="0" borderId="3" xfId="46" applyFont="1" applyFill="1" applyBorder="1" applyAlignment="1">
      <alignment horizontal="left" vertical="center" wrapText="1"/>
    </xf>
    <xf numFmtId="0" fontId="13" fillId="0" borderId="3" xfId="0" applyFont="1" applyBorder="1" applyProtection="1"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28" fillId="11" borderId="3" xfId="46" applyFont="1" applyFill="1" applyBorder="1" applyAlignment="1">
      <alignment horizontal="left" vertical="center" wrapText="1"/>
    </xf>
    <xf numFmtId="0" fontId="32" fillId="11" borderId="3" xfId="46" applyFont="1" applyFill="1" applyBorder="1" applyAlignment="1">
      <alignment horizontal="left" vertical="center" wrapText="1"/>
    </xf>
    <xf numFmtId="164" fontId="13" fillId="18" borderId="3" xfId="0" applyNumberFormat="1" applyFont="1" applyFill="1" applyBorder="1" applyAlignment="1" applyProtection="1">
      <alignment horizontal="center" vertical="top"/>
      <protection locked="0"/>
    </xf>
    <xf numFmtId="164" fontId="13" fillId="15" borderId="3" xfId="0" applyNumberFormat="1" applyFont="1" applyFill="1" applyBorder="1" applyAlignment="1" applyProtection="1">
      <alignment horizontal="center" vertical="top"/>
      <protection locked="0"/>
    </xf>
    <xf numFmtId="164" fontId="13" fillId="15" borderId="3" xfId="0" applyNumberFormat="1" applyFont="1" applyFill="1" applyBorder="1" applyAlignment="1" applyProtection="1">
      <alignment horizontal="center" vertical="top"/>
    </xf>
    <xf numFmtId="164" fontId="28" fillId="28" borderId="3" xfId="0" applyNumberFormat="1" applyFont="1" applyFill="1" applyBorder="1" applyAlignment="1" applyProtection="1">
      <alignment horizontal="center" vertical="top"/>
    </xf>
    <xf numFmtId="164" fontId="13" fillId="18" borderId="3" xfId="0" applyNumberFormat="1" applyFont="1" applyFill="1" applyBorder="1" applyAlignment="1" applyProtection="1">
      <alignment horizontal="center" vertical="top"/>
    </xf>
    <xf numFmtId="164" fontId="13" fillId="22" borderId="3" xfId="0" applyNumberFormat="1" applyFont="1" applyFill="1" applyBorder="1" applyAlignment="1" applyProtection="1">
      <alignment horizontal="center" vertical="top"/>
    </xf>
    <xf numFmtId="164" fontId="28" fillId="21" borderId="3" xfId="0" applyNumberFormat="1" applyFont="1" applyFill="1" applyBorder="1" applyAlignment="1" applyProtection="1">
      <alignment horizontal="center" vertical="top"/>
    </xf>
    <xf numFmtId="164" fontId="13" fillId="17" borderId="3" xfId="0" applyNumberFormat="1" applyFont="1" applyFill="1" applyBorder="1" applyAlignment="1" applyProtection="1">
      <alignment horizontal="center" vertical="top"/>
      <protection locked="0"/>
    </xf>
    <xf numFmtId="164" fontId="13" fillId="17" borderId="3" xfId="0" applyNumberFormat="1" applyFont="1" applyFill="1" applyBorder="1" applyAlignment="1" applyProtection="1">
      <alignment horizontal="center" vertical="top"/>
    </xf>
    <xf numFmtId="164" fontId="28" fillId="27" borderId="3" xfId="0" applyNumberFormat="1" applyFont="1" applyFill="1" applyBorder="1" applyAlignment="1" applyProtection="1">
      <alignment horizontal="center" vertical="top"/>
    </xf>
    <xf numFmtId="164" fontId="13" fillId="16" borderId="3" xfId="0" applyNumberFormat="1" applyFont="1" applyFill="1" applyBorder="1" applyAlignment="1" applyProtection="1">
      <alignment horizontal="center" vertical="top"/>
      <protection locked="0"/>
    </xf>
    <xf numFmtId="164" fontId="13" fillId="16" borderId="3" xfId="0" applyNumberFormat="1" applyFont="1" applyFill="1" applyBorder="1" applyAlignment="1" applyProtection="1">
      <alignment horizontal="center" vertical="top"/>
    </xf>
    <xf numFmtId="164" fontId="28" fillId="26" borderId="3" xfId="0" applyNumberFormat="1" applyFont="1" applyFill="1" applyBorder="1" applyAlignment="1" applyProtection="1">
      <alignment horizontal="center" vertical="top"/>
    </xf>
    <xf numFmtId="164" fontId="13" fillId="20" borderId="3" xfId="0" applyNumberFormat="1" applyFont="1" applyFill="1" applyBorder="1" applyAlignment="1" applyProtection="1">
      <alignment horizontal="center" vertical="top"/>
    </xf>
    <xf numFmtId="164" fontId="28" fillId="25" borderId="3" xfId="0" applyNumberFormat="1" applyFont="1" applyFill="1" applyBorder="1" applyAlignment="1" applyProtection="1">
      <alignment horizontal="center" vertical="top"/>
    </xf>
    <xf numFmtId="164" fontId="13" fillId="28" borderId="3" xfId="0" applyNumberFormat="1" applyFont="1" applyFill="1" applyBorder="1" applyAlignment="1" applyProtection="1">
      <alignment horizontal="center"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6" fillId="0" borderId="0" xfId="0" applyFont="1" applyFill="1" applyBorder="1" applyAlignment="1" applyProtection="1">
      <alignment vertical="center"/>
      <protection locked="0"/>
    </xf>
    <xf numFmtId="0" fontId="28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/>
    <xf numFmtId="0" fontId="13" fillId="0" borderId="5" xfId="0" applyFont="1" applyBorder="1" applyAlignment="1"/>
    <xf numFmtId="0" fontId="16" fillId="2" borderId="10" xfId="0" applyFont="1" applyFill="1" applyBorder="1" applyAlignment="1">
      <alignment vertical="center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28" fillId="0" borderId="3" xfId="46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13" fillId="29" borderId="3" xfId="0" applyFont="1" applyFill="1" applyBorder="1" applyAlignment="1">
      <alignment horizontal="center" vertical="center"/>
    </xf>
    <xf numFmtId="0" fontId="13" fillId="29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8" fillId="0" borderId="3" xfId="0" applyFont="1" applyBorder="1" applyAlignment="1" applyProtection="1">
      <alignment horizontal="center" vertical="center"/>
      <protection locked="0"/>
    </xf>
    <xf numFmtId="0" fontId="10" fillId="29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3" xfId="0" applyBorder="1" applyAlignment="1">
      <alignment horizontal="left" vertical="center" wrapText="1"/>
    </xf>
    <xf numFmtId="164" fontId="13" fillId="11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46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28" fillId="0" borderId="0" xfId="46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top"/>
      <protection locked="0"/>
    </xf>
    <xf numFmtId="164" fontId="13" fillId="0" borderId="0" xfId="0" applyNumberFormat="1" applyFont="1" applyFill="1" applyBorder="1" applyAlignment="1" applyProtection="1">
      <alignment horizontal="center" vertical="top"/>
    </xf>
    <xf numFmtId="164" fontId="28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Protection="1">
      <protection locked="0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23" borderId="3" xfId="0" applyNumberFormat="1" applyFont="1" applyFill="1" applyBorder="1" applyAlignment="1" applyProtection="1">
      <alignment horizontal="center" vertical="center"/>
      <protection locked="0"/>
    </xf>
    <xf numFmtId="164" fontId="13" fillId="24" borderId="3" xfId="0" applyNumberFormat="1" applyFont="1" applyFill="1" applyBorder="1" applyAlignment="1" applyProtection="1">
      <alignment horizontal="center" vertical="center"/>
    </xf>
    <xf numFmtId="164" fontId="28" fillId="24" borderId="3" xfId="0" applyNumberFormat="1" applyFont="1" applyFill="1" applyBorder="1" applyAlignment="1" applyProtection="1">
      <alignment horizontal="center" vertical="center"/>
    </xf>
    <xf numFmtId="164" fontId="28" fillId="2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3" fillId="11" borderId="11" xfId="17" applyFont="1" applyFill="1" applyBorder="1" applyAlignment="1">
      <alignment horizontal="center" vertical="center" wrapText="1"/>
    </xf>
    <xf numFmtId="0" fontId="13" fillId="11" borderId="11" xfId="17" applyFont="1" applyFill="1" applyBorder="1" applyAlignment="1">
      <alignment horizontal="left" vertical="center" wrapText="1"/>
    </xf>
    <xf numFmtId="164" fontId="13" fillId="2" borderId="11" xfId="0" applyNumberFormat="1" applyFont="1" applyFill="1" applyBorder="1" applyAlignment="1" applyProtection="1">
      <alignment horizontal="center" vertical="center"/>
    </xf>
    <xf numFmtId="164" fontId="13" fillId="3" borderId="11" xfId="0" applyNumberFormat="1" applyFont="1" applyFill="1" applyBorder="1" applyAlignment="1" applyProtection="1">
      <alignment horizontal="center" vertical="center"/>
    </xf>
    <xf numFmtId="0" fontId="13" fillId="11" borderId="12" xfId="17" applyFont="1" applyFill="1" applyBorder="1" applyAlignment="1">
      <alignment horizontal="center" vertical="center" wrapText="1"/>
    </xf>
    <xf numFmtId="0" fontId="13" fillId="11" borderId="12" xfId="17" applyFont="1" applyFill="1" applyBorder="1" applyAlignment="1">
      <alignment horizontal="left" vertical="center" wrapText="1"/>
    </xf>
    <xf numFmtId="0" fontId="28" fillId="0" borderId="12" xfId="34" applyFont="1" applyFill="1" applyBorder="1" applyAlignment="1">
      <alignment horizontal="left" vertical="center" wrapText="1"/>
    </xf>
    <xf numFmtId="164" fontId="13" fillId="2" borderId="12" xfId="17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3" fillId="11" borderId="3" xfId="46" applyFont="1" applyFill="1" applyBorder="1" applyAlignment="1">
      <alignment horizontal="left" vertical="center" wrapText="1"/>
    </xf>
    <xf numFmtId="0" fontId="13" fillId="0" borderId="3" xfId="46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0" borderId="3" xfId="0" applyFont="1" applyFill="1" applyBorder="1" applyAlignment="1" applyProtection="1">
      <alignment vertical="top"/>
      <protection locked="0"/>
    </xf>
    <xf numFmtId="0" fontId="13" fillId="0" borderId="3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8" xfId="0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2" borderId="0" xfId="21" applyFont="1" applyFill="1" applyBorder="1" applyAlignment="1" applyProtection="1">
      <alignment vertical="top"/>
      <protection locked="0"/>
    </xf>
    <xf numFmtId="0" fontId="10" fillId="11" borderId="0" xfId="21" applyFont="1" applyFill="1" applyBorder="1" applyAlignment="1">
      <alignment horizontal="left" vertical="center" wrapText="1"/>
    </xf>
    <xf numFmtId="0" fontId="10" fillId="2" borderId="0" xfId="21" applyFont="1" applyFill="1" applyBorder="1" applyAlignment="1" applyProtection="1">
      <alignment horizontal="center" vertical="center"/>
      <protection locked="0"/>
    </xf>
    <xf numFmtId="164" fontId="10" fillId="2" borderId="0" xfId="21" applyNumberFormat="1" applyFont="1" applyFill="1" applyBorder="1" applyAlignment="1" applyProtection="1">
      <alignment horizontal="center" vertical="center"/>
      <protection locked="0"/>
    </xf>
    <xf numFmtId="164" fontId="10" fillId="0" borderId="0" xfId="21" applyNumberFormat="1" applyFont="1" applyFill="1" applyBorder="1" applyAlignment="1">
      <alignment horizontal="center" vertical="center"/>
    </xf>
    <xf numFmtId="164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11" borderId="0" xfId="21" applyFont="1" applyFill="1" applyBorder="1" applyAlignment="1" applyProtection="1">
      <alignment horizontal="left" vertical="center" wrapText="1"/>
    </xf>
    <xf numFmtId="0" fontId="10" fillId="0" borderId="0" xfId="21" applyFont="1" applyFill="1" applyBorder="1" applyAlignment="1" applyProtection="1">
      <alignment vertical="top"/>
      <protection locked="0"/>
    </xf>
    <xf numFmtId="0" fontId="10" fillId="0" borderId="0" xfId="2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</xf>
    <xf numFmtId="164" fontId="5" fillId="3" borderId="3" xfId="0" applyNumberFormat="1" applyFont="1" applyFill="1" applyBorder="1" applyAlignment="1" applyProtection="1">
      <alignment horizontal="center" vertical="center"/>
    </xf>
    <xf numFmtId="164" fontId="13" fillId="16" borderId="3" xfId="0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center" vertical="center" wrapText="1"/>
    </xf>
    <xf numFmtId="164" fontId="10" fillId="11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Protection="1">
      <protection locked="0"/>
    </xf>
    <xf numFmtId="164" fontId="7" fillId="3" borderId="3" xfId="0" applyNumberFormat="1" applyFont="1" applyFill="1" applyBorder="1" applyAlignment="1">
      <alignment horizontal="center" vertical="center" wrapText="1"/>
    </xf>
    <xf numFmtId="0" fontId="13" fillId="11" borderId="3" xfId="17" applyFont="1" applyFill="1" applyBorder="1" applyAlignment="1" applyProtection="1">
      <alignment vertical="center" wrapText="1"/>
      <protection locked="0"/>
    </xf>
    <xf numFmtId="0" fontId="16" fillId="11" borderId="3" xfId="17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25" fillId="0" borderId="3" xfId="0" applyFont="1" applyFill="1" applyBorder="1" applyAlignment="1" applyProtection="1">
      <alignment horizontal="left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46" applyFont="1" applyFill="1" applyBorder="1" applyAlignment="1">
      <alignment horizontal="left" vertical="center"/>
    </xf>
    <xf numFmtId="164" fontId="13" fillId="11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 wrapText="1"/>
    </xf>
    <xf numFmtId="164" fontId="25" fillId="3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textRotation="90" wrapText="1"/>
    </xf>
    <xf numFmtId="0" fontId="8" fillId="20" borderId="3" xfId="0" applyFont="1" applyFill="1" applyBorder="1" applyAlignment="1">
      <alignment horizontal="center" vertical="center" textRotation="90" wrapText="1"/>
    </xf>
    <xf numFmtId="0" fontId="8" fillId="16" borderId="3" xfId="0" applyFont="1" applyFill="1" applyBorder="1" applyAlignment="1">
      <alignment horizontal="center" vertical="center" textRotation="90" wrapText="1"/>
    </xf>
    <xf numFmtId="0" fontId="8" fillId="17" borderId="3" xfId="0" applyFont="1" applyFill="1" applyBorder="1" applyAlignment="1">
      <alignment horizontal="center" vertical="center" textRotation="90" wrapText="1"/>
    </xf>
    <xf numFmtId="0" fontId="8" fillId="18" borderId="3" xfId="0" applyFont="1" applyFill="1" applyBorder="1" applyAlignment="1">
      <alignment horizontal="center" vertical="center" textRotation="90" wrapText="1"/>
    </xf>
    <xf numFmtId="164" fontId="13" fillId="0" borderId="13" xfId="0" applyNumberFormat="1" applyFont="1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Fill="1" applyBorder="1" applyAlignment="1" applyProtection="1">
      <alignment horizontal="center" vertical="center"/>
    </xf>
    <xf numFmtId="2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34" applyFont="1" applyFill="1" applyBorder="1" applyAlignment="1">
      <alignment horizontal="left" vertical="center"/>
    </xf>
    <xf numFmtId="0" fontId="28" fillId="0" borderId="11" xfId="34" applyFont="1" applyFill="1" applyBorder="1" applyAlignment="1">
      <alignment horizontal="left" vertical="center"/>
    </xf>
    <xf numFmtId="164" fontId="13" fillId="2" borderId="11" xfId="0" applyNumberFormat="1" applyFont="1" applyFill="1" applyBorder="1" applyAlignment="1" applyProtection="1">
      <alignment horizontal="center" vertical="center"/>
      <protection locked="0"/>
    </xf>
    <xf numFmtId="164" fontId="13" fillId="2" borderId="11" xfId="17" applyNumberFormat="1" applyFont="1" applyFill="1" applyBorder="1" applyAlignment="1">
      <alignment horizontal="center" vertical="center"/>
    </xf>
    <xf numFmtId="164" fontId="13" fillId="22" borderId="11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28" fillId="30" borderId="3" xfId="46" applyFont="1" applyFill="1" applyBorder="1" applyAlignment="1" applyProtection="1">
      <alignment horizontal="left" vertical="center"/>
    </xf>
    <xf numFmtId="0" fontId="28" fillId="30" borderId="3" xfId="46" applyFont="1" applyFill="1" applyBorder="1" applyAlignment="1">
      <alignment horizontal="left" vertical="center" wrapText="1"/>
    </xf>
    <xf numFmtId="0" fontId="25" fillId="0" borderId="3" xfId="17" applyFont="1" applyFill="1" applyBorder="1" applyAlignment="1" applyProtection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3" xfId="17" applyFont="1" applyFill="1" applyBorder="1" applyAlignment="1">
      <alignment vertical="center" wrapText="1"/>
    </xf>
    <xf numFmtId="0" fontId="25" fillId="0" borderId="3" xfId="34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 applyProtection="1">
      <alignment vertical="center" wrapText="1"/>
    </xf>
    <xf numFmtId="0" fontId="13" fillId="0" borderId="3" xfId="34" applyFont="1" applyFill="1" applyBorder="1" applyAlignment="1">
      <alignment vertical="center" wrapText="1"/>
    </xf>
    <xf numFmtId="0" fontId="28" fillId="0" borderId="3" xfId="34" applyFont="1" applyFill="1" applyBorder="1" applyAlignment="1">
      <alignment vertical="center" wrapText="1"/>
    </xf>
    <xf numFmtId="0" fontId="13" fillId="0" borderId="3" xfId="17" applyFont="1" applyFill="1" applyBorder="1" applyAlignment="1">
      <alignment vertical="center" wrapText="1"/>
    </xf>
    <xf numFmtId="0" fontId="13" fillId="2" borderId="3" xfId="17" applyFont="1" applyFill="1" applyBorder="1" applyAlignment="1" applyProtection="1">
      <alignment vertical="center" wrapText="1"/>
      <protection locked="0"/>
    </xf>
    <xf numFmtId="164" fontId="13" fillId="18" borderId="3" xfId="17" applyNumberFormat="1" applyFont="1" applyFill="1" applyBorder="1" applyAlignment="1" applyProtection="1">
      <alignment horizontal="center" vertical="center"/>
      <protection locked="0"/>
    </xf>
    <xf numFmtId="164" fontId="13" fillId="16" borderId="3" xfId="17" applyNumberFormat="1" applyFont="1" applyFill="1" applyBorder="1" applyAlignment="1" applyProtection="1">
      <alignment horizontal="center" vertical="center"/>
      <protection locked="0"/>
    </xf>
    <xf numFmtId="2" fontId="13" fillId="2" borderId="8" xfId="0" applyNumberFormat="1" applyFont="1" applyFill="1" applyBorder="1" applyAlignment="1" applyProtection="1">
      <alignment horizontal="center" vertical="center"/>
    </xf>
    <xf numFmtId="164" fontId="13" fillId="17" borderId="3" xfId="17" applyNumberFormat="1" applyFont="1" applyFill="1" applyBorder="1" applyAlignment="1" applyProtection="1">
      <alignment horizontal="center" vertical="center"/>
      <protection locked="0"/>
    </xf>
    <xf numFmtId="2" fontId="13" fillId="16" borderId="3" xfId="17" applyNumberFormat="1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top"/>
      <protection locked="0"/>
    </xf>
    <xf numFmtId="0" fontId="28" fillId="0" borderId="3" xfId="46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28" fillId="11" borderId="3" xfId="46" applyFont="1" applyFill="1" applyBorder="1" applyAlignment="1">
      <alignment vertical="center" wrapText="1"/>
    </xf>
    <xf numFmtId="2" fontId="13" fillId="2" borderId="3" xfId="17" applyNumberFormat="1" applyFont="1" applyFill="1" applyBorder="1" applyAlignment="1" applyProtection="1">
      <alignment horizontal="center" vertical="center" wrapText="1"/>
      <protection locked="0"/>
    </xf>
    <xf numFmtId="2" fontId="13" fillId="2" borderId="3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11" borderId="3" xfId="0" applyFont="1" applyFill="1" applyBorder="1" applyAlignment="1">
      <alignment horizontal="left" vertical="center" wrapText="1"/>
    </xf>
    <xf numFmtId="0" fontId="13" fillId="29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2" borderId="3" xfId="17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5" fillId="30" borderId="3" xfId="17" applyFont="1" applyFill="1" applyBorder="1" applyAlignment="1">
      <alignment vertical="center" wrapText="1"/>
    </xf>
    <xf numFmtId="0" fontId="13" fillId="30" borderId="3" xfId="17" applyFont="1" applyFill="1" applyBorder="1" applyAlignment="1" applyProtection="1">
      <alignment horizontal="center" vertical="center"/>
      <protection locked="0"/>
    </xf>
    <xf numFmtId="0" fontId="28" fillId="30" borderId="3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/>
    </xf>
    <xf numFmtId="0" fontId="37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164" fontId="39" fillId="15" borderId="3" xfId="0" applyNumberFormat="1" applyFont="1" applyFill="1" applyBorder="1" applyAlignment="1" applyProtection="1">
      <alignment horizontal="left" vertical="center"/>
      <protection locked="0"/>
    </xf>
    <xf numFmtId="0" fontId="39" fillId="20" borderId="3" xfId="0" applyFont="1" applyFill="1" applyBorder="1" applyAlignment="1">
      <alignment horizontal="left" vertical="center" wrapText="1"/>
    </xf>
    <xf numFmtId="0" fontId="39" fillId="16" borderId="3" xfId="0" applyFont="1" applyFill="1" applyBorder="1" applyAlignment="1">
      <alignment horizontal="left" vertical="center" wrapText="1"/>
    </xf>
    <xf numFmtId="0" fontId="39" fillId="17" borderId="3" xfId="0" applyFont="1" applyFill="1" applyBorder="1" applyAlignment="1">
      <alignment horizontal="left" vertical="center" wrapText="1"/>
    </xf>
    <xf numFmtId="0" fontId="39" fillId="18" borderId="3" xfId="0" applyFont="1" applyFill="1" applyBorder="1" applyAlignment="1">
      <alignment horizontal="left" vertical="center" wrapText="1"/>
    </xf>
    <xf numFmtId="0" fontId="38" fillId="14" borderId="8" xfId="0" applyFont="1" applyFill="1" applyBorder="1" applyAlignment="1">
      <alignment horizontal="center" vertical="center" wrapText="1"/>
    </xf>
    <xf numFmtId="0" fontId="38" fillId="14" borderId="3" xfId="0" applyFont="1" applyFill="1" applyBorder="1" applyAlignment="1">
      <alignment vertical="center" wrapText="1"/>
    </xf>
    <xf numFmtId="0" fontId="39" fillId="14" borderId="3" xfId="0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 vertical="center"/>
    </xf>
    <xf numFmtId="0" fontId="39" fillId="14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0" fontId="42" fillId="14" borderId="3" xfId="0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164" fontId="39" fillId="15" borderId="12" xfId="0" applyNumberFormat="1" applyFont="1" applyFill="1" applyBorder="1" applyAlignment="1" applyProtection="1">
      <alignment horizontal="left" vertical="center"/>
      <protection locked="0"/>
    </xf>
    <xf numFmtId="0" fontId="41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5" fillId="0" borderId="3" xfId="17" applyFont="1" applyFill="1" applyBorder="1" applyAlignment="1" applyProtection="1">
      <alignment horizontal="left" vertical="center" wrapText="1"/>
    </xf>
    <xf numFmtId="0" fontId="25" fillId="0" borderId="3" xfId="17" applyFont="1" applyFill="1" applyBorder="1" applyAlignment="1">
      <alignment horizontal="left" vertical="center" wrapText="1"/>
    </xf>
    <xf numFmtId="0" fontId="25" fillId="0" borderId="3" xfId="34" applyFont="1" applyFill="1" applyBorder="1" applyAlignment="1">
      <alignment horizontal="left" vertical="center" wrapText="1"/>
    </xf>
    <xf numFmtId="0" fontId="13" fillId="2" borderId="3" xfId="17" applyNumberFormat="1" applyFont="1" applyFill="1" applyBorder="1" applyAlignment="1" applyProtection="1">
      <alignment horizontal="left" vertical="center"/>
      <protection locked="0"/>
    </xf>
    <xf numFmtId="0" fontId="13" fillId="0" borderId="3" xfId="17" applyFont="1" applyFill="1" applyBorder="1" applyAlignment="1" applyProtection="1">
      <alignment horizontal="left" vertical="center" wrapText="1"/>
      <protection locked="0"/>
    </xf>
    <xf numFmtId="0" fontId="25" fillId="0" borderId="3" xfId="17" applyFont="1" applyFill="1" applyBorder="1" applyAlignment="1">
      <alignment horizontal="left" vertical="center"/>
    </xf>
    <xf numFmtId="0" fontId="25" fillId="30" borderId="3" xfId="17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40" fillId="14" borderId="3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39" fillId="12" borderId="3" xfId="0" applyFont="1" applyFill="1" applyBorder="1" applyAlignment="1">
      <alignment horizontal="left" vertical="center" wrapText="1"/>
    </xf>
    <xf numFmtId="0" fontId="39" fillId="12" borderId="3" xfId="0" applyFont="1" applyFill="1" applyBorder="1" applyAlignment="1">
      <alignment horizontal="center" vertical="center"/>
    </xf>
    <xf numFmtId="0" fontId="39" fillId="30" borderId="3" xfId="0" applyFont="1" applyFill="1" applyBorder="1" applyAlignment="1">
      <alignment horizontal="left" vertical="center" wrapText="1"/>
    </xf>
    <xf numFmtId="0" fontId="39" fillId="30" borderId="3" xfId="0" applyFont="1" applyFill="1" applyBorder="1" applyAlignment="1">
      <alignment horizontal="center" vertical="center"/>
    </xf>
    <xf numFmtId="0" fontId="40" fillId="30" borderId="3" xfId="0" applyFont="1" applyFill="1" applyBorder="1" applyAlignment="1">
      <alignment horizontal="center" vertical="center"/>
    </xf>
    <xf numFmtId="164" fontId="29" fillId="3" borderId="1" xfId="0" applyNumberFormat="1" applyFont="1" applyFill="1" applyBorder="1" applyAlignment="1" applyProtection="1">
      <alignment horizontal="center" vertical="center"/>
    </xf>
    <xf numFmtId="164" fontId="29" fillId="3" borderId="22" xfId="0" applyNumberFormat="1" applyFont="1" applyFill="1" applyBorder="1" applyAlignment="1" applyProtection="1">
      <alignment horizontal="center" vertical="center"/>
    </xf>
    <xf numFmtId="1" fontId="10" fillId="30" borderId="3" xfId="0" applyNumberFormat="1" applyFont="1" applyFill="1" applyBorder="1" applyAlignment="1">
      <alignment horizontal="center" vertical="center" wrapText="1"/>
    </xf>
    <xf numFmtId="164" fontId="10" fillId="30" borderId="3" xfId="0" applyNumberFormat="1" applyFont="1" applyFill="1" applyBorder="1" applyAlignment="1">
      <alignment horizontal="center" vertical="center"/>
    </xf>
    <xf numFmtId="0" fontId="10" fillId="30" borderId="3" xfId="0" applyFont="1" applyFill="1" applyBorder="1" applyAlignment="1">
      <alignment horizontal="center" vertical="center"/>
    </xf>
    <xf numFmtId="1" fontId="10" fillId="30" borderId="3" xfId="0" applyNumberFormat="1" applyFont="1" applyFill="1" applyBorder="1" applyAlignment="1">
      <alignment horizontal="center" vertical="center"/>
    </xf>
    <xf numFmtId="3" fontId="10" fillId="3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3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30" fillId="7" borderId="3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11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6" fillId="15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8" fillId="0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</cellXfs>
  <cellStyles count="47">
    <cellStyle name="60% - Énfasis2 2" xfId="1"/>
    <cellStyle name="Euro" xfId="2"/>
    <cellStyle name="Euro 2" xfId="3"/>
    <cellStyle name="Euro 2 2" xfId="4"/>
    <cellStyle name="Euro 3" xfId="5"/>
    <cellStyle name="Euro 4" xfId="6"/>
    <cellStyle name="Euro 4 2" xfId="7"/>
    <cellStyle name="Millares 2" xfId="8"/>
    <cellStyle name="Millares 3" xfId="9"/>
    <cellStyle name="Millares 4" xfId="10"/>
    <cellStyle name="Millares 4 2" xfId="11"/>
    <cellStyle name="Millares 5" xfId="12"/>
    <cellStyle name="Millares 5 2" xfId="13"/>
    <cellStyle name="Millares 6" xfId="14"/>
    <cellStyle name="Millares 6 2" xfId="15"/>
    <cellStyle name="Normal" xfId="0" builtinId="0"/>
    <cellStyle name="Normal 2" xfId="16"/>
    <cellStyle name="Normal 2 2" xfId="17"/>
    <cellStyle name="Normal 2 2 2" xfId="18"/>
    <cellStyle name="Normal 2 3" xfId="19"/>
    <cellStyle name="Normal 2 4" xfId="20"/>
    <cellStyle name="Normal 3" xfId="21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Normal 7 2" xfId="33"/>
    <cellStyle name="Notas" xfId="46" builtinId="10"/>
    <cellStyle name="Notas 2" xfId="34"/>
    <cellStyle name="Notas 2 2" xfId="35"/>
    <cellStyle name="Notas 3" xfId="36"/>
    <cellStyle name="Notas 3 2" xfId="37"/>
    <cellStyle name="Notas 4" xfId="38"/>
    <cellStyle name="Notas 4 2" xfId="39"/>
    <cellStyle name="Porcentaje 2" xfId="40"/>
    <cellStyle name="Porcentaje 2 2" xfId="41"/>
    <cellStyle name="Porcentaje 3" xfId="42"/>
    <cellStyle name="Porcentaje 3 2" xfId="43"/>
    <cellStyle name="Porcentaje 4" xfId="44"/>
    <cellStyle name="Porcentaje 4 2" xfId="45"/>
  </cellStyles>
  <dxfs count="7406"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2. 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Numero y porcentaje de acueductos rurales por  nivel de riesgo sanitario .Antioquia  -  Colombia  2018</a:t>
            </a:r>
          </a:p>
        </c:rich>
      </c:tx>
      <c:layout/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'CONSOLIDADO-ACUEDUCTOSRURALES2'!$B$7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8636171113934774"/>
                  <c:y val="5.05545150567262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156289707750925E-2"/>
                  <c:y val="2.564807329451925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462092333756886E-2"/>
                  <c:y val="7.69437444229807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9991515672993232"/>
                  <c:y val="2.4271187770270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3625582380347312"/>
                  <c:y val="2.63892293662544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3809689608366935"/>
                  <c:y val="2.48026593188927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('CONSOLIDADO-ACUEDUCTOSRURALES2'!$D$17,'CONSOLIDADO-ACUEDUCTOSRURALES2'!$F$17,'CONSOLIDADO-ACUEDUCTOSRURALES2'!$H$17,'CONSOLIDADO-ACUEDUCTOSRURALES2'!$J$17,'CONSOLIDADO-ACUEDUCTOSRURALES2'!$L$17,'CONSOLIDADO-ACUEDUCTOSRURALES2'!$N$17)</c:f>
              <c:numCache>
                <c:formatCode>General</c:formatCode>
                <c:ptCount val="6"/>
                <c:pt idx="0">
                  <c:v>369</c:v>
                </c:pt>
                <c:pt idx="1">
                  <c:v>109</c:v>
                </c:pt>
                <c:pt idx="2">
                  <c:v>122</c:v>
                </c:pt>
                <c:pt idx="3">
                  <c:v>408</c:v>
                </c:pt>
                <c:pt idx="4">
                  <c:v>834</c:v>
                </c:pt>
                <c:pt idx="5">
                  <c:v>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109965312"/>
        <c:axId val="58686208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'CONSOLIDADO-ACUEDUCTOSRURALES2'!$C$7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4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('CONSOLIDADO-ACUEDUCTOSRURALES2'!$E$17,'CONSOLIDADO-ACUEDUCTOSRURALES2'!$G$17,'CONSOLIDADO-ACUEDUCTOSRURALES2'!$I$17,'CONSOLIDADO-ACUEDUCTOSRURALES2'!$K$17,'CONSOLIDADO-ACUEDUCTOSRURALES2'!$M$17,'CONSOLIDADO-ACUEDUCTOSRURALES2'!$O$17)</c:f>
              <c:numCache>
                <c:formatCode>0.0</c:formatCode>
                <c:ptCount val="6"/>
                <c:pt idx="0">
                  <c:v>15.728900255754475</c:v>
                </c:pt>
                <c:pt idx="1">
                  <c:v>4.6462063086104006</c:v>
                </c:pt>
                <c:pt idx="2">
                  <c:v>5.2003410059676041</c:v>
                </c:pt>
                <c:pt idx="3">
                  <c:v>17.391304347826086</c:v>
                </c:pt>
                <c:pt idx="4">
                  <c:v>35.549872122762153</c:v>
                </c:pt>
                <c:pt idx="5">
                  <c:v>21.483375959079286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5"/>
        <c:axId val="109966336"/>
        <c:axId val="144392192"/>
      </c:barChart>
      <c:catAx>
        <c:axId val="10996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686208"/>
        <c:crosses val="autoZero"/>
        <c:auto val="1"/>
        <c:lblAlgn val="ctr"/>
        <c:lblOffset val="100"/>
        <c:noMultiLvlLbl val="0"/>
      </c:catAx>
      <c:valAx>
        <c:axId val="58686208"/>
        <c:scaling>
          <c:orientation val="minMax"/>
          <c:max val="8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822087928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9965312"/>
        <c:crosses val="autoZero"/>
        <c:crossBetween val="between"/>
      </c:valAx>
      <c:catAx>
        <c:axId val="109966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4392192"/>
        <c:crosses val="autoZero"/>
        <c:auto val="1"/>
        <c:lblAlgn val="ctr"/>
        <c:lblOffset val="100"/>
        <c:noMultiLvlLbl val="0"/>
      </c:catAx>
      <c:valAx>
        <c:axId val="144392192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07682995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996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10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subregión Occidente - Antioquia - Colombia  2018</a:t>
            </a:r>
          </a:p>
        </c:rich>
      </c:tx>
      <c:layout/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'CONSOLIDADO-ACUEDUCTOSRURALES2'!$B$78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908513341804321E-2"/>
                  <c:y val="-2.53678060357397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437526471833968E-2"/>
                  <c:y val="3.8414738387586611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462092333756886E-2"/>
                  <c:y val="2.5542784163473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37452340693753799"/>
                  <c:y val="1.3877575647824775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8010198534585971"/>
                  <c:y val="5.1049365955692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('CONSOLIDADO-ACUEDUCTOSRURALES2'!$D$78,'CONSOLIDADO-ACUEDUCTOSRURALES2'!$F$78,'CONSOLIDADO-ACUEDUCTOSRURALES2'!$H$78,'CONSOLIDADO-ACUEDUCTOSRURALES2'!$J$78,'CONSOLIDADO-ACUEDUCTOSRURALES2'!$L$78,'CONSOLIDADO-ACUEDUCTOSRURALES2'!$N$78)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('CONSOLIDADO-ACUEDUCTOSRURALES2'!$D$98,'CONSOLIDADO-ACUEDUCTOSRURALES2'!$F$98,'CONSOLIDADO-ACUEDUCTOSRURALES2'!$H$98,'CONSOLIDADO-ACUEDUCTOSRURALES2'!$J$98,'CONSOLIDADO-ACUEDUCTOSRURALES2'!$L$98,'CONSOLIDADO-ACUEDUCTOSRURALES2'!$N$98)</c:f>
              <c:numCache>
                <c:formatCode>General</c:formatCode>
                <c:ptCount val="6"/>
                <c:pt idx="0">
                  <c:v>24</c:v>
                </c:pt>
                <c:pt idx="1">
                  <c:v>2</c:v>
                </c:pt>
                <c:pt idx="2">
                  <c:v>4</c:v>
                </c:pt>
                <c:pt idx="3">
                  <c:v>74</c:v>
                </c:pt>
                <c:pt idx="4">
                  <c:v>241</c:v>
                </c:pt>
                <c:pt idx="5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145371136"/>
        <c:axId val="145286272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'CONSOLIDADO-ACUEDUCTOSRURALES2'!$C$78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('CONSOLIDADO-ACUEDUCTOSRURALES2'!$E$98,'CONSOLIDADO-ACUEDUCTOSRURALES2'!$G$98,'CONSOLIDADO-ACUEDUCTOSRURALES2'!$I$98,'CONSOLIDADO-ACUEDUCTOSRURALES2'!$K$98,'CONSOLIDADO-ACUEDUCTOSRURALES2'!$M$98,'CONSOLIDADO-ACUEDUCTOSRURALES2'!$O$98)</c:f>
              <c:numCache>
                <c:formatCode>0.0</c:formatCode>
                <c:ptCount val="6"/>
                <c:pt idx="0">
                  <c:v>4.8289738430583498</c:v>
                </c:pt>
                <c:pt idx="1">
                  <c:v>0.4024144869215292</c:v>
                </c:pt>
                <c:pt idx="2">
                  <c:v>0.8048289738430584</c:v>
                </c:pt>
                <c:pt idx="3">
                  <c:v>14.88933601609658</c:v>
                </c:pt>
                <c:pt idx="4">
                  <c:v>48.490945674044269</c:v>
                </c:pt>
                <c:pt idx="5">
                  <c:v>30.583501006036219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145675264"/>
        <c:axId val="145286848"/>
      </c:barChart>
      <c:catAx>
        <c:axId val="14537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5286272"/>
        <c:crosses val="autoZero"/>
        <c:auto val="1"/>
        <c:lblAlgn val="ctr"/>
        <c:lblOffset val="100"/>
        <c:noMultiLvlLbl val="0"/>
      </c:catAx>
      <c:valAx>
        <c:axId val="145286272"/>
        <c:scaling>
          <c:orientation val="minMax"/>
          <c:max val="2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1493607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371136"/>
        <c:crosses val="autoZero"/>
        <c:crossBetween val="between"/>
      </c:valAx>
      <c:catAx>
        <c:axId val="145675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5286848"/>
        <c:crosses val="autoZero"/>
        <c:auto val="1"/>
        <c:lblAlgn val="ctr"/>
        <c:lblOffset val="100"/>
        <c:noMultiLvlLbl val="0"/>
      </c:catAx>
      <c:valAx>
        <c:axId val="145286848"/>
        <c:scaling>
          <c:orientation val="minMax"/>
          <c:max val="6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40953579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6752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11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Suroeste - Antioquia- Colombia 2018</a:t>
            </a:r>
          </a:p>
        </c:rich>
      </c:tx>
      <c:layout>
        <c:manualLayout>
          <c:xMode val="edge"/>
          <c:yMode val="edge"/>
          <c:x val="0.17977430486163851"/>
          <c:y val="1.19760466834849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'CONSOLIDADO-ACUEDUCTOSRURALES2'!$B$102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'CONSOLIDADO-ACUEDUCTOSRURALES2'!$A$103:$A$125</c:f>
              <c:strCache>
                <c:ptCount val="23"/>
                <c:pt idx="0">
                  <c:v>Amaga</c:v>
                </c:pt>
                <c:pt idx="1">
                  <c:v>Andes</c:v>
                </c:pt>
                <c:pt idx="2">
                  <c:v>Angelópolis</c:v>
                </c:pt>
                <c:pt idx="3">
                  <c:v>Betania</c:v>
                </c:pt>
                <c:pt idx="4">
                  <c:v>Betulia</c:v>
                </c:pt>
                <c:pt idx="5">
                  <c:v>Caramanta</c:v>
                </c:pt>
                <c:pt idx="6">
                  <c:v>Ciudad Bolívar</c:v>
                </c:pt>
                <c:pt idx="7">
                  <c:v>Concordia</c:v>
                </c:pt>
                <c:pt idx="8">
                  <c:v>Fredonia</c:v>
                </c:pt>
                <c:pt idx="9">
                  <c:v>Hispania</c:v>
                </c:pt>
                <c:pt idx="10">
                  <c:v>Jardín</c:v>
                </c:pt>
                <c:pt idx="11">
                  <c:v>Jericó</c:v>
                </c:pt>
                <c:pt idx="12">
                  <c:v>La Pintada</c:v>
                </c:pt>
                <c:pt idx="13">
                  <c:v>Montebello</c:v>
                </c:pt>
                <c:pt idx="14">
                  <c:v>Pueblorrico</c:v>
                </c:pt>
                <c:pt idx="15">
                  <c:v>Salgar</c:v>
                </c:pt>
                <c:pt idx="16">
                  <c:v>Santa Bárbara</c:v>
                </c:pt>
                <c:pt idx="17">
                  <c:v>Tamesis</c:v>
                </c:pt>
                <c:pt idx="18">
                  <c:v>Tarso</c:v>
                </c:pt>
                <c:pt idx="19">
                  <c:v>Titiribí</c:v>
                </c:pt>
                <c:pt idx="20">
                  <c:v>Urrao</c:v>
                </c:pt>
                <c:pt idx="21">
                  <c:v>Valparaíso</c:v>
                </c:pt>
                <c:pt idx="22">
                  <c:v>Venecia</c:v>
                </c:pt>
              </c:strCache>
            </c:strRef>
          </c:cat>
          <c:val>
            <c:numRef>
              <c:f>'CONSOLIDADO-ACUEDUCTOSRURALES2'!$B$103:$B$125</c:f>
              <c:numCache>
                <c:formatCode>General</c:formatCode>
                <c:ptCount val="23"/>
                <c:pt idx="0">
                  <c:v>34</c:v>
                </c:pt>
                <c:pt idx="1">
                  <c:v>55</c:v>
                </c:pt>
                <c:pt idx="2">
                  <c:v>12</c:v>
                </c:pt>
                <c:pt idx="3">
                  <c:v>12</c:v>
                </c:pt>
                <c:pt idx="4">
                  <c:v>28</c:v>
                </c:pt>
                <c:pt idx="5">
                  <c:v>16</c:v>
                </c:pt>
                <c:pt idx="6">
                  <c:v>17</c:v>
                </c:pt>
                <c:pt idx="7">
                  <c:v>21</c:v>
                </c:pt>
                <c:pt idx="8">
                  <c:v>35</c:v>
                </c:pt>
                <c:pt idx="9">
                  <c:v>9</c:v>
                </c:pt>
                <c:pt idx="10">
                  <c:v>23</c:v>
                </c:pt>
                <c:pt idx="11">
                  <c:v>25</c:v>
                </c:pt>
                <c:pt idx="12">
                  <c:v>0</c:v>
                </c:pt>
                <c:pt idx="13">
                  <c:v>19</c:v>
                </c:pt>
                <c:pt idx="14">
                  <c:v>6</c:v>
                </c:pt>
                <c:pt idx="15">
                  <c:v>27</c:v>
                </c:pt>
                <c:pt idx="16">
                  <c:v>41</c:v>
                </c:pt>
                <c:pt idx="17">
                  <c:v>33</c:v>
                </c:pt>
                <c:pt idx="18">
                  <c:v>8</c:v>
                </c:pt>
                <c:pt idx="19">
                  <c:v>23</c:v>
                </c:pt>
                <c:pt idx="20">
                  <c:v>31</c:v>
                </c:pt>
                <c:pt idx="21">
                  <c:v>13</c:v>
                </c:pt>
                <c:pt idx="2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78"/>
        <c:axId val="145371648"/>
        <c:axId val="145290880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'CONSOLIDADO-ACUEDUCTOSRURALES2'!$C$103:$C$125</c:f>
              <c:numCache>
                <c:formatCode>0.0</c:formatCode>
                <c:ptCount val="23"/>
                <c:pt idx="0">
                  <c:v>6.8136272545090177</c:v>
                </c:pt>
                <c:pt idx="1">
                  <c:v>11.022044088176353</c:v>
                </c:pt>
                <c:pt idx="2">
                  <c:v>2.4048096192384771</c:v>
                </c:pt>
                <c:pt idx="3">
                  <c:v>2.4048096192384771</c:v>
                </c:pt>
                <c:pt idx="4">
                  <c:v>5.6112224448897798</c:v>
                </c:pt>
                <c:pt idx="5">
                  <c:v>3.2064128256513023</c:v>
                </c:pt>
                <c:pt idx="6">
                  <c:v>3.4068136272545089</c:v>
                </c:pt>
                <c:pt idx="7">
                  <c:v>4.2084168336673349</c:v>
                </c:pt>
                <c:pt idx="8">
                  <c:v>7.0140280561122248</c:v>
                </c:pt>
                <c:pt idx="9">
                  <c:v>1.8036072144288577</c:v>
                </c:pt>
                <c:pt idx="10">
                  <c:v>4.6092184368737472</c:v>
                </c:pt>
                <c:pt idx="11">
                  <c:v>5.0100200400801604</c:v>
                </c:pt>
                <c:pt idx="12">
                  <c:v>0</c:v>
                </c:pt>
                <c:pt idx="13">
                  <c:v>3.8076152304609221</c:v>
                </c:pt>
                <c:pt idx="14">
                  <c:v>1.2024048096192386</c:v>
                </c:pt>
                <c:pt idx="15">
                  <c:v>5.4108216432865728</c:v>
                </c:pt>
                <c:pt idx="16">
                  <c:v>8.2164328657314627</c:v>
                </c:pt>
                <c:pt idx="17">
                  <c:v>6.6132264529058116</c:v>
                </c:pt>
                <c:pt idx="18">
                  <c:v>1.6032064128256511</c:v>
                </c:pt>
                <c:pt idx="19">
                  <c:v>4.6092184368737472</c:v>
                </c:pt>
                <c:pt idx="20">
                  <c:v>6.2124248496993983</c:v>
                </c:pt>
                <c:pt idx="21">
                  <c:v>2.6052104208416833</c:v>
                </c:pt>
                <c:pt idx="22">
                  <c:v>2.2044088176352705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77312"/>
        <c:axId val="145291456"/>
      </c:barChart>
      <c:catAx>
        <c:axId val="1453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290880"/>
        <c:crossesAt val="0"/>
        <c:auto val="1"/>
        <c:lblAlgn val="ctr"/>
        <c:lblOffset val="100"/>
        <c:noMultiLvlLbl val="0"/>
      </c:catAx>
      <c:valAx>
        <c:axId val="145290880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47017302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371648"/>
        <c:crosses val="autoZero"/>
        <c:crossBetween val="between"/>
        <c:majorUnit val="5"/>
      </c:valAx>
      <c:catAx>
        <c:axId val="14567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291456"/>
        <c:crosses val="autoZero"/>
        <c:auto val="1"/>
        <c:lblAlgn val="ctr"/>
        <c:lblOffset val="100"/>
        <c:noMultiLvlLbl val="0"/>
      </c:catAx>
      <c:valAx>
        <c:axId val="145291456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677312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1431083251"/>
          <c:w val="0.4600726114819404"/>
          <c:h val="6.0105700379685545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12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psubregión Suroeste - Antioquia - Colombia  2018</a:t>
            </a:r>
          </a:p>
        </c:rich>
      </c:tx>
      <c:layout>
        <c:manualLayout>
          <c:xMode val="edge"/>
          <c:yMode val="edge"/>
          <c:x val="0.11235490099950976"/>
          <c:y val="7.6677329396325454E-3"/>
        </c:manualLayout>
      </c:layout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'CONSOLIDADO-ACUEDUCTOSRURALES2'!$B$102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541719610334604"/>
                  <c:y val="-2.54001157203592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296908089792523E-2"/>
                  <c:y val="2.5943498276772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2363405336721728"/>
                  <c:y val="5.11021106387260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36266402531957964"/>
                  <c:y val="2.56818696384991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46989431276617744"/>
                  <c:y val="-5.2325727654650201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('CONSOLIDADO-ACUEDUCTOSRURALES2'!$D$126,'CONSOLIDADO-ACUEDUCTOSRURALES2'!$F$126,'CONSOLIDADO-ACUEDUCTOSRURALES2'!$H$126,'CONSOLIDADO-ACUEDUCTOSRURALES2'!$J$126,'CONSOLIDADO-ACUEDUCTOSRURALES2'!$L$126,'CONSOLIDADO-ACUEDUCTOSRURALES2'!$N$126)</c:f>
              <c:numCache>
                <c:formatCode>General</c:formatCode>
                <c:ptCount val="6"/>
                <c:pt idx="0">
                  <c:v>56</c:v>
                </c:pt>
                <c:pt idx="1">
                  <c:v>4</c:v>
                </c:pt>
                <c:pt idx="2">
                  <c:v>31</c:v>
                </c:pt>
                <c:pt idx="3">
                  <c:v>119</c:v>
                </c:pt>
                <c:pt idx="4">
                  <c:v>212</c:v>
                </c:pt>
                <c:pt idx="5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109967360"/>
        <c:axId val="145292032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'CONSOLIDADO-ACUEDUCTOSRURALES2'!$C$102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('CONSOLIDADO-ACUEDUCTOSRURALES2'!$E$126,'CONSOLIDADO-ACUEDUCTOSRURALES2'!$G$126,'CONSOLIDADO-ACUEDUCTOSRURALES2'!$I$126,'CONSOLIDADO-ACUEDUCTOSRURALES2'!$K$126,'CONSOLIDADO-ACUEDUCTOSRURALES2'!$M$126,'CONSOLIDADO-ACUEDUCTOSRURALES2'!$O$126)</c:f>
              <c:numCache>
                <c:formatCode>0.0</c:formatCode>
                <c:ptCount val="6"/>
                <c:pt idx="0">
                  <c:v>11.22244488977956</c:v>
                </c:pt>
                <c:pt idx="1">
                  <c:v>0.80160320641282556</c:v>
                </c:pt>
                <c:pt idx="2">
                  <c:v>6.2124248496993983</c:v>
                </c:pt>
                <c:pt idx="3">
                  <c:v>23.847695390781563</c:v>
                </c:pt>
                <c:pt idx="4">
                  <c:v>42.484969939879761</c:v>
                </c:pt>
                <c:pt idx="5">
                  <c:v>40.299999999999997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145869312"/>
        <c:axId val="145292608"/>
      </c:barChart>
      <c:catAx>
        <c:axId val="109967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5292032"/>
        <c:crosses val="autoZero"/>
        <c:auto val="1"/>
        <c:lblAlgn val="ctr"/>
        <c:lblOffset val="100"/>
        <c:noMultiLvlLbl val="0"/>
      </c:catAx>
      <c:valAx>
        <c:axId val="145292032"/>
        <c:scaling>
          <c:orientation val="minMax"/>
          <c:max val="2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2093175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9967360"/>
        <c:crosses val="autoZero"/>
        <c:crossBetween val="between"/>
      </c:valAx>
      <c:catAx>
        <c:axId val="145869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5292608"/>
        <c:crosses val="autoZero"/>
        <c:auto val="1"/>
        <c:lblAlgn val="ctr"/>
        <c:lblOffset val="100"/>
        <c:noMultiLvlLbl val="0"/>
      </c:catAx>
      <c:valAx>
        <c:axId val="145292608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466207349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8693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13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Bajo Cauca - Antioquia- Colombia 2018</a:t>
            </a:r>
          </a:p>
        </c:rich>
      </c:tx>
      <c:layout>
        <c:manualLayout>
          <c:xMode val="edge"/>
          <c:yMode val="edge"/>
          <c:x val="0.17977430486163851"/>
          <c:y val="1.1976032065759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'CONSOLIDADO-ACUEDUCTOSRURALES2'!$B$131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2"/>
              <c:layout>
                <c:manualLayout>
                  <c:x val="1.6920473773265031E-3"/>
                  <c:y val="-2.547770700636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'CONSOLIDADO-ACUEDUCTOSRURALES2'!$A$132:$A$137</c:f>
              <c:strCache>
                <c:ptCount val="6"/>
                <c:pt idx="0">
                  <c:v>Caucasia</c:v>
                </c:pt>
                <c:pt idx="1">
                  <c:v>Cáceres</c:v>
                </c:pt>
                <c:pt idx="2">
                  <c:v>El Bagre</c:v>
                </c:pt>
                <c:pt idx="3">
                  <c:v>Nechi</c:v>
                </c:pt>
                <c:pt idx="4">
                  <c:v>Tarazá</c:v>
                </c:pt>
                <c:pt idx="5">
                  <c:v>Zaragoza</c:v>
                </c:pt>
              </c:strCache>
            </c:strRef>
          </c:cat>
          <c:val>
            <c:numRef>
              <c:f>'CONSOLIDADO-ACUEDUCTOSRURALES2'!$B$132:$B$137</c:f>
              <c:numCache>
                <c:formatCode>General</c:formatCode>
                <c:ptCount val="6"/>
                <c:pt idx="0">
                  <c:v>20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overlap val="-78"/>
        <c:axId val="145868288"/>
        <c:axId val="145795328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'CONSOLIDADO-ACUEDUCTOSRURALES2'!$C$132:$C$137</c:f>
              <c:numCache>
                <c:formatCode>0.0</c:formatCode>
                <c:ptCount val="6"/>
                <c:pt idx="0">
                  <c:v>33.333333333333329</c:v>
                </c:pt>
                <c:pt idx="1">
                  <c:v>13.333333333333334</c:v>
                </c:pt>
                <c:pt idx="2">
                  <c:v>3.3333333333333335</c:v>
                </c:pt>
                <c:pt idx="3">
                  <c:v>8.3333333333333321</c:v>
                </c:pt>
                <c:pt idx="4">
                  <c:v>15</c:v>
                </c:pt>
                <c:pt idx="5">
                  <c:v>26.666666666666668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2"/>
        <c:axId val="145676288"/>
        <c:axId val="145795904"/>
      </c:barChart>
      <c:catAx>
        <c:axId val="1458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795328"/>
        <c:crossesAt val="0"/>
        <c:auto val="1"/>
        <c:lblAlgn val="ctr"/>
        <c:lblOffset val="100"/>
        <c:noMultiLvlLbl val="0"/>
      </c:catAx>
      <c:valAx>
        <c:axId val="145795328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61635028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868288"/>
        <c:crosses val="autoZero"/>
        <c:crossBetween val="between"/>
        <c:majorUnit val="5"/>
      </c:valAx>
      <c:catAx>
        <c:axId val="14567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795904"/>
        <c:crosses val="autoZero"/>
        <c:auto val="1"/>
        <c:lblAlgn val="ctr"/>
        <c:lblOffset val="100"/>
        <c:noMultiLvlLbl val="0"/>
      </c:catAx>
      <c:valAx>
        <c:axId val="145795904"/>
        <c:scaling>
          <c:orientation val="minMax"/>
          <c:max val="6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676288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4187674221"/>
          <c:w val="0.4600726114819404"/>
          <c:h val="6.0105800728397329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14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subregión  Bajo Cauca- Antioquia - Colombia  2018</a:t>
            </a:r>
          </a:p>
        </c:rich>
      </c:tx>
      <c:layout/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'CONSOLIDADO-ACUEDUCTOSRURALES2'!$B$131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8966539601863616E-2"/>
                  <c:y val="9.281351041882096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437526471833968E-2"/>
                  <c:y val="3.8414738387586611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519985192448146E-2"/>
                  <c:y val="2.55418745302577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35758143319759744"/>
                  <c:y val="2.56810947958859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6405486798267122"/>
                  <c:y val="-2.57436430311677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('CONSOLIDADO-ACUEDUCTOSRURALES2'!$D$131,'CONSOLIDADO-ACUEDUCTOSRURALES2'!$F$131,'CONSOLIDADO-ACUEDUCTOSRURALES2'!$H$131,'CONSOLIDADO-ACUEDUCTOSRURALES2'!$J$131,'CONSOLIDADO-ACUEDUCTOSRURALES2'!$L$131,'CONSOLIDADO-ACUEDUCTOSRURALES2'!$N$131)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('CONSOLIDADO-ACUEDUCTOSRURALES2'!$D$138,'CONSOLIDADO-ACUEDUCTOSRURALES2'!$F$138,'CONSOLIDADO-ACUEDUCTOSRURALES2'!$H$138,'CONSOLIDADO-ACUEDUCTOSRURALES2'!$J$138,'CONSOLIDADO-ACUEDUCTOSRURALES2'!$L$138,'CONSOLIDADO-ACUEDUCTOSRURALES2'!$N$138)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38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145867776"/>
        <c:axId val="145797632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'CONSOLIDADO-ACUEDUCTOSRURALES2'!$C$131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('CONSOLIDADO-ACUEDUCTOSRURALES2'!$E$138,'CONSOLIDADO-ACUEDUCTOSRURALES2'!$G$138,'CONSOLIDADO-ACUEDUCTOSRURALES2'!$I$138,'CONSOLIDADO-ACUEDUCTOSRURALES2'!$K$138,'CONSOLIDADO-ACUEDUCTOSRURALES2'!$M$138,'CONSOLIDADO-ACUEDUCTOSRURALES2'!$O$138)</c:f>
              <c:numCache>
                <c:formatCode>0.0</c:formatCode>
                <c:ptCount val="6"/>
                <c:pt idx="0">
                  <c:v>0</c:v>
                </c:pt>
                <c:pt idx="1">
                  <c:v>1.6666666666666667</c:v>
                </c:pt>
                <c:pt idx="2">
                  <c:v>1.6666666666666667</c:v>
                </c:pt>
                <c:pt idx="3">
                  <c:v>5</c:v>
                </c:pt>
                <c:pt idx="4">
                  <c:v>63.333333333333329</c:v>
                </c:pt>
                <c:pt idx="5">
                  <c:v>28.333333333333332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146494464"/>
        <c:axId val="145798208"/>
      </c:barChart>
      <c:catAx>
        <c:axId val="1458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5797632"/>
        <c:crosses val="autoZero"/>
        <c:auto val="1"/>
        <c:lblAlgn val="ctr"/>
        <c:lblOffset val="100"/>
        <c:noMultiLvlLbl val="0"/>
      </c:catAx>
      <c:valAx>
        <c:axId val="145797632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1493607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867776"/>
        <c:crosses val="autoZero"/>
        <c:crossBetween val="between"/>
      </c:valAx>
      <c:catAx>
        <c:axId val="146494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5798208"/>
        <c:crosses val="autoZero"/>
        <c:auto val="1"/>
        <c:lblAlgn val="ctr"/>
        <c:lblOffset val="100"/>
        <c:noMultiLvlLbl val="0"/>
      </c:catAx>
      <c:valAx>
        <c:axId val="145798208"/>
        <c:scaling>
          <c:orientation val="minMax"/>
          <c:max val="75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40953579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4944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15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Magdalena Medio- Antioquia- Colombia 2018</a:t>
            </a:r>
          </a:p>
        </c:rich>
      </c:tx>
      <c:layout>
        <c:manualLayout>
          <c:xMode val="edge"/>
          <c:yMode val="edge"/>
          <c:x val="0.17977430486163851"/>
          <c:y val="1.19760466834849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'CONSOLIDADO-ACUEDUCTOSRURALES2'!$B$142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'CONSOLIDADO-ACUEDUCTOSRURALES2'!$A$143:$A$148</c:f>
              <c:strCache>
                <c:ptCount val="6"/>
                <c:pt idx="0">
                  <c:v>Caracolí</c:v>
                </c:pt>
                <c:pt idx="1">
                  <c:v>Maceo</c:v>
                </c:pt>
                <c:pt idx="2">
                  <c:v>Puerto Berrio</c:v>
                </c:pt>
                <c:pt idx="3">
                  <c:v>Puerto Nare</c:v>
                </c:pt>
                <c:pt idx="4">
                  <c:v>Puerto Triunfo</c:v>
                </c:pt>
                <c:pt idx="5">
                  <c:v>Yondo</c:v>
                </c:pt>
              </c:strCache>
            </c:strRef>
          </c:cat>
          <c:val>
            <c:numRef>
              <c:f>'CONSOLIDADO-ACUEDUCTOSRURALES2'!$B$143:$B$148</c:f>
              <c:numCache>
                <c:formatCode>General</c:formatCode>
                <c:ptCount val="6"/>
                <c:pt idx="0">
                  <c:v>9</c:v>
                </c:pt>
                <c:pt idx="1">
                  <c:v>6</c:v>
                </c:pt>
                <c:pt idx="2">
                  <c:v>15</c:v>
                </c:pt>
                <c:pt idx="3">
                  <c:v>7</c:v>
                </c:pt>
                <c:pt idx="4">
                  <c:v>11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78"/>
        <c:axId val="146135552"/>
        <c:axId val="146194432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'CONSOLIDADO-ACUEDUCTOSRURALES2'!$C$143:$C$148</c:f>
              <c:numCache>
                <c:formatCode>0.0</c:formatCode>
                <c:ptCount val="6"/>
                <c:pt idx="0">
                  <c:v>13.043478260869565</c:v>
                </c:pt>
                <c:pt idx="1">
                  <c:v>8.695652173913043</c:v>
                </c:pt>
                <c:pt idx="2">
                  <c:v>21.739130434782609</c:v>
                </c:pt>
                <c:pt idx="3">
                  <c:v>10.144927536231885</c:v>
                </c:pt>
                <c:pt idx="4">
                  <c:v>15.942028985507244</c:v>
                </c:pt>
                <c:pt idx="5">
                  <c:v>30.434782608695656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2"/>
        <c:axId val="146493440"/>
        <c:axId val="146195008"/>
      </c:barChart>
      <c:catAx>
        <c:axId val="1461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194432"/>
        <c:crossesAt val="0"/>
        <c:auto val="1"/>
        <c:lblAlgn val="ctr"/>
        <c:lblOffset val="100"/>
        <c:noMultiLvlLbl val="0"/>
      </c:catAx>
      <c:valAx>
        <c:axId val="146194432"/>
        <c:scaling>
          <c:orientation val="minMax"/>
          <c:max val="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47017302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135552"/>
        <c:crosses val="autoZero"/>
        <c:crossBetween val="between"/>
        <c:majorUnit val="5"/>
      </c:valAx>
      <c:catAx>
        <c:axId val="14649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195008"/>
        <c:crosses val="autoZero"/>
        <c:auto val="1"/>
        <c:lblAlgn val="ctr"/>
        <c:lblOffset val="100"/>
        <c:noMultiLvlLbl val="0"/>
      </c:catAx>
      <c:valAx>
        <c:axId val="146195008"/>
        <c:scaling>
          <c:orientation val="minMax"/>
          <c:max val="5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493440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1431083251"/>
          <c:w val="0.4600726114819404"/>
          <c:h val="6.0105700379685545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16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psubregión  Magdalena Medio- Antioquia - Colombia  2018</a:t>
            </a:r>
          </a:p>
        </c:rich>
      </c:tx>
      <c:layout/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'CONSOLIDADO-ACUEDUCTOSRURALES2'!$B$142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9.8263314290288048E-2"/>
                  <c:y val="5.14718897132087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706453624681915"/>
                  <c:y val="2.5722796211167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70960189696751E-2"/>
                  <c:y val="2.61071412316235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1850910631088519"/>
                  <c:y val="5.12311683582914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677888389745437"/>
                  <c:y val="2.56964989202939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9959052450082874"/>
                  <c:y val="5.118261951360125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('CONSOLIDADO-ACUEDUCTOSRURALES2'!$D$142,'CONSOLIDADO-ACUEDUCTOSRURALES2'!$F$142,'CONSOLIDADO-ACUEDUCTOSRURALES2'!$H$142,'CONSOLIDADO-ACUEDUCTOSRURALES2'!$J$142,'CONSOLIDADO-ACUEDUCTOSRURALES2'!$L$142,'CONSOLIDADO-ACUEDUCTOSRURALES2'!$N$142)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('CONSOLIDADO-ACUEDUCTOSRURALES2'!$D$149,'CONSOLIDADO-ACUEDUCTOSRURALES2'!$F$149,'CONSOLIDADO-ACUEDUCTOSRURALES2'!$H$149,'CONSOLIDADO-ACUEDUCTOSRURALES2'!$J$149,'CONSOLIDADO-ACUEDUCTOSRURALES2'!$L$149,'CONSOLIDADO-ACUEDUCTOSRURALES2'!$N$149)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19</c:v>
                </c:pt>
                <c:pt idx="4">
                  <c:v>16</c:v>
                </c:pt>
                <c:pt idx="5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146495488"/>
        <c:axId val="146196736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'CONSOLIDADO-ACUEDUCTOSRURALES2'!$C$142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459811170363242E-3"/>
                  <c:y val="-3.3777300973625085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('CONSOLIDADO-ACUEDUCTOSRURALES2'!$E$149,'CONSOLIDADO-ACUEDUCTOSRURALES2'!$G$149,'CONSOLIDADO-ACUEDUCTOSRURALES2'!$I$149,'CONSOLIDADO-ACUEDUCTOSRURALES2'!$K$149,'CONSOLIDADO-ACUEDUCTOSRURALES2'!$M$149,'CONSOLIDADO-ACUEDUCTOSRURALES2'!$O$149)</c:f>
              <c:numCache>
                <c:formatCode>0.0</c:formatCode>
                <c:ptCount val="6"/>
                <c:pt idx="0">
                  <c:v>7.2463768115942031</c:v>
                </c:pt>
                <c:pt idx="1">
                  <c:v>10.144927536231885</c:v>
                </c:pt>
                <c:pt idx="2">
                  <c:v>5.7971014492753623</c:v>
                </c:pt>
                <c:pt idx="3">
                  <c:v>27.536231884057973</c:v>
                </c:pt>
                <c:pt idx="4">
                  <c:v>23.188405797101449</c:v>
                </c:pt>
                <c:pt idx="5">
                  <c:v>26.086956521739129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146579456"/>
        <c:axId val="146197312"/>
      </c:barChart>
      <c:catAx>
        <c:axId val="14649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196736"/>
        <c:crosses val="autoZero"/>
        <c:auto val="1"/>
        <c:lblAlgn val="ctr"/>
        <c:lblOffset val="100"/>
        <c:noMultiLvlLbl val="0"/>
      </c:catAx>
      <c:valAx>
        <c:axId val="146196736"/>
        <c:scaling>
          <c:orientation val="minMax"/>
          <c:max val="2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1493607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495488"/>
        <c:crosses val="autoZero"/>
        <c:crossBetween val="between"/>
      </c:valAx>
      <c:catAx>
        <c:axId val="146579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6197312"/>
        <c:crosses val="autoZero"/>
        <c:auto val="1"/>
        <c:lblAlgn val="ctr"/>
        <c:lblOffset val="100"/>
        <c:noMultiLvlLbl val="0"/>
      </c:catAx>
      <c:valAx>
        <c:axId val="146197312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40953579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579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17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Nordeste Antioquia- Colombia 2018</a:t>
            </a:r>
          </a:p>
        </c:rich>
      </c:tx>
      <c:layout>
        <c:manualLayout>
          <c:xMode val="edge"/>
          <c:yMode val="edge"/>
          <c:x val="0.17977430486163851"/>
          <c:y val="1.1976032065759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'CONSOLIDADO-ACUEDUCTOSRURALES2'!$B$154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'CONSOLIDADO-ACUEDUCTOSRURALES2'!$A$155:$A$164</c:f>
              <c:strCache>
                <c:ptCount val="10"/>
                <c:pt idx="0">
                  <c:v>Amalfi</c:v>
                </c:pt>
                <c:pt idx="1">
                  <c:v>Anori</c:v>
                </c:pt>
                <c:pt idx="2">
                  <c:v>Cisneros</c:v>
                </c:pt>
                <c:pt idx="3">
                  <c:v>Remedios</c:v>
                </c:pt>
                <c:pt idx="4">
                  <c:v>San Roque</c:v>
                </c:pt>
                <c:pt idx="5">
                  <c:v>Santo Domingo</c:v>
                </c:pt>
                <c:pt idx="6">
                  <c:v>Segovia</c:v>
                </c:pt>
                <c:pt idx="7">
                  <c:v>Vegachi</c:v>
                </c:pt>
                <c:pt idx="8">
                  <c:v>Yali</c:v>
                </c:pt>
                <c:pt idx="9">
                  <c:v>Yolombo</c:v>
                </c:pt>
              </c:strCache>
            </c:strRef>
          </c:cat>
          <c:val>
            <c:numRef>
              <c:f>'CONSOLIDADO-ACUEDUCTOSRURALES2'!$B$155:$B$164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33</c:v>
                </c:pt>
                <c:pt idx="5">
                  <c:v>17</c:v>
                </c:pt>
                <c:pt idx="6">
                  <c:v>12</c:v>
                </c:pt>
                <c:pt idx="7">
                  <c:v>4</c:v>
                </c:pt>
                <c:pt idx="8">
                  <c:v>10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overlap val="-65"/>
        <c:axId val="146496000"/>
        <c:axId val="146200768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'CONSOLIDADO-ACUEDUCTOSRURALES2'!$C$155:$C$164</c:f>
              <c:numCache>
                <c:formatCode>0.0</c:formatCode>
                <c:ptCount val="10"/>
                <c:pt idx="0">
                  <c:v>5.4545454545454541</c:v>
                </c:pt>
                <c:pt idx="1">
                  <c:v>3.6363636363636362</c:v>
                </c:pt>
                <c:pt idx="2">
                  <c:v>2.7272727272727271</c:v>
                </c:pt>
                <c:pt idx="3">
                  <c:v>6.3636363636363633</c:v>
                </c:pt>
                <c:pt idx="4">
                  <c:v>30</c:v>
                </c:pt>
                <c:pt idx="5">
                  <c:v>15.454545454545453</c:v>
                </c:pt>
                <c:pt idx="6">
                  <c:v>10.909090909090908</c:v>
                </c:pt>
                <c:pt idx="7">
                  <c:v>3.6363636363636362</c:v>
                </c:pt>
                <c:pt idx="8">
                  <c:v>9.0909090909090917</c:v>
                </c:pt>
                <c:pt idx="9">
                  <c:v>12.727272727272727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146580480"/>
        <c:axId val="146201344"/>
      </c:barChart>
      <c:catAx>
        <c:axId val="14649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200768"/>
        <c:crossesAt val="0"/>
        <c:auto val="1"/>
        <c:lblAlgn val="ctr"/>
        <c:lblOffset val="100"/>
        <c:noMultiLvlLbl val="0"/>
      </c:catAx>
      <c:valAx>
        <c:axId val="146200768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61635028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496000"/>
        <c:crosses val="autoZero"/>
        <c:crossBetween val="between"/>
        <c:majorUnit val="5"/>
      </c:valAx>
      <c:catAx>
        <c:axId val="14658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201344"/>
        <c:crosses val="autoZero"/>
        <c:auto val="1"/>
        <c:lblAlgn val="ctr"/>
        <c:lblOffset val="100"/>
        <c:noMultiLvlLbl val="0"/>
      </c:catAx>
      <c:valAx>
        <c:axId val="146201344"/>
        <c:scaling>
          <c:orientation val="minMax"/>
          <c:max val="5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580480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4187674221"/>
          <c:w val="0.4600726114819404"/>
          <c:h val="6.0105800728397329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18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subregión  Nordeste - Antioquia - Colombia  2018</a:t>
            </a:r>
          </a:p>
        </c:rich>
      </c:tx>
      <c:layout/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9997798877427489"/>
          <c:y val="0.20548497354229434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'CONSOLIDADO-ACUEDUCTOSRURALES2'!$B$154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082578781845408E-2"/>
                  <c:y val="2.58146188318090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272075425133513E-2"/>
                  <c:y val="3.23866971641398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3883814078513375E-2"/>
                  <c:y val="7.75552573613185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957378262914093E-2"/>
                  <c:y val="2.55573841051219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36774661744156184"/>
                  <c:y val="7.710762842747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2508832838080755"/>
                  <c:y val="2.55249765804997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('CONSOLIDADO-ACUEDUCTOSRURALES2'!$D$154,'CONSOLIDADO-ACUEDUCTOSRURALES2'!$F$154,'CONSOLIDADO-ACUEDUCTOSRURALES2'!$H$154,'CONSOLIDADO-ACUEDUCTOSRURALES2'!$J$154,'CONSOLIDADO-ACUEDUCTOSRURALES2'!$L$154,'CONSOLIDADO-ACUEDUCTOSRURALES2'!$N$154)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('CONSOLIDADO-ACUEDUCTOSRURALES2'!$D$165,'CONSOLIDADO-ACUEDUCTOSRURALES2'!$F$165,'CONSOLIDADO-ACUEDUCTOSRURALES2'!$H$165,'CONSOLIDADO-ACUEDUCTOSRURALES2'!$J$165,'CONSOLIDADO-ACUEDUCTOSRURALES2'!$L$165,'CONSOLIDADO-ACUEDUCTOSRURALES2'!$N$165)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13</c:v>
                </c:pt>
                <c:pt idx="4">
                  <c:v>65</c:v>
                </c:pt>
                <c:pt idx="5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146429952"/>
        <c:axId val="146743872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'CONSOLIDADO-ACUEDUCTOSRURALES2'!$C$154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459811170363242E-3"/>
                  <c:y val="-3.3777300973625085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('CONSOLIDADO-ACUEDUCTOSRURALES2'!$E$165,'CONSOLIDADO-ACUEDUCTOSRURALES2'!$G$165,'CONSOLIDADO-ACUEDUCTOSRURALES2'!$I$165,'CONSOLIDADO-ACUEDUCTOSRURALES2'!$K$165,'CONSOLIDADO-ACUEDUCTOSRURALES2'!$M$165,'CONSOLIDADO-ACUEDUCTOSRURALES2'!$O$165)</c:f>
              <c:numCache>
                <c:formatCode>0.0</c:formatCode>
                <c:ptCount val="6"/>
                <c:pt idx="0">
                  <c:v>8.1818181818181817</c:v>
                </c:pt>
                <c:pt idx="1">
                  <c:v>1.8181818181818181</c:v>
                </c:pt>
                <c:pt idx="2">
                  <c:v>2.7272727272727271</c:v>
                </c:pt>
                <c:pt idx="3">
                  <c:v>11.818181818181818</c:v>
                </c:pt>
                <c:pt idx="4">
                  <c:v>59.090909090909093</c:v>
                </c:pt>
                <c:pt idx="5">
                  <c:v>16.363636363636363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146728960"/>
        <c:axId val="146744448"/>
      </c:barChart>
      <c:catAx>
        <c:axId val="146429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743872"/>
        <c:crosses val="autoZero"/>
        <c:auto val="1"/>
        <c:lblAlgn val="ctr"/>
        <c:lblOffset val="100"/>
        <c:noMultiLvlLbl val="0"/>
      </c:catAx>
      <c:valAx>
        <c:axId val="146743872"/>
        <c:scaling>
          <c:orientation val="minMax"/>
          <c:max val="7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2093175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429952"/>
        <c:crosses val="autoZero"/>
        <c:crossBetween val="between"/>
      </c:valAx>
      <c:catAx>
        <c:axId val="146728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6744448"/>
        <c:crosses val="autoZero"/>
        <c:auto val="1"/>
        <c:lblAlgn val="ctr"/>
        <c:lblOffset val="100"/>
        <c:noMultiLvlLbl val="0"/>
      </c:catAx>
      <c:valAx>
        <c:axId val="146744448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466207349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728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19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Oriente   A ntioquia- Colombia 2018</a:t>
            </a:r>
          </a:p>
        </c:rich>
      </c:tx>
      <c:layout>
        <c:manualLayout>
          <c:xMode val="edge"/>
          <c:yMode val="edge"/>
          <c:x val="0.17977430486163851"/>
          <c:y val="1.19760908792650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'CONSOLIDADO-ACUEDUCTOSRURALES2'!$B$170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'CONSOLIDADO-ACUEDUCTOSRURALES2'!$A$171:$A$193</c:f>
              <c:strCache>
                <c:ptCount val="23"/>
                <c:pt idx="0">
                  <c:v>Abejorral</c:v>
                </c:pt>
                <c:pt idx="1">
                  <c:v>Alejandría</c:v>
                </c:pt>
                <c:pt idx="2">
                  <c:v>Argelia</c:v>
                </c:pt>
                <c:pt idx="3">
                  <c:v>Cocorná</c:v>
                </c:pt>
                <c:pt idx="4">
                  <c:v>Concepción</c:v>
                </c:pt>
                <c:pt idx="5">
                  <c:v>El Carmen de Viboral</c:v>
                </c:pt>
                <c:pt idx="6">
                  <c:v>El Peñol</c:v>
                </c:pt>
                <c:pt idx="7">
                  <c:v>El Retiro</c:v>
                </c:pt>
                <c:pt idx="8">
                  <c:v>El Santuario</c:v>
                </c:pt>
                <c:pt idx="9">
                  <c:v>Granada</c:v>
                </c:pt>
                <c:pt idx="10">
                  <c:v>Guarne</c:v>
                </c:pt>
                <c:pt idx="11">
                  <c:v>Guatapé</c:v>
                </c:pt>
                <c:pt idx="12">
                  <c:v>La Ceja</c:v>
                </c:pt>
                <c:pt idx="13">
                  <c:v>La Unión</c:v>
                </c:pt>
                <c:pt idx="14">
                  <c:v>Marinilla</c:v>
                </c:pt>
                <c:pt idx="15">
                  <c:v>Nariño</c:v>
                </c:pt>
                <c:pt idx="16">
                  <c:v>Rionegro</c:v>
                </c:pt>
                <c:pt idx="17">
                  <c:v>San Carlos</c:v>
                </c:pt>
                <c:pt idx="18">
                  <c:v>San Francisco</c:v>
                </c:pt>
                <c:pt idx="19">
                  <c:v>San Luis</c:v>
                </c:pt>
                <c:pt idx="20">
                  <c:v>San Rafael</c:v>
                </c:pt>
                <c:pt idx="21">
                  <c:v>San Vicente</c:v>
                </c:pt>
                <c:pt idx="22">
                  <c:v>Sonsón</c:v>
                </c:pt>
              </c:strCache>
            </c:strRef>
          </c:cat>
          <c:val>
            <c:numRef>
              <c:f>'CONSOLIDADO-ACUEDUCTOSRURALES2'!$B$171:$B$193</c:f>
              <c:numCache>
                <c:formatCode>General</c:formatCode>
                <c:ptCount val="23"/>
                <c:pt idx="0">
                  <c:v>50</c:v>
                </c:pt>
                <c:pt idx="1">
                  <c:v>7</c:v>
                </c:pt>
                <c:pt idx="2">
                  <c:v>19</c:v>
                </c:pt>
                <c:pt idx="3">
                  <c:v>18</c:v>
                </c:pt>
                <c:pt idx="4">
                  <c:v>4</c:v>
                </c:pt>
                <c:pt idx="5">
                  <c:v>34</c:v>
                </c:pt>
                <c:pt idx="6">
                  <c:v>28</c:v>
                </c:pt>
                <c:pt idx="7">
                  <c:v>21</c:v>
                </c:pt>
                <c:pt idx="8">
                  <c:v>37</c:v>
                </c:pt>
                <c:pt idx="9">
                  <c:v>23</c:v>
                </c:pt>
                <c:pt idx="10">
                  <c:v>79</c:v>
                </c:pt>
                <c:pt idx="11">
                  <c:v>4</c:v>
                </c:pt>
                <c:pt idx="12">
                  <c:v>18</c:v>
                </c:pt>
                <c:pt idx="13">
                  <c:v>18</c:v>
                </c:pt>
                <c:pt idx="14">
                  <c:v>38</c:v>
                </c:pt>
                <c:pt idx="15">
                  <c:v>11</c:v>
                </c:pt>
                <c:pt idx="16">
                  <c:v>21</c:v>
                </c:pt>
                <c:pt idx="17">
                  <c:v>15</c:v>
                </c:pt>
                <c:pt idx="18">
                  <c:v>7</c:v>
                </c:pt>
                <c:pt idx="19">
                  <c:v>9</c:v>
                </c:pt>
                <c:pt idx="20">
                  <c:v>16</c:v>
                </c:pt>
                <c:pt idx="21">
                  <c:v>43</c:v>
                </c:pt>
                <c:pt idx="2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-78"/>
        <c:axId val="146727424"/>
        <c:axId val="146747904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0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'CONSOLIDADO-ACUEDUCTOSRURALES2'!$C$171:$C$193</c:f>
              <c:numCache>
                <c:formatCode>0.0</c:formatCode>
                <c:ptCount val="23"/>
                <c:pt idx="0">
                  <c:v>9.3109869646182499</c:v>
                </c:pt>
                <c:pt idx="1">
                  <c:v>1.3035381750465549</c:v>
                </c:pt>
                <c:pt idx="2">
                  <c:v>3.5381750465549344</c:v>
                </c:pt>
                <c:pt idx="3">
                  <c:v>3.3519553072625698</c:v>
                </c:pt>
                <c:pt idx="4">
                  <c:v>0.74487895716945995</c:v>
                </c:pt>
                <c:pt idx="5">
                  <c:v>6.3314711359404097</c:v>
                </c:pt>
                <c:pt idx="6">
                  <c:v>5.2141527001862196</c:v>
                </c:pt>
                <c:pt idx="7">
                  <c:v>3.9106145251396649</c:v>
                </c:pt>
                <c:pt idx="8">
                  <c:v>6.8901303538175043</c:v>
                </c:pt>
                <c:pt idx="9">
                  <c:v>4.2830540037243949</c:v>
                </c:pt>
                <c:pt idx="10">
                  <c:v>14.711359404096836</c:v>
                </c:pt>
                <c:pt idx="11">
                  <c:v>0.74487895716945995</c:v>
                </c:pt>
                <c:pt idx="12">
                  <c:v>3.3519553072625698</c:v>
                </c:pt>
                <c:pt idx="13">
                  <c:v>3.3519553072625698</c:v>
                </c:pt>
                <c:pt idx="14">
                  <c:v>7.0763500931098688</c:v>
                </c:pt>
                <c:pt idx="15">
                  <c:v>2.0484171322160147</c:v>
                </c:pt>
                <c:pt idx="16">
                  <c:v>3.9106145251396649</c:v>
                </c:pt>
                <c:pt idx="17">
                  <c:v>2.7932960893854748</c:v>
                </c:pt>
                <c:pt idx="18">
                  <c:v>1.3035381750465549</c:v>
                </c:pt>
                <c:pt idx="19">
                  <c:v>1.6759776536312849</c:v>
                </c:pt>
                <c:pt idx="20">
                  <c:v>2.9795158286778398</c:v>
                </c:pt>
                <c:pt idx="21">
                  <c:v>8.0074487895716953</c:v>
                </c:pt>
                <c:pt idx="22">
                  <c:v>3.1657355679702048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146729984"/>
        <c:axId val="146748480"/>
      </c:barChart>
      <c:catAx>
        <c:axId val="14672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747904"/>
        <c:crossesAt val="0"/>
        <c:auto val="1"/>
        <c:lblAlgn val="ctr"/>
        <c:lblOffset val="100"/>
        <c:noMultiLvlLbl val="0"/>
      </c:catAx>
      <c:valAx>
        <c:axId val="146747904"/>
        <c:scaling>
          <c:orientation val="minMax"/>
          <c:max val="8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02821522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727424"/>
        <c:crosses val="autoZero"/>
        <c:crossBetween val="between"/>
        <c:majorUnit val="20"/>
      </c:valAx>
      <c:catAx>
        <c:axId val="14672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748480"/>
        <c:crosses val="autoZero"/>
        <c:auto val="1"/>
        <c:lblAlgn val="ctr"/>
        <c:lblOffset val="100"/>
        <c:noMultiLvlLbl val="0"/>
      </c:catAx>
      <c:valAx>
        <c:axId val="146748480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729984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5459317579"/>
          <c:w val="0.4600726114819404"/>
          <c:h val="6.0105807086614171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por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Antioquia - Colombia 2018</a:t>
            </a:r>
          </a:p>
        </c:rich>
      </c:tx>
      <c:layout>
        <c:manualLayout>
          <c:xMode val="edge"/>
          <c:yMode val="edge"/>
          <c:x val="0.17977430486163851"/>
          <c:y val="1.1976002999625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1739752530933634"/>
          <c:w val="0.71471119175642162"/>
          <c:h val="0.6203760529933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'CONSOLIDADO-ACUEDUCTOSRURALES2'!$B$7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'CONSOLIDADO-ACUEDUCTOSRURALES2'!$B$8:$B$16</c:f>
              <c:numCache>
                <c:formatCode>General</c:formatCode>
                <c:ptCount val="9"/>
                <c:pt idx="0">
                  <c:v>198</c:v>
                </c:pt>
                <c:pt idx="1">
                  <c:v>121</c:v>
                </c:pt>
                <c:pt idx="2">
                  <c:v>255</c:v>
                </c:pt>
                <c:pt idx="3">
                  <c:v>497</c:v>
                </c:pt>
                <c:pt idx="4">
                  <c:v>499</c:v>
                </c:pt>
                <c:pt idx="5">
                  <c:v>60</c:v>
                </c:pt>
                <c:pt idx="6">
                  <c:v>69</c:v>
                </c:pt>
                <c:pt idx="7">
                  <c:v>110</c:v>
                </c:pt>
                <c:pt idx="8">
                  <c:v>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-78"/>
        <c:axId val="109968384"/>
        <c:axId val="144395072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'CONSOLIDADO-ACUEDUCTOSRURALES2'!$C$7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19050">
              <a:prstDash val="sysDash"/>
            </a:ln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'CONSOLIDADO-ACUEDUCTOSRURALES2'!$A$8:$A$16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'CONSOLIDADO-ACUEDUCTOSRURALES2'!$C$8:$C$16</c:f>
              <c:numCache>
                <c:formatCode>0.0</c:formatCode>
                <c:ptCount val="9"/>
                <c:pt idx="0">
                  <c:v>8.4398976982097178</c:v>
                </c:pt>
                <c:pt idx="1">
                  <c:v>5.1577152600170502</c:v>
                </c:pt>
                <c:pt idx="2">
                  <c:v>10.869565217391305</c:v>
                </c:pt>
                <c:pt idx="3">
                  <c:v>21.184995737425403</c:v>
                </c:pt>
                <c:pt idx="4">
                  <c:v>21.270247229326515</c:v>
                </c:pt>
                <c:pt idx="5">
                  <c:v>2.5575447570332481</c:v>
                </c:pt>
                <c:pt idx="6">
                  <c:v>2.9411764705882351</c:v>
                </c:pt>
                <c:pt idx="7">
                  <c:v>4.6888320545609545</c:v>
                </c:pt>
                <c:pt idx="8">
                  <c:v>22.89002557544757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axId val="117712384"/>
        <c:axId val="144395648"/>
      </c:barChart>
      <c:catAx>
        <c:axId val="10996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395072"/>
        <c:crossesAt val="0"/>
        <c:auto val="1"/>
        <c:lblAlgn val="ctr"/>
        <c:lblOffset val="100"/>
        <c:noMultiLvlLbl val="0"/>
      </c:catAx>
      <c:valAx>
        <c:axId val="144395072"/>
        <c:scaling>
          <c:orientation val="minMax"/>
          <c:max val="550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9968384"/>
        <c:crosses val="autoZero"/>
        <c:crossBetween val="between"/>
        <c:majorUnit val="80"/>
      </c:valAx>
      <c:catAx>
        <c:axId val="11771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395648"/>
        <c:crosses val="autoZero"/>
        <c:auto val="1"/>
        <c:lblAlgn val="ctr"/>
        <c:lblOffset val="100"/>
        <c:noMultiLvlLbl val="0"/>
      </c:catAx>
      <c:valAx>
        <c:axId val="144395648"/>
        <c:scaling>
          <c:orientation val="minMax"/>
          <c:max val="4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7712384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39026700607"/>
          <c:w val="0.4600726114819404"/>
          <c:h val="6.0105973595405815E-2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20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subregión  Oriente - Antioquia - Colombia  2018</a:t>
            </a:r>
          </a:p>
        </c:rich>
      </c:tx>
      <c:layout/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'CONSOLIDADO-ACUEDUCTOSRURALES2'!$B$170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37102922490470142"/>
                  <c:y val="5.15069935024188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4774968567302"/>
                  <c:y val="3.23866971641398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89961880559085"/>
                  <c:y val="3.8459202882416046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078316608136816"/>
                  <c:y val="-1.6598182296621662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8473067931311635"/>
                  <c:y val="2.56806266825896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2335150926972755"/>
                  <c:y val="-1.9836852013035646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('CONSOLIDADO-ACUEDUCTOSRURALES2'!$D$170,'CONSOLIDADO-ACUEDUCTOSRURALES2'!$F$170,'CONSOLIDADO-ACUEDUCTOSRURALES2'!$H$170,'CONSOLIDADO-ACUEDUCTOSRURALES2'!$J$170,'CONSOLIDADO-ACUEDUCTOSRURALES2'!$L$170,'CONSOLIDADO-ACUEDUCTOSRURALES2'!$N$170)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('CONSOLIDADO-ACUEDUCTOSRURALES2'!$D$194,'CONSOLIDADO-ACUEDUCTOSRURALES2'!$F$194,'CONSOLIDADO-ACUEDUCTOSRURALES2'!$H$194,'CONSOLIDADO-ACUEDUCTOSRURALES2'!$J$194,'CONSOLIDADO-ACUEDUCTOSRURALES2'!$L$194,'CONSOLIDADO-ACUEDUCTOSRURALES2'!$N$194)</c:f>
              <c:numCache>
                <c:formatCode>General</c:formatCode>
                <c:ptCount val="6"/>
                <c:pt idx="0">
                  <c:v>162</c:v>
                </c:pt>
                <c:pt idx="1">
                  <c:v>59</c:v>
                </c:pt>
                <c:pt idx="2">
                  <c:v>45</c:v>
                </c:pt>
                <c:pt idx="3">
                  <c:v>60</c:v>
                </c:pt>
                <c:pt idx="4">
                  <c:v>117</c:v>
                </c:pt>
                <c:pt idx="5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146726912"/>
        <c:axId val="146749056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'CONSOLIDADO-ACUEDUCTOSRURALES2'!$C$170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459811170363242E-3"/>
                  <c:y val="-3.3777300973625085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('CONSOLIDADO-ACUEDUCTOSRURALES2'!$E$194,'CONSOLIDADO-ACUEDUCTOSRURALES2'!$G$194,'CONSOLIDADO-ACUEDUCTOSRURALES2'!$I$194,'CONSOLIDADO-ACUEDUCTOSRURALES2'!$K$194,'CONSOLIDADO-ACUEDUCTOSRURALES2'!$M$194,'CONSOLIDADO-ACUEDUCTOSRURALES2'!$O$194)</c:f>
              <c:numCache>
                <c:formatCode>0.0</c:formatCode>
                <c:ptCount val="6"/>
                <c:pt idx="0">
                  <c:v>30.16759776536313</c:v>
                </c:pt>
                <c:pt idx="1">
                  <c:v>10.986964618249534</c:v>
                </c:pt>
                <c:pt idx="2">
                  <c:v>8.3798882681564244</c:v>
                </c:pt>
                <c:pt idx="3">
                  <c:v>11.173184357541899</c:v>
                </c:pt>
                <c:pt idx="4">
                  <c:v>21.787709497206702</c:v>
                </c:pt>
                <c:pt idx="5">
                  <c:v>17.504655493482311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146952704"/>
        <c:axId val="146749632"/>
      </c:barChart>
      <c:catAx>
        <c:axId val="14672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749056"/>
        <c:crosses val="autoZero"/>
        <c:auto val="1"/>
        <c:lblAlgn val="ctr"/>
        <c:lblOffset val="100"/>
        <c:noMultiLvlLbl val="0"/>
      </c:catAx>
      <c:valAx>
        <c:axId val="146749056"/>
        <c:scaling>
          <c:orientation val="minMax"/>
          <c:max val="16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3906017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726912"/>
        <c:crosses val="autoZero"/>
        <c:crossBetween val="between"/>
      </c:valAx>
      <c:catAx>
        <c:axId val="146952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6749632"/>
        <c:crosses val="autoZero"/>
        <c:auto val="1"/>
        <c:lblAlgn val="ctr"/>
        <c:lblOffset val="100"/>
        <c:noMultiLvlLbl val="0"/>
      </c:catAx>
      <c:valAx>
        <c:axId val="146749632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65272857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6952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3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Valle de Aburra - Antiquia -Colombia 2018</a:t>
            </a:r>
          </a:p>
        </c:rich>
      </c:tx>
      <c:layout>
        <c:manualLayout>
          <c:xMode val="edge"/>
          <c:yMode val="edge"/>
          <c:x val="0.18485044699361819"/>
          <c:y val="1.19760175045817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1739752530933634"/>
          <c:w val="0.71471119175642162"/>
          <c:h val="0.6203760529933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'CONSOLIDADO-ACUEDUCTOSRURALES2'!$B$23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'CONSOLIDADO-ACUEDUCTOSRURALES2'!$A$24:$A$33</c:f>
              <c:strCache>
                <c:ptCount val="10"/>
                <c:pt idx="0">
                  <c:v>Medellín</c:v>
                </c:pt>
                <c:pt idx="1">
                  <c:v>Barbosa</c:v>
                </c:pt>
                <c:pt idx="2">
                  <c:v>Bello</c:v>
                </c:pt>
                <c:pt idx="3">
                  <c:v>Caldas</c:v>
                </c:pt>
                <c:pt idx="4">
                  <c:v>Copacabana</c:v>
                </c:pt>
                <c:pt idx="5">
                  <c:v>Girardota</c:v>
                </c:pt>
                <c:pt idx="6">
                  <c:v>Itagui</c:v>
                </c:pt>
                <c:pt idx="7">
                  <c:v>Envigado</c:v>
                </c:pt>
                <c:pt idx="8">
                  <c:v>Sabaneta</c:v>
                </c:pt>
                <c:pt idx="9">
                  <c:v>La Estrella</c:v>
                </c:pt>
              </c:strCache>
            </c:strRef>
          </c:cat>
          <c:val>
            <c:numRef>
              <c:f>'CONSOLIDADO-ACUEDUCTOSRURALES2'!$B$24:$B$33</c:f>
              <c:numCache>
                <c:formatCode>General</c:formatCode>
                <c:ptCount val="10"/>
                <c:pt idx="0">
                  <c:v>28</c:v>
                </c:pt>
                <c:pt idx="1">
                  <c:v>45</c:v>
                </c:pt>
                <c:pt idx="2">
                  <c:v>16</c:v>
                </c:pt>
                <c:pt idx="3">
                  <c:v>19</c:v>
                </c:pt>
                <c:pt idx="4">
                  <c:v>19</c:v>
                </c:pt>
                <c:pt idx="5">
                  <c:v>31</c:v>
                </c:pt>
                <c:pt idx="6">
                  <c:v>7</c:v>
                </c:pt>
                <c:pt idx="7">
                  <c:v>15</c:v>
                </c:pt>
                <c:pt idx="8">
                  <c:v>7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overlap val="-78"/>
        <c:axId val="144524800"/>
        <c:axId val="144397952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'CONSOLIDADO-ACUEDUCTOSRURALES2'!$C$23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'CONSOLIDADO-ACUEDUCTOSRURALES2'!$A$8:$A$16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'CONSOLIDADO-ACUEDUCTOSRURALES2'!$C$24:$C$33</c:f>
              <c:numCache>
                <c:formatCode>0.0</c:formatCode>
                <c:ptCount val="10"/>
                <c:pt idx="0">
                  <c:v>14.14141414141414</c:v>
                </c:pt>
                <c:pt idx="1">
                  <c:v>22.727272727272727</c:v>
                </c:pt>
                <c:pt idx="2">
                  <c:v>8.0808080808080813</c:v>
                </c:pt>
                <c:pt idx="3">
                  <c:v>9.5959595959595951</c:v>
                </c:pt>
                <c:pt idx="4">
                  <c:v>9.5959595959595951</c:v>
                </c:pt>
                <c:pt idx="5">
                  <c:v>15.656565656565657</c:v>
                </c:pt>
                <c:pt idx="6">
                  <c:v>3.535353535353535</c:v>
                </c:pt>
                <c:pt idx="7">
                  <c:v>7.5757575757575761</c:v>
                </c:pt>
                <c:pt idx="8">
                  <c:v>3.535353535353535</c:v>
                </c:pt>
                <c:pt idx="9">
                  <c:v>5.5555555555555554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6"/>
        <c:axId val="144526336"/>
        <c:axId val="144398528"/>
      </c:barChart>
      <c:catAx>
        <c:axId val="1445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397952"/>
        <c:crossesAt val="0"/>
        <c:auto val="1"/>
        <c:lblAlgn val="ctr"/>
        <c:lblOffset val="100"/>
        <c:noMultiLvlLbl val="0"/>
      </c:catAx>
      <c:valAx>
        <c:axId val="14439795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524800"/>
        <c:crosses val="autoZero"/>
        <c:crossBetween val="between"/>
        <c:majorUnit val="5"/>
      </c:valAx>
      <c:catAx>
        <c:axId val="14452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398528"/>
        <c:crosses val="autoZero"/>
        <c:auto val="1"/>
        <c:lblAlgn val="ctr"/>
        <c:lblOffset val="100"/>
        <c:noMultiLvlLbl val="0"/>
      </c:catAx>
      <c:valAx>
        <c:axId val="144398528"/>
        <c:scaling>
          <c:orientation val="minMax"/>
          <c:max val="4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526336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13719368244"/>
          <c:w val="0.4600726114819404"/>
          <c:h val="6.0105697619519005E-2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4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subregión </a:t>
            </a: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Valle de Aburra-  Antioquia - Colombia  2018</a:t>
            </a:r>
          </a:p>
        </c:rich>
      </c:tx>
      <c:layout/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'CONSOLIDADO-ACUEDUCTOSRURALES2'!$B$23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35239305379076674"/>
                  <c:y val="-2.56369876842308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214712836880141"/>
                  <c:y val="4.037956793862305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55357899195257"/>
                  <c:y val="2.59559862709469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9652689538331217"/>
                  <c:y val="2.2208762366242679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94875052943669"/>
                  <c:y val="-6.0569351907464507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981220422415435E-2"/>
                  <c:y val="2.54371088229355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('CONSOLIDADO-ACUEDUCTOSRURALES2'!$D$23,'CONSOLIDADO-ACUEDUCTOSRURALES2'!$F$23,'CONSOLIDADO-ACUEDUCTOSRURALES2'!$H$23,'CONSOLIDADO-ACUEDUCTOSRURALES2'!$J$23,'CONSOLIDADO-ACUEDUCTOSRURALES2'!$L$23,'CONSOLIDADO-ACUEDUCTOSRURALES2'!$N$23)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('CONSOLIDADO-ACUEDUCTOSRURALES2'!$D$34,'CONSOLIDADO-ACUEDUCTOSRURALES2'!$F$34,'CONSOLIDADO-ACUEDUCTOSRURALES2'!$H$34,'CONSOLIDADO-ACUEDUCTOSRURALES2'!$J$34,'CONSOLIDADO-ACUEDUCTOSRURALES2'!$L$34,'CONSOLIDADO-ACUEDUCTOSRURALES2'!$N$34)</c:f>
              <c:numCache>
                <c:formatCode>General</c:formatCode>
                <c:ptCount val="6"/>
                <c:pt idx="0">
                  <c:v>71</c:v>
                </c:pt>
                <c:pt idx="1">
                  <c:v>25</c:v>
                </c:pt>
                <c:pt idx="2">
                  <c:v>24</c:v>
                </c:pt>
                <c:pt idx="3">
                  <c:v>37</c:v>
                </c:pt>
                <c:pt idx="4">
                  <c:v>30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4"/>
        <c:overlap val="-5"/>
        <c:axId val="144525312"/>
        <c:axId val="144580608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'CONSOLIDADO-ACUEDUCTOSRURALES2'!$C$23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layout>
                <c:manualLayout>
                  <c:x val="-1.7725840178490999E-2"/>
                  <c:y val="5.170611185508475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370002034370859E-3"/>
                  <c:y val="-2.133050676357762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8153191460978745E-3"/>
                  <c:y val="-2.9133858267716534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6961517040356938E-3"/>
                  <c:y val="-5.2392489400363419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('CONSOLIDADO-ACUEDUCTOSRURALES2'!$D$23,'CONSOLIDADO-ACUEDUCTOSRURALES2'!$F$23,'CONSOLIDADO-ACUEDUCTOSRURALES2'!$H$23,'CONSOLIDADO-ACUEDUCTOSRURALES2'!$J$23,'CONSOLIDADO-ACUEDUCTOSRURALES2'!$L$23,'CONSOLIDADO-ACUEDUCTOSRURALES2'!$N$23)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('CONSOLIDADO-ACUEDUCTOSRURALES2'!$E$34,'CONSOLIDADO-ACUEDUCTOSRURALES2'!$G$34,'CONSOLIDADO-ACUEDUCTOSRURALES2'!$I$34,'CONSOLIDADO-ACUEDUCTOSRURALES2'!$K$34,'CONSOLIDADO-ACUEDUCTOSRURALES2'!$M$34,'CONSOLIDADO-ACUEDUCTOSRURALES2'!$O$34)</c:f>
              <c:numCache>
                <c:formatCode>0.0</c:formatCode>
                <c:ptCount val="6"/>
                <c:pt idx="0">
                  <c:v>35.858585858585855</c:v>
                </c:pt>
                <c:pt idx="1">
                  <c:v>12.626262626262626</c:v>
                </c:pt>
                <c:pt idx="2">
                  <c:v>12.121212121212121</c:v>
                </c:pt>
                <c:pt idx="3">
                  <c:v>18.686868686868689</c:v>
                </c:pt>
                <c:pt idx="4">
                  <c:v>15.151515151515152</c:v>
                </c:pt>
                <c:pt idx="5">
                  <c:v>5.5555555555555554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7"/>
        <c:overlap val="-5"/>
        <c:axId val="144724480"/>
        <c:axId val="144581184"/>
      </c:barChart>
      <c:catAx>
        <c:axId val="14452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4580608"/>
        <c:crosses val="autoZero"/>
        <c:auto val="1"/>
        <c:lblAlgn val="ctr"/>
        <c:lblOffset val="100"/>
        <c:noMultiLvlLbl val="0"/>
      </c:catAx>
      <c:valAx>
        <c:axId val="144580608"/>
        <c:scaling>
          <c:orientation val="minMax"/>
          <c:max val="7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03014550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525312"/>
        <c:crosses val="autoZero"/>
        <c:crossBetween val="between"/>
      </c:valAx>
      <c:catAx>
        <c:axId val="144724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4581184"/>
        <c:crosses val="autoZero"/>
        <c:auto val="1"/>
        <c:lblAlgn val="ctr"/>
        <c:lblOffset val="100"/>
        <c:noMultiLvlLbl val="0"/>
      </c:catAx>
      <c:valAx>
        <c:axId val="144581184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6895752108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724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Uraba- Antioquia - Colombia 2018</a:t>
            </a:r>
          </a:p>
        </c:rich>
      </c:tx>
      <c:layout>
        <c:manualLayout>
          <c:xMode val="edge"/>
          <c:yMode val="edge"/>
          <c:x val="0.17977430486163851"/>
          <c:y val="1.19759885505641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1739752530933634"/>
          <c:w val="0.71471119175642162"/>
          <c:h val="0.6203760529933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'CONSOLIDADO-ACUEDUCTOSRURALES2'!$B$38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'CONSOLIDADO-ACUEDUCTOSRURALES2'!$A$39:$A$49</c:f>
              <c:strCache>
                <c:ptCount val="11"/>
                <c:pt idx="0">
                  <c:v>Apartado</c:v>
                </c:pt>
                <c:pt idx="1">
                  <c:v>Arboletes</c:v>
                </c:pt>
                <c:pt idx="2">
                  <c:v>Carepa</c:v>
                </c:pt>
                <c:pt idx="3">
                  <c:v>Chigorodo</c:v>
                </c:pt>
                <c:pt idx="4">
                  <c:v>Murindo</c:v>
                </c:pt>
                <c:pt idx="5">
                  <c:v>Mutata</c:v>
                </c:pt>
                <c:pt idx="6">
                  <c:v>Necocli</c:v>
                </c:pt>
                <c:pt idx="7">
                  <c:v>San Juan de Urabá</c:v>
                </c:pt>
                <c:pt idx="8">
                  <c:v>San Pedro de Urabá</c:v>
                </c:pt>
                <c:pt idx="9">
                  <c:v>Vigía del Fuerte</c:v>
                </c:pt>
                <c:pt idx="10">
                  <c:v>Turbo</c:v>
                </c:pt>
              </c:strCache>
            </c:strRef>
          </c:cat>
          <c:val>
            <c:numRef>
              <c:f>'CONSOLIDADO-ACUEDUCTOSRURALES2'!$B$39:$B$49</c:f>
              <c:numCache>
                <c:formatCode>General</c:formatCode>
                <c:ptCount val="11"/>
                <c:pt idx="0">
                  <c:v>9</c:v>
                </c:pt>
                <c:pt idx="1">
                  <c:v>24</c:v>
                </c:pt>
                <c:pt idx="2">
                  <c:v>15</c:v>
                </c:pt>
                <c:pt idx="3">
                  <c:v>4</c:v>
                </c:pt>
                <c:pt idx="4">
                  <c:v>0</c:v>
                </c:pt>
                <c:pt idx="5">
                  <c:v>14</c:v>
                </c:pt>
                <c:pt idx="6">
                  <c:v>23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78"/>
        <c:axId val="144694784"/>
        <c:axId val="144584064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'CONSOLIDADO-ACUEDUCTOSRURALES2'!$C$38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'CONSOLIDADO-ACUEDUCTOSRURALES2'!$A$8:$A$16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'CONSOLIDADO-ACUEDUCTOSRURALES2'!$C$39:$C$49</c:f>
              <c:numCache>
                <c:formatCode>0.0</c:formatCode>
                <c:ptCount val="11"/>
                <c:pt idx="0">
                  <c:v>7.4380165289256199</c:v>
                </c:pt>
                <c:pt idx="1">
                  <c:v>19.834710743801654</c:v>
                </c:pt>
                <c:pt idx="2">
                  <c:v>12.396694214876034</c:v>
                </c:pt>
                <c:pt idx="3">
                  <c:v>3.3057851239669422</c:v>
                </c:pt>
                <c:pt idx="4">
                  <c:v>0</c:v>
                </c:pt>
                <c:pt idx="5">
                  <c:v>11.570247933884298</c:v>
                </c:pt>
                <c:pt idx="6">
                  <c:v>19.008264462809919</c:v>
                </c:pt>
                <c:pt idx="7">
                  <c:v>3.3057851239669422</c:v>
                </c:pt>
                <c:pt idx="8">
                  <c:v>4.1322314049586781</c:v>
                </c:pt>
                <c:pt idx="9">
                  <c:v>0</c:v>
                </c:pt>
                <c:pt idx="10">
                  <c:v>19.008264462809919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693248"/>
        <c:axId val="144584640"/>
      </c:barChart>
      <c:catAx>
        <c:axId val="1446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584064"/>
        <c:crossesAt val="0"/>
        <c:auto val="1"/>
        <c:lblAlgn val="ctr"/>
        <c:lblOffset val="100"/>
        <c:noMultiLvlLbl val="0"/>
      </c:catAx>
      <c:valAx>
        <c:axId val="14458406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694784"/>
        <c:crosses val="autoZero"/>
        <c:crossBetween val="between"/>
        <c:majorUnit val="5"/>
      </c:valAx>
      <c:catAx>
        <c:axId val="14469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84640"/>
        <c:crosses val="autoZero"/>
        <c:auto val="1"/>
        <c:lblAlgn val="ctr"/>
        <c:lblOffset val="100"/>
        <c:noMultiLvlLbl val="0"/>
      </c:catAx>
      <c:valAx>
        <c:axId val="144584640"/>
        <c:scaling>
          <c:orientation val="minMax"/>
          <c:max val="4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4693248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454863142107235"/>
          <c:w val="0.4600726114819404"/>
          <c:h val="7.0264616922884646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 subregión Uraba - Antioquia - Colombia  2018</a:t>
            </a:r>
          </a:p>
        </c:rich>
      </c:tx>
      <c:layout/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'CONSOLIDADO-ACUEDUCTOSRURALES2'!$B$38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908513341804321E-2"/>
                  <c:y val="5.12600427190560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966539601863616E-2"/>
                  <c:y val="2.59269315473496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01567132570951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35069885641677256"/>
                  <c:y val="2.56815599199520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1703035214626124"/>
                  <c:y val="5.1049365955692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('CONSOLIDADO-ACUEDUCTOSRURALES2'!$D$38,'CONSOLIDADO-ACUEDUCTOSRURALES2'!$F$38,'CONSOLIDADO-ACUEDUCTOSRURALES2'!$H$38,'CONSOLIDADO-ACUEDUCTOSRURALES2'!$J$38,'CONSOLIDADO-ACUEDUCTOSRURALES2'!$L$38,'CONSOLIDADO-ACUEDUCTOSRURALES2'!$N$38)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('CONSOLIDADO-ACUEDUCTOSRURALES2'!$D$50,'CONSOLIDADO-ACUEDUCTOSRURALES2'!$F$50,'CONSOLIDADO-ACUEDUCTOSRURALES2'!$H$50,'CONSOLIDADO-ACUEDUCTOSRURALES2'!$J$50,'CONSOLIDADO-ACUEDUCTOSRURALES2'!$L$50,'CONSOLIDADO-ACUEDUCTOSRURALES2'!$N$50)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31</c:v>
                </c:pt>
                <c:pt idx="4">
                  <c:v>39</c:v>
                </c:pt>
                <c:pt idx="5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3"/>
        <c:overlap val="-5"/>
        <c:axId val="145029120"/>
        <c:axId val="144586368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'CONSOLIDADO-ACUEDUCTOSRURALES2'!$C$38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4"/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('CONSOLIDADO-ACUEDUCTOSRURALES2'!$E$50,'CONSOLIDADO-ACUEDUCTOSRURALES2'!$G$50,'CONSOLIDADO-ACUEDUCTOSRURALES2'!$I$50,'CONSOLIDADO-ACUEDUCTOSRURALES2'!$K$50,'CONSOLIDADO-ACUEDUCTOSRURALES2'!$M$50,'CONSOLIDADO-ACUEDUCTOSRURALES2'!$O$50)</c:f>
              <c:numCache>
                <c:formatCode>0.0</c:formatCode>
                <c:ptCount val="6"/>
                <c:pt idx="0">
                  <c:v>7.4380165289256199</c:v>
                </c:pt>
                <c:pt idx="1">
                  <c:v>1.6528925619834711</c:v>
                </c:pt>
                <c:pt idx="2">
                  <c:v>2.4793388429752068</c:v>
                </c:pt>
                <c:pt idx="3">
                  <c:v>25.619834710743799</c:v>
                </c:pt>
                <c:pt idx="4">
                  <c:v>32.231404958677686</c:v>
                </c:pt>
                <c:pt idx="5">
                  <c:v>30.578512396694212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3"/>
        <c:overlap val="-5"/>
        <c:axId val="145052672"/>
        <c:axId val="144586944"/>
      </c:barChart>
      <c:catAx>
        <c:axId val="14502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4586368"/>
        <c:crosses val="autoZero"/>
        <c:auto val="1"/>
        <c:lblAlgn val="ctr"/>
        <c:lblOffset val="100"/>
        <c:noMultiLvlLbl val="0"/>
      </c:catAx>
      <c:valAx>
        <c:axId val="144586368"/>
        <c:scaling>
          <c:orientation val="minMax"/>
          <c:max val="4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8970884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029120"/>
        <c:crosses val="autoZero"/>
        <c:crossBetween val="between"/>
      </c:valAx>
      <c:catAx>
        <c:axId val="145052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4586944"/>
        <c:crosses val="autoZero"/>
        <c:auto val="1"/>
        <c:lblAlgn val="ctr"/>
        <c:lblOffset val="100"/>
        <c:noMultiLvlLbl val="0"/>
      </c:catAx>
      <c:valAx>
        <c:axId val="144586944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599910476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052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7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Norte - Antioquia- Colombia 2018</a:t>
            </a:r>
          </a:p>
        </c:rich>
      </c:tx>
      <c:layout>
        <c:manualLayout>
          <c:xMode val="edge"/>
          <c:yMode val="edge"/>
          <c:x val="0.17977430486163851"/>
          <c:y val="1.1976061358088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1739752530933634"/>
          <c:w val="0.71471119175642162"/>
          <c:h val="0.6203760529933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'CONSOLIDADO-ACUEDUCTOSRURALES2'!$B$55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'CONSOLIDADO-ACUEDUCTOSRURALES2'!$B$56:$B$72</c:f>
              <c:numCache>
                <c:formatCode>General</c:formatCode>
                <c:ptCount val="17"/>
                <c:pt idx="0">
                  <c:v>24</c:v>
                </c:pt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21</c:v>
                </c:pt>
                <c:pt idx="8">
                  <c:v>14</c:v>
                </c:pt>
                <c:pt idx="9">
                  <c:v>37</c:v>
                </c:pt>
                <c:pt idx="10">
                  <c:v>18</c:v>
                </c:pt>
                <c:pt idx="11">
                  <c:v>4</c:v>
                </c:pt>
                <c:pt idx="12">
                  <c:v>16</c:v>
                </c:pt>
                <c:pt idx="13">
                  <c:v>28</c:v>
                </c:pt>
                <c:pt idx="14">
                  <c:v>12</c:v>
                </c:pt>
                <c:pt idx="15">
                  <c:v>8</c:v>
                </c:pt>
                <c:pt idx="1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73"/>
        <c:axId val="145051648"/>
        <c:axId val="145343616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'CONSOLIDADO-ACUEDUCTOSRURALES2'!$C$56:$C$72</c:f>
              <c:numCache>
                <c:formatCode>0.0</c:formatCode>
                <c:ptCount val="17"/>
                <c:pt idx="0">
                  <c:v>9.4117647058823533</c:v>
                </c:pt>
                <c:pt idx="1">
                  <c:v>3.5294117647058822</c:v>
                </c:pt>
                <c:pt idx="2">
                  <c:v>4.7058823529411766</c:v>
                </c:pt>
                <c:pt idx="3">
                  <c:v>6.666666666666667</c:v>
                </c:pt>
                <c:pt idx="4">
                  <c:v>2.7450980392156863</c:v>
                </c:pt>
                <c:pt idx="5">
                  <c:v>1.9607843137254901</c:v>
                </c:pt>
                <c:pt idx="6">
                  <c:v>4.3137254901960782</c:v>
                </c:pt>
                <c:pt idx="7">
                  <c:v>8.235294117647058</c:v>
                </c:pt>
                <c:pt idx="8">
                  <c:v>5.4901960784313726</c:v>
                </c:pt>
                <c:pt idx="9">
                  <c:v>14.509803921568629</c:v>
                </c:pt>
                <c:pt idx="10">
                  <c:v>7.0588235294117645</c:v>
                </c:pt>
                <c:pt idx="11">
                  <c:v>1.5686274509803921</c:v>
                </c:pt>
                <c:pt idx="12">
                  <c:v>6.2745098039215685</c:v>
                </c:pt>
                <c:pt idx="13">
                  <c:v>10.980392156862745</c:v>
                </c:pt>
                <c:pt idx="14">
                  <c:v>4.7058823529411766</c:v>
                </c:pt>
                <c:pt idx="15">
                  <c:v>3.1372549019607843</c:v>
                </c:pt>
                <c:pt idx="16">
                  <c:v>4.7058823529411766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45029632"/>
        <c:axId val="145344192"/>
      </c:barChart>
      <c:catAx>
        <c:axId val="145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343616"/>
        <c:crossesAt val="0"/>
        <c:auto val="1"/>
        <c:lblAlgn val="ctr"/>
        <c:lblOffset val="100"/>
        <c:noMultiLvlLbl val="0"/>
      </c:catAx>
      <c:valAx>
        <c:axId val="14534361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051648"/>
        <c:crosses val="autoZero"/>
        <c:crossBetween val="between"/>
        <c:majorUnit val="5"/>
      </c:valAx>
      <c:catAx>
        <c:axId val="14502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344192"/>
        <c:crosses val="autoZero"/>
        <c:auto val="1"/>
        <c:lblAlgn val="ctr"/>
        <c:lblOffset val="100"/>
        <c:noMultiLvlLbl val="0"/>
      </c:catAx>
      <c:valAx>
        <c:axId val="145344192"/>
        <c:scaling>
          <c:orientation val="minMax"/>
          <c:max val="3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029632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4821021885"/>
          <c:w val="0.4600726114819404"/>
          <c:h val="6.0105803895135645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8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 subregión Norte - Antioquia - Colombia  2018</a:t>
            </a:r>
          </a:p>
        </c:rich>
      </c:tx>
      <c:layout/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'CONSOLIDADO-ACUEDUCTOSRURALES2'!$B$55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6433701187605684"/>
                  <c:y val="2.57174298649809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0825921219822143E-2"/>
                  <c:y val="5.145696928279625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2871664548919948"/>
                  <c:y val="2.55264837268666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33545067984672172"/>
                  <c:y val="2.56832605560552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6289721091089799"/>
                  <c:y val="-7.65834710992970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('CONSOLIDADO-ACUEDUCTOSRURALES2'!$D$55,'CONSOLIDADO-ACUEDUCTOSRURALES2'!$F$55,'CONSOLIDADO-ACUEDUCTOSRURALES2'!$H$55,'CONSOLIDADO-ACUEDUCTOSRURALES2'!$J$55,'CONSOLIDADO-ACUEDUCTOSRURALES2'!$L$55,'CONSOLIDADO-ACUEDUCTOSRURALES2'!$N$55)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('CONSOLIDADO-ACUEDUCTOSRURALES2'!$D$73,'CONSOLIDADO-ACUEDUCTOSRURALES2'!$F$73,'CONSOLIDADO-ACUEDUCTOSRURALES2'!$H$73,'CONSOLIDADO-ACUEDUCTOSRURALES2'!$J$73,'CONSOLIDADO-ACUEDUCTOSRURALES2'!$L$73,'CONSOLIDADO-ACUEDUCTOSRURALES2'!$N$73)</c:f>
              <c:numCache>
                <c:formatCode>General</c:formatCode>
                <c:ptCount val="6"/>
                <c:pt idx="0">
                  <c:v>33</c:v>
                </c:pt>
                <c:pt idx="1">
                  <c:v>7</c:v>
                </c:pt>
                <c:pt idx="2">
                  <c:v>7</c:v>
                </c:pt>
                <c:pt idx="3">
                  <c:v>52</c:v>
                </c:pt>
                <c:pt idx="4">
                  <c:v>76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145030656"/>
        <c:axId val="145345920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534082382014827E-2"/>
                  <c:y val="4.7559658105914811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('CONSOLIDADO-ACUEDUCTOSRURALES2'!$E$73,'CONSOLIDADO-ACUEDUCTOSRURALES2'!$G$73,'CONSOLIDADO-ACUEDUCTOSRURALES2'!$I$73,'CONSOLIDADO-ACUEDUCTOSRURALES2'!$K$73,'CONSOLIDADO-ACUEDUCTOSRURALES2'!$M$73,'CONSOLIDADO-ACUEDUCTOSRURALES2'!$O$73)</c:f>
              <c:numCache>
                <c:formatCode>0.0</c:formatCode>
                <c:ptCount val="6"/>
                <c:pt idx="0">
                  <c:v>12.941176470588237</c:v>
                </c:pt>
                <c:pt idx="1">
                  <c:v>2.7450980392156863</c:v>
                </c:pt>
                <c:pt idx="2">
                  <c:v>2.7450980392156863</c:v>
                </c:pt>
                <c:pt idx="3">
                  <c:v>20.392156862745097</c:v>
                </c:pt>
                <c:pt idx="4">
                  <c:v>29.803921568627452</c:v>
                </c:pt>
                <c:pt idx="5">
                  <c:v>31.372549019607842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145373696"/>
        <c:axId val="145346496"/>
      </c:barChart>
      <c:catAx>
        <c:axId val="14503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5345920"/>
        <c:crosses val="autoZero"/>
        <c:auto val="1"/>
        <c:lblAlgn val="ctr"/>
        <c:lblOffset val="100"/>
        <c:noMultiLvlLbl val="0"/>
      </c:catAx>
      <c:valAx>
        <c:axId val="145345920"/>
        <c:scaling>
          <c:orientation val="minMax"/>
          <c:max val="8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2695091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030656"/>
        <c:crosses val="autoZero"/>
        <c:crossBetween val="between"/>
      </c:valAx>
      <c:catAx>
        <c:axId val="145373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5346496"/>
        <c:crosses val="autoZero"/>
        <c:auto val="1"/>
        <c:lblAlgn val="ctr"/>
        <c:lblOffset val="100"/>
        <c:noMultiLvlLbl val="0"/>
      </c:catAx>
      <c:valAx>
        <c:axId val="145346496"/>
        <c:scaling>
          <c:orientation val="minMax"/>
          <c:max val="4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966223400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373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9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Occidente - Antioquia- Colombia 2018</a:t>
            </a:r>
          </a:p>
        </c:rich>
      </c:tx>
      <c:layout>
        <c:manualLayout>
          <c:xMode val="edge"/>
          <c:yMode val="edge"/>
          <c:x val="0.17977430486163851"/>
          <c:y val="1.1976032065759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1739752530933634"/>
          <c:w val="0.71471119175642162"/>
          <c:h val="0.6203760529933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'CONSOLIDADO-ACUEDUCTOSRURALES2'!$B$78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'CONSOLIDADO-ACUEDUCTOSRURALES2'!$A$79:$A$97</c:f>
              <c:strCache>
                <c:ptCount val="19"/>
                <c:pt idx="0">
                  <c:v>Abriaqui</c:v>
                </c:pt>
                <c:pt idx="1">
                  <c:v>Anza</c:v>
                </c:pt>
                <c:pt idx="2">
                  <c:v>Armenia</c:v>
                </c:pt>
                <c:pt idx="3">
                  <c:v>Buritica</c:v>
                </c:pt>
                <c:pt idx="4">
                  <c:v>Caicedo</c:v>
                </c:pt>
                <c:pt idx="5">
                  <c:v>Cañas gordas</c:v>
                </c:pt>
                <c:pt idx="6">
                  <c:v>Dabeiba</c:v>
                </c:pt>
                <c:pt idx="7">
                  <c:v>Ebejico</c:v>
                </c:pt>
                <c:pt idx="8">
                  <c:v>Frontino</c:v>
                </c:pt>
                <c:pt idx="9">
                  <c:v>Giraldo</c:v>
                </c:pt>
                <c:pt idx="10">
                  <c:v>Heliconia</c:v>
                </c:pt>
                <c:pt idx="11">
                  <c:v>Liborina</c:v>
                </c:pt>
                <c:pt idx="12">
                  <c:v>Olaya</c:v>
                </c:pt>
                <c:pt idx="13">
                  <c:v>Peque</c:v>
                </c:pt>
                <c:pt idx="14">
                  <c:v>Sabanalarga</c:v>
                </c:pt>
                <c:pt idx="15">
                  <c:v>San Jerónimo</c:v>
                </c:pt>
                <c:pt idx="16">
                  <c:v>Santa Fe de Antioquia</c:v>
                </c:pt>
                <c:pt idx="17">
                  <c:v>Sopetran</c:v>
                </c:pt>
                <c:pt idx="18">
                  <c:v>Uramita</c:v>
                </c:pt>
              </c:strCache>
            </c:strRef>
          </c:cat>
          <c:val>
            <c:numRef>
              <c:f>'CONSOLIDADO-ACUEDUCTOSRURALES2'!$B$79:$B$97</c:f>
              <c:numCache>
                <c:formatCode>General</c:formatCode>
                <c:ptCount val="19"/>
                <c:pt idx="0">
                  <c:v>7</c:v>
                </c:pt>
                <c:pt idx="1">
                  <c:v>18</c:v>
                </c:pt>
                <c:pt idx="2">
                  <c:v>4</c:v>
                </c:pt>
                <c:pt idx="3">
                  <c:v>38</c:v>
                </c:pt>
                <c:pt idx="4">
                  <c:v>16</c:v>
                </c:pt>
                <c:pt idx="5">
                  <c:v>59</c:v>
                </c:pt>
                <c:pt idx="6">
                  <c:v>26</c:v>
                </c:pt>
                <c:pt idx="7">
                  <c:v>45</c:v>
                </c:pt>
                <c:pt idx="8">
                  <c:v>44</c:v>
                </c:pt>
                <c:pt idx="9">
                  <c:v>20</c:v>
                </c:pt>
                <c:pt idx="10">
                  <c:v>12</c:v>
                </c:pt>
                <c:pt idx="11">
                  <c:v>33</c:v>
                </c:pt>
                <c:pt idx="12">
                  <c:v>8</c:v>
                </c:pt>
                <c:pt idx="13">
                  <c:v>32</c:v>
                </c:pt>
                <c:pt idx="14">
                  <c:v>26</c:v>
                </c:pt>
                <c:pt idx="15">
                  <c:v>28</c:v>
                </c:pt>
                <c:pt idx="16">
                  <c:v>37</c:v>
                </c:pt>
                <c:pt idx="17">
                  <c:v>27</c:v>
                </c:pt>
                <c:pt idx="1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-78"/>
        <c:axId val="145372672"/>
        <c:axId val="145349376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'CONSOLIDADO-ACUEDUCTOSRURALES2'!$C$78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'CONSOLIDADO-ACUEDUCTOSRURALES2'!$A$79:$A$97</c:f>
              <c:strCache>
                <c:ptCount val="19"/>
                <c:pt idx="0">
                  <c:v>Abriaqui</c:v>
                </c:pt>
                <c:pt idx="1">
                  <c:v>Anza</c:v>
                </c:pt>
                <c:pt idx="2">
                  <c:v>Armenia</c:v>
                </c:pt>
                <c:pt idx="3">
                  <c:v>Buritica</c:v>
                </c:pt>
                <c:pt idx="4">
                  <c:v>Caicedo</c:v>
                </c:pt>
                <c:pt idx="5">
                  <c:v>Cañas gordas</c:v>
                </c:pt>
                <c:pt idx="6">
                  <c:v>Dabeiba</c:v>
                </c:pt>
                <c:pt idx="7">
                  <c:v>Ebejico</c:v>
                </c:pt>
                <c:pt idx="8">
                  <c:v>Frontino</c:v>
                </c:pt>
                <c:pt idx="9">
                  <c:v>Giraldo</c:v>
                </c:pt>
                <c:pt idx="10">
                  <c:v>Heliconia</c:v>
                </c:pt>
                <c:pt idx="11">
                  <c:v>Liborina</c:v>
                </c:pt>
                <c:pt idx="12">
                  <c:v>Olaya</c:v>
                </c:pt>
                <c:pt idx="13">
                  <c:v>Peque</c:v>
                </c:pt>
                <c:pt idx="14">
                  <c:v>Sabanalarga</c:v>
                </c:pt>
                <c:pt idx="15">
                  <c:v>San Jerónimo</c:v>
                </c:pt>
                <c:pt idx="16">
                  <c:v>Santa Fe de Antioquia</c:v>
                </c:pt>
                <c:pt idx="17">
                  <c:v>Sopetran</c:v>
                </c:pt>
                <c:pt idx="18">
                  <c:v>Uramita</c:v>
                </c:pt>
              </c:strCache>
            </c:strRef>
          </c:cat>
          <c:val>
            <c:numRef>
              <c:f>'CONSOLIDADO-ACUEDUCTOSRURALES2'!$C$79:$C$97</c:f>
              <c:numCache>
                <c:formatCode>0.0</c:formatCode>
                <c:ptCount val="19"/>
                <c:pt idx="0">
                  <c:v>1.4084507042253522</c:v>
                </c:pt>
                <c:pt idx="1">
                  <c:v>3.6217303822937628</c:v>
                </c:pt>
                <c:pt idx="2">
                  <c:v>0.8048289738430584</c:v>
                </c:pt>
                <c:pt idx="3">
                  <c:v>7.6458752515090547</c:v>
                </c:pt>
                <c:pt idx="4">
                  <c:v>3.2193158953722336</c:v>
                </c:pt>
                <c:pt idx="5">
                  <c:v>11.87122736418511</c:v>
                </c:pt>
                <c:pt idx="6">
                  <c:v>5.2313883299798798</c:v>
                </c:pt>
                <c:pt idx="7">
                  <c:v>9.0543259557344058</c:v>
                </c:pt>
                <c:pt idx="8">
                  <c:v>8.8531187122736412</c:v>
                </c:pt>
                <c:pt idx="9">
                  <c:v>4.0241448692152915</c:v>
                </c:pt>
                <c:pt idx="10">
                  <c:v>2.4144869215291749</c:v>
                </c:pt>
                <c:pt idx="11">
                  <c:v>6.6398390342052318</c:v>
                </c:pt>
                <c:pt idx="12">
                  <c:v>1.6096579476861168</c:v>
                </c:pt>
                <c:pt idx="13">
                  <c:v>6.4386317907444672</c:v>
                </c:pt>
                <c:pt idx="14">
                  <c:v>5.2313883299798798</c:v>
                </c:pt>
                <c:pt idx="15">
                  <c:v>5.6338028169014089</c:v>
                </c:pt>
                <c:pt idx="16">
                  <c:v>7.4446680080482901</c:v>
                </c:pt>
                <c:pt idx="17">
                  <c:v>5.4325955734406444</c:v>
                </c:pt>
                <c:pt idx="18">
                  <c:v>3.4205231388329982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39072"/>
        <c:axId val="145349952"/>
      </c:barChart>
      <c:catAx>
        <c:axId val="14537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349376"/>
        <c:crossesAt val="0"/>
        <c:auto val="1"/>
        <c:lblAlgn val="ctr"/>
        <c:lblOffset val="100"/>
        <c:noMultiLvlLbl val="0"/>
      </c:catAx>
      <c:valAx>
        <c:axId val="145349376"/>
        <c:scaling>
          <c:orientation val="minMax"/>
          <c:max val="6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372672"/>
        <c:crosses val="autoZero"/>
        <c:crossBetween val="between"/>
        <c:majorUnit val="5"/>
      </c:valAx>
      <c:catAx>
        <c:axId val="14553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349952"/>
        <c:crosses val="autoZero"/>
        <c:auto val="1"/>
        <c:lblAlgn val="ctr"/>
        <c:lblOffset val="100"/>
        <c:noMultiLvlLbl val="0"/>
      </c:catAx>
      <c:valAx>
        <c:axId val="145349952"/>
        <c:scaling>
          <c:orientation val="minMax"/>
          <c:max val="3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5539072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4187674221"/>
          <c:w val="0.4600726114819404"/>
          <c:h val="6.0105800728397329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image" Target="../media/image2.png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0</xdr:col>
      <xdr:colOff>2575001</xdr:colOff>
      <xdr:row>6</xdr:row>
      <xdr:rowOff>0</xdr:rowOff>
    </xdr:to>
    <xdr:pic>
      <xdr:nvPicPr>
        <xdr:cNvPr id="4880704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0"/>
          <a:ext cx="2527377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219302</xdr:colOff>
      <xdr:row>0</xdr:row>
      <xdr:rowOff>47625</xdr:rowOff>
    </xdr:from>
    <xdr:to>
      <xdr:col>0</xdr:col>
      <xdr:colOff>2776310</xdr:colOff>
      <xdr:row>5</xdr:row>
      <xdr:rowOff>142875</xdr:rowOff>
    </xdr:to>
    <xdr:pic>
      <xdr:nvPicPr>
        <xdr:cNvPr id="4881830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02" y="47625"/>
          <a:ext cx="2557008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704850</xdr:colOff>
      <xdr:row>0</xdr:row>
      <xdr:rowOff>28575</xdr:rowOff>
    </xdr:from>
    <xdr:to>
      <xdr:col>34</xdr:col>
      <xdr:colOff>581025</xdr:colOff>
      <xdr:row>17</xdr:row>
      <xdr:rowOff>0</xdr:rowOff>
    </xdr:to>
    <xdr:graphicFrame macro="">
      <xdr:nvGraphicFramePr>
        <xdr:cNvPr id="51162469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27</xdr:col>
      <xdr:colOff>206375</xdr:colOff>
      <xdr:row>155</xdr:row>
      <xdr:rowOff>127000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0097750" y="461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238125</xdr:colOff>
      <xdr:row>160</xdr:row>
      <xdr:rowOff>127000</xdr:rowOff>
    </xdr:from>
    <xdr:ext cx="954898" cy="264560"/>
    <xdr:sp macro="" textlink="">
      <xdr:nvSpPr>
        <xdr:cNvPr id="4" name="CuadroTexto 3"/>
        <xdr:cNvSpPr txBox="1"/>
      </xdr:nvSpPr>
      <xdr:spPr>
        <a:xfrm>
          <a:off x="20129500" y="47132875"/>
          <a:ext cx="9548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381000</xdr:colOff>
      <xdr:row>179</xdr:row>
      <xdr:rowOff>95250</xdr:rowOff>
    </xdr:from>
    <xdr:ext cx="184731" cy="264560"/>
    <xdr:sp macro="" textlink="">
      <xdr:nvSpPr>
        <xdr:cNvPr id="7" name="CuadroTexto 6"/>
        <xdr:cNvSpPr txBox="1"/>
      </xdr:nvSpPr>
      <xdr:spPr>
        <a:xfrm>
          <a:off x="20272375" y="527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317500</xdr:colOff>
      <xdr:row>160</xdr:row>
      <xdr:rowOff>190501</xdr:rowOff>
    </xdr:from>
    <xdr:ext cx="1002523" cy="610952"/>
    <xdr:sp macro="" textlink="">
      <xdr:nvSpPr>
        <xdr:cNvPr id="5" name="CuadroTexto 4"/>
        <xdr:cNvSpPr txBox="1"/>
      </xdr:nvSpPr>
      <xdr:spPr>
        <a:xfrm>
          <a:off x="20208875" y="47196376"/>
          <a:ext cx="1002523" cy="610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333375</xdr:colOff>
      <xdr:row>161</xdr:row>
      <xdr:rowOff>15875</xdr:rowOff>
    </xdr:from>
    <xdr:ext cx="184731" cy="264560"/>
    <xdr:sp macro="" textlink="">
      <xdr:nvSpPr>
        <xdr:cNvPr id="6" name="CuadroTexto 5"/>
        <xdr:cNvSpPr txBox="1"/>
      </xdr:nvSpPr>
      <xdr:spPr>
        <a:xfrm>
          <a:off x="20224750" y="472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492125</xdr:colOff>
      <xdr:row>179</xdr:row>
      <xdr:rowOff>95250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0383500" y="527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0</xdr:col>
      <xdr:colOff>142875</xdr:colOff>
      <xdr:row>0</xdr:row>
      <xdr:rowOff>85725</xdr:rowOff>
    </xdr:from>
    <xdr:to>
      <xdr:col>1</xdr:col>
      <xdr:colOff>825219</xdr:colOff>
      <xdr:row>5</xdr:row>
      <xdr:rowOff>269875</xdr:rowOff>
    </xdr:to>
    <xdr:pic>
      <xdr:nvPicPr>
        <xdr:cNvPr id="51162476" name="2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2650844" cy="132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34925</xdr:colOff>
      <xdr:row>0</xdr:row>
      <xdr:rowOff>28575</xdr:rowOff>
    </xdr:from>
    <xdr:to>
      <xdr:col>24</xdr:col>
      <xdr:colOff>682625</xdr:colOff>
      <xdr:row>17</xdr:row>
      <xdr:rowOff>28575</xdr:rowOff>
    </xdr:to>
    <xdr:graphicFrame macro="">
      <xdr:nvGraphicFramePr>
        <xdr:cNvPr id="5116247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17</xdr:row>
      <xdr:rowOff>85725</xdr:rowOff>
    </xdr:from>
    <xdr:to>
      <xdr:col>24</xdr:col>
      <xdr:colOff>704850</xdr:colOff>
      <xdr:row>34</xdr:row>
      <xdr:rowOff>38100</xdr:rowOff>
    </xdr:to>
    <xdr:graphicFrame macro="">
      <xdr:nvGraphicFramePr>
        <xdr:cNvPr id="5116247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742950</xdr:colOff>
      <xdr:row>17</xdr:row>
      <xdr:rowOff>82550</xdr:rowOff>
    </xdr:from>
    <xdr:to>
      <xdr:col>34</xdr:col>
      <xdr:colOff>619125</xdr:colOff>
      <xdr:row>34</xdr:row>
      <xdr:rowOff>19050</xdr:rowOff>
    </xdr:to>
    <xdr:graphicFrame macro="">
      <xdr:nvGraphicFramePr>
        <xdr:cNvPr id="51162479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79375</xdr:colOff>
      <xdr:row>34</xdr:row>
      <xdr:rowOff>127000</xdr:rowOff>
    </xdr:from>
    <xdr:to>
      <xdr:col>24</xdr:col>
      <xdr:colOff>727075</xdr:colOff>
      <xdr:row>52</xdr:row>
      <xdr:rowOff>111125</xdr:rowOff>
    </xdr:to>
    <xdr:graphicFrame macro="">
      <xdr:nvGraphicFramePr>
        <xdr:cNvPr id="5116248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34</xdr:col>
      <xdr:colOff>638175</xdr:colOff>
      <xdr:row>52</xdr:row>
      <xdr:rowOff>114300</xdr:rowOff>
    </xdr:to>
    <xdr:graphicFrame macro="">
      <xdr:nvGraphicFramePr>
        <xdr:cNvPr id="51162481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19050</xdr:colOff>
      <xdr:row>54</xdr:row>
      <xdr:rowOff>0</xdr:rowOff>
    </xdr:from>
    <xdr:to>
      <xdr:col>24</xdr:col>
      <xdr:colOff>666750</xdr:colOff>
      <xdr:row>71</xdr:row>
      <xdr:rowOff>161925</xdr:rowOff>
    </xdr:to>
    <xdr:graphicFrame macro="">
      <xdr:nvGraphicFramePr>
        <xdr:cNvPr id="5116248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54</xdr:row>
      <xdr:rowOff>0</xdr:rowOff>
    </xdr:from>
    <xdr:to>
      <xdr:col>34</xdr:col>
      <xdr:colOff>638175</xdr:colOff>
      <xdr:row>71</xdr:row>
      <xdr:rowOff>133350</xdr:rowOff>
    </xdr:to>
    <xdr:graphicFrame macro="">
      <xdr:nvGraphicFramePr>
        <xdr:cNvPr id="51162483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76</xdr:row>
      <xdr:rowOff>0</xdr:rowOff>
    </xdr:from>
    <xdr:to>
      <xdr:col>24</xdr:col>
      <xdr:colOff>647700</xdr:colOff>
      <xdr:row>92</xdr:row>
      <xdr:rowOff>142875</xdr:rowOff>
    </xdr:to>
    <xdr:graphicFrame macro="">
      <xdr:nvGraphicFramePr>
        <xdr:cNvPr id="511624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0</xdr:colOff>
      <xdr:row>76</xdr:row>
      <xdr:rowOff>0</xdr:rowOff>
    </xdr:from>
    <xdr:to>
      <xdr:col>34</xdr:col>
      <xdr:colOff>638175</xdr:colOff>
      <xdr:row>92</xdr:row>
      <xdr:rowOff>114300</xdr:rowOff>
    </xdr:to>
    <xdr:graphicFrame macro="">
      <xdr:nvGraphicFramePr>
        <xdr:cNvPr id="51162485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100</xdr:row>
      <xdr:rowOff>0</xdr:rowOff>
    </xdr:from>
    <xdr:to>
      <xdr:col>24</xdr:col>
      <xdr:colOff>647700</xdr:colOff>
      <xdr:row>116</xdr:row>
      <xdr:rowOff>123825</xdr:rowOff>
    </xdr:to>
    <xdr:graphicFrame macro="">
      <xdr:nvGraphicFramePr>
        <xdr:cNvPr id="511624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0</xdr:colOff>
      <xdr:row>100</xdr:row>
      <xdr:rowOff>0</xdr:rowOff>
    </xdr:from>
    <xdr:to>
      <xdr:col>34</xdr:col>
      <xdr:colOff>638175</xdr:colOff>
      <xdr:row>116</xdr:row>
      <xdr:rowOff>95250</xdr:rowOff>
    </xdr:to>
    <xdr:graphicFrame macro="">
      <xdr:nvGraphicFramePr>
        <xdr:cNvPr id="51162487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28575</xdr:colOff>
      <xdr:row>117</xdr:row>
      <xdr:rowOff>76200</xdr:rowOff>
    </xdr:from>
    <xdr:to>
      <xdr:col>24</xdr:col>
      <xdr:colOff>676275</xdr:colOff>
      <xdr:row>133</xdr:row>
      <xdr:rowOff>123825</xdr:rowOff>
    </xdr:to>
    <xdr:graphicFrame macro="">
      <xdr:nvGraphicFramePr>
        <xdr:cNvPr id="5116248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733425</xdr:colOff>
      <xdr:row>117</xdr:row>
      <xdr:rowOff>114300</xdr:rowOff>
    </xdr:from>
    <xdr:to>
      <xdr:col>34</xdr:col>
      <xdr:colOff>609600</xdr:colOff>
      <xdr:row>133</xdr:row>
      <xdr:rowOff>133350</xdr:rowOff>
    </xdr:to>
    <xdr:graphicFrame macro="">
      <xdr:nvGraphicFramePr>
        <xdr:cNvPr id="51162489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28575</xdr:colOff>
      <xdr:row>134</xdr:row>
      <xdr:rowOff>19050</xdr:rowOff>
    </xdr:from>
    <xdr:to>
      <xdr:col>24</xdr:col>
      <xdr:colOff>676275</xdr:colOff>
      <xdr:row>150</xdr:row>
      <xdr:rowOff>123825</xdr:rowOff>
    </xdr:to>
    <xdr:graphicFrame macro="">
      <xdr:nvGraphicFramePr>
        <xdr:cNvPr id="5116249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134</xdr:row>
      <xdr:rowOff>0</xdr:rowOff>
    </xdr:from>
    <xdr:to>
      <xdr:col>34</xdr:col>
      <xdr:colOff>638175</xdr:colOff>
      <xdr:row>150</xdr:row>
      <xdr:rowOff>85725</xdr:rowOff>
    </xdr:to>
    <xdr:graphicFrame macro="">
      <xdr:nvGraphicFramePr>
        <xdr:cNvPr id="51162491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0</xdr:colOff>
      <xdr:row>152</xdr:row>
      <xdr:rowOff>0</xdr:rowOff>
    </xdr:from>
    <xdr:to>
      <xdr:col>24</xdr:col>
      <xdr:colOff>647700</xdr:colOff>
      <xdr:row>168</xdr:row>
      <xdr:rowOff>19050</xdr:rowOff>
    </xdr:to>
    <xdr:graphicFrame macro="">
      <xdr:nvGraphicFramePr>
        <xdr:cNvPr id="5116249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690563</xdr:colOff>
      <xdr:row>152</xdr:row>
      <xdr:rowOff>1</xdr:rowOff>
    </xdr:from>
    <xdr:to>
      <xdr:col>34</xdr:col>
      <xdr:colOff>566738</xdr:colOff>
      <xdr:row>167</xdr:row>
      <xdr:rowOff>142876</xdr:rowOff>
    </xdr:to>
    <xdr:graphicFrame macro="">
      <xdr:nvGraphicFramePr>
        <xdr:cNvPr id="51162493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0</xdr:colOff>
      <xdr:row>169</xdr:row>
      <xdr:rowOff>0</xdr:rowOff>
    </xdr:from>
    <xdr:to>
      <xdr:col>24</xdr:col>
      <xdr:colOff>647700</xdr:colOff>
      <xdr:row>185</xdr:row>
      <xdr:rowOff>142875</xdr:rowOff>
    </xdr:to>
    <xdr:graphicFrame macro="">
      <xdr:nvGraphicFramePr>
        <xdr:cNvPr id="5116249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23813</xdr:colOff>
      <xdr:row>168</xdr:row>
      <xdr:rowOff>238125</xdr:rowOff>
    </xdr:from>
    <xdr:to>
      <xdr:col>34</xdr:col>
      <xdr:colOff>661988</xdr:colOff>
      <xdr:row>185</xdr:row>
      <xdr:rowOff>66675</xdr:rowOff>
    </xdr:to>
    <xdr:graphicFrame macro="">
      <xdr:nvGraphicFramePr>
        <xdr:cNvPr id="51162495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2270125</xdr:colOff>
      <xdr:row>5</xdr:row>
      <xdr:rowOff>142875</xdr:rowOff>
    </xdr:to>
    <xdr:pic>
      <xdr:nvPicPr>
        <xdr:cNvPr id="4881067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2193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263525</xdr:colOff>
      <xdr:row>132</xdr:row>
      <xdr:rowOff>76200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6856075" y="5147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0</xdr:col>
      <xdr:colOff>31750</xdr:colOff>
      <xdr:row>0</xdr:row>
      <xdr:rowOff>0</xdr:rowOff>
    </xdr:from>
    <xdr:to>
      <xdr:col>0</xdr:col>
      <xdr:colOff>2524125</xdr:colOff>
      <xdr:row>6</xdr:row>
      <xdr:rowOff>38866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2492375" cy="132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263525</xdr:colOff>
      <xdr:row>132</xdr:row>
      <xdr:rowOff>76200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4376400" y="575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0</xdr:col>
      <xdr:colOff>111124</xdr:colOff>
      <xdr:row>0</xdr:row>
      <xdr:rowOff>0</xdr:rowOff>
    </xdr:from>
    <xdr:to>
      <xdr:col>0</xdr:col>
      <xdr:colOff>2476500</xdr:colOff>
      <xdr:row>6</xdr:row>
      <xdr:rowOff>25861</xdr:rowOff>
    </xdr:to>
    <xdr:pic>
      <xdr:nvPicPr>
        <xdr:cNvPr id="4881126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4" y="0"/>
          <a:ext cx="2365376" cy="1311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2219325</xdr:colOff>
      <xdr:row>5</xdr:row>
      <xdr:rowOff>161925</xdr:rowOff>
    </xdr:to>
    <xdr:pic>
      <xdr:nvPicPr>
        <xdr:cNvPr id="4881318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21050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</xdr:colOff>
      <xdr:row>0</xdr:row>
      <xdr:rowOff>66675</xdr:rowOff>
    </xdr:from>
    <xdr:to>
      <xdr:col>0</xdr:col>
      <xdr:colOff>2441575</xdr:colOff>
      <xdr:row>7</xdr:row>
      <xdr:rowOff>15875</xdr:rowOff>
    </xdr:to>
    <xdr:pic>
      <xdr:nvPicPr>
        <xdr:cNvPr id="48814207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" y="66675"/>
          <a:ext cx="23431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98424</xdr:colOff>
      <xdr:row>0</xdr:row>
      <xdr:rowOff>50800</xdr:rowOff>
    </xdr:from>
    <xdr:to>
      <xdr:col>0</xdr:col>
      <xdr:colOff>2339974</xdr:colOff>
      <xdr:row>7</xdr:row>
      <xdr:rowOff>75744</xdr:rowOff>
    </xdr:to>
    <xdr:pic>
      <xdr:nvPicPr>
        <xdr:cNvPr id="4881523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4" y="50800"/>
          <a:ext cx="2241550" cy="134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66675</xdr:rowOff>
    </xdr:from>
    <xdr:to>
      <xdr:col>0</xdr:col>
      <xdr:colOff>2333625</xdr:colOff>
      <xdr:row>7</xdr:row>
      <xdr:rowOff>15875</xdr:rowOff>
    </xdr:to>
    <xdr:pic>
      <xdr:nvPicPr>
        <xdr:cNvPr id="4881625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6675"/>
          <a:ext cx="2251075" cy="129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263525</xdr:colOff>
      <xdr:row>124</xdr:row>
      <xdr:rowOff>76200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331950" y="555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0</xdr:col>
      <xdr:colOff>79375</xdr:colOff>
      <xdr:row>0</xdr:row>
      <xdr:rowOff>82550</xdr:rowOff>
    </xdr:from>
    <xdr:to>
      <xdr:col>0</xdr:col>
      <xdr:colOff>2289175</xdr:colOff>
      <xdr:row>6</xdr:row>
      <xdr:rowOff>111125</xdr:rowOff>
    </xdr:to>
    <xdr:pic>
      <xdr:nvPicPr>
        <xdr:cNvPr id="48817409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82550"/>
          <a:ext cx="2209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53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1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18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printerSettings" Target="../printerSettings/printerSettings33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235"/>
  <sheetViews>
    <sheetView zoomScale="60" zoomScaleNormal="60" workbookViewId="0">
      <pane xSplit="3" ySplit="10" topLeftCell="D11" activePane="bottomRight" state="frozenSplit"/>
      <selection pane="topRight" activeCell="D1" sqref="D1"/>
      <selection pane="bottomLeft" activeCell="A11" sqref="A11"/>
      <selection pane="bottomRight" activeCell="A11" sqref="A11"/>
    </sheetView>
  </sheetViews>
  <sheetFormatPr baseColWidth="10" defaultColWidth="0" defaultRowHeight="36.75" customHeight="1" x14ac:dyDescent="0.2"/>
  <cols>
    <col min="1" max="1" width="39" style="356" customWidth="1"/>
    <col min="2" max="2" width="42" style="13" customWidth="1"/>
    <col min="3" max="3" width="53.85546875" style="13" customWidth="1"/>
    <col min="4" max="4" width="22.42578125" style="111" customWidth="1"/>
    <col min="5" max="18" width="10.7109375" style="13" customWidth="1"/>
    <col min="19" max="19" width="42.42578125" style="13" bestFit="1" customWidth="1"/>
    <col min="20" max="20" width="9.85546875" style="13" hidden="1" customWidth="1"/>
    <col min="21" max="16384" width="11.42578125" style="13" hidden="1"/>
  </cols>
  <sheetData>
    <row r="1" spans="1:23" s="7" customFormat="1" ht="18" customHeight="1" x14ac:dyDescent="0.2">
      <c r="A1" s="134"/>
      <c r="B1" s="559" t="s">
        <v>258</v>
      </c>
      <c r="C1" s="559"/>
      <c r="D1" s="559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39" t="s">
        <v>546</v>
      </c>
      <c r="T1" s="3"/>
      <c r="U1" s="5"/>
      <c r="V1" s="6"/>
      <c r="W1" s="6"/>
    </row>
    <row r="2" spans="1:23" s="9" customFormat="1" ht="18" customHeight="1" x14ac:dyDescent="0.2">
      <c r="A2" s="134"/>
      <c r="B2" s="560" t="s">
        <v>259</v>
      </c>
      <c r="C2" s="560"/>
      <c r="D2" s="56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4"/>
      <c r="S2" s="40" t="s">
        <v>260</v>
      </c>
      <c r="T2" s="3"/>
      <c r="U2" s="8"/>
      <c r="V2" s="6"/>
      <c r="W2" s="6"/>
    </row>
    <row r="3" spans="1:23" s="7" customFormat="1" ht="18" customHeight="1" x14ac:dyDescent="0.2">
      <c r="A3" s="134"/>
      <c r="B3" s="10" t="s">
        <v>4412</v>
      </c>
      <c r="D3" s="10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05"/>
      <c r="S3" s="40" t="s">
        <v>547</v>
      </c>
      <c r="T3" s="3"/>
      <c r="U3" s="5"/>
      <c r="V3" s="6"/>
      <c r="W3" s="6"/>
    </row>
    <row r="4" spans="1:23" s="7" customFormat="1" ht="18" customHeight="1" x14ac:dyDescent="0.2">
      <c r="A4" s="134"/>
      <c r="B4" s="559" t="s">
        <v>548</v>
      </c>
      <c r="C4" s="559"/>
      <c r="D4" s="55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261</v>
      </c>
      <c r="T4" s="3"/>
      <c r="U4" s="5"/>
      <c r="V4" s="6"/>
      <c r="W4" s="6"/>
    </row>
    <row r="5" spans="1:23" s="32" customFormat="1" ht="15" customHeight="1" x14ac:dyDescent="0.2">
      <c r="A5" s="135"/>
      <c r="B5" s="565"/>
      <c r="C5" s="561"/>
      <c r="D5" s="564" t="s">
        <v>266</v>
      </c>
      <c r="E5" s="556" t="s">
        <v>255</v>
      </c>
      <c r="F5" s="556"/>
      <c r="G5" s="556"/>
      <c r="H5" s="551" t="s">
        <v>263</v>
      </c>
      <c r="I5" s="551"/>
      <c r="J5" s="551"/>
      <c r="K5" s="558" t="s">
        <v>545</v>
      </c>
      <c r="L5" s="558"/>
      <c r="M5" s="558"/>
      <c r="N5" s="555" t="s">
        <v>474</v>
      </c>
      <c r="O5" s="555"/>
      <c r="P5" s="555"/>
      <c r="Q5" s="549" t="s">
        <v>265</v>
      </c>
      <c r="R5" s="549"/>
      <c r="S5" s="550" t="s">
        <v>267</v>
      </c>
    </row>
    <row r="6" spans="1:23" s="32" customFormat="1" ht="16.5" customHeight="1" x14ac:dyDescent="0.2">
      <c r="A6" s="135"/>
      <c r="B6" s="565"/>
      <c r="C6" s="561"/>
      <c r="D6" s="564"/>
      <c r="E6" s="556"/>
      <c r="F6" s="556"/>
      <c r="G6" s="556"/>
      <c r="H6" s="551"/>
      <c r="I6" s="551"/>
      <c r="J6" s="551"/>
      <c r="K6" s="558"/>
      <c r="L6" s="558"/>
      <c r="M6" s="558"/>
      <c r="N6" s="555"/>
      <c r="O6" s="555"/>
      <c r="P6" s="555"/>
      <c r="Q6" s="549"/>
      <c r="R6" s="549"/>
      <c r="S6" s="550"/>
    </row>
    <row r="7" spans="1:23" s="32" customFormat="1" ht="12" customHeight="1" x14ac:dyDescent="0.2">
      <c r="A7" s="562"/>
      <c r="B7" s="562"/>
      <c r="C7" s="43"/>
      <c r="D7" s="108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1"/>
    </row>
    <row r="8" spans="1:23" s="32" customFormat="1" ht="27" customHeight="1" x14ac:dyDescent="0.2">
      <c r="A8" s="357" t="s">
        <v>455</v>
      </c>
      <c r="B8" s="53"/>
      <c r="C8" s="51"/>
      <c r="D8" s="35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0"/>
    </row>
    <row r="9" spans="1:23" s="10" customFormat="1" ht="18" customHeight="1" x14ac:dyDescent="0.2">
      <c r="A9" s="563" t="s">
        <v>37</v>
      </c>
      <c r="B9" s="547" t="s">
        <v>38</v>
      </c>
      <c r="C9" s="547" t="s">
        <v>262</v>
      </c>
      <c r="D9" s="566" t="s">
        <v>454</v>
      </c>
      <c r="E9" s="552" t="s">
        <v>33</v>
      </c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7" t="s">
        <v>34</v>
      </c>
      <c r="R9" s="553" t="s">
        <v>36</v>
      </c>
      <c r="S9" s="547" t="s">
        <v>35</v>
      </c>
      <c r="T9" s="11"/>
    </row>
    <row r="10" spans="1:23" s="10" customFormat="1" ht="24" customHeight="1" x14ac:dyDescent="0.2">
      <c r="A10" s="563"/>
      <c r="B10" s="547"/>
      <c r="C10" s="547"/>
      <c r="D10" s="567"/>
      <c r="E10" s="363" t="s">
        <v>21</v>
      </c>
      <c r="F10" s="363" t="s">
        <v>22</v>
      </c>
      <c r="G10" s="363" t="s">
        <v>23</v>
      </c>
      <c r="H10" s="363" t="s">
        <v>24</v>
      </c>
      <c r="I10" s="363" t="s">
        <v>25</v>
      </c>
      <c r="J10" s="363" t="s">
        <v>26</v>
      </c>
      <c r="K10" s="363" t="s">
        <v>27</v>
      </c>
      <c r="L10" s="363" t="s">
        <v>28</v>
      </c>
      <c r="M10" s="363" t="s">
        <v>29</v>
      </c>
      <c r="N10" s="363" t="s">
        <v>30</v>
      </c>
      <c r="O10" s="363" t="s">
        <v>31</v>
      </c>
      <c r="P10" s="363" t="s">
        <v>32</v>
      </c>
      <c r="Q10" s="557"/>
      <c r="R10" s="554"/>
      <c r="S10" s="548"/>
      <c r="T10" s="11"/>
    </row>
    <row r="11" spans="1:23" s="174" customFormat="1" ht="32.1" customHeight="1" x14ac:dyDescent="0.2">
      <c r="A11" s="127" t="s">
        <v>79</v>
      </c>
      <c r="B11" s="324" t="s">
        <v>4162</v>
      </c>
      <c r="C11" s="364" t="s">
        <v>4163</v>
      </c>
      <c r="D11" s="121">
        <v>600</v>
      </c>
      <c r="E11" s="146"/>
      <c r="F11" s="146"/>
      <c r="G11" s="146"/>
      <c r="H11" s="146"/>
      <c r="I11" s="146">
        <v>78.7</v>
      </c>
      <c r="J11" s="146"/>
      <c r="K11" s="146"/>
      <c r="L11" s="146"/>
      <c r="M11" s="146"/>
      <c r="N11" s="146"/>
      <c r="O11" s="146"/>
      <c r="P11" s="146">
        <v>90.3</v>
      </c>
      <c r="Q11" s="145">
        <f t="shared" ref="Q11:Q42" si="0">AVERAGE(E11:P11)</f>
        <v>84.5</v>
      </c>
      <c r="R11" s="151" t="str">
        <f t="shared" ref="R11:R42" si="1">IF(Q11&lt;5,"SI","NO")</f>
        <v>NO</v>
      </c>
      <c r="S11" s="152" t="str">
        <f t="shared" ref="S11:S74" si="2">IF(Q11&lt;5,"Sin Riesgo",IF(Q11 &lt;=14,"Bajo",IF(Q11&lt;=35,"Medio",IF(Q11&lt;=80,"Alto","Inviable Sanitariamente"))))</f>
        <v>Inviable Sanitariamente</v>
      </c>
      <c r="T11" s="253"/>
    </row>
    <row r="12" spans="1:23" s="174" customFormat="1" ht="32.1" customHeight="1" x14ac:dyDescent="0.2">
      <c r="A12" s="127" t="s">
        <v>79</v>
      </c>
      <c r="B12" s="324" t="s">
        <v>272</v>
      </c>
      <c r="C12" s="324" t="s">
        <v>4164</v>
      </c>
      <c r="D12" s="121">
        <v>32</v>
      </c>
      <c r="E12" s="146"/>
      <c r="F12" s="146"/>
      <c r="G12" s="146"/>
      <c r="H12" s="146"/>
      <c r="I12" s="146"/>
      <c r="J12" s="146">
        <v>98.1</v>
      </c>
      <c r="K12" s="146"/>
      <c r="L12" s="146"/>
      <c r="M12" s="146"/>
      <c r="N12" s="146"/>
      <c r="O12" s="146">
        <v>98.1</v>
      </c>
      <c r="P12" s="146"/>
      <c r="Q12" s="145">
        <f t="shared" si="0"/>
        <v>98.1</v>
      </c>
      <c r="R12" s="151" t="str">
        <f t="shared" si="1"/>
        <v>NO</v>
      </c>
      <c r="S12" s="152" t="str">
        <f t="shared" si="2"/>
        <v>Inviable Sanitariamente</v>
      </c>
      <c r="T12" s="253"/>
    </row>
    <row r="13" spans="1:23" s="174" customFormat="1" ht="32.1" customHeight="1" x14ac:dyDescent="0.2">
      <c r="A13" s="127" t="s">
        <v>79</v>
      </c>
      <c r="B13" s="324" t="s">
        <v>3498</v>
      </c>
      <c r="C13" s="324" t="s">
        <v>4165</v>
      </c>
      <c r="D13" s="116">
        <v>636</v>
      </c>
      <c r="E13" s="146"/>
      <c r="F13" s="146"/>
      <c r="G13" s="146"/>
      <c r="H13" s="146"/>
      <c r="I13" s="146">
        <v>98.1</v>
      </c>
      <c r="J13" s="146"/>
      <c r="K13" s="146"/>
      <c r="L13" s="146"/>
      <c r="M13" s="146"/>
      <c r="N13" s="146"/>
      <c r="O13" s="146"/>
      <c r="P13" s="146"/>
      <c r="Q13" s="145">
        <f t="shared" si="0"/>
        <v>98.1</v>
      </c>
      <c r="R13" s="151" t="str">
        <f t="shared" si="1"/>
        <v>NO</v>
      </c>
      <c r="S13" s="152" t="str">
        <f t="shared" si="2"/>
        <v>Inviable Sanitariamente</v>
      </c>
      <c r="T13" s="253"/>
    </row>
    <row r="14" spans="1:23" s="174" customFormat="1" ht="32.1" customHeight="1" x14ac:dyDescent="0.2">
      <c r="A14" s="127" t="s">
        <v>79</v>
      </c>
      <c r="B14" s="324" t="s">
        <v>4166</v>
      </c>
      <c r="C14" s="324" t="s">
        <v>277</v>
      </c>
      <c r="D14" s="121">
        <v>140</v>
      </c>
      <c r="E14" s="146"/>
      <c r="F14" s="146"/>
      <c r="G14" s="146"/>
      <c r="H14" s="146"/>
      <c r="I14" s="146">
        <v>27</v>
      </c>
      <c r="J14" s="146"/>
      <c r="K14" s="146"/>
      <c r="L14" s="146"/>
      <c r="M14" s="146"/>
      <c r="N14" s="146"/>
      <c r="O14" s="146"/>
      <c r="P14" s="146">
        <v>19.399999999999999</v>
      </c>
      <c r="Q14" s="145">
        <f t="shared" si="0"/>
        <v>23.2</v>
      </c>
      <c r="R14" s="151" t="str">
        <f t="shared" si="1"/>
        <v>NO</v>
      </c>
      <c r="S14" s="152" t="str">
        <f t="shared" si="2"/>
        <v>Medio</v>
      </c>
      <c r="T14" s="253"/>
    </row>
    <row r="15" spans="1:23" s="174" customFormat="1" ht="32.1" customHeight="1" x14ac:dyDescent="0.2">
      <c r="A15" s="127" t="s">
        <v>79</v>
      </c>
      <c r="B15" s="324" t="s">
        <v>275</v>
      </c>
      <c r="C15" s="324" t="s">
        <v>4167</v>
      </c>
      <c r="D15" s="121">
        <v>400</v>
      </c>
      <c r="E15" s="146"/>
      <c r="F15" s="146">
        <v>98.1</v>
      </c>
      <c r="G15" s="146"/>
      <c r="H15" s="146"/>
      <c r="I15" s="146"/>
      <c r="J15" s="146">
        <v>90.3</v>
      </c>
      <c r="K15" s="146"/>
      <c r="L15" s="146"/>
      <c r="M15" s="146"/>
      <c r="N15" s="146"/>
      <c r="O15" s="146"/>
      <c r="P15" s="146"/>
      <c r="Q15" s="145">
        <f t="shared" si="0"/>
        <v>94.199999999999989</v>
      </c>
      <c r="R15" s="151" t="str">
        <f t="shared" si="1"/>
        <v>NO</v>
      </c>
      <c r="S15" s="152" t="str">
        <f t="shared" si="2"/>
        <v>Inviable Sanitariamente</v>
      </c>
      <c r="T15" s="253"/>
    </row>
    <row r="16" spans="1:23" s="174" customFormat="1" ht="32.1" customHeight="1" x14ac:dyDescent="0.2">
      <c r="A16" s="127" t="s">
        <v>79</v>
      </c>
      <c r="B16" s="324" t="s">
        <v>2377</v>
      </c>
      <c r="C16" s="324" t="s">
        <v>274</v>
      </c>
      <c r="D16" s="121">
        <v>162</v>
      </c>
      <c r="E16" s="146"/>
      <c r="F16" s="146"/>
      <c r="G16" s="146"/>
      <c r="H16" s="146"/>
      <c r="I16" s="146"/>
      <c r="J16" s="146">
        <v>38.700000000000003</v>
      </c>
      <c r="K16" s="146"/>
      <c r="L16" s="146"/>
      <c r="M16" s="146"/>
      <c r="N16" s="146"/>
      <c r="O16" s="146">
        <v>71</v>
      </c>
      <c r="P16" s="146"/>
      <c r="Q16" s="145">
        <f t="shared" si="0"/>
        <v>54.85</v>
      </c>
      <c r="R16" s="151" t="str">
        <f t="shared" si="1"/>
        <v>NO</v>
      </c>
      <c r="S16" s="152" t="str">
        <f t="shared" si="2"/>
        <v>Alto</v>
      </c>
      <c r="T16" s="253"/>
    </row>
    <row r="17" spans="1:20" s="174" customFormat="1" ht="32.1" customHeight="1" x14ac:dyDescent="0.2">
      <c r="A17" s="127" t="s">
        <v>79</v>
      </c>
      <c r="B17" s="324" t="s">
        <v>278</v>
      </c>
      <c r="C17" s="324" t="s">
        <v>279</v>
      </c>
      <c r="D17" s="121">
        <v>52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5" t="e">
        <f t="shared" si="0"/>
        <v>#DIV/0!</v>
      </c>
      <c r="R17" s="151" t="e">
        <f t="shared" si="1"/>
        <v>#DIV/0!</v>
      </c>
      <c r="S17" s="152" t="e">
        <f t="shared" si="2"/>
        <v>#DIV/0!</v>
      </c>
      <c r="T17" s="253"/>
    </row>
    <row r="18" spans="1:20" s="174" customFormat="1" ht="32.1" customHeight="1" x14ac:dyDescent="0.2">
      <c r="A18" s="127" t="s">
        <v>79</v>
      </c>
      <c r="B18" s="324" t="s">
        <v>276</v>
      </c>
      <c r="C18" s="324" t="s">
        <v>277</v>
      </c>
      <c r="D18" s="121">
        <v>140</v>
      </c>
      <c r="E18" s="146"/>
      <c r="F18" s="146">
        <v>71</v>
      </c>
      <c r="G18" s="146"/>
      <c r="H18" s="146"/>
      <c r="I18" s="146"/>
      <c r="J18" s="146"/>
      <c r="K18" s="146">
        <v>98.1</v>
      </c>
      <c r="L18" s="146"/>
      <c r="M18" s="146"/>
      <c r="N18" s="146"/>
      <c r="O18" s="146"/>
      <c r="P18" s="146"/>
      <c r="Q18" s="145">
        <f t="shared" si="0"/>
        <v>84.55</v>
      </c>
      <c r="R18" s="151" t="str">
        <f t="shared" si="1"/>
        <v>NO</v>
      </c>
      <c r="S18" s="152" t="str">
        <f t="shared" si="2"/>
        <v>Inviable Sanitariamente</v>
      </c>
      <c r="T18" s="253"/>
    </row>
    <row r="19" spans="1:20" s="174" customFormat="1" ht="32.1" customHeight="1" x14ac:dyDescent="0.2">
      <c r="A19" s="127" t="s">
        <v>79</v>
      </c>
      <c r="B19" s="324" t="s">
        <v>39</v>
      </c>
      <c r="C19" s="324" t="s">
        <v>4168</v>
      </c>
      <c r="D19" s="121">
        <v>16</v>
      </c>
      <c r="E19" s="146"/>
      <c r="F19" s="146"/>
      <c r="G19" s="146"/>
      <c r="H19" s="146"/>
      <c r="I19" s="146">
        <v>65.8</v>
      </c>
      <c r="J19" s="146"/>
      <c r="K19" s="146"/>
      <c r="L19" s="146"/>
      <c r="M19" s="146"/>
      <c r="N19" s="146">
        <v>72.900000000000006</v>
      </c>
      <c r="O19" s="146"/>
      <c r="P19" s="146"/>
      <c r="Q19" s="145">
        <f t="shared" si="0"/>
        <v>69.349999999999994</v>
      </c>
      <c r="R19" s="151" t="str">
        <f t="shared" si="1"/>
        <v>NO</v>
      </c>
      <c r="S19" s="152" t="str">
        <f t="shared" si="2"/>
        <v>Alto</v>
      </c>
      <c r="T19" s="253"/>
    </row>
    <row r="20" spans="1:20" s="174" customFormat="1" ht="32.1" customHeight="1" x14ac:dyDescent="0.2">
      <c r="A20" s="127" t="s">
        <v>79</v>
      </c>
      <c r="B20" s="324" t="s">
        <v>540</v>
      </c>
      <c r="C20" s="324" t="s">
        <v>280</v>
      </c>
      <c r="D20" s="121">
        <v>85</v>
      </c>
      <c r="E20" s="146"/>
      <c r="F20" s="146"/>
      <c r="G20" s="146"/>
      <c r="H20" s="146">
        <v>71</v>
      </c>
      <c r="I20" s="146"/>
      <c r="J20" s="146"/>
      <c r="K20" s="146"/>
      <c r="L20" s="146"/>
      <c r="M20" s="146">
        <v>90.3</v>
      </c>
      <c r="N20" s="146"/>
      <c r="O20" s="146"/>
      <c r="P20" s="146"/>
      <c r="Q20" s="145">
        <f t="shared" si="0"/>
        <v>80.650000000000006</v>
      </c>
      <c r="R20" s="151" t="str">
        <f t="shared" si="1"/>
        <v>NO</v>
      </c>
      <c r="S20" s="152" t="str">
        <f t="shared" si="2"/>
        <v>Inviable Sanitariamente</v>
      </c>
      <c r="T20" s="253"/>
    </row>
    <row r="21" spans="1:20" s="174" customFormat="1" ht="32.1" customHeight="1" x14ac:dyDescent="0.2">
      <c r="A21" s="127" t="s">
        <v>79</v>
      </c>
      <c r="B21" s="324" t="s">
        <v>272</v>
      </c>
      <c r="C21" s="324" t="s">
        <v>4169</v>
      </c>
      <c r="D21" s="121">
        <v>80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5" t="e">
        <f t="shared" si="0"/>
        <v>#DIV/0!</v>
      </c>
      <c r="R21" s="151" t="e">
        <f t="shared" si="1"/>
        <v>#DIV/0!</v>
      </c>
      <c r="S21" s="152" t="e">
        <f t="shared" si="2"/>
        <v>#DIV/0!</v>
      </c>
      <c r="T21" s="253"/>
    </row>
    <row r="22" spans="1:20" s="174" customFormat="1" ht="32.1" customHeight="1" x14ac:dyDescent="0.2">
      <c r="A22" s="127" t="s">
        <v>79</v>
      </c>
      <c r="B22" s="324" t="s">
        <v>281</v>
      </c>
      <c r="C22" s="364" t="s">
        <v>282</v>
      </c>
      <c r="D22" s="121">
        <v>48</v>
      </c>
      <c r="E22" s="146"/>
      <c r="F22" s="146"/>
      <c r="G22" s="146"/>
      <c r="H22" s="146"/>
      <c r="I22" s="146"/>
      <c r="J22" s="146">
        <v>38.700000000000003</v>
      </c>
      <c r="K22" s="146"/>
      <c r="L22" s="146"/>
      <c r="M22" s="146"/>
      <c r="N22" s="146"/>
      <c r="O22" s="146">
        <v>38.700000000000003</v>
      </c>
      <c r="P22" s="146"/>
      <c r="Q22" s="145">
        <f t="shared" si="0"/>
        <v>38.700000000000003</v>
      </c>
      <c r="R22" s="151" t="str">
        <f t="shared" si="1"/>
        <v>NO</v>
      </c>
      <c r="S22" s="152" t="str">
        <f t="shared" si="2"/>
        <v>Alto</v>
      </c>
      <c r="T22" s="253"/>
    </row>
    <row r="23" spans="1:20" s="174" customFormat="1" ht="32.1" customHeight="1" x14ac:dyDescent="0.2">
      <c r="A23" s="127" t="s">
        <v>79</v>
      </c>
      <c r="B23" s="324" t="s">
        <v>12</v>
      </c>
      <c r="C23" s="364" t="s">
        <v>283</v>
      </c>
      <c r="D23" s="121">
        <v>27</v>
      </c>
      <c r="E23" s="146"/>
      <c r="F23" s="146"/>
      <c r="G23" s="146">
        <v>90.3</v>
      </c>
      <c r="H23" s="146"/>
      <c r="I23" s="146"/>
      <c r="J23" s="146"/>
      <c r="K23" s="146"/>
      <c r="L23" s="146">
        <v>90.3</v>
      </c>
      <c r="M23" s="146"/>
      <c r="N23" s="146"/>
      <c r="O23" s="146"/>
      <c r="P23" s="146"/>
      <c r="Q23" s="145">
        <f t="shared" si="0"/>
        <v>90.3</v>
      </c>
      <c r="R23" s="151" t="str">
        <f t="shared" si="1"/>
        <v>NO</v>
      </c>
      <c r="S23" s="152" t="str">
        <f t="shared" si="2"/>
        <v>Inviable Sanitariamente</v>
      </c>
      <c r="T23" s="253"/>
    </row>
    <row r="24" spans="1:20" s="174" customFormat="1" ht="32.1" customHeight="1" x14ac:dyDescent="0.2">
      <c r="A24" s="127" t="s">
        <v>79</v>
      </c>
      <c r="B24" s="324" t="s">
        <v>4170</v>
      </c>
      <c r="C24" s="324" t="s">
        <v>4171</v>
      </c>
      <c r="D24" s="121">
        <v>421</v>
      </c>
      <c r="E24" s="146"/>
      <c r="F24" s="146"/>
      <c r="G24" s="146"/>
      <c r="H24" s="146"/>
      <c r="I24" s="146"/>
      <c r="J24" s="146"/>
      <c r="K24" s="146"/>
      <c r="L24" s="146"/>
      <c r="M24" s="146">
        <v>90.3</v>
      </c>
      <c r="N24" s="146">
        <v>98.1</v>
      </c>
      <c r="O24" s="146"/>
      <c r="P24" s="146"/>
      <c r="Q24" s="145">
        <f t="shared" si="0"/>
        <v>94.199999999999989</v>
      </c>
      <c r="R24" s="151" t="str">
        <f t="shared" si="1"/>
        <v>NO</v>
      </c>
      <c r="S24" s="152" t="str">
        <f t="shared" si="2"/>
        <v>Inviable Sanitariamente</v>
      </c>
      <c r="T24" s="253"/>
    </row>
    <row r="25" spans="1:20" s="174" customFormat="1" ht="32.1" customHeight="1" x14ac:dyDescent="0.2">
      <c r="A25" s="127" t="s">
        <v>79</v>
      </c>
      <c r="B25" s="324" t="s">
        <v>240</v>
      </c>
      <c r="C25" s="324" t="s">
        <v>284</v>
      </c>
      <c r="D25" s="121">
        <v>119</v>
      </c>
      <c r="E25" s="146"/>
      <c r="F25" s="146"/>
      <c r="G25" s="146">
        <v>71</v>
      </c>
      <c r="H25" s="146"/>
      <c r="I25" s="146"/>
      <c r="J25" s="146"/>
      <c r="K25" s="146"/>
      <c r="L25" s="146"/>
      <c r="M25" s="146"/>
      <c r="N25" s="146"/>
      <c r="O25" s="146">
        <v>71</v>
      </c>
      <c r="P25" s="146"/>
      <c r="Q25" s="145">
        <f t="shared" si="0"/>
        <v>71</v>
      </c>
      <c r="R25" s="151" t="str">
        <f t="shared" si="1"/>
        <v>NO</v>
      </c>
      <c r="S25" s="152" t="str">
        <f t="shared" si="2"/>
        <v>Alto</v>
      </c>
      <c r="T25" s="253"/>
    </row>
    <row r="26" spans="1:20" s="174" customFormat="1" ht="32.1" customHeight="1" x14ac:dyDescent="0.2">
      <c r="A26" s="127" t="s">
        <v>79</v>
      </c>
      <c r="B26" s="324" t="s">
        <v>72</v>
      </c>
      <c r="C26" s="324" t="s">
        <v>4172</v>
      </c>
      <c r="D26" s="121">
        <v>95</v>
      </c>
      <c r="E26" s="146"/>
      <c r="F26" s="146"/>
      <c r="G26" s="146">
        <v>90.3</v>
      </c>
      <c r="H26" s="146"/>
      <c r="I26" s="146"/>
      <c r="J26" s="146"/>
      <c r="K26" s="146"/>
      <c r="L26" s="146">
        <v>71</v>
      </c>
      <c r="M26" s="146"/>
      <c r="N26" s="146"/>
      <c r="O26" s="146"/>
      <c r="P26" s="146"/>
      <c r="Q26" s="145">
        <f t="shared" si="0"/>
        <v>80.650000000000006</v>
      </c>
      <c r="R26" s="151" t="str">
        <f t="shared" si="1"/>
        <v>NO</v>
      </c>
      <c r="S26" s="152" t="str">
        <f t="shared" si="2"/>
        <v>Inviable Sanitariamente</v>
      </c>
      <c r="T26" s="253"/>
    </row>
    <row r="27" spans="1:20" s="174" customFormat="1" ht="32.1" customHeight="1" x14ac:dyDescent="0.2">
      <c r="A27" s="127" t="s">
        <v>79</v>
      </c>
      <c r="B27" s="324" t="s">
        <v>4173</v>
      </c>
      <c r="C27" s="324" t="s">
        <v>4174</v>
      </c>
      <c r="D27" s="121">
        <v>42</v>
      </c>
      <c r="E27" s="146"/>
      <c r="F27" s="146"/>
      <c r="G27" s="146"/>
      <c r="H27" s="146"/>
      <c r="I27" s="146">
        <v>46.5</v>
      </c>
      <c r="J27" s="146"/>
      <c r="K27" s="146"/>
      <c r="L27" s="146"/>
      <c r="M27" s="146"/>
      <c r="N27" s="146">
        <v>19.399999999999999</v>
      </c>
      <c r="O27" s="146"/>
      <c r="P27" s="146"/>
      <c r="Q27" s="145">
        <f t="shared" si="0"/>
        <v>32.950000000000003</v>
      </c>
      <c r="R27" s="151" t="str">
        <f t="shared" si="1"/>
        <v>NO</v>
      </c>
      <c r="S27" s="152" t="str">
        <f t="shared" si="2"/>
        <v>Medio</v>
      </c>
      <c r="T27" s="253"/>
    </row>
    <row r="28" spans="1:20" s="174" customFormat="1" ht="32.1" customHeight="1" x14ac:dyDescent="0.2">
      <c r="A28" s="127" t="s">
        <v>79</v>
      </c>
      <c r="B28" s="324" t="s">
        <v>503</v>
      </c>
      <c r="C28" s="324" t="s">
        <v>285</v>
      </c>
      <c r="D28" s="121">
        <v>351</v>
      </c>
      <c r="E28" s="146"/>
      <c r="F28" s="146">
        <v>19.399999999999999</v>
      </c>
      <c r="G28" s="146"/>
      <c r="H28" s="146"/>
      <c r="I28" s="146"/>
      <c r="J28" s="146"/>
      <c r="K28" s="146">
        <v>19.399999999999999</v>
      </c>
      <c r="L28" s="146"/>
      <c r="M28" s="146"/>
      <c r="N28" s="146"/>
      <c r="O28" s="146"/>
      <c r="P28" s="146"/>
      <c r="Q28" s="145">
        <f t="shared" si="0"/>
        <v>19.399999999999999</v>
      </c>
      <c r="R28" s="151" t="str">
        <f t="shared" si="1"/>
        <v>NO</v>
      </c>
      <c r="S28" s="152" t="str">
        <f t="shared" si="2"/>
        <v>Medio</v>
      </c>
      <c r="T28" s="253"/>
    </row>
    <row r="29" spans="1:20" s="174" customFormat="1" ht="32.1" customHeight="1" x14ac:dyDescent="0.2">
      <c r="A29" s="127" t="s">
        <v>79</v>
      </c>
      <c r="B29" s="324" t="s">
        <v>286</v>
      </c>
      <c r="C29" s="364" t="s">
        <v>4175</v>
      </c>
      <c r="D29" s="121">
        <v>45</v>
      </c>
      <c r="E29" s="146"/>
      <c r="F29" s="146"/>
      <c r="G29" s="146"/>
      <c r="H29" s="146">
        <v>38.700000000000003</v>
      </c>
      <c r="I29" s="146"/>
      <c r="J29" s="146"/>
      <c r="K29" s="146"/>
      <c r="L29" s="146"/>
      <c r="M29" s="146">
        <v>90.3</v>
      </c>
      <c r="N29" s="146"/>
      <c r="O29" s="146"/>
      <c r="P29" s="146"/>
      <c r="Q29" s="145">
        <f t="shared" si="0"/>
        <v>64.5</v>
      </c>
      <c r="R29" s="151" t="str">
        <f t="shared" si="1"/>
        <v>NO</v>
      </c>
      <c r="S29" s="152" t="str">
        <f t="shared" si="2"/>
        <v>Alto</v>
      </c>
      <c r="T29" s="253"/>
    </row>
    <row r="30" spans="1:20" s="174" customFormat="1" ht="32.1" customHeight="1" x14ac:dyDescent="0.2">
      <c r="A30" s="127" t="s">
        <v>79</v>
      </c>
      <c r="B30" s="324" t="s">
        <v>287</v>
      </c>
      <c r="C30" s="364" t="s">
        <v>288</v>
      </c>
      <c r="D30" s="121">
        <v>172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>
        <v>0</v>
      </c>
      <c r="Q30" s="145">
        <f t="shared" si="0"/>
        <v>0</v>
      </c>
      <c r="R30" s="151" t="str">
        <f t="shared" si="1"/>
        <v>SI</v>
      </c>
      <c r="S30" s="152" t="str">
        <f t="shared" si="2"/>
        <v>Sin Riesgo</v>
      </c>
      <c r="T30" s="253"/>
    </row>
    <row r="31" spans="1:20" s="174" customFormat="1" ht="32.1" customHeight="1" x14ac:dyDescent="0.2">
      <c r="A31" s="127" t="s">
        <v>79</v>
      </c>
      <c r="B31" s="324" t="s">
        <v>40</v>
      </c>
      <c r="C31" s="364" t="s">
        <v>289</v>
      </c>
      <c r="D31" s="121">
        <v>85</v>
      </c>
      <c r="E31" s="146"/>
      <c r="F31" s="146"/>
      <c r="G31" s="146"/>
      <c r="H31" s="146"/>
      <c r="I31" s="146">
        <v>27.1</v>
      </c>
      <c r="J31" s="146"/>
      <c r="K31" s="146"/>
      <c r="L31" s="146"/>
      <c r="M31" s="146"/>
      <c r="N31" s="146">
        <v>72</v>
      </c>
      <c r="O31" s="146"/>
      <c r="P31" s="146"/>
      <c r="Q31" s="145">
        <f t="shared" si="0"/>
        <v>49.55</v>
      </c>
      <c r="R31" s="151" t="str">
        <f t="shared" si="1"/>
        <v>NO</v>
      </c>
      <c r="S31" s="152" t="str">
        <f t="shared" si="2"/>
        <v>Alto</v>
      </c>
      <c r="T31" s="253"/>
    </row>
    <row r="32" spans="1:20" s="174" customFormat="1" ht="32.1" customHeight="1" x14ac:dyDescent="0.2">
      <c r="A32" s="127" t="s">
        <v>79</v>
      </c>
      <c r="B32" s="324" t="s">
        <v>55</v>
      </c>
      <c r="C32" s="324" t="s">
        <v>4176</v>
      </c>
      <c r="D32" s="121">
        <v>65</v>
      </c>
      <c r="E32" s="146"/>
      <c r="F32" s="146"/>
      <c r="G32" s="146"/>
      <c r="H32" s="146"/>
      <c r="I32" s="146"/>
      <c r="J32" s="146"/>
      <c r="K32" s="146"/>
      <c r="L32" s="146"/>
      <c r="M32" s="146">
        <v>90.3</v>
      </c>
      <c r="N32" s="146"/>
      <c r="O32" s="146"/>
      <c r="P32" s="146">
        <v>98.1</v>
      </c>
      <c r="Q32" s="145">
        <f t="shared" si="0"/>
        <v>94.199999999999989</v>
      </c>
      <c r="R32" s="151" t="str">
        <f t="shared" si="1"/>
        <v>NO</v>
      </c>
      <c r="S32" s="152" t="str">
        <f t="shared" si="2"/>
        <v>Inviable Sanitariamente</v>
      </c>
      <c r="T32" s="253"/>
    </row>
    <row r="33" spans="1:23" s="174" customFormat="1" ht="32.1" customHeight="1" x14ac:dyDescent="0.2">
      <c r="A33" s="127" t="s">
        <v>79</v>
      </c>
      <c r="B33" s="324" t="s">
        <v>4177</v>
      </c>
      <c r="C33" s="324" t="s">
        <v>4178</v>
      </c>
      <c r="D33" s="121">
        <v>15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5" t="e">
        <f t="shared" si="0"/>
        <v>#DIV/0!</v>
      </c>
      <c r="R33" s="151" t="e">
        <f t="shared" si="1"/>
        <v>#DIV/0!</v>
      </c>
      <c r="S33" s="152" t="e">
        <f t="shared" si="2"/>
        <v>#DIV/0!</v>
      </c>
      <c r="T33" s="253"/>
    </row>
    <row r="34" spans="1:23" s="174" customFormat="1" ht="32.1" customHeight="1" x14ac:dyDescent="0.2">
      <c r="A34" s="127" t="s">
        <v>79</v>
      </c>
      <c r="B34" s="324" t="s">
        <v>4179</v>
      </c>
      <c r="C34" s="324" t="s">
        <v>4180</v>
      </c>
      <c r="D34" s="121">
        <v>20</v>
      </c>
      <c r="E34" s="146"/>
      <c r="F34" s="146"/>
      <c r="G34" s="146"/>
      <c r="H34" s="146"/>
      <c r="I34" s="146">
        <v>98.1</v>
      </c>
      <c r="J34" s="146"/>
      <c r="K34" s="146"/>
      <c r="L34" s="146"/>
      <c r="M34" s="146"/>
      <c r="N34" s="146">
        <v>78.7</v>
      </c>
      <c r="O34" s="146"/>
      <c r="P34" s="146"/>
      <c r="Q34" s="145">
        <f t="shared" si="0"/>
        <v>88.4</v>
      </c>
      <c r="R34" s="151" t="str">
        <f t="shared" si="1"/>
        <v>NO</v>
      </c>
      <c r="S34" s="152" t="str">
        <f t="shared" si="2"/>
        <v>Inviable Sanitariamente</v>
      </c>
      <c r="T34" s="253"/>
    </row>
    <row r="35" spans="1:23" s="174" customFormat="1" ht="32.1" customHeight="1" x14ac:dyDescent="0.2">
      <c r="A35" s="127" t="s">
        <v>79</v>
      </c>
      <c r="B35" s="324" t="s">
        <v>4181</v>
      </c>
      <c r="C35" s="324" t="s">
        <v>4182</v>
      </c>
      <c r="D35" s="121">
        <v>25</v>
      </c>
      <c r="E35" s="146"/>
      <c r="F35" s="146"/>
      <c r="G35" s="146">
        <v>71</v>
      </c>
      <c r="H35" s="146"/>
      <c r="I35" s="146"/>
      <c r="J35" s="146"/>
      <c r="K35" s="146"/>
      <c r="L35" s="146">
        <v>71</v>
      </c>
      <c r="M35" s="146"/>
      <c r="N35" s="146"/>
      <c r="O35" s="146"/>
      <c r="P35" s="146"/>
      <c r="Q35" s="145">
        <f t="shared" si="0"/>
        <v>71</v>
      </c>
      <c r="R35" s="151" t="str">
        <f t="shared" si="1"/>
        <v>NO</v>
      </c>
      <c r="S35" s="152" t="str">
        <f t="shared" si="2"/>
        <v>Alto</v>
      </c>
      <c r="T35" s="253"/>
    </row>
    <row r="36" spans="1:23" s="174" customFormat="1" ht="32.1" customHeight="1" x14ac:dyDescent="0.2">
      <c r="A36" s="127" t="s">
        <v>79</v>
      </c>
      <c r="B36" s="324" t="s">
        <v>4183</v>
      </c>
      <c r="C36" s="324" t="s">
        <v>4184</v>
      </c>
      <c r="D36" s="121">
        <v>530</v>
      </c>
      <c r="E36" s="146"/>
      <c r="F36" s="146">
        <v>19.399999999999999</v>
      </c>
      <c r="G36" s="146"/>
      <c r="H36" s="146"/>
      <c r="I36" s="146"/>
      <c r="J36" s="146"/>
      <c r="K36" s="146">
        <v>19.399999999999999</v>
      </c>
      <c r="L36" s="146"/>
      <c r="M36" s="146"/>
      <c r="N36" s="146"/>
      <c r="O36" s="146"/>
      <c r="P36" s="146"/>
      <c r="Q36" s="145">
        <f t="shared" si="0"/>
        <v>19.399999999999999</v>
      </c>
      <c r="R36" s="151" t="str">
        <f t="shared" si="1"/>
        <v>NO</v>
      </c>
      <c r="S36" s="152" t="str">
        <f t="shared" si="2"/>
        <v>Medio</v>
      </c>
      <c r="T36" s="253"/>
    </row>
    <row r="37" spans="1:23" s="174" customFormat="1" ht="32.1" customHeight="1" x14ac:dyDescent="0.2">
      <c r="A37" s="127" t="s">
        <v>79</v>
      </c>
      <c r="B37" s="324" t="s">
        <v>41</v>
      </c>
      <c r="C37" s="364" t="s">
        <v>4185</v>
      </c>
      <c r="D37" s="121">
        <v>8</v>
      </c>
      <c r="E37" s="146"/>
      <c r="F37" s="146"/>
      <c r="G37" s="146"/>
      <c r="H37" s="146"/>
      <c r="I37" s="146"/>
      <c r="J37" s="146">
        <v>38.700000000000003</v>
      </c>
      <c r="K37" s="146"/>
      <c r="L37" s="146"/>
      <c r="M37" s="146"/>
      <c r="N37" s="146"/>
      <c r="O37" s="146">
        <v>38.71</v>
      </c>
      <c r="P37" s="146"/>
      <c r="Q37" s="145">
        <f t="shared" si="0"/>
        <v>38.704999999999998</v>
      </c>
      <c r="R37" s="151" t="str">
        <f t="shared" si="1"/>
        <v>NO</v>
      </c>
      <c r="S37" s="152" t="str">
        <f t="shared" si="2"/>
        <v>Alto</v>
      </c>
      <c r="T37" s="253"/>
    </row>
    <row r="38" spans="1:23" s="174" customFormat="1" ht="45" customHeight="1" x14ac:dyDescent="0.2">
      <c r="A38" s="127" t="s">
        <v>79</v>
      </c>
      <c r="B38" s="324" t="s">
        <v>541</v>
      </c>
      <c r="C38" s="324" t="s">
        <v>4186</v>
      </c>
      <c r="D38" s="121">
        <v>170</v>
      </c>
      <c r="E38" s="146"/>
      <c r="F38" s="146"/>
      <c r="G38" s="146">
        <v>0</v>
      </c>
      <c r="H38" s="146"/>
      <c r="I38" s="146"/>
      <c r="J38" s="146"/>
      <c r="K38" s="146"/>
      <c r="L38" s="146"/>
      <c r="M38" s="146"/>
      <c r="N38" s="146"/>
      <c r="O38" s="146">
        <v>19.399999999999999</v>
      </c>
      <c r="P38" s="146"/>
      <c r="Q38" s="145">
        <f t="shared" si="0"/>
        <v>9.6999999999999993</v>
      </c>
      <c r="R38" s="151" t="str">
        <f t="shared" si="1"/>
        <v>NO</v>
      </c>
      <c r="S38" s="152" t="str">
        <f t="shared" si="2"/>
        <v>Bajo</v>
      </c>
      <c r="T38" s="253"/>
    </row>
    <row r="39" spans="1:23" s="174" customFormat="1" ht="32.1" customHeight="1" x14ac:dyDescent="0.2">
      <c r="A39" s="127" t="s">
        <v>79</v>
      </c>
      <c r="B39" s="324" t="s">
        <v>4187</v>
      </c>
      <c r="C39" s="324" t="s">
        <v>4188</v>
      </c>
      <c r="D39" s="121">
        <v>307</v>
      </c>
      <c r="E39" s="146"/>
      <c r="F39" s="146"/>
      <c r="G39" s="146"/>
      <c r="H39" s="146">
        <v>90.3</v>
      </c>
      <c r="I39" s="146"/>
      <c r="J39" s="146"/>
      <c r="K39" s="146"/>
      <c r="L39" s="146"/>
      <c r="M39" s="146">
        <v>90.3</v>
      </c>
      <c r="N39" s="146"/>
      <c r="O39" s="146"/>
      <c r="P39" s="146"/>
      <c r="Q39" s="145">
        <f t="shared" si="0"/>
        <v>90.3</v>
      </c>
      <c r="R39" s="151" t="str">
        <f t="shared" si="1"/>
        <v>NO</v>
      </c>
      <c r="S39" s="152" t="str">
        <f t="shared" si="2"/>
        <v>Inviable Sanitariamente</v>
      </c>
      <c r="T39" s="253"/>
    </row>
    <row r="40" spans="1:23" s="174" customFormat="1" ht="32.1" customHeight="1" x14ac:dyDescent="0.2">
      <c r="A40" s="127" t="s">
        <v>79</v>
      </c>
      <c r="B40" s="324" t="s">
        <v>42</v>
      </c>
      <c r="C40" s="324" t="s">
        <v>4189</v>
      </c>
      <c r="D40" s="121">
        <v>57</v>
      </c>
      <c r="E40" s="146"/>
      <c r="F40" s="146"/>
      <c r="G40" s="146">
        <v>71</v>
      </c>
      <c r="H40" s="146"/>
      <c r="I40" s="146"/>
      <c r="J40" s="146"/>
      <c r="K40" s="146"/>
      <c r="L40" s="146"/>
      <c r="M40" s="146"/>
      <c r="N40" s="146"/>
      <c r="O40" s="146">
        <v>90.3</v>
      </c>
      <c r="P40" s="146"/>
      <c r="Q40" s="145">
        <f t="shared" si="0"/>
        <v>80.650000000000006</v>
      </c>
      <c r="R40" s="151" t="str">
        <f t="shared" si="1"/>
        <v>NO</v>
      </c>
      <c r="S40" s="152" t="str">
        <f t="shared" si="2"/>
        <v>Inviable Sanitariamente</v>
      </c>
      <c r="T40" s="253"/>
    </row>
    <row r="41" spans="1:23" s="174" customFormat="1" ht="32.1" customHeight="1" x14ac:dyDescent="0.2">
      <c r="A41" s="127" t="s">
        <v>79</v>
      </c>
      <c r="B41" s="324" t="s">
        <v>290</v>
      </c>
      <c r="C41" s="324" t="s">
        <v>291</v>
      </c>
      <c r="D41" s="121">
        <v>31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5" t="e">
        <f t="shared" si="0"/>
        <v>#DIV/0!</v>
      </c>
      <c r="R41" s="151" t="e">
        <f t="shared" si="1"/>
        <v>#DIV/0!</v>
      </c>
      <c r="S41" s="152" t="e">
        <f t="shared" si="2"/>
        <v>#DIV/0!</v>
      </c>
      <c r="T41" s="253"/>
    </row>
    <row r="42" spans="1:23" s="174" customFormat="1" ht="47.25" customHeight="1" x14ac:dyDescent="0.2">
      <c r="A42" s="127" t="s">
        <v>79</v>
      </c>
      <c r="B42" s="324" t="s">
        <v>10</v>
      </c>
      <c r="C42" s="324" t="s">
        <v>4190</v>
      </c>
      <c r="D42" s="121">
        <v>247</v>
      </c>
      <c r="E42" s="146"/>
      <c r="F42" s="146"/>
      <c r="G42" s="146">
        <v>0</v>
      </c>
      <c r="H42" s="146"/>
      <c r="I42" s="146"/>
      <c r="J42" s="146"/>
      <c r="K42" s="146"/>
      <c r="L42" s="146">
        <v>0</v>
      </c>
      <c r="M42" s="146"/>
      <c r="N42" s="146"/>
      <c r="O42" s="146"/>
      <c r="P42" s="146"/>
      <c r="Q42" s="145">
        <f t="shared" si="0"/>
        <v>0</v>
      </c>
      <c r="R42" s="151" t="str">
        <f t="shared" si="1"/>
        <v>SI</v>
      </c>
      <c r="S42" s="152" t="str">
        <f t="shared" si="2"/>
        <v>Sin Riesgo</v>
      </c>
      <c r="T42" s="253"/>
    </row>
    <row r="43" spans="1:23" s="174" customFormat="1" ht="32.1" customHeight="1" x14ac:dyDescent="0.2">
      <c r="A43" s="127" t="s">
        <v>79</v>
      </c>
      <c r="B43" s="324" t="s">
        <v>43</v>
      </c>
      <c r="C43" s="364" t="s">
        <v>4191</v>
      </c>
      <c r="D43" s="121">
        <v>57</v>
      </c>
      <c r="E43" s="146"/>
      <c r="F43" s="146"/>
      <c r="G43" s="146"/>
      <c r="H43" s="146"/>
      <c r="I43" s="146">
        <v>98.1</v>
      </c>
      <c r="J43" s="146"/>
      <c r="K43" s="146"/>
      <c r="L43" s="146"/>
      <c r="M43" s="146"/>
      <c r="N43" s="146"/>
      <c r="O43" s="146"/>
      <c r="P43" s="146">
        <v>97.6</v>
      </c>
      <c r="Q43" s="145">
        <f t="shared" ref="Q43:Q74" si="3">AVERAGE(E43:P43)</f>
        <v>97.85</v>
      </c>
      <c r="R43" s="151" t="str">
        <f t="shared" ref="R43:R74" si="4">IF(Q43&lt;5,"SI","NO")</f>
        <v>NO</v>
      </c>
      <c r="S43" s="152" t="str">
        <f t="shared" si="2"/>
        <v>Inviable Sanitariamente</v>
      </c>
      <c r="T43" s="405"/>
      <c r="U43" s="406"/>
      <c r="V43" s="406"/>
      <c r="W43" s="406"/>
    </row>
    <row r="44" spans="1:23" s="174" customFormat="1" ht="32.1" customHeight="1" x14ac:dyDescent="0.2">
      <c r="A44" s="127" t="s">
        <v>79</v>
      </c>
      <c r="B44" s="324" t="s">
        <v>44</v>
      </c>
      <c r="C44" s="324" t="s">
        <v>4192</v>
      </c>
      <c r="D44" s="121">
        <v>104</v>
      </c>
      <c r="E44" s="146"/>
      <c r="F44" s="146"/>
      <c r="G44" s="146"/>
      <c r="H44" s="146">
        <v>71</v>
      </c>
      <c r="I44" s="146"/>
      <c r="J44" s="146"/>
      <c r="K44" s="146"/>
      <c r="L44" s="146"/>
      <c r="M44" s="146">
        <v>71</v>
      </c>
      <c r="N44" s="146"/>
      <c r="O44" s="146"/>
      <c r="P44" s="146"/>
      <c r="Q44" s="145">
        <f t="shared" si="3"/>
        <v>71</v>
      </c>
      <c r="R44" s="151" t="str">
        <f t="shared" si="4"/>
        <v>NO</v>
      </c>
      <c r="S44" s="152" t="str">
        <f t="shared" si="2"/>
        <v>Alto</v>
      </c>
      <c r="T44" s="253"/>
    </row>
    <row r="45" spans="1:23" s="174" customFormat="1" ht="32.1" customHeight="1" x14ac:dyDescent="0.2">
      <c r="A45" s="127" t="s">
        <v>79</v>
      </c>
      <c r="B45" s="324" t="s">
        <v>4193</v>
      </c>
      <c r="C45" s="324" t="s">
        <v>4194</v>
      </c>
      <c r="D45" s="121">
        <v>742</v>
      </c>
      <c r="E45" s="146"/>
      <c r="F45" s="146"/>
      <c r="G45" s="146">
        <v>90.3</v>
      </c>
      <c r="H45" s="146"/>
      <c r="I45" s="146"/>
      <c r="J45" s="146"/>
      <c r="K45" s="146"/>
      <c r="L45" s="146"/>
      <c r="M45" s="146"/>
      <c r="N45" s="146"/>
      <c r="O45" s="146">
        <v>98.1</v>
      </c>
      <c r="P45" s="146"/>
      <c r="Q45" s="145">
        <f t="shared" si="3"/>
        <v>94.199999999999989</v>
      </c>
      <c r="R45" s="151" t="str">
        <f t="shared" si="4"/>
        <v>NO</v>
      </c>
      <c r="S45" s="152" t="str">
        <f t="shared" si="2"/>
        <v>Inviable Sanitariamente</v>
      </c>
      <c r="T45" s="253"/>
    </row>
    <row r="46" spans="1:23" s="174" customFormat="1" ht="32.1" customHeight="1" x14ac:dyDescent="0.2">
      <c r="A46" s="127" t="s">
        <v>79</v>
      </c>
      <c r="B46" s="324" t="s">
        <v>4195</v>
      </c>
      <c r="C46" s="324" t="s">
        <v>292</v>
      </c>
      <c r="D46" s="121">
        <v>57</v>
      </c>
      <c r="E46" s="146"/>
      <c r="F46" s="146"/>
      <c r="G46" s="146"/>
      <c r="H46" s="146"/>
      <c r="I46" s="146"/>
      <c r="J46" s="146"/>
      <c r="K46" s="146"/>
      <c r="L46" s="146">
        <v>90.3</v>
      </c>
      <c r="M46" s="146">
        <v>71</v>
      </c>
      <c r="N46" s="146"/>
      <c r="O46" s="146"/>
      <c r="P46" s="146">
        <v>97.4</v>
      </c>
      <c r="Q46" s="145">
        <f t="shared" si="3"/>
        <v>86.233333333333348</v>
      </c>
      <c r="R46" s="151" t="str">
        <f t="shared" si="4"/>
        <v>NO</v>
      </c>
      <c r="S46" s="152" t="str">
        <f t="shared" si="2"/>
        <v>Inviable Sanitariamente</v>
      </c>
      <c r="T46" s="253"/>
    </row>
    <row r="47" spans="1:23" s="174" customFormat="1" ht="32.1" customHeight="1" x14ac:dyDescent="0.2">
      <c r="A47" s="127" t="s">
        <v>79</v>
      </c>
      <c r="B47" s="324" t="s">
        <v>67</v>
      </c>
      <c r="C47" s="364" t="s">
        <v>293</v>
      </c>
      <c r="D47" s="121">
        <v>100</v>
      </c>
      <c r="E47" s="146"/>
      <c r="F47" s="146"/>
      <c r="G47" s="146">
        <v>90.3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5">
        <f t="shared" si="3"/>
        <v>90.3</v>
      </c>
      <c r="R47" s="151" t="str">
        <f t="shared" si="4"/>
        <v>NO</v>
      </c>
      <c r="S47" s="152" t="str">
        <f t="shared" si="2"/>
        <v>Inviable Sanitariamente</v>
      </c>
      <c r="T47" s="253"/>
    </row>
    <row r="48" spans="1:23" s="174" customFormat="1" ht="32.1" customHeight="1" x14ac:dyDescent="0.2">
      <c r="A48" s="127" t="s">
        <v>79</v>
      </c>
      <c r="B48" s="324" t="s">
        <v>277</v>
      </c>
      <c r="C48" s="324" t="s">
        <v>294</v>
      </c>
      <c r="D48" s="121">
        <v>151</v>
      </c>
      <c r="E48" s="146"/>
      <c r="F48" s="146"/>
      <c r="G48" s="146"/>
      <c r="H48" s="146">
        <v>71</v>
      </c>
      <c r="I48" s="146"/>
      <c r="J48" s="146"/>
      <c r="K48" s="146"/>
      <c r="L48" s="146"/>
      <c r="M48" s="146">
        <v>38.700000000000003</v>
      </c>
      <c r="N48" s="146"/>
      <c r="O48" s="146"/>
      <c r="P48" s="146">
        <v>70.900000000000006</v>
      </c>
      <c r="Q48" s="145">
        <f t="shared" si="3"/>
        <v>60.20000000000001</v>
      </c>
      <c r="R48" s="151" t="str">
        <f t="shared" si="4"/>
        <v>NO</v>
      </c>
      <c r="S48" s="152" t="str">
        <f t="shared" si="2"/>
        <v>Alto</v>
      </c>
      <c r="T48" s="253"/>
    </row>
    <row r="49" spans="1:20" s="174" customFormat="1" ht="32.1" customHeight="1" x14ac:dyDescent="0.2">
      <c r="A49" s="127" t="s">
        <v>79</v>
      </c>
      <c r="B49" s="324" t="s">
        <v>539</v>
      </c>
      <c r="C49" s="324" t="s">
        <v>4196</v>
      </c>
      <c r="D49" s="121">
        <v>41</v>
      </c>
      <c r="E49" s="146"/>
      <c r="F49" s="146"/>
      <c r="G49" s="146"/>
      <c r="H49" s="146"/>
      <c r="I49" s="146"/>
      <c r="J49" s="146"/>
      <c r="K49" s="146"/>
      <c r="L49" s="146"/>
      <c r="M49" s="146">
        <v>98.1</v>
      </c>
      <c r="N49" s="146"/>
      <c r="O49" s="146"/>
      <c r="P49" s="146">
        <v>70.900000000000006</v>
      </c>
      <c r="Q49" s="145">
        <f t="shared" si="3"/>
        <v>84.5</v>
      </c>
      <c r="R49" s="151" t="str">
        <f t="shared" si="4"/>
        <v>NO</v>
      </c>
      <c r="S49" s="152" t="str">
        <f t="shared" si="2"/>
        <v>Inviable Sanitariamente</v>
      </c>
      <c r="T49" s="253"/>
    </row>
    <row r="50" spans="1:20" s="174" customFormat="1" ht="32.1" customHeight="1" x14ac:dyDescent="0.2">
      <c r="A50" s="127" t="s">
        <v>79</v>
      </c>
      <c r="B50" s="324" t="s">
        <v>68</v>
      </c>
      <c r="C50" s="324" t="s">
        <v>4197</v>
      </c>
      <c r="D50" s="121">
        <v>205</v>
      </c>
      <c r="E50" s="146"/>
      <c r="F50" s="146"/>
      <c r="G50" s="146"/>
      <c r="H50" s="146"/>
      <c r="I50" s="146"/>
      <c r="J50" s="146">
        <v>90.3</v>
      </c>
      <c r="K50" s="146"/>
      <c r="L50" s="146"/>
      <c r="M50" s="146"/>
      <c r="N50" s="146">
        <v>71</v>
      </c>
      <c r="O50" s="146"/>
      <c r="P50" s="146"/>
      <c r="Q50" s="145">
        <f t="shared" si="3"/>
        <v>80.650000000000006</v>
      </c>
      <c r="R50" s="151" t="str">
        <f t="shared" si="4"/>
        <v>NO</v>
      </c>
      <c r="S50" s="152" t="str">
        <f t="shared" si="2"/>
        <v>Inviable Sanitariamente</v>
      </c>
      <c r="T50" s="253"/>
    </row>
    <row r="51" spans="1:20" s="174" customFormat="1" ht="32.1" customHeight="1" x14ac:dyDescent="0.2">
      <c r="A51" s="127" t="s">
        <v>79</v>
      </c>
      <c r="B51" s="324" t="s">
        <v>62</v>
      </c>
      <c r="C51" s="364" t="s">
        <v>295</v>
      </c>
      <c r="D51" s="121">
        <v>160</v>
      </c>
      <c r="E51" s="146"/>
      <c r="F51" s="146"/>
      <c r="G51" s="146"/>
      <c r="H51" s="146"/>
      <c r="I51" s="146">
        <v>90.3</v>
      </c>
      <c r="J51" s="146"/>
      <c r="K51" s="146"/>
      <c r="L51" s="146"/>
      <c r="M51" s="146"/>
      <c r="N51" s="146"/>
      <c r="O51" s="146"/>
      <c r="P51" s="146">
        <v>71</v>
      </c>
      <c r="Q51" s="145">
        <f t="shared" si="3"/>
        <v>80.650000000000006</v>
      </c>
      <c r="R51" s="151" t="str">
        <f t="shared" si="4"/>
        <v>NO</v>
      </c>
      <c r="S51" s="152" t="str">
        <f t="shared" si="2"/>
        <v>Inviable Sanitariamente</v>
      </c>
      <c r="T51" s="253"/>
    </row>
    <row r="52" spans="1:20" s="174" customFormat="1" ht="32.1" customHeight="1" x14ac:dyDescent="0.2">
      <c r="A52" s="127" t="s">
        <v>79</v>
      </c>
      <c r="B52" s="324" t="s">
        <v>1064</v>
      </c>
      <c r="C52" s="364" t="s">
        <v>4198</v>
      </c>
      <c r="D52" s="121">
        <v>72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>
        <v>38.700000000000003</v>
      </c>
      <c r="P52" s="146"/>
      <c r="Q52" s="145">
        <f t="shared" si="3"/>
        <v>38.700000000000003</v>
      </c>
      <c r="R52" s="151" t="str">
        <f t="shared" si="4"/>
        <v>NO</v>
      </c>
      <c r="S52" s="152" t="str">
        <f t="shared" si="2"/>
        <v>Alto</v>
      </c>
      <c r="T52" s="253"/>
    </row>
    <row r="53" spans="1:20" s="174" customFormat="1" ht="32.1" customHeight="1" x14ac:dyDescent="0.2">
      <c r="A53" s="127" t="s">
        <v>79</v>
      </c>
      <c r="B53" s="324" t="s">
        <v>2737</v>
      </c>
      <c r="C53" s="364" t="s">
        <v>4199</v>
      </c>
      <c r="D53" s="121">
        <v>145</v>
      </c>
      <c r="E53" s="146"/>
      <c r="F53" s="146"/>
      <c r="G53" s="146"/>
      <c r="H53" s="146"/>
      <c r="I53" s="146"/>
      <c r="J53" s="146">
        <v>38.700000000000003</v>
      </c>
      <c r="K53" s="146"/>
      <c r="L53" s="146"/>
      <c r="M53" s="146"/>
      <c r="N53" s="146"/>
      <c r="O53" s="146"/>
      <c r="P53" s="146"/>
      <c r="Q53" s="145">
        <f t="shared" si="3"/>
        <v>38.700000000000003</v>
      </c>
      <c r="R53" s="151" t="str">
        <f t="shared" si="4"/>
        <v>NO</v>
      </c>
      <c r="S53" s="152" t="str">
        <f t="shared" si="2"/>
        <v>Alto</v>
      </c>
      <c r="T53" s="253"/>
    </row>
    <row r="54" spans="1:20" s="174" customFormat="1" ht="32.1" customHeight="1" x14ac:dyDescent="0.2">
      <c r="A54" s="127" t="s">
        <v>79</v>
      </c>
      <c r="B54" s="324" t="s">
        <v>4200</v>
      </c>
      <c r="C54" s="364" t="s">
        <v>4201</v>
      </c>
      <c r="D54" s="121">
        <v>9</v>
      </c>
      <c r="E54" s="146"/>
      <c r="F54" s="146"/>
      <c r="G54" s="146">
        <v>71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5">
        <f t="shared" si="3"/>
        <v>71</v>
      </c>
      <c r="R54" s="151" t="str">
        <f t="shared" si="4"/>
        <v>NO</v>
      </c>
      <c r="S54" s="152" t="str">
        <f t="shared" si="2"/>
        <v>Alto</v>
      </c>
      <c r="T54" s="253"/>
    </row>
    <row r="55" spans="1:20" s="174" customFormat="1" ht="32.1" customHeight="1" x14ac:dyDescent="0.2">
      <c r="A55" s="127" t="s">
        <v>79</v>
      </c>
      <c r="B55" s="324" t="s">
        <v>4202</v>
      </c>
      <c r="C55" s="324" t="s">
        <v>4203</v>
      </c>
      <c r="D55" s="121">
        <v>68</v>
      </c>
      <c r="E55" s="146"/>
      <c r="F55" s="146"/>
      <c r="G55" s="146"/>
      <c r="H55" s="146"/>
      <c r="I55" s="146"/>
      <c r="J55" s="146"/>
      <c r="K55" s="146"/>
      <c r="L55" s="146"/>
      <c r="M55" s="146">
        <v>0</v>
      </c>
      <c r="N55" s="146"/>
      <c r="O55" s="146"/>
      <c r="P55" s="146">
        <v>0</v>
      </c>
      <c r="Q55" s="145">
        <f t="shared" si="3"/>
        <v>0</v>
      </c>
      <c r="R55" s="151" t="str">
        <f t="shared" si="4"/>
        <v>SI</v>
      </c>
      <c r="S55" s="152" t="str">
        <f t="shared" si="2"/>
        <v>Sin Riesgo</v>
      </c>
      <c r="T55" s="253"/>
    </row>
    <row r="56" spans="1:20" s="174" customFormat="1" ht="32.1" customHeight="1" x14ac:dyDescent="0.2">
      <c r="A56" s="127" t="s">
        <v>80</v>
      </c>
      <c r="B56" s="324" t="s">
        <v>296</v>
      </c>
      <c r="C56" s="324" t="s">
        <v>297</v>
      </c>
      <c r="D56" s="121">
        <v>650</v>
      </c>
      <c r="E56" s="146"/>
      <c r="F56" s="146"/>
      <c r="G56" s="146"/>
      <c r="H56" s="146">
        <v>8.2799999999999994</v>
      </c>
      <c r="I56" s="146">
        <v>0</v>
      </c>
      <c r="J56" s="146"/>
      <c r="K56" s="146">
        <v>0</v>
      </c>
      <c r="L56" s="146">
        <v>0</v>
      </c>
      <c r="M56" s="146"/>
      <c r="N56" s="146"/>
      <c r="O56" s="146"/>
      <c r="P56" s="146"/>
      <c r="Q56" s="145">
        <f t="shared" si="3"/>
        <v>2.0699999999999998</v>
      </c>
      <c r="R56" s="151" t="str">
        <f t="shared" si="4"/>
        <v>SI</v>
      </c>
      <c r="S56" s="152" t="str">
        <f t="shared" si="2"/>
        <v>Sin Riesgo</v>
      </c>
      <c r="T56" s="253"/>
    </row>
    <row r="57" spans="1:20" s="174" customFormat="1" ht="32.1" customHeight="1" x14ac:dyDescent="0.2">
      <c r="A57" s="127" t="s">
        <v>80</v>
      </c>
      <c r="B57" s="324" t="s">
        <v>76</v>
      </c>
      <c r="C57" s="324" t="s">
        <v>298</v>
      </c>
      <c r="D57" s="121">
        <v>300</v>
      </c>
      <c r="E57" s="146"/>
      <c r="F57" s="146"/>
      <c r="G57" s="146"/>
      <c r="H57" s="146"/>
      <c r="I57" s="146">
        <v>46.45</v>
      </c>
      <c r="J57" s="146"/>
      <c r="K57" s="146">
        <v>0</v>
      </c>
      <c r="L57" s="146">
        <v>0</v>
      </c>
      <c r="M57" s="146"/>
      <c r="N57" s="146"/>
      <c r="O57" s="146"/>
      <c r="P57" s="146"/>
      <c r="Q57" s="145">
        <f t="shared" si="3"/>
        <v>15.483333333333334</v>
      </c>
      <c r="R57" s="151" t="str">
        <f t="shared" si="4"/>
        <v>NO</v>
      </c>
      <c r="S57" s="152" t="str">
        <f t="shared" si="2"/>
        <v>Medio</v>
      </c>
      <c r="T57" s="253"/>
    </row>
    <row r="58" spans="1:20" s="174" customFormat="1" ht="32.1" customHeight="1" x14ac:dyDescent="0.2">
      <c r="A58" s="127" t="s">
        <v>80</v>
      </c>
      <c r="B58" s="324" t="s">
        <v>4204</v>
      </c>
      <c r="C58" s="324" t="s">
        <v>4205</v>
      </c>
      <c r="D58" s="121">
        <v>187</v>
      </c>
      <c r="E58" s="146">
        <v>0</v>
      </c>
      <c r="F58" s="146">
        <v>0</v>
      </c>
      <c r="G58" s="146">
        <v>0</v>
      </c>
      <c r="H58" s="146">
        <v>16.850000000000001</v>
      </c>
      <c r="I58" s="146"/>
      <c r="J58" s="146"/>
      <c r="K58" s="146">
        <v>70.97</v>
      </c>
      <c r="L58" s="146"/>
      <c r="M58" s="146"/>
      <c r="N58" s="146"/>
      <c r="O58" s="146"/>
      <c r="P58" s="146"/>
      <c r="Q58" s="145">
        <f t="shared" si="3"/>
        <v>17.564</v>
      </c>
      <c r="R58" s="151" t="str">
        <f t="shared" si="4"/>
        <v>NO</v>
      </c>
      <c r="S58" s="152" t="str">
        <f t="shared" si="2"/>
        <v>Medio</v>
      </c>
      <c r="T58" s="253"/>
    </row>
    <row r="59" spans="1:20" s="174" customFormat="1" ht="32.1" customHeight="1" x14ac:dyDescent="0.2">
      <c r="A59" s="127" t="s">
        <v>80</v>
      </c>
      <c r="B59" s="324" t="s">
        <v>77</v>
      </c>
      <c r="C59" s="324" t="s">
        <v>299</v>
      </c>
      <c r="D59" s="121">
        <v>398</v>
      </c>
      <c r="E59" s="146"/>
      <c r="F59" s="146"/>
      <c r="G59" s="146"/>
      <c r="H59" s="146">
        <v>70.22</v>
      </c>
      <c r="I59" s="146">
        <v>7.74</v>
      </c>
      <c r="J59" s="146"/>
      <c r="K59" s="146">
        <v>70.97</v>
      </c>
      <c r="L59" s="146">
        <v>0</v>
      </c>
      <c r="M59" s="146"/>
      <c r="N59" s="146"/>
      <c r="O59" s="146"/>
      <c r="P59" s="146"/>
      <c r="Q59" s="145">
        <f t="shared" si="3"/>
        <v>37.232500000000002</v>
      </c>
      <c r="R59" s="151" t="str">
        <f t="shared" si="4"/>
        <v>NO</v>
      </c>
      <c r="S59" s="152" t="str">
        <f t="shared" si="2"/>
        <v>Alto</v>
      </c>
      <c r="T59" s="253"/>
    </row>
    <row r="60" spans="1:20" s="174" customFormat="1" ht="32.1" customHeight="1" x14ac:dyDescent="0.2">
      <c r="A60" s="127" t="s">
        <v>80</v>
      </c>
      <c r="B60" s="324" t="s">
        <v>70</v>
      </c>
      <c r="C60" s="324" t="s">
        <v>300</v>
      </c>
      <c r="D60" s="121">
        <v>210</v>
      </c>
      <c r="E60" s="146"/>
      <c r="F60" s="146"/>
      <c r="G60" s="146"/>
      <c r="H60" s="146">
        <v>48.39</v>
      </c>
      <c r="I60" s="146">
        <v>90.32</v>
      </c>
      <c r="J60" s="146"/>
      <c r="K60" s="146"/>
      <c r="L60" s="146"/>
      <c r="M60" s="146"/>
      <c r="N60" s="146"/>
      <c r="O60" s="146"/>
      <c r="P60" s="146"/>
      <c r="Q60" s="145">
        <f t="shared" si="3"/>
        <v>69.35499999999999</v>
      </c>
      <c r="R60" s="151" t="str">
        <f t="shared" si="4"/>
        <v>NO</v>
      </c>
      <c r="S60" s="152" t="str">
        <f t="shared" si="2"/>
        <v>Alto</v>
      </c>
      <c r="T60" s="253"/>
    </row>
    <row r="61" spans="1:20" s="174" customFormat="1" ht="32.1" customHeight="1" x14ac:dyDescent="0.2">
      <c r="A61" s="127" t="s">
        <v>80</v>
      </c>
      <c r="B61" s="324" t="s">
        <v>12</v>
      </c>
      <c r="C61" s="324" t="s">
        <v>301</v>
      </c>
      <c r="D61" s="121">
        <v>290</v>
      </c>
      <c r="E61" s="146"/>
      <c r="F61" s="146"/>
      <c r="G61" s="146"/>
      <c r="H61" s="146">
        <v>27.1</v>
      </c>
      <c r="I61" s="146">
        <v>46.45</v>
      </c>
      <c r="J61" s="146"/>
      <c r="K61" s="146"/>
      <c r="L61" s="146"/>
      <c r="M61" s="146"/>
      <c r="N61" s="146"/>
      <c r="O61" s="146"/>
      <c r="P61" s="146"/>
      <c r="Q61" s="145">
        <f t="shared" si="3"/>
        <v>36.775000000000006</v>
      </c>
      <c r="R61" s="151" t="str">
        <f t="shared" si="4"/>
        <v>NO</v>
      </c>
      <c r="S61" s="152" t="str">
        <f t="shared" si="2"/>
        <v>Alto</v>
      </c>
      <c r="T61" s="253"/>
    </row>
    <row r="62" spans="1:20" s="174" customFormat="1" ht="32.1" customHeight="1" x14ac:dyDescent="0.2">
      <c r="A62" s="127" t="s">
        <v>80</v>
      </c>
      <c r="B62" s="324" t="s">
        <v>302</v>
      </c>
      <c r="C62" s="324" t="s">
        <v>303</v>
      </c>
      <c r="D62" s="121">
        <v>140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5" t="e">
        <f t="shared" si="3"/>
        <v>#DIV/0!</v>
      </c>
      <c r="R62" s="151" t="e">
        <f t="shared" si="4"/>
        <v>#DIV/0!</v>
      </c>
      <c r="S62" s="152" t="e">
        <f t="shared" si="2"/>
        <v>#DIV/0!</v>
      </c>
      <c r="T62" s="253"/>
    </row>
    <row r="63" spans="1:20" s="174" customFormat="1" ht="32.1" customHeight="1" x14ac:dyDescent="0.2">
      <c r="A63" s="127" t="s">
        <v>80</v>
      </c>
      <c r="B63" s="324" t="s">
        <v>304</v>
      </c>
      <c r="C63" s="324" t="s">
        <v>305</v>
      </c>
      <c r="D63" s="116">
        <v>40</v>
      </c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5" t="e">
        <f t="shared" si="3"/>
        <v>#DIV/0!</v>
      </c>
      <c r="R63" s="151" t="e">
        <f t="shared" si="4"/>
        <v>#DIV/0!</v>
      </c>
      <c r="S63" s="152" t="e">
        <f t="shared" si="2"/>
        <v>#DIV/0!</v>
      </c>
      <c r="T63" s="253"/>
    </row>
    <row r="64" spans="1:20" s="174" customFormat="1" ht="32.1" customHeight="1" x14ac:dyDescent="0.2">
      <c r="A64" s="127" t="s">
        <v>80</v>
      </c>
      <c r="B64" s="324" t="s">
        <v>3</v>
      </c>
      <c r="C64" s="324" t="s">
        <v>310</v>
      </c>
      <c r="D64" s="121">
        <v>26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5" t="e">
        <f t="shared" si="3"/>
        <v>#DIV/0!</v>
      </c>
      <c r="R64" s="151" t="e">
        <f t="shared" si="4"/>
        <v>#DIV/0!</v>
      </c>
      <c r="S64" s="152" t="e">
        <f t="shared" si="2"/>
        <v>#DIV/0!</v>
      </c>
      <c r="T64" s="253"/>
    </row>
    <row r="65" spans="1:23" s="174" customFormat="1" ht="32.1" customHeight="1" x14ac:dyDescent="0.2">
      <c r="A65" s="127" t="s">
        <v>80</v>
      </c>
      <c r="B65" s="324" t="s">
        <v>4206</v>
      </c>
      <c r="C65" s="324" t="s">
        <v>4207</v>
      </c>
      <c r="D65" s="121">
        <v>230</v>
      </c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5" t="e">
        <f t="shared" si="3"/>
        <v>#DIV/0!</v>
      </c>
      <c r="R65" s="151" t="e">
        <f t="shared" si="4"/>
        <v>#DIV/0!</v>
      </c>
      <c r="S65" s="152" t="e">
        <f t="shared" si="2"/>
        <v>#DIV/0!</v>
      </c>
      <c r="T65" s="253"/>
    </row>
    <row r="66" spans="1:23" s="174" customFormat="1" ht="32.1" customHeight="1" x14ac:dyDescent="0.2">
      <c r="A66" s="127" t="s">
        <v>80</v>
      </c>
      <c r="B66" s="324" t="s">
        <v>4208</v>
      </c>
      <c r="C66" s="324" t="s">
        <v>4209</v>
      </c>
      <c r="D66" s="11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5" t="e">
        <f t="shared" si="3"/>
        <v>#DIV/0!</v>
      </c>
      <c r="R66" s="151" t="e">
        <f t="shared" si="4"/>
        <v>#DIV/0!</v>
      </c>
      <c r="S66" s="152" t="e">
        <f t="shared" si="2"/>
        <v>#DIV/0!</v>
      </c>
      <c r="T66" s="253"/>
    </row>
    <row r="67" spans="1:23" s="174" customFormat="1" ht="32.1" customHeight="1" x14ac:dyDescent="0.2">
      <c r="A67" s="127" t="s">
        <v>80</v>
      </c>
      <c r="B67" s="324" t="s">
        <v>306</v>
      </c>
      <c r="C67" s="324" t="s">
        <v>307</v>
      </c>
      <c r="D67" s="121">
        <v>130</v>
      </c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5" t="e">
        <f t="shared" si="3"/>
        <v>#DIV/0!</v>
      </c>
      <c r="R67" s="151" t="e">
        <f t="shared" si="4"/>
        <v>#DIV/0!</v>
      </c>
      <c r="S67" s="152" t="e">
        <f t="shared" si="2"/>
        <v>#DIV/0!</v>
      </c>
      <c r="T67" s="253"/>
    </row>
    <row r="68" spans="1:23" s="174" customFormat="1" ht="32.1" customHeight="1" x14ac:dyDescent="0.2">
      <c r="A68" s="127" t="s">
        <v>80</v>
      </c>
      <c r="B68" s="324" t="s">
        <v>315</v>
      </c>
      <c r="C68" s="324" t="s">
        <v>316</v>
      </c>
      <c r="D68" s="121">
        <v>126</v>
      </c>
      <c r="E68" s="146"/>
      <c r="F68" s="146"/>
      <c r="G68" s="146"/>
      <c r="H68" s="146">
        <v>0</v>
      </c>
      <c r="I68" s="146">
        <v>0</v>
      </c>
      <c r="J68" s="146"/>
      <c r="K68" s="146">
        <v>0</v>
      </c>
      <c r="L68" s="146">
        <v>0</v>
      </c>
      <c r="M68" s="146"/>
      <c r="N68" s="146"/>
      <c r="O68" s="146"/>
      <c r="P68" s="146"/>
      <c r="Q68" s="145">
        <f t="shared" si="3"/>
        <v>0</v>
      </c>
      <c r="R68" s="151" t="str">
        <f t="shared" si="4"/>
        <v>SI</v>
      </c>
      <c r="S68" s="152" t="str">
        <f t="shared" si="2"/>
        <v>Sin Riesgo</v>
      </c>
      <c r="T68" s="253"/>
    </row>
    <row r="69" spans="1:23" s="174" customFormat="1" ht="32.1" customHeight="1" x14ac:dyDescent="0.2">
      <c r="A69" s="127" t="s">
        <v>80</v>
      </c>
      <c r="B69" s="324" t="s">
        <v>313</v>
      </c>
      <c r="C69" s="324" t="s">
        <v>314</v>
      </c>
      <c r="D69" s="116">
        <v>96</v>
      </c>
      <c r="E69" s="146"/>
      <c r="F69" s="146"/>
      <c r="G69" s="146">
        <v>0</v>
      </c>
      <c r="H69" s="146">
        <v>42.13</v>
      </c>
      <c r="I69" s="146"/>
      <c r="J69" s="146"/>
      <c r="K69" s="146"/>
      <c r="L69" s="146"/>
      <c r="M69" s="146"/>
      <c r="N69" s="146"/>
      <c r="O69" s="146"/>
      <c r="P69" s="146"/>
      <c r="Q69" s="145">
        <f t="shared" si="3"/>
        <v>21.065000000000001</v>
      </c>
      <c r="R69" s="151" t="str">
        <f t="shared" si="4"/>
        <v>NO</v>
      </c>
      <c r="S69" s="152" t="str">
        <f t="shared" si="2"/>
        <v>Medio</v>
      </c>
      <c r="T69" s="253"/>
    </row>
    <row r="70" spans="1:23" s="174" customFormat="1" ht="32.1" customHeight="1" x14ac:dyDescent="0.2">
      <c r="A70" s="127" t="s">
        <v>80</v>
      </c>
      <c r="B70" s="324" t="s">
        <v>308</v>
      </c>
      <c r="C70" s="324" t="s">
        <v>309</v>
      </c>
      <c r="D70" s="121">
        <v>235</v>
      </c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5" t="e">
        <f t="shared" si="3"/>
        <v>#DIV/0!</v>
      </c>
      <c r="R70" s="151" t="e">
        <f t="shared" si="4"/>
        <v>#DIV/0!</v>
      </c>
      <c r="S70" s="152" t="e">
        <f t="shared" si="2"/>
        <v>#DIV/0!</v>
      </c>
    </row>
    <row r="71" spans="1:23" s="406" customFormat="1" ht="32.1" customHeight="1" x14ac:dyDescent="0.2">
      <c r="A71" s="127" t="s">
        <v>80</v>
      </c>
      <c r="B71" s="324" t="s">
        <v>311</v>
      </c>
      <c r="C71" s="324" t="s">
        <v>312</v>
      </c>
      <c r="D71" s="121">
        <v>53</v>
      </c>
      <c r="E71" s="146"/>
      <c r="F71" s="146"/>
      <c r="G71" s="146"/>
      <c r="H71" s="146">
        <v>0</v>
      </c>
      <c r="I71" s="146"/>
      <c r="J71" s="146"/>
      <c r="K71" s="146">
        <v>0</v>
      </c>
      <c r="L71" s="146">
        <v>0</v>
      </c>
      <c r="M71" s="146"/>
      <c r="N71" s="146"/>
      <c r="O71" s="146"/>
      <c r="P71" s="146"/>
      <c r="Q71" s="145">
        <f t="shared" si="3"/>
        <v>0</v>
      </c>
      <c r="R71" s="151" t="str">
        <f t="shared" si="4"/>
        <v>SI</v>
      </c>
      <c r="S71" s="152" t="str">
        <f t="shared" si="2"/>
        <v>Sin Riesgo</v>
      </c>
      <c r="T71" s="174"/>
      <c r="U71" s="174"/>
      <c r="V71" s="174"/>
      <c r="W71" s="174"/>
    </row>
    <row r="72" spans="1:23" s="174" customFormat="1" ht="32.1" customHeight="1" x14ac:dyDescent="0.2">
      <c r="A72" s="486" t="s">
        <v>108</v>
      </c>
      <c r="B72" s="324" t="s">
        <v>69</v>
      </c>
      <c r="C72" s="324" t="s">
        <v>4228</v>
      </c>
      <c r="D72" s="121">
        <v>180</v>
      </c>
      <c r="E72" s="146"/>
      <c r="F72" s="146"/>
      <c r="G72" s="146"/>
      <c r="H72" s="146">
        <v>17.399999999999999</v>
      </c>
      <c r="I72" s="146"/>
      <c r="J72" s="146"/>
      <c r="K72" s="146"/>
      <c r="L72" s="146">
        <v>71</v>
      </c>
      <c r="M72" s="146"/>
      <c r="N72" s="146"/>
      <c r="O72" s="146"/>
      <c r="P72" s="146"/>
      <c r="Q72" s="145">
        <f t="shared" si="3"/>
        <v>44.2</v>
      </c>
      <c r="R72" s="151" t="str">
        <f t="shared" si="4"/>
        <v>NO</v>
      </c>
      <c r="S72" s="152" t="str">
        <f t="shared" si="2"/>
        <v>Alto</v>
      </c>
    </row>
    <row r="73" spans="1:23" s="174" customFormat="1" ht="32.1" customHeight="1" x14ac:dyDescent="0.2">
      <c r="A73" s="486" t="s">
        <v>108</v>
      </c>
      <c r="B73" s="324" t="s">
        <v>4229</v>
      </c>
      <c r="C73" s="324" t="s">
        <v>344</v>
      </c>
      <c r="D73" s="121">
        <v>906</v>
      </c>
      <c r="E73" s="146">
        <v>19.3</v>
      </c>
      <c r="F73" s="146">
        <v>0</v>
      </c>
      <c r="G73" s="146">
        <v>23.3</v>
      </c>
      <c r="H73" s="146">
        <v>0</v>
      </c>
      <c r="I73" s="146">
        <v>23.2</v>
      </c>
      <c r="J73" s="146">
        <v>9.6999999999999993</v>
      </c>
      <c r="K73" s="146">
        <v>0</v>
      </c>
      <c r="L73" s="146">
        <v>17.399999999999999</v>
      </c>
      <c r="M73" s="146">
        <v>0</v>
      </c>
      <c r="N73" s="146">
        <v>0</v>
      </c>
      <c r="O73" s="146">
        <v>0</v>
      </c>
      <c r="P73" s="146">
        <v>0</v>
      </c>
      <c r="Q73" s="145">
        <f t="shared" si="3"/>
        <v>7.7416666666666671</v>
      </c>
      <c r="R73" s="151" t="str">
        <f t="shared" si="4"/>
        <v>NO</v>
      </c>
      <c r="S73" s="152" t="str">
        <f t="shared" si="2"/>
        <v>Bajo</v>
      </c>
    </row>
    <row r="74" spans="1:23" s="174" customFormat="1" ht="32.1" customHeight="1" x14ac:dyDescent="0.2">
      <c r="A74" s="486" t="s">
        <v>108</v>
      </c>
      <c r="B74" s="324" t="s">
        <v>4230</v>
      </c>
      <c r="C74" s="324" t="s">
        <v>4231</v>
      </c>
      <c r="D74" s="121">
        <v>70</v>
      </c>
      <c r="E74" s="146"/>
      <c r="F74" s="146"/>
      <c r="G74" s="146"/>
      <c r="H74" s="146"/>
      <c r="I74" s="146">
        <v>90</v>
      </c>
      <c r="J74" s="146"/>
      <c r="K74" s="146"/>
      <c r="L74" s="146">
        <v>71</v>
      </c>
      <c r="M74" s="146"/>
      <c r="N74" s="146"/>
      <c r="O74" s="146"/>
      <c r="P74" s="146"/>
      <c r="Q74" s="145">
        <f t="shared" si="3"/>
        <v>80.5</v>
      </c>
      <c r="R74" s="151" t="str">
        <f t="shared" si="4"/>
        <v>NO</v>
      </c>
      <c r="S74" s="152" t="str">
        <f t="shared" si="2"/>
        <v>Inviable Sanitariamente</v>
      </c>
    </row>
    <row r="75" spans="1:23" s="174" customFormat="1" ht="32.1" customHeight="1" x14ac:dyDescent="0.2">
      <c r="A75" s="486" t="s">
        <v>108</v>
      </c>
      <c r="B75" s="324" t="s">
        <v>506</v>
      </c>
      <c r="C75" s="324" t="s">
        <v>346</v>
      </c>
      <c r="D75" s="116">
        <v>230</v>
      </c>
      <c r="E75" s="146"/>
      <c r="F75" s="146"/>
      <c r="G75" s="146"/>
      <c r="H75" s="146"/>
      <c r="I75" s="146">
        <v>90</v>
      </c>
      <c r="J75" s="146"/>
      <c r="K75" s="146"/>
      <c r="L75" s="146">
        <v>98</v>
      </c>
      <c r="M75" s="146"/>
      <c r="N75" s="146"/>
      <c r="O75" s="146"/>
      <c r="P75" s="146"/>
      <c r="Q75" s="145">
        <f t="shared" ref="Q75:Q106" si="5">AVERAGE(E75:P75)</f>
        <v>94</v>
      </c>
      <c r="R75" s="151" t="str">
        <f t="shared" ref="R75:R106" si="6">IF(Q75&lt;5,"SI","NO")</f>
        <v>NO</v>
      </c>
      <c r="S75" s="152" t="str">
        <f t="shared" ref="S75:S138" si="7">IF(Q75&lt;5,"Sin Riesgo",IF(Q75 &lt;=14,"Bajo",IF(Q75&lt;=35,"Medio",IF(Q75&lt;=80,"Alto","Inviable Sanitariamente"))))</f>
        <v>Inviable Sanitariamente</v>
      </c>
    </row>
    <row r="76" spans="1:23" s="174" customFormat="1" ht="42.75" customHeight="1" x14ac:dyDescent="0.2">
      <c r="A76" s="486" t="s">
        <v>108</v>
      </c>
      <c r="B76" s="324" t="s">
        <v>4232</v>
      </c>
      <c r="C76" s="324" t="s">
        <v>347</v>
      </c>
      <c r="D76" s="121">
        <v>1140</v>
      </c>
      <c r="E76" s="146">
        <v>0</v>
      </c>
      <c r="F76" s="146">
        <v>0</v>
      </c>
      <c r="G76" s="146">
        <v>0</v>
      </c>
      <c r="H76" s="146">
        <v>8.6999999999999993</v>
      </c>
      <c r="I76" s="146">
        <v>7.85</v>
      </c>
      <c r="J76" s="146">
        <v>0</v>
      </c>
      <c r="K76" s="146">
        <v>0</v>
      </c>
      <c r="L76" s="146">
        <v>0</v>
      </c>
      <c r="M76" s="146">
        <v>57.7</v>
      </c>
      <c r="N76" s="146">
        <v>0</v>
      </c>
      <c r="O76" s="146">
        <v>0</v>
      </c>
      <c r="P76" s="146">
        <v>8.5</v>
      </c>
      <c r="Q76" s="145">
        <f t="shared" si="5"/>
        <v>6.895833333333333</v>
      </c>
      <c r="R76" s="151" t="str">
        <f t="shared" si="6"/>
        <v>NO</v>
      </c>
      <c r="S76" s="152" t="str">
        <f t="shared" si="7"/>
        <v>Bajo</v>
      </c>
    </row>
    <row r="77" spans="1:23" s="174" customFormat="1" ht="32.1" customHeight="1" x14ac:dyDescent="0.2">
      <c r="A77" s="486" t="s">
        <v>108</v>
      </c>
      <c r="B77" s="324" t="s">
        <v>504</v>
      </c>
      <c r="C77" s="324" t="s">
        <v>348</v>
      </c>
      <c r="D77" s="121">
        <v>139</v>
      </c>
      <c r="E77" s="146"/>
      <c r="F77" s="146"/>
      <c r="G77" s="146"/>
      <c r="H77" s="146"/>
      <c r="I77" s="146">
        <v>90</v>
      </c>
      <c r="J77" s="146"/>
      <c r="K77" s="146"/>
      <c r="L77" s="146">
        <v>98</v>
      </c>
      <c r="M77" s="146"/>
      <c r="N77" s="146"/>
      <c r="O77" s="146"/>
      <c r="P77" s="146"/>
      <c r="Q77" s="145">
        <f t="shared" si="5"/>
        <v>94</v>
      </c>
      <c r="R77" s="151" t="str">
        <f t="shared" si="6"/>
        <v>NO</v>
      </c>
      <c r="S77" s="152" t="str">
        <f t="shared" si="7"/>
        <v>Inviable Sanitariamente</v>
      </c>
    </row>
    <row r="78" spans="1:23" s="174" customFormat="1" ht="32.1" customHeight="1" x14ac:dyDescent="0.2">
      <c r="A78" s="486" t="s">
        <v>108</v>
      </c>
      <c r="B78" s="324" t="s">
        <v>4233</v>
      </c>
      <c r="C78" s="324" t="s">
        <v>350</v>
      </c>
      <c r="D78" s="121">
        <v>66</v>
      </c>
      <c r="E78" s="146"/>
      <c r="F78" s="146"/>
      <c r="G78" s="146"/>
      <c r="H78" s="146"/>
      <c r="I78" s="146">
        <v>88.4</v>
      </c>
      <c r="J78" s="146"/>
      <c r="K78" s="146"/>
      <c r="L78" s="146">
        <v>98</v>
      </c>
      <c r="M78" s="146"/>
      <c r="N78" s="146"/>
      <c r="O78" s="146"/>
      <c r="P78" s="146"/>
      <c r="Q78" s="145">
        <f t="shared" si="5"/>
        <v>93.2</v>
      </c>
      <c r="R78" s="151" t="str">
        <f t="shared" si="6"/>
        <v>NO</v>
      </c>
      <c r="S78" s="152" t="str">
        <f t="shared" si="7"/>
        <v>Inviable Sanitariamente</v>
      </c>
    </row>
    <row r="79" spans="1:23" s="174" customFormat="1" ht="32.1" customHeight="1" x14ac:dyDescent="0.2">
      <c r="A79" s="486" t="s">
        <v>108</v>
      </c>
      <c r="B79" s="324" t="s">
        <v>4234</v>
      </c>
      <c r="C79" s="324" t="s">
        <v>349</v>
      </c>
      <c r="D79" s="121">
        <v>216</v>
      </c>
      <c r="E79" s="146"/>
      <c r="F79" s="146"/>
      <c r="G79" s="146"/>
      <c r="H79" s="146"/>
      <c r="I79" s="146">
        <v>90.1</v>
      </c>
      <c r="J79" s="146"/>
      <c r="K79" s="146"/>
      <c r="L79" s="146">
        <v>98</v>
      </c>
      <c r="M79" s="146"/>
      <c r="N79" s="146"/>
      <c r="O79" s="146"/>
      <c r="P79" s="146"/>
      <c r="Q79" s="145">
        <f t="shared" si="5"/>
        <v>94.05</v>
      </c>
      <c r="R79" s="151" t="str">
        <f t="shared" si="6"/>
        <v>NO</v>
      </c>
      <c r="S79" s="152" t="str">
        <f t="shared" si="7"/>
        <v>Inviable Sanitariamente</v>
      </c>
    </row>
    <row r="80" spans="1:23" s="174" customFormat="1" ht="32.1" customHeight="1" x14ac:dyDescent="0.2">
      <c r="A80" s="486" t="s">
        <v>108</v>
      </c>
      <c r="B80" s="324" t="s">
        <v>4235</v>
      </c>
      <c r="C80" s="324" t="s">
        <v>351</v>
      </c>
      <c r="D80" s="121">
        <v>165</v>
      </c>
      <c r="E80" s="146"/>
      <c r="F80" s="146"/>
      <c r="G80" s="146"/>
      <c r="H80" s="146">
        <v>90.1</v>
      </c>
      <c r="I80" s="146"/>
      <c r="J80" s="146"/>
      <c r="K80" s="146"/>
      <c r="L80" s="146">
        <v>98</v>
      </c>
      <c r="M80" s="146"/>
      <c r="N80" s="146"/>
      <c r="O80" s="146"/>
      <c r="P80" s="146"/>
      <c r="Q80" s="145">
        <f t="shared" si="5"/>
        <v>94.05</v>
      </c>
      <c r="R80" s="151" t="str">
        <f t="shared" si="6"/>
        <v>NO</v>
      </c>
      <c r="S80" s="152" t="str">
        <f t="shared" si="7"/>
        <v>Inviable Sanitariamente</v>
      </c>
    </row>
    <row r="81" spans="1:19" s="174" customFormat="1" ht="32.1" customHeight="1" x14ac:dyDescent="0.2">
      <c r="A81" s="486" t="s">
        <v>108</v>
      </c>
      <c r="B81" s="324" t="s">
        <v>505</v>
      </c>
      <c r="C81" s="324" t="s">
        <v>352</v>
      </c>
      <c r="D81" s="121">
        <v>318</v>
      </c>
      <c r="E81" s="146"/>
      <c r="F81" s="146"/>
      <c r="G81" s="146"/>
      <c r="H81" s="146">
        <v>88.4</v>
      </c>
      <c r="I81" s="146"/>
      <c r="J81" s="146"/>
      <c r="K81" s="146"/>
      <c r="L81" s="146">
        <v>88.4</v>
      </c>
      <c r="M81" s="146"/>
      <c r="N81" s="146"/>
      <c r="O81" s="146"/>
      <c r="P81" s="146"/>
      <c r="Q81" s="145">
        <f t="shared" si="5"/>
        <v>88.4</v>
      </c>
      <c r="R81" s="151" t="str">
        <f t="shared" si="6"/>
        <v>NO</v>
      </c>
      <c r="S81" s="152" t="str">
        <f t="shared" si="7"/>
        <v>Inviable Sanitariamente</v>
      </c>
    </row>
    <row r="82" spans="1:19" s="174" customFormat="1" ht="32.1" customHeight="1" x14ac:dyDescent="0.2">
      <c r="A82" s="486" t="s">
        <v>108</v>
      </c>
      <c r="B82" s="324" t="s">
        <v>507</v>
      </c>
      <c r="C82" s="324" t="s">
        <v>353</v>
      </c>
      <c r="D82" s="121">
        <v>262</v>
      </c>
      <c r="E82" s="146"/>
      <c r="F82" s="146"/>
      <c r="G82" s="146"/>
      <c r="H82" s="146"/>
      <c r="I82" s="146">
        <v>88.4</v>
      </c>
      <c r="J82" s="146"/>
      <c r="K82" s="146"/>
      <c r="L82" s="146">
        <v>98</v>
      </c>
      <c r="M82" s="146"/>
      <c r="N82" s="146"/>
      <c r="O82" s="146"/>
      <c r="P82" s="146"/>
      <c r="Q82" s="145">
        <f t="shared" si="5"/>
        <v>93.2</v>
      </c>
      <c r="R82" s="151" t="str">
        <f t="shared" si="6"/>
        <v>NO</v>
      </c>
      <c r="S82" s="152" t="str">
        <f t="shared" si="7"/>
        <v>Inviable Sanitariamente</v>
      </c>
    </row>
    <row r="83" spans="1:19" s="174" customFormat="1" ht="32.1" customHeight="1" x14ac:dyDescent="0.2">
      <c r="A83" s="486" t="s">
        <v>108</v>
      </c>
      <c r="B83" s="324" t="s">
        <v>20</v>
      </c>
      <c r="C83" s="324" t="s">
        <v>354</v>
      </c>
      <c r="D83" s="121">
        <v>113</v>
      </c>
      <c r="E83" s="146"/>
      <c r="F83" s="146"/>
      <c r="G83" s="146"/>
      <c r="H83" s="146">
        <v>64</v>
      </c>
      <c r="I83" s="146"/>
      <c r="J83" s="146"/>
      <c r="K83" s="146"/>
      <c r="L83" s="146">
        <v>98</v>
      </c>
      <c r="M83" s="146"/>
      <c r="N83" s="146"/>
      <c r="O83" s="146"/>
      <c r="P83" s="146"/>
      <c r="Q83" s="145">
        <f t="shared" si="5"/>
        <v>81</v>
      </c>
      <c r="R83" s="151" t="str">
        <f t="shared" si="6"/>
        <v>NO</v>
      </c>
      <c r="S83" s="152" t="str">
        <f t="shared" si="7"/>
        <v>Inviable Sanitariamente</v>
      </c>
    </row>
    <row r="84" spans="1:19" s="174" customFormat="1" ht="32.1" customHeight="1" x14ac:dyDescent="0.2">
      <c r="A84" s="486" t="s">
        <v>108</v>
      </c>
      <c r="B84" s="324" t="s">
        <v>543</v>
      </c>
      <c r="C84" s="324" t="s">
        <v>355</v>
      </c>
      <c r="D84" s="121">
        <v>35</v>
      </c>
      <c r="E84" s="146"/>
      <c r="F84" s="146"/>
      <c r="G84" s="146"/>
      <c r="H84" s="146">
        <v>81.400000000000006</v>
      </c>
      <c r="I84" s="146"/>
      <c r="J84" s="146"/>
      <c r="K84" s="146"/>
      <c r="L84" s="146">
        <v>65.8</v>
      </c>
      <c r="M84" s="146"/>
      <c r="N84" s="146"/>
      <c r="O84" s="146"/>
      <c r="P84" s="146"/>
      <c r="Q84" s="145">
        <f t="shared" si="5"/>
        <v>73.599999999999994</v>
      </c>
      <c r="R84" s="151" t="str">
        <f t="shared" si="6"/>
        <v>NO</v>
      </c>
      <c r="S84" s="152" t="str">
        <f t="shared" si="7"/>
        <v>Alto</v>
      </c>
    </row>
    <row r="85" spans="1:19" s="174" customFormat="1" ht="32.1" customHeight="1" x14ac:dyDescent="0.2">
      <c r="A85" s="486" t="s">
        <v>108</v>
      </c>
      <c r="B85" s="324" t="s">
        <v>4236</v>
      </c>
      <c r="C85" s="324" t="s">
        <v>356</v>
      </c>
      <c r="D85" s="116">
        <v>50</v>
      </c>
      <c r="E85" s="146"/>
      <c r="F85" s="146"/>
      <c r="G85" s="146"/>
      <c r="H85" s="146">
        <v>81.400000000000006</v>
      </c>
      <c r="I85" s="146"/>
      <c r="J85" s="146"/>
      <c r="K85" s="146"/>
      <c r="L85" s="146">
        <v>65.8</v>
      </c>
      <c r="M85" s="146"/>
      <c r="N85" s="146"/>
      <c r="O85" s="146"/>
      <c r="P85" s="146"/>
      <c r="Q85" s="145">
        <f t="shared" si="5"/>
        <v>73.599999999999994</v>
      </c>
      <c r="R85" s="151" t="str">
        <f t="shared" si="6"/>
        <v>NO</v>
      </c>
      <c r="S85" s="152" t="str">
        <f t="shared" si="7"/>
        <v>Alto</v>
      </c>
    </row>
    <row r="86" spans="1:19" s="174" customFormat="1" ht="32.1" customHeight="1" x14ac:dyDescent="0.2">
      <c r="A86" s="486" t="s">
        <v>108</v>
      </c>
      <c r="B86" s="324" t="s">
        <v>78</v>
      </c>
      <c r="C86" s="324" t="s">
        <v>357</v>
      </c>
      <c r="D86" s="121">
        <v>420</v>
      </c>
      <c r="E86" s="146">
        <v>0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0</v>
      </c>
      <c r="L86" s="146">
        <v>0</v>
      </c>
      <c r="M86" s="146">
        <v>0</v>
      </c>
      <c r="N86" s="146">
        <v>0</v>
      </c>
      <c r="O86" s="146">
        <v>0</v>
      </c>
      <c r="P86" s="146">
        <v>0</v>
      </c>
      <c r="Q86" s="145">
        <f t="shared" si="5"/>
        <v>0</v>
      </c>
      <c r="R86" s="151" t="str">
        <f t="shared" si="6"/>
        <v>SI</v>
      </c>
      <c r="S86" s="152" t="str">
        <f t="shared" si="7"/>
        <v>Sin Riesgo</v>
      </c>
    </row>
    <row r="87" spans="1:19" s="174" customFormat="1" ht="32.1" customHeight="1" x14ac:dyDescent="0.2">
      <c r="A87" s="486" t="s">
        <v>108</v>
      </c>
      <c r="B87" s="324" t="s">
        <v>508</v>
      </c>
      <c r="C87" s="324" t="s">
        <v>358</v>
      </c>
      <c r="D87" s="116">
        <v>474</v>
      </c>
      <c r="E87" s="146">
        <v>19.3</v>
      </c>
      <c r="F87" s="146">
        <v>19.3</v>
      </c>
      <c r="G87" s="146">
        <v>32</v>
      </c>
      <c r="H87" s="146">
        <v>17.399999999999999</v>
      </c>
      <c r="I87" s="146">
        <v>25.7</v>
      </c>
      <c r="J87" s="146">
        <v>24.4</v>
      </c>
      <c r="K87" s="146">
        <v>25.7</v>
      </c>
      <c r="L87" s="146">
        <v>24.4</v>
      </c>
      <c r="M87" s="146">
        <v>23.2</v>
      </c>
      <c r="N87" s="146">
        <v>0</v>
      </c>
      <c r="O87" s="146">
        <v>0</v>
      </c>
      <c r="P87" s="146">
        <v>35.5</v>
      </c>
      <c r="Q87" s="145">
        <f t="shared" si="5"/>
        <v>20.574999999999999</v>
      </c>
      <c r="R87" s="151" t="str">
        <f t="shared" si="6"/>
        <v>NO</v>
      </c>
      <c r="S87" s="152" t="str">
        <f t="shared" si="7"/>
        <v>Medio</v>
      </c>
    </row>
    <row r="88" spans="1:19" s="174" customFormat="1" ht="32.1" customHeight="1" x14ac:dyDescent="0.2">
      <c r="A88" s="486" t="s">
        <v>108</v>
      </c>
      <c r="B88" s="324" t="s">
        <v>4237</v>
      </c>
      <c r="C88" s="324" t="s">
        <v>4238</v>
      </c>
      <c r="D88" s="121">
        <v>90</v>
      </c>
      <c r="E88" s="146"/>
      <c r="F88" s="146"/>
      <c r="G88" s="146"/>
      <c r="H88" s="146">
        <v>81.400000000000006</v>
      </c>
      <c r="I88" s="146"/>
      <c r="J88" s="146"/>
      <c r="K88" s="146"/>
      <c r="L88" s="146">
        <v>98</v>
      </c>
      <c r="M88" s="146"/>
      <c r="N88" s="146"/>
      <c r="O88" s="146"/>
      <c r="P88" s="146"/>
      <c r="Q88" s="145">
        <f t="shared" si="5"/>
        <v>89.7</v>
      </c>
      <c r="R88" s="151" t="str">
        <f t="shared" si="6"/>
        <v>NO</v>
      </c>
      <c r="S88" s="152" t="str">
        <f t="shared" si="7"/>
        <v>Inviable Sanitariamente</v>
      </c>
    </row>
    <row r="89" spans="1:19" s="174" customFormat="1" ht="32.1" customHeight="1" x14ac:dyDescent="0.2">
      <c r="A89" s="486" t="s">
        <v>108</v>
      </c>
      <c r="B89" s="324" t="s">
        <v>4239</v>
      </c>
      <c r="C89" s="324" t="s">
        <v>345</v>
      </c>
      <c r="D89" s="121">
        <v>25</v>
      </c>
      <c r="E89" s="146"/>
      <c r="F89" s="146"/>
      <c r="G89" s="146"/>
      <c r="H89" s="146"/>
      <c r="I89" s="146">
        <v>88.4</v>
      </c>
      <c r="J89" s="146"/>
      <c r="K89" s="146"/>
      <c r="L89" s="146">
        <v>65.8</v>
      </c>
      <c r="M89" s="146"/>
      <c r="N89" s="146"/>
      <c r="O89" s="146"/>
      <c r="P89" s="146"/>
      <c r="Q89" s="145">
        <f t="shared" si="5"/>
        <v>77.099999999999994</v>
      </c>
      <c r="R89" s="151" t="str">
        <f t="shared" si="6"/>
        <v>NO</v>
      </c>
      <c r="S89" s="152" t="str">
        <f t="shared" si="7"/>
        <v>Alto</v>
      </c>
    </row>
    <row r="90" spans="1:19" s="174" customFormat="1" ht="32.1" customHeight="1" x14ac:dyDescent="0.2">
      <c r="A90" s="486" t="s">
        <v>108</v>
      </c>
      <c r="B90" s="324" t="s">
        <v>509</v>
      </c>
      <c r="C90" s="324" t="s">
        <v>4240</v>
      </c>
      <c r="D90" s="121">
        <v>420</v>
      </c>
      <c r="E90" s="146">
        <v>81.400000000000006</v>
      </c>
      <c r="F90" s="146">
        <v>19.3</v>
      </c>
      <c r="G90" s="146">
        <v>32</v>
      </c>
      <c r="H90" s="146">
        <v>21.9</v>
      </c>
      <c r="I90" s="146">
        <v>35.299999999999997</v>
      </c>
      <c r="J90" s="146">
        <v>24.4</v>
      </c>
      <c r="K90" s="146">
        <v>25.7</v>
      </c>
      <c r="L90" s="146">
        <v>24.4</v>
      </c>
      <c r="M90" s="146">
        <v>25.7</v>
      </c>
      <c r="N90" s="146">
        <v>58.6</v>
      </c>
      <c r="O90" s="146">
        <v>74.8</v>
      </c>
      <c r="P90" s="146">
        <v>35</v>
      </c>
      <c r="Q90" s="145">
        <f t="shared" si="5"/>
        <v>38.208333333333336</v>
      </c>
      <c r="R90" s="151" t="str">
        <f t="shared" si="6"/>
        <v>NO</v>
      </c>
      <c r="S90" s="152" t="str">
        <f t="shared" si="7"/>
        <v>Alto</v>
      </c>
    </row>
    <row r="91" spans="1:19" s="174" customFormat="1" ht="32.1" customHeight="1" x14ac:dyDescent="0.2">
      <c r="A91" s="127" t="s">
        <v>109</v>
      </c>
      <c r="B91" s="324" t="s">
        <v>4210</v>
      </c>
      <c r="C91" s="324" t="s">
        <v>4307</v>
      </c>
      <c r="D91" s="121">
        <v>495</v>
      </c>
      <c r="E91" s="146">
        <v>0</v>
      </c>
      <c r="F91" s="146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146">
        <v>14</v>
      </c>
      <c r="P91" s="146">
        <v>0</v>
      </c>
      <c r="Q91" s="145">
        <f t="shared" si="5"/>
        <v>1.1666666666666667</v>
      </c>
      <c r="R91" s="151" t="str">
        <f t="shared" si="6"/>
        <v>SI</v>
      </c>
      <c r="S91" s="152" t="str">
        <f t="shared" si="7"/>
        <v>Sin Riesgo</v>
      </c>
    </row>
    <row r="92" spans="1:19" s="174" customFormat="1" ht="32.1" customHeight="1" x14ac:dyDescent="0.2">
      <c r="A92" s="127" t="s">
        <v>109</v>
      </c>
      <c r="B92" s="324" t="s">
        <v>4211</v>
      </c>
      <c r="C92" s="324" t="s">
        <v>4308</v>
      </c>
      <c r="D92" s="121">
        <v>96</v>
      </c>
      <c r="E92" s="146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6">
        <v>9</v>
      </c>
      <c r="M92" s="146">
        <v>0</v>
      </c>
      <c r="N92" s="146">
        <v>32.5</v>
      </c>
      <c r="O92" s="146">
        <v>0</v>
      </c>
      <c r="P92" s="146">
        <v>0</v>
      </c>
      <c r="Q92" s="145">
        <f t="shared" si="5"/>
        <v>3.4583333333333335</v>
      </c>
      <c r="R92" s="151" t="str">
        <f t="shared" si="6"/>
        <v>SI</v>
      </c>
      <c r="S92" s="152" t="str">
        <f t="shared" si="7"/>
        <v>Sin Riesgo</v>
      </c>
    </row>
    <row r="93" spans="1:19" s="174" customFormat="1" ht="32.1" customHeight="1" x14ac:dyDescent="0.2">
      <c r="A93" s="127" t="s">
        <v>109</v>
      </c>
      <c r="B93" s="324" t="s">
        <v>4212</v>
      </c>
      <c r="C93" s="324" t="s">
        <v>4309</v>
      </c>
      <c r="D93" s="121">
        <v>210</v>
      </c>
      <c r="E93" s="146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23.5</v>
      </c>
      <c r="L93" s="146">
        <v>0</v>
      </c>
      <c r="M93" s="146">
        <v>0</v>
      </c>
      <c r="N93" s="146">
        <v>0</v>
      </c>
      <c r="O93" s="146">
        <v>0</v>
      </c>
      <c r="P93" s="146">
        <v>0</v>
      </c>
      <c r="Q93" s="145">
        <f t="shared" si="5"/>
        <v>1.9583333333333333</v>
      </c>
      <c r="R93" s="151" t="str">
        <f t="shared" si="6"/>
        <v>SI</v>
      </c>
      <c r="S93" s="152" t="str">
        <f t="shared" si="7"/>
        <v>Sin Riesgo</v>
      </c>
    </row>
    <row r="94" spans="1:19" s="174" customFormat="1" ht="32.1" customHeight="1" x14ac:dyDescent="0.2">
      <c r="A94" s="127" t="s">
        <v>109</v>
      </c>
      <c r="B94" s="324" t="s">
        <v>4213</v>
      </c>
      <c r="C94" s="324" t="s">
        <v>4310</v>
      </c>
      <c r="D94" s="121">
        <v>75</v>
      </c>
      <c r="E94" s="146">
        <v>0</v>
      </c>
      <c r="F94" s="146">
        <v>0</v>
      </c>
      <c r="G94" s="146">
        <v>0</v>
      </c>
      <c r="H94" s="146">
        <v>0</v>
      </c>
      <c r="I94" s="146">
        <v>0</v>
      </c>
      <c r="J94" s="146">
        <v>0</v>
      </c>
      <c r="K94" s="146">
        <v>0</v>
      </c>
      <c r="L94" s="146">
        <v>0</v>
      </c>
      <c r="M94" s="146">
        <v>0</v>
      </c>
      <c r="N94" s="146">
        <v>3.5</v>
      </c>
      <c r="O94" s="146">
        <v>0</v>
      </c>
      <c r="P94" s="146">
        <v>0</v>
      </c>
      <c r="Q94" s="145">
        <f t="shared" si="5"/>
        <v>0.29166666666666669</v>
      </c>
      <c r="R94" s="151" t="str">
        <f t="shared" si="6"/>
        <v>SI</v>
      </c>
      <c r="S94" s="152" t="str">
        <f t="shared" si="7"/>
        <v>Sin Riesgo</v>
      </c>
    </row>
    <row r="95" spans="1:19" s="174" customFormat="1" ht="32.1" customHeight="1" x14ac:dyDescent="0.2">
      <c r="A95" s="127" t="s">
        <v>109</v>
      </c>
      <c r="B95" s="324" t="s">
        <v>4214</v>
      </c>
      <c r="C95" s="324" t="s">
        <v>4311</v>
      </c>
      <c r="D95" s="121">
        <v>125</v>
      </c>
      <c r="E95" s="146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32.5</v>
      </c>
      <c r="L95" s="146">
        <v>0</v>
      </c>
      <c r="M95" s="146">
        <v>0</v>
      </c>
      <c r="N95" s="146">
        <v>23.5</v>
      </c>
      <c r="O95" s="146">
        <v>0</v>
      </c>
      <c r="P95" s="146">
        <v>0</v>
      </c>
      <c r="Q95" s="145">
        <f t="shared" si="5"/>
        <v>4.666666666666667</v>
      </c>
      <c r="R95" s="151" t="str">
        <f t="shared" si="6"/>
        <v>SI</v>
      </c>
      <c r="S95" s="152" t="str">
        <f t="shared" si="7"/>
        <v>Sin Riesgo</v>
      </c>
    </row>
    <row r="96" spans="1:19" s="174" customFormat="1" ht="32.1" customHeight="1" x14ac:dyDescent="0.2">
      <c r="A96" s="127" t="s">
        <v>109</v>
      </c>
      <c r="B96" s="324" t="s">
        <v>4215</v>
      </c>
      <c r="C96" s="324" t="s">
        <v>4312</v>
      </c>
      <c r="D96" s="121">
        <v>662</v>
      </c>
      <c r="E96" s="146">
        <v>0</v>
      </c>
      <c r="F96" s="146">
        <v>0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  <c r="M96" s="146">
        <v>0</v>
      </c>
      <c r="N96" s="146">
        <v>0</v>
      </c>
      <c r="O96" s="146">
        <v>0</v>
      </c>
      <c r="P96" s="146">
        <v>0</v>
      </c>
      <c r="Q96" s="145">
        <f t="shared" si="5"/>
        <v>0</v>
      </c>
      <c r="R96" s="151" t="str">
        <f t="shared" si="6"/>
        <v>SI</v>
      </c>
      <c r="S96" s="152" t="str">
        <f t="shared" si="7"/>
        <v>Sin Riesgo</v>
      </c>
    </row>
    <row r="97" spans="1:19" s="174" customFormat="1" ht="32.1" customHeight="1" x14ac:dyDescent="0.2">
      <c r="A97" s="127" t="s">
        <v>109</v>
      </c>
      <c r="B97" s="324" t="s">
        <v>90</v>
      </c>
      <c r="C97" s="324" t="s">
        <v>4313</v>
      </c>
      <c r="D97" s="116">
        <v>70</v>
      </c>
      <c r="E97" s="146">
        <v>0</v>
      </c>
      <c r="F97" s="146">
        <v>0</v>
      </c>
      <c r="G97" s="146">
        <v>0</v>
      </c>
      <c r="H97" s="146">
        <v>0</v>
      </c>
      <c r="I97" s="146">
        <v>0</v>
      </c>
      <c r="J97" s="146">
        <v>0</v>
      </c>
      <c r="K97" s="146">
        <v>3.5</v>
      </c>
      <c r="L97" s="146">
        <v>0</v>
      </c>
      <c r="M97" s="146">
        <v>0</v>
      </c>
      <c r="N97" s="146">
        <v>0</v>
      </c>
      <c r="O97" s="146">
        <v>17.5</v>
      </c>
      <c r="P97" s="146">
        <v>0</v>
      </c>
      <c r="Q97" s="145">
        <f t="shared" si="5"/>
        <v>1.75</v>
      </c>
      <c r="R97" s="151" t="str">
        <f t="shared" si="6"/>
        <v>SI</v>
      </c>
      <c r="S97" s="152" t="str">
        <f t="shared" si="7"/>
        <v>Sin Riesgo</v>
      </c>
    </row>
    <row r="98" spans="1:19" s="174" customFormat="1" ht="32.1" customHeight="1" x14ac:dyDescent="0.2">
      <c r="A98" s="127" t="s">
        <v>109</v>
      </c>
      <c r="B98" s="324" t="s">
        <v>4216</v>
      </c>
      <c r="C98" s="324" t="s">
        <v>4314</v>
      </c>
      <c r="D98" s="121">
        <v>98</v>
      </c>
      <c r="E98" s="146">
        <v>0</v>
      </c>
      <c r="F98" s="146">
        <v>0</v>
      </c>
      <c r="G98" s="146">
        <v>0</v>
      </c>
      <c r="H98" s="146">
        <v>0</v>
      </c>
      <c r="I98" s="146">
        <v>0</v>
      </c>
      <c r="J98" s="146">
        <v>0</v>
      </c>
      <c r="K98" s="146">
        <v>0</v>
      </c>
      <c r="L98" s="146">
        <v>0</v>
      </c>
      <c r="M98" s="146">
        <v>0</v>
      </c>
      <c r="N98" s="146">
        <v>0</v>
      </c>
      <c r="O98" s="146">
        <v>11.5</v>
      </c>
      <c r="P98" s="146">
        <v>0</v>
      </c>
      <c r="Q98" s="145">
        <f t="shared" si="5"/>
        <v>0.95833333333333337</v>
      </c>
      <c r="R98" s="151" t="str">
        <f t="shared" si="6"/>
        <v>SI</v>
      </c>
      <c r="S98" s="152" t="str">
        <f t="shared" si="7"/>
        <v>Sin Riesgo</v>
      </c>
    </row>
    <row r="99" spans="1:19" s="174" customFormat="1" ht="32.1" customHeight="1" x14ac:dyDescent="0.2">
      <c r="A99" s="127" t="s">
        <v>109</v>
      </c>
      <c r="B99" s="324" t="s">
        <v>4217</v>
      </c>
      <c r="C99" s="324" t="s">
        <v>4315</v>
      </c>
      <c r="D99" s="121">
        <v>119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146">
        <v>0</v>
      </c>
      <c r="M99" s="146">
        <v>0</v>
      </c>
      <c r="N99" s="146">
        <v>0</v>
      </c>
      <c r="O99" s="146">
        <v>11.5</v>
      </c>
      <c r="P99" s="146">
        <v>0</v>
      </c>
      <c r="Q99" s="145">
        <f t="shared" si="5"/>
        <v>0.95833333333333337</v>
      </c>
      <c r="R99" s="151" t="str">
        <f t="shared" si="6"/>
        <v>SI</v>
      </c>
      <c r="S99" s="152" t="str">
        <f t="shared" si="7"/>
        <v>Sin Riesgo</v>
      </c>
    </row>
    <row r="100" spans="1:19" s="174" customFormat="1" ht="32.1" customHeight="1" x14ac:dyDescent="0.2">
      <c r="A100" s="127" t="s">
        <v>109</v>
      </c>
      <c r="B100" s="324" t="s">
        <v>4218</v>
      </c>
      <c r="C100" s="324" t="s">
        <v>4316</v>
      </c>
      <c r="D100" s="116">
        <v>85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46">
        <v>12.5</v>
      </c>
      <c r="M100" s="146">
        <v>0</v>
      </c>
      <c r="N100" s="146">
        <v>0</v>
      </c>
      <c r="O100" s="146">
        <v>23</v>
      </c>
      <c r="P100" s="146">
        <v>0</v>
      </c>
      <c r="Q100" s="145">
        <f t="shared" si="5"/>
        <v>2.9583333333333335</v>
      </c>
      <c r="R100" s="151" t="str">
        <f t="shared" si="6"/>
        <v>SI</v>
      </c>
      <c r="S100" s="152" t="str">
        <f t="shared" si="7"/>
        <v>Sin Riesgo</v>
      </c>
    </row>
    <row r="101" spans="1:19" s="174" customFormat="1" ht="32.1" customHeight="1" x14ac:dyDescent="0.2">
      <c r="A101" s="127" t="s">
        <v>109</v>
      </c>
      <c r="B101" s="324" t="s">
        <v>4219</v>
      </c>
      <c r="C101" s="324" t="s">
        <v>4317</v>
      </c>
      <c r="D101" s="121">
        <v>450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9</v>
      </c>
      <c r="L101" s="146">
        <v>0</v>
      </c>
      <c r="M101" s="146">
        <v>0</v>
      </c>
      <c r="N101" s="146">
        <v>0</v>
      </c>
      <c r="O101" s="146">
        <v>0</v>
      </c>
      <c r="P101" s="146">
        <v>0</v>
      </c>
      <c r="Q101" s="145">
        <f t="shared" si="5"/>
        <v>0.75</v>
      </c>
      <c r="R101" s="151" t="str">
        <f t="shared" si="6"/>
        <v>SI</v>
      </c>
      <c r="S101" s="152" t="str">
        <f t="shared" si="7"/>
        <v>Sin Riesgo</v>
      </c>
    </row>
    <row r="102" spans="1:19" s="174" customFormat="1" ht="32.1" customHeight="1" x14ac:dyDescent="0.2">
      <c r="A102" s="127" t="s">
        <v>109</v>
      </c>
      <c r="B102" s="324" t="s">
        <v>4220</v>
      </c>
      <c r="C102" s="324" t="s">
        <v>4318</v>
      </c>
      <c r="D102" s="121">
        <v>1360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146">
        <v>0</v>
      </c>
      <c r="M102" s="146">
        <v>0</v>
      </c>
      <c r="N102" s="146">
        <v>23.5</v>
      </c>
      <c r="O102" s="146">
        <v>0</v>
      </c>
      <c r="P102" s="146">
        <v>0</v>
      </c>
      <c r="Q102" s="145">
        <f t="shared" si="5"/>
        <v>1.9583333333333333</v>
      </c>
      <c r="R102" s="151" t="str">
        <f t="shared" si="6"/>
        <v>SI</v>
      </c>
      <c r="S102" s="152" t="str">
        <f t="shared" si="7"/>
        <v>Sin Riesgo</v>
      </c>
    </row>
    <row r="103" spans="1:19" s="174" customFormat="1" ht="32.1" customHeight="1" x14ac:dyDescent="0.2">
      <c r="A103" s="127" t="s">
        <v>109</v>
      </c>
      <c r="B103" s="324" t="s">
        <v>4221</v>
      </c>
      <c r="C103" s="324" t="s">
        <v>4319</v>
      </c>
      <c r="D103" s="116">
        <v>180</v>
      </c>
      <c r="E103" s="146">
        <v>0</v>
      </c>
      <c r="F103" s="146">
        <v>0</v>
      </c>
      <c r="G103" s="146">
        <v>0</v>
      </c>
      <c r="H103" s="146">
        <v>0</v>
      </c>
      <c r="I103" s="146">
        <v>0</v>
      </c>
      <c r="J103" s="146">
        <v>0</v>
      </c>
      <c r="K103" s="146">
        <v>0</v>
      </c>
      <c r="L103" s="146">
        <v>8.5</v>
      </c>
      <c r="M103" s="146">
        <v>0</v>
      </c>
      <c r="N103" s="146">
        <v>9</v>
      </c>
      <c r="O103" s="146">
        <v>0</v>
      </c>
      <c r="P103" s="146">
        <v>9</v>
      </c>
      <c r="Q103" s="145">
        <f t="shared" si="5"/>
        <v>2.2083333333333335</v>
      </c>
      <c r="R103" s="151" t="str">
        <f t="shared" si="6"/>
        <v>SI</v>
      </c>
      <c r="S103" s="152" t="str">
        <f t="shared" si="7"/>
        <v>Sin Riesgo</v>
      </c>
    </row>
    <row r="104" spans="1:19" s="174" customFormat="1" ht="32.1" customHeight="1" x14ac:dyDescent="0.2">
      <c r="A104" s="127" t="s">
        <v>109</v>
      </c>
      <c r="B104" s="324" t="s">
        <v>4222</v>
      </c>
      <c r="C104" s="324" t="s">
        <v>4320</v>
      </c>
      <c r="D104" s="121">
        <v>420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12.3</v>
      </c>
      <c r="M104" s="146">
        <v>0</v>
      </c>
      <c r="N104" s="146">
        <v>0</v>
      </c>
      <c r="O104" s="146">
        <v>0</v>
      </c>
      <c r="P104" s="146">
        <v>17.5</v>
      </c>
      <c r="Q104" s="145">
        <f t="shared" si="5"/>
        <v>2.4833333333333334</v>
      </c>
      <c r="R104" s="151" t="str">
        <f t="shared" si="6"/>
        <v>SI</v>
      </c>
      <c r="S104" s="152" t="str">
        <f t="shared" si="7"/>
        <v>Sin Riesgo</v>
      </c>
    </row>
    <row r="105" spans="1:19" s="174" customFormat="1" ht="32.1" customHeight="1" x14ac:dyDescent="0.2">
      <c r="A105" s="127" t="s">
        <v>109</v>
      </c>
      <c r="B105" s="324" t="s">
        <v>4223</v>
      </c>
      <c r="C105" s="324" t="s">
        <v>4321</v>
      </c>
      <c r="D105" s="121">
        <v>296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146">
        <v>0</v>
      </c>
      <c r="M105" s="146">
        <v>0</v>
      </c>
      <c r="N105" s="146">
        <v>0</v>
      </c>
      <c r="O105" s="146">
        <v>0</v>
      </c>
      <c r="P105" s="146">
        <v>0</v>
      </c>
      <c r="Q105" s="145">
        <f t="shared" si="5"/>
        <v>0</v>
      </c>
      <c r="R105" s="151" t="str">
        <f t="shared" si="6"/>
        <v>SI</v>
      </c>
      <c r="S105" s="152" t="str">
        <f t="shared" si="7"/>
        <v>Sin Riesgo</v>
      </c>
    </row>
    <row r="106" spans="1:19" s="174" customFormat="1" ht="32.1" customHeight="1" x14ac:dyDescent="0.2">
      <c r="A106" s="127" t="s">
        <v>109</v>
      </c>
      <c r="B106" s="324" t="s">
        <v>70</v>
      </c>
      <c r="C106" s="324" t="s">
        <v>317</v>
      </c>
      <c r="D106" s="121">
        <v>110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12.5</v>
      </c>
      <c r="L106" s="146">
        <v>0</v>
      </c>
      <c r="M106" s="146">
        <v>26.5</v>
      </c>
      <c r="N106" s="146">
        <v>0</v>
      </c>
      <c r="O106" s="146">
        <v>45.5</v>
      </c>
      <c r="P106" s="146"/>
      <c r="Q106" s="145">
        <f t="shared" si="5"/>
        <v>7.6818181818181817</v>
      </c>
      <c r="R106" s="151" t="str">
        <f t="shared" si="6"/>
        <v>NO</v>
      </c>
      <c r="S106" s="152" t="str">
        <f t="shared" si="7"/>
        <v>Bajo</v>
      </c>
    </row>
    <row r="107" spans="1:19" s="174" customFormat="1" ht="32.1" customHeight="1" x14ac:dyDescent="0.2">
      <c r="A107" s="127" t="s">
        <v>109</v>
      </c>
      <c r="B107" s="324" t="s">
        <v>4224</v>
      </c>
      <c r="C107" s="324" t="s">
        <v>4322</v>
      </c>
      <c r="D107" s="121">
        <v>67</v>
      </c>
      <c r="E107" s="146"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46">
        <v>32.5</v>
      </c>
      <c r="L107" s="146">
        <v>0</v>
      </c>
      <c r="M107" s="146">
        <v>0</v>
      </c>
      <c r="N107" s="146">
        <v>9</v>
      </c>
      <c r="O107" s="146">
        <v>0</v>
      </c>
      <c r="P107" s="146">
        <v>0</v>
      </c>
      <c r="Q107" s="145">
        <f t="shared" ref="Q107:Q138" si="8">AVERAGE(E107:P107)</f>
        <v>3.4583333333333335</v>
      </c>
      <c r="R107" s="151" t="str">
        <f t="shared" ref="R107:R138" si="9">IF(Q107&lt;5,"SI","NO")</f>
        <v>SI</v>
      </c>
      <c r="S107" s="152" t="str">
        <f t="shared" si="7"/>
        <v>Sin Riesgo</v>
      </c>
    </row>
    <row r="108" spans="1:19" s="174" customFormat="1" ht="32.1" customHeight="1" x14ac:dyDescent="0.2">
      <c r="A108" s="127" t="s">
        <v>109</v>
      </c>
      <c r="B108" s="324" t="s">
        <v>4225</v>
      </c>
      <c r="C108" s="324" t="s">
        <v>4323</v>
      </c>
      <c r="D108" s="121">
        <v>28</v>
      </c>
      <c r="E108" s="146">
        <v>0</v>
      </c>
      <c r="F108" s="146">
        <v>0</v>
      </c>
      <c r="G108" s="146">
        <v>0</v>
      </c>
      <c r="H108" s="146">
        <v>0</v>
      </c>
      <c r="I108" s="146">
        <v>0</v>
      </c>
      <c r="J108" s="146">
        <v>0</v>
      </c>
      <c r="K108" s="146">
        <v>0</v>
      </c>
      <c r="L108" s="146">
        <v>12.5</v>
      </c>
      <c r="M108" s="146">
        <v>0</v>
      </c>
      <c r="N108" s="146">
        <v>0</v>
      </c>
      <c r="O108" s="146">
        <v>17.5</v>
      </c>
      <c r="P108" s="146">
        <v>0</v>
      </c>
      <c r="Q108" s="145">
        <f t="shared" si="8"/>
        <v>2.5</v>
      </c>
      <c r="R108" s="151" t="str">
        <f t="shared" si="9"/>
        <v>SI</v>
      </c>
      <c r="S108" s="152" t="str">
        <f t="shared" si="7"/>
        <v>Sin Riesgo</v>
      </c>
    </row>
    <row r="109" spans="1:19" s="174" customFormat="1" ht="32.1" customHeight="1" x14ac:dyDescent="0.2">
      <c r="A109" s="127" t="s">
        <v>109</v>
      </c>
      <c r="B109" s="324" t="s">
        <v>4226</v>
      </c>
      <c r="C109" s="324" t="s">
        <v>4324</v>
      </c>
      <c r="D109" s="121">
        <v>36</v>
      </c>
      <c r="E109" s="146">
        <v>0</v>
      </c>
      <c r="F109" s="146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31</v>
      </c>
      <c r="N109" s="146">
        <v>0</v>
      </c>
      <c r="O109" s="146">
        <v>30</v>
      </c>
      <c r="P109" s="146">
        <v>0</v>
      </c>
      <c r="Q109" s="211">
        <f t="shared" si="8"/>
        <v>5.083333333333333</v>
      </c>
      <c r="R109" s="151" t="str">
        <f t="shared" si="9"/>
        <v>NO</v>
      </c>
      <c r="S109" s="152" t="str">
        <f t="shared" si="7"/>
        <v>Bajo</v>
      </c>
    </row>
    <row r="110" spans="1:19" s="174" customFormat="1" ht="32.1" customHeight="1" x14ac:dyDescent="0.2">
      <c r="A110" s="486" t="s">
        <v>111</v>
      </c>
      <c r="B110" s="366" t="s">
        <v>4259</v>
      </c>
      <c r="C110" s="367" t="s">
        <v>4260</v>
      </c>
      <c r="D110" s="121">
        <v>12</v>
      </c>
      <c r="E110" s="146"/>
      <c r="F110" s="146"/>
      <c r="G110" s="146"/>
      <c r="H110" s="146"/>
      <c r="I110" s="146">
        <v>44.1</v>
      </c>
      <c r="J110" s="146"/>
      <c r="K110" s="146">
        <v>80.599999999999994</v>
      </c>
      <c r="L110" s="146"/>
      <c r="M110" s="146">
        <v>3.2</v>
      </c>
      <c r="N110" s="146"/>
      <c r="O110" s="146">
        <v>44.9</v>
      </c>
      <c r="P110" s="146"/>
      <c r="Q110" s="145">
        <f t="shared" si="8"/>
        <v>43.199999999999996</v>
      </c>
      <c r="R110" s="151" t="str">
        <f t="shared" si="9"/>
        <v>NO</v>
      </c>
      <c r="S110" s="152" t="str">
        <f t="shared" si="7"/>
        <v>Alto</v>
      </c>
    </row>
    <row r="111" spans="1:19" s="174" customFormat="1" ht="32.1" customHeight="1" x14ac:dyDescent="0.2">
      <c r="A111" s="486" t="s">
        <v>111</v>
      </c>
      <c r="B111" s="366" t="s">
        <v>4259</v>
      </c>
      <c r="C111" s="367" t="s">
        <v>4261</v>
      </c>
      <c r="D111" s="121">
        <v>19</v>
      </c>
      <c r="E111" s="146"/>
      <c r="F111" s="146"/>
      <c r="G111" s="146"/>
      <c r="H111" s="146"/>
      <c r="I111" s="146">
        <v>26.2</v>
      </c>
      <c r="J111" s="146"/>
      <c r="K111" s="146">
        <v>0</v>
      </c>
      <c r="L111" s="146"/>
      <c r="M111" s="146">
        <v>25.8</v>
      </c>
      <c r="N111" s="146"/>
      <c r="O111" s="146">
        <v>3.4</v>
      </c>
      <c r="P111" s="146"/>
      <c r="Q111" s="145">
        <f t="shared" si="8"/>
        <v>13.85</v>
      </c>
      <c r="R111" s="151" t="str">
        <f t="shared" si="9"/>
        <v>NO</v>
      </c>
      <c r="S111" s="152" t="str">
        <f t="shared" si="7"/>
        <v>Bajo</v>
      </c>
    </row>
    <row r="112" spans="1:19" s="174" customFormat="1" ht="32.1" customHeight="1" x14ac:dyDescent="0.2">
      <c r="A112" s="486" t="s">
        <v>111</v>
      </c>
      <c r="B112" s="366" t="s">
        <v>4262</v>
      </c>
      <c r="C112" s="366" t="s">
        <v>4262</v>
      </c>
      <c r="D112" s="121">
        <v>59</v>
      </c>
      <c r="E112" s="146"/>
      <c r="F112" s="146"/>
      <c r="G112" s="146"/>
      <c r="H112" s="146"/>
      <c r="I112" s="146">
        <v>17.600000000000001</v>
      </c>
      <c r="J112" s="146">
        <v>0</v>
      </c>
      <c r="K112" s="146"/>
      <c r="L112" s="146">
        <v>0</v>
      </c>
      <c r="M112" s="146"/>
      <c r="N112" s="146">
        <v>0</v>
      </c>
      <c r="O112" s="146"/>
      <c r="P112" s="146"/>
      <c r="Q112" s="145">
        <f t="shared" si="8"/>
        <v>4.4000000000000004</v>
      </c>
      <c r="R112" s="151" t="str">
        <f t="shared" si="9"/>
        <v>SI</v>
      </c>
      <c r="S112" s="152" t="str">
        <f t="shared" si="7"/>
        <v>Sin Riesgo</v>
      </c>
    </row>
    <row r="113" spans="1:19" s="174" customFormat="1" ht="32.1" customHeight="1" x14ac:dyDescent="0.2">
      <c r="A113" s="486" t="s">
        <v>111</v>
      </c>
      <c r="B113" s="366" t="s">
        <v>4263</v>
      </c>
      <c r="C113" s="366" t="s">
        <v>4263</v>
      </c>
      <c r="D113" s="121">
        <v>168</v>
      </c>
      <c r="E113" s="146"/>
      <c r="F113" s="146"/>
      <c r="G113" s="146"/>
      <c r="H113" s="146"/>
      <c r="I113" s="146">
        <v>0</v>
      </c>
      <c r="J113" s="146">
        <v>0</v>
      </c>
      <c r="K113" s="146"/>
      <c r="L113" s="146">
        <v>0</v>
      </c>
      <c r="M113" s="146"/>
      <c r="N113" s="146">
        <v>0</v>
      </c>
      <c r="O113" s="146"/>
      <c r="P113" s="146"/>
      <c r="Q113" s="145">
        <f t="shared" si="8"/>
        <v>0</v>
      </c>
      <c r="R113" s="151" t="str">
        <f t="shared" si="9"/>
        <v>SI</v>
      </c>
      <c r="S113" s="152" t="str">
        <f t="shared" si="7"/>
        <v>Sin Riesgo</v>
      </c>
    </row>
    <row r="114" spans="1:19" s="174" customFormat="1" ht="32.1" customHeight="1" x14ac:dyDescent="0.2">
      <c r="A114" s="486" t="s">
        <v>111</v>
      </c>
      <c r="B114" s="366" t="s">
        <v>4264</v>
      </c>
      <c r="C114" s="367" t="s">
        <v>4265</v>
      </c>
      <c r="D114" s="121">
        <v>244</v>
      </c>
      <c r="E114" s="146"/>
      <c r="F114" s="146"/>
      <c r="G114" s="146"/>
      <c r="H114" s="146"/>
      <c r="I114" s="146">
        <v>89.4</v>
      </c>
      <c r="J114" s="146">
        <v>0</v>
      </c>
      <c r="K114" s="146"/>
      <c r="L114" s="146">
        <v>71</v>
      </c>
      <c r="M114" s="146"/>
      <c r="N114" s="146">
        <v>75.3</v>
      </c>
      <c r="O114" s="146"/>
      <c r="P114" s="146"/>
      <c r="Q114" s="145">
        <f t="shared" si="8"/>
        <v>58.924999999999997</v>
      </c>
      <c r="R114" s="151" t="str">
        <f t="shared" si="9"/>
        <v>NO</v>
      </c>
      <c r="S114" s="152" t="str">
        <f t="shared" si="7"/>
        <v>Alto</v>
      </c>
    </row>
    <row r="115" spans="1:19" s="174" customFormat="1" ht="32.1" customHeight="1" x14ac:dyDescent="0.2">
      <c r="A115" s="486" t="s">
        <v>111</v>
      </c>
      <c r="B115" s="366" t="s">
        <v>4266</v>
      </c>
      <c r="C115" s="367" t="s">
        <v>4267</v>
      </c>
      <c r="D115" s="121">
        <v>913</v>
      </c>
      <c r="E115" s="146"/>
      <c r="F115" s="146"/>
      <c r="G115" s="146"/>
      <c r="H115" s="146"/>
      <c r="I115" s="146">
        <v>8.8000000000000007</v>
      </c>
      <c r="J115" s="146">
        <v>19.3</v>
      </c>
      <c r="K115" s="146">
        <v>0</v>
      </c>
      <c r="L115" s="146">
        <v>0</v>
      </c>
      <c r="M115" s="146">
        <v>0</v>
      </c>
      <c r="N115" s="146">
        <v>0</v>
      </c>
      <c r="O115" s="146">
        <v>16.899999999999999</v>
      </c>
      <c r="P115" s="146"/>
      <c r="Q115" s="145">
        <f t="shared" si="8"/>
        <v>6.4285714285714288</v>
      </c>
      <c r="R115" s="151" t="str">
        <f t="shared" si="9"/>
        <v>NO</v>
      </c>
      <c r="S115" s="152" t="str">
        <f t="shared" si="7"/>
        <v>Bajo</v>
      </c>
    </row>
    <row r="116" spans="1:19" s="174" customFormat="1" ht="32.1" customHeight="1" x14ac:dyDescent="0.2">
      <c r="A116" s="486" t="s">
        <v>111</v>
      </c>
      <c r="B116" s="368" t="s">
        <v>542</v>
      </c>
      <c r="C116" s="368" t="s">
        <v>542</v>
      </c>
      <c r="D116" s="116">
        <v>313</v>
      </c>
      <c r="E116" s="146"/>
      <c r="F116" s="146"/>
      <c r="G116" s="146"/>
      <c r="H116" s="146"/>
      <c r="I116" s="146">
        <v>0</v>
      </c>
      <c r="J116" s="146">
        <v>0</v>
      </c>
      <c r="K116" s="146"/>
      <c r="L116" s="146">
        <v>0</v>
      </c>
      <c r="M116" s="146"/>
      <c r="N116" s="146">
        <v>0</v>
      </c>
      <c r="O116" s="146"/>
      <c r="P116" s="146"/>
      <c r="Q116" s="145">
        <f t="shared" si="8"/>
        <v>0</v>
      </c>
      <c r="R116" s="151" t="str">
        <f t="shared" si="9"/>
        <v>SI</v>
      </c>
      <c r="S116" s="152" t="str">
        <f t="shared" si="7"/>
        <v>Sin Riesgo</v>
      </c>
    </row>
    <row r="117" spans="1:19" s="174" customFormat="1" ht="32.1" customHeight="1" x14ac:dyDescent="0.2">
      <c r="A117" s="486" t="s">
        <v>111</v>
      </c>
      <c r="B117" s="366" t="s">
        <v>4268</v>
      </c>
      <c r="C117" s="367" t="s">
        <v>4269</v>
      </c>
      <c r="D117" s="121">
        <v>375</v>
      </c>
      <c r="E117" s="146"/>
      <c r="F117" s="146"/>
      <c r="G117" s="146"/>
      <c r="H117" s="146"/>
      <c r="I117" s="146">
        <v>91.2</v>
      </c>
      <c r="J117" s="146">
        <v>71</v>
      </c>
      <c r="K117" s="146"/>
      <c r="L117" s="146">
        <v>0</v>
      </c>
      <c r="M117" s="146"/>
      <c r="N117" s="146">
        <v>0</v>
      </c>
      <c r="O117" s="146"/>
      <c r="P117" s="146"/>
      <c r="Q117" s="145">
        <f t="shared" si="8"/>
        <v>40.549999999999997</v>
      </c>
      <c r="R117" s="151" t="str">
        <f t="shared" si="9"/>
        <v>NO</v>
      </c>
      <c r="S117" s="152" t="str">
        <f t="shared" si="7"/>
        <v>Alto</v>
      </c>
    </row>
    <row r="118" spans="1:19" s="174" customFormat="1" ht="32.1" customHeight="1" x14ac:dyDescent="0.2">
      <c r="A118" s="486" t="s">
        <v>111</v>
      </c>
      <c r="B118" s="366" t="s">
        <v>4270</v>
      </c>
      <c r="C118" s="367" t="s">
        <v>4271</v>
      </c>
      <c r="D118" s="121">
        <v>227</v>
      </c>
      <c r="E118" s="146"/>
      <c r="F118" s="146"/>
      <c r="G118" s="146"/>
      <c r="H118" s="146"/>
      <c r="I118" s="146">
        <v>0</v>
      </c>
      <c r="J118" s="146"/>
      <c r="K118" s="146">
        <v>0</v>
      </c>
      <c r="L118" s="146"/>
      <c r="M118" s="146">
        <v>0</v>
      </c>
      <c r="N118" s="146"/>
      <c r="O118" s="146">
        <v>0</v>
      </c>
      <c r="P118" s="146"/>
      <c r="Q118" s="145">
        <f t="shared" si="8"/>
        <v>0</v>
      </c>
      <c r="R118" s="151" t="str">
        <f t="shared" si="9"/>
        <v>SI</v>
      </c>
      <c r="S118" s="152" t="str">
        <f t="shared" si="7"/>
        <v>Sin Riesgo</v>
      </c>
    </row>
    <row r="119" spans="1:19" s="174" customFormat="1" ht="32.1" customHeight="1" x14ac:dyDescent="0.2">
      <c r="A119" s="486" t="s">
        <v>111</v>
      </c>
      <c r="B119" s="366" t="s">
        <v>4270</v>
      </c>
      <c r="C119" s="369" t="s">
        <v>4272</v>
      </c>
      <c r="D119" s="116">
        <v>155</v>
      </c>
      <c r="E119" s="146"/>
      <c r="F119" s="146"/>
      <c r="G119" s="146"/>
      <c r="H119" s="146"/>
      <c r="I119" s="146">
        <v>17.600000000000001</v>
      </c>
      <c r="J119" s="146"/>
      <c r="K119" s="146">
        <v>0</v>
      </c>
      <c r="L119" s="146"/>
      <c r="M119" s="146">
        <v>1.6</v>
      </c>
      <c r="N119" s="146"/>
      <c r="O119" s="146">
        <v>18.5</v>
      </c>
      <c r="P119" s="146"/>
      <c r="Q119" s="145">
        <f t="shared" si="8"/>
        <v>9.4250000000000007</v>
      </c>
      <c r="R119" s="151" t="str">
        <f t="shared" si="9"/>
        <v>NO</v>
      </c>
      <c r="S119" s="152" t="str">
        <f t="shared" si="7"/>
        <v>Bajo</v>
      </c>
    </row>
    <row r="120" spans="1:19" s="174" customFormat="1" ht="32.1" customHeight="1" x14ac:dyDescent="0.2">
      <c r="A120" s="486" t="s">
        <v>111</v>
      </c>
      <c r="B120" s="366" t="s">
        <v>811</v>
      </c>
      <c r="C120" s="367" t="s">
        <v>4273</v>
      </c>
      <c r="D120" s="121">
        <v>397</v>
      </c>
      <c r="E120" s="146"/>
      <c r="F120" s="146"/>
      <c r="G120" s="146"/>
      <c r="H120" s="146"/>
      <c r="I120" s="146">
        <v>0</v>
      </c>
      <c r="J120" s="146"/>
      <c r="K120" s="146">
        <v>0</v>
      </c>
      <c r="L120" s="146"/>
      <c r="M120" s="146">
        <v>0</v>
      </c>
      <c r="N120" s="146"/>
      <c r="O120" s="146">
        <v>0</v>
      </c>
      <c r="P120" s="146"/>
      <c r="Q120" s="145">
        <f t="shared" si="8"/>
        <v>0</v>
      </c>
      <c r="R120" s="151" t="str">
        <f t="shared" si="9"/>
        <v>SI</v>
      </c>
      <c r="S120" s="152" t="str">
        <f t="shared" si="7"/>
        <v>Sin Riesgo</v>
      </c>
    </row>
    <row r="121" spans="1:19" s="174" customFormat="1" ht="32.1" customHeight="1" x14ac:dyDescent="0.2">
      <c r="A121" s="486" t="s">
        <v>111</v>
      </c>
      <c r="B121" s="366" t="s">
        <v>4274</v>
      </c>
      <c r="C121" s="367" t="s">
        <v>4275</v>
      </c>
      <c r="D121" s="121">
        <v>1600</v>
      </c>
      <c r="E121" s="146"/>
      <c r="F121" s="146"/>
      <c r="G121" s="146"/>
      <c r="H121" s="146"/>
      <c r="I121" s="146">
        <v>0.9</v>
      </c>
      <c r="J121" s="146">
        <v>19.350000000000001</v>
      </c>
      <c r="K121" s="146">
        <v>0</v>
      </c>
      <c r="L121" s="146">
        <v>0</v>
      </c>
      <c r="M121" s="146">
        <v>0</v>
      </c>
      <c r="N121" s="146">
        <v>0</v>
      </c>
      <c r="O121" s="146">
        <v>17.440000000000001</v>
      </c>
      <c r="P121" s="146"/>
      <c r="Q121" s="145">
        <f t="shared" si="8"/>
        <v>5.3842857142857143</v>
      </c>
      <c r="R121" s="151" t="str">
        <f t="shared" si="9"/>
        <v>NO</v>
      </c>
      <c r="S121" s="152" t="str">
        <f t="shared" si="7"/>
        <v>Bajo</v>
      </c>
    </row>
    <row r="122" spans="1:19" s="174" customFormat="1" ht="32.1" customHeight="1" x14ac:dyDescent="0.2">
      <c r="A122" s="486" t="s">
        <v>111</v>
      </c>
      <c r="B122" s="366" t="s">
        <v>4276</v>
      </c>
      <c r="C122" s="369" t="s">
        <v>4277</v>
      </c>
      <c r="D122" s="116">
        <v>143</v>
      </c>
      <c r="E122" s="146"/>
      <c r="F122" s="146"/>
      <c r="G122" s="146"/>
      <c r="H122" s="146"/>
      <c r="I122" s="146">
        <v>17.600000000000001</v>
      </c>
      <c r="J122" s="146">
        <v>19.399999999999999</v>
      </c>
      <c r="K122" s="146"/>
      <c r="L122" s="146">
        <v>19.399999999999999</v>
      </c>
      <c r="M122" s="146"/>
      <c r="N122" s="146">
        <v>0</v>
      </c>
      <c r="O122" s="146"/>
      <c r="P122" s="146"/>
      <c r="Q122" s="145">
        <f t="shared" si="8"/>
        <v>14.1</v>
      </c>
      <c r="R122" s="151" t="str">
        <f t="shared" si="9"/>
        <v>NO</v>
      </c>
      <c r="S122" s="152" t="str">
        <f t="shared" si="7"/>
        <v>Medio</v>
      </c>
    </row>
    <row r="123" spans="1:19" s="174" customFormat="1" ht="32.1" customHeight="1" x14ac:dyDescent="0.2">
      <c r="A123" s="486" t="s">
        <v>111</v>
      </c>
      <c r="B123" s="366" t="s">
        <v>4278</v>
      </c>
      <c r="C123" s="367" t="s">
        <v>4279</v>
      </c>
      <c r="D123" s="121">
        <v>164</v>
      </c>
      <c r="E123" s="146"/>
      <c r="F123" s="146"/>
      <c r="G123" s="146"/>
      <c r="H123" s="146"/>
      <c r="I123" s="146">
        <v>0</v>
      </c>
      <c r="J123" s="146"/>
      <c r="K123" s="146">
        <v>0</v>
      </c>
      <c r="L123" s="146"/>
      <c r="M123" s="146">
        <v>0</v>
      </c>
      <c r="N123" s="146"/>
      <c r="O123" s="146">
        <v>0</v>
      </c>
      <c r="P123" s="146"/>
      <c r="Q123" s="145">
        <f t="shared" si="8"/>
        <v>0</v>
      </c>
      <c r="R123" s="151" t="str">
        <f t="shared" si="9"/>
        <v>SI</v>
      </c>
      <c r="S123" s="152" t="str">
        <f t="shared" si="7"/>
        <v>Sin Riesgo</v>
      </c>
    </row>
    <row r="124" spans="1:19" s="174" customFormat="1" ht="32.1" customHeight="1" x14ac:dyDescent="0.2">
      <c r="A124" s="486" t="s">
        <v>111</v>
      </c>
      <c r="B124" s="366" t="s">
        <v>4280</v>
      </c>
      <c r="C124" s="367" t="s">
        <v>4281</v>
      </c>
      <c r="D124" s="121">
        <v>254</v>
      </c>
      <c r="E124" s="146"/>
      <c r="F124" s="146"/>
      <c r="G124" s="146"/>
      <c r="H124" s="146"/>
      <c r="I124" s="146">
        <v>17.600000000000001</v>
      </c>
      <c r="J124" s="146">
        <v>0</v>
      </c>
      <c r="K124" s="146"/>
      <c r="L124" s="146">
        <v>71</v>
      </c>
      <c r="M124" s="146"/>
      <c r="N124" s="146">
        <v>70.099999999999994</v>
      </c>
      <c r="O124" s="146"/>
      <c r="P124" s="146"/>
      <c r="Q124" s="145">
        <f t="shared" si="8"/>
        <v>39.674999999999997</v>
      </c>
      <c r="R124" s="151" t="str">
        <f t="shared" si="9"/>
        <v>NO</v>
      </c>
      <c r="S124" s="152" t="str">
        <f t="shared" si="7"/>
        <v>Alto</v>
      </c>
    </row>
    <row r="125" spans="1:19" s="174" customFormat="1" ht="46.5" customHeight="1" x14ac:dyDescent="0.2">
      <c r="A125" s="127" t="s">
        <v>81</v>
      </c>
      <c r="B125" s="324" t="s">
        <v>4241</v>
      </c>
      <c r="C125" s="324" t="s">
        <v>318</v>
      </c>
      <c r="D125" s="116">
        <v>320</v>
      </c>
      <c r="E125" s="146"/>
      <c r="F125" s="146">
        <v>0</v>
      </c>
      <c r="G125" s="146">
        <v>0</v>
      </c>
      <c r="H125" s="146">
        <v>19.399999999999999</v>
      </c>
      <c r="I125" s="146">
        <v>19.399999999999999</v>
      </c>
      <c r="J125" s="146">
        <v>0</v>
      </c>
      <c r="K125" s="146">
        <v>19.399999999999999</v>
      </c>
      <c r="L125" s="146">
        <v>0</v>
      </c>
      <c r="M125" s="146">
        <v>19.399999999999999</v>
      </c>
      <c r="N125" s="146"/>
      <c r="O125" s="146">
        <v>0</v>
      </c>
      <c r="P125" s="146">
        <v>0</v>
      </c>
      <c r="Q125" s="145">
        <f t="shared" si="8"/>
        <v>7.76</v>
      </c>
      <c r="R125" s="151" t="str">
        <f t="shared" si="9"/>
        <v>NO</v>
      </c>
      <c r="S125" s="152" t="str">
        <f t="shared" si="7"/>
        <v>Bajo</v>
      </c>
    </row>
    <row r="126" spans="1:19" s="174" customFormat="1" ht="48" customHeight="1" x14ac:dyDescent="0.2">
      <c r="A126" s="127" t="s">
        <v>81</v>
      </c>
      <c r="B126" s="324" t="s">
        <v>4242</v>
      </c>
      <c r="C126" s="324" t="s">
        <v>319</v>
      </c>
      <c r="D126" s="116">
        <v>255</v>
      </c>
      <c r="E126" s="146"/>
      <c r="F126" s="146">
        <v>0</v>
      </c>
      <c r="G126" s="146">
        <v>19.399999999999999</v>
      </c>
      <c r="H126" s="146">
        <v>0</v>
      </c>
      <c r="I126" s="146">
        <v>19.399999999999999</v>
      </c>
      <c r="J126" s="146">
        <v>19.350000000000001</v>
      </c>
      <c r="K126" s="146">
        <v>0</v>
      </c>
      <c r="L126" s="146">
        <v>27.1</v>
      </c>
      <c r="M126" s="146">
        <v>0</v>
      </c>
      <c r="N126" s="146">
        <v>38.700000000000003</v>
      </c>
      <c r="O126" s="146">
        <v>0</v>
      </c>
      <c r="P126" s="146">
        <v>38.700000000000003</v>
      </c>
      <c r="Q126" s="145">
        <f t="shared" si="8"/>
        <v>14.786363636363637</v>
      </c>
      <c r="R126" s="151" t="str">
        <f t="shared" si="9"/>
        <v>NO</v>
      </c>
      <c r="S126" s="152" t="str">
        <f t="shared" si="7"/>
        <v>Medio</v>
      </c>
    </row>
    <row r="127" spans="1:19" s="174" customFormat="1" ht="48" customHeight="1" x14ac:dyDescent="0.2">
      <c r="A127" s="127" t="s">
        <v>81</v>
      </c>
      <c r="B127" s="324" t="s">
        <v>4243</v>
      </c>
      <c r="C127" s="324" t="s">
        <v>341</v>
      </c>
      <c r="D127" s="121">
        <v>35</v>
      </c>
      <c r="E127" s="146"/>
      <c r="F127" s="146">
        <v>0</v>
      </c>
      <c r="G127" s="146">
        <v>0</v>
      </c>
      <c r="H127" s="146">
        <v>0</v>
      </c>
      <c r="I127" s="146">
        <v>0</v>
      </c>
      <c r="J127" s="146">
        <v>38.71</v>
      </c>
      <c r="K127" s="146">
        <v>19.399999999999999</v>
      </c>
      <c r="L127" s="146">
        <v>0</v>
      </c>
      <c r="M127" s="146">
        <v>19.399999999999999</v>
      </c>
      <c r="N127" s="146">
        <v>19.399999999999999</v>
      </c>
      <c r="O127" s="146">
        <v>0</v>
      </c>
      <c r="P127" s="146">
        <v>38.700000000000003</v>
      </c>
      <c r="Q127" s="145">
        <f t="shared" si="8"/>
        <v>12.32818181818182</v>
      </c>
      <c r="R127" s="151" t="str">
        <f t="shared" si="9"/>
        <v>NO</v>
      </c>
      <c r="S127" s="152" t="str">
        <f t="shared" si="7"/>
        <v>Bajo</v>
      </c>
    </row>
    <row r="128" spans="1:19" s="174" customFormat="1" ht="32.1" customHeight="1" x14ac:dyDescent="0.2">
      <c r="A128" s="127" t="s">
        <v>81</v>
      </c>
      <c r="B128" s="324" t="s">
        <v>87</v>
      </c>
      <c r="C128" s="324" t="s">
        <v>85</v>
      </c>
      <c r="D128" s="116">
        <v>123</v>
      </c>
      <c r="E128" s="146"/>
      <c r="F128" s="146">
        <v>0</v>
      </c>
      <c r="G128" s="146">
        <v>0</v>
      </c>
      <c r="H128" s="146">
        <v>70.97</v>
      </c>
      <c r="I128" s="146"/>
      <c r="J128" s="146">
        <v>19.350000000000001</v>
      </c>
      <c r="K128" s="146">
        <v>19.399999999999999</v>
      </c>
      <c r="L128" s="146">
        <v>19.399999999999999</v>
      </c>
      <c r="M128" s="146">
        <v>19.399999999999999</v>
      </c>
      <c r="N128" s="146">
        <v>38.700000000000003</v>
      </c>
      <c r="O128" s="146">
        <v>52.3</v>
      </c>
      <c r="P128" s="146">
        <v>19.399999999999999</v>
      </c>
      <c r="Q128" s="227">
        <f t="shared" si="8"/>
        <v>25.892000000000003</v>
      </c>
      <c r="R128" s="151" t="str">
        <f t="shared" si="9"/>
        <v>NO</v>
      </c>
      <c r="S128" s="152" t="str">
        <f t="shared" si="7"/>
        <v>Medio</v>
      </c>
    </row>
    <row r="129" spans="1:19" s="174" customFormat="1" ht="32.1" customHeight="1" x14ac:dyDescent="0.2">
      <c r="A129" s="127" t="s">
        <v>81</v>
      </c>
      <c r="B129" s="324" t="s">
        <v>511</v>
      </c>
      <c r="C129" s="324" t="s">
        <v>321</v>
      </c>
      <c r="D129" s="121">
        <v>180</v>
      </c>
      <c r="E129" s="146"/>
      <c r="F129" s="146">
        <v>0</v>
      </c>
      <c r="G129" s="146">
        <v>19.399999999999999</v>
      </c>
      <c r="H129" s="146">
        <v>0</v>
      </c>
      <c r="I129" s="146"/>
      <c r="J129" s="146">
        <v>0</v>
      </c>
      <c r="K129" s="146">
        <v>0</v>
      </c>
      <c r="L129" s="146">
        <v>0</v>
      </c>
      <c r="M129" s="146">
        <v>71</v>
      </c>
      <c r="N129" s="146"/>
      <c r="O129" s="146">
        <v>24.4</v>
      </c>
      <c r="P129" s="146">
        <v>19.399999999999999</v>
      </c>
      <c r="Q129" s="145">
        <f t="shared" si="8"/>
        <v>14.911111111111113</v>
      </c>
      <c r="R129" s="151" t="str">
        <f t="shared" si="9"/>
        <v>NO</v>
      </c>
      <c r="S129" s="152" t="str">
        <f t="shared" si="7"/>
        <v>Medio</v>
      </c>
    </row>
    <row r="130" spans="1:19" s="174" customFormat="1" ht="32.1" customHeight="1" x14ac:dyDescent="0.2">
      <c r="A130" s="127" t="s">
        <v>81</v>
      </c>
      <c r="B130" s="324" t="s">
        <v>53</v>
      </c>
      <c r="C130" s="324" t="s">
        <v>322</v>
      </c>
      <c r="D130" s="121">
        <v>135</v>
      </c>
      <c r="E130" s="146"/>
      <c r="F130" s="146">
        <v>0</v>
      </c>
      <c r="G130" s="146">
        <v>19.399999999999999</v>
      </c>
      <c r="H130" s="146">
        <v>0</v>
      </c>
      <c r="I130" s="146">
        <v>19.350000000000001</v>
      </c>
      <c r="J130" s="146">
        <v>38.71</v>
      </c>
      <c r="K130" s="146">
        <v>58.1</v>
      </c>
      <c r="L130" s="146">
        <v>19.399999999999999</v>
      </c>
      <c r="M130" s="146">
        <v>19.399999999999999</v>
      </c>
      <c r="N130" s="146">
        <v>38.700000000000003</v>
      </c>
      <c r="O130" s="146">
        <v>44</v>
      </c>
      <c r="P130" s="146">
        <v>38.700000000000003</v>
      </c>
      <c r="Q130" s="145">
        <f t="shared" si="8"/>
        <v>26.887272727272727</v>
      </c>
      <c r="R130" s="151" t="str">
        <f t="shared" si="9"/>
        <v>NO</v>
      </c>
      <c r="S130" s="152" t="str">
        <f t="shared" si="7"/>
        <v>Medio</v>
      </c>
    </row>
    <row r="131" spans="1:19" s="174" customFormat="1" ht="32.1" customHeight="1" x14ac:dyDescent="0.2">
      <c r="A131" s="127" t="s">
        <v>81</v>
      </c>
      <c r="B131" s="324" t="s">
        <v>329</v>
      </c>
      <c r="C131" s="324" t="s">
        <v>330</v>
      </c>
      <c r="D131" s="121">
        <v>18</v>
      </c>
      <c r="E131" s="146"/>
      <c r="F131" s="146"/>
      <c r="G131" s="146"/>
      <c r="H131" s="146"/>
      <c r="I131" s="146"/>
      <c r="J131" s="146">
        <v>0</v>
      </c>
      <c r="K131" s="146"/>
      <c r="L131" s="146"/>
      <c r="M131" s="146"/>
      <c r="N131" s="146"/>
      <c r="O131" s="146">
        <v>19.399999999999999</v>
      </c>
      <c r="P131" s="146"/>
      <c r="Q131" s="145">
        <f t="shared" si="8"/>
        <v>9.6999999999999993</v>
      </c>
      <c r="R131" s="151" t="str">
        <f t="shared" si="9"/>
        <v>NO</v>
      </c>
      <c r="S131" s="152" t="str">
        <f t="shared" si="7"/>
        <v>Bajo</v>
      </c>
    </row>
    <row r="132" spans="1:19" s="174" customFormat="1" ht="32.1" customHeight="1" x14ac:dyDescent="0.2">
      <c r="A132" s="127" t="s">
        <v>81</v>
      </c>
      <c r="B132" s="324" t="s">
        <v>4244</v>
      </c>
      <c r="C132" s="324" t="s">
        <v>339</v>
      </c>
      <c r="D132" s="121">
        <v>40</v>
      </c>
      <c r="E132" s="146"/>
      <c r="F132" s="146"/>
      <c r="G132" s="146"/>
      <c r="H132" s="146"/>
      <c r="I132" s="146"/>
      <c r="J132" s="146">
        <v>78.7</v>
      </c>
      <c r="K132" s="146"/>
      <c r="L132" s="146"/>
      <c r="M132" s="146"/>
      <c r="N132" s="146"/>
      <c r="O132" s="146">
        <v>71</v>
      </c>
      <c r="P132" s="146"/>
      <c r="Q132" s="145">
        <f t="shared" si="8"/>
        <v>74.849999999999994</v>
      </c>
      <c r="R132" s="151" t="str">
        <f t="shared" si="9"/>
        <v>NO</v>
      </c>
      <c r="S132" s="152" t="str">
        <f t="shared" si="7"/>
        <v>Alto</v>
      </c>
    </row>
    <row r="133" spans="1:19" s="174" customFormat="1" ht="32.1" customHeight="1" x14ac:dyDescent="0.2">
      <c r="A133" s="127" t="s">
        <v>81</v>
      </c>
      <c r="B133" s="324" t="s">
        <v>534</v>
      </c>
      <c r="C133" s="324" t="s">
        <v>323</v>
      </c>
      <c r="D133" s="121">
        <v>285</v>
      </c>
      <c r="E133" s="146"/>
      <c r="F133" s="146">
        <v>0</v>
      </c>
      <c r="G133" s="146">
        <v>19.399999999999999</v>
      </c>
      <c r="H133" s="146">
        <v>0</v>
      </c>
      <c r="I133" s="146"/>
      <c r="J133" s="146">
        <v>0</v>
      </c>
      <c r="K133" s="146">
        <v>0</v>
      </c>
      <c r="L133" s="146">
        <v>0</v>
      </c>
      <c r="M133" s="146">
        <v>19.399999999999999</v>
      </c>
      <c r="N133" s="146">
        <v>0</v>
      </c>
      <c r="O133" s="146">
        <v>0</v>
      </c>
      <c r="P133" s="146">
        <v>0</v>
      </c>
      <c r="Q133" s="145">
        <f t="shared" si="8"/>
        <v>3.88</v>
      </c>
      <c r="R133" s="151" t="str">
        <f t="shared" si="9"/>
        <v>SI</v>
      </c>
      <c r="S133" s="152" t="str">
        <f t="shared" si="7"/>
        <v>Sin Riesgo</v>
      </c>
    </row>
    <row r="134" spans="1:19" s="174" customFormat="1" ht="32.1" customHeight="1" x14ac:dyDescent="0.2">
      <c r="A134" s="127" t="s">
        <v>81</v>
      </c>
      <c r="B134" s="324" t="s">
        <v>4245</v>
      </c>
      <c r="C134" s="324" t="s">
        <v>324</v>
      </c>
      <c r="D134" s="121">
        <v>700</v>
      </c>
      <c r="E134" s="146"/>
      <c r="F134" s="146">
        <v>0</v>
      </c>
      <c r="G134" s="146">
        <v>0</v>
      </c>
      <c r="H134" s="146">
        <v>0</v>
      </c>
      <c r="I134" s="146">
        <v>27.1</v>
      </c>
      <c r="J134" s="146">
        <v>0</v>
      </c>
      <c r="K134" s="146">
        <v>0</v>
      </c>
      <c r="L134" s="146">
        <v>0</v>
      </c>
      <c r="M134" s="146"/>
      <c r="N134" s="146">
        <v>0</v>
      </c>
      <c r="O134" s="146">
        <v>0</v>
      </c>
      <c r="P134" s="146">
        <v>0</v>
      </c>
      <c r="Q134" s="145">
        <f t="shared" si="8"/>
        <v>2.71</v>
      </c>
      <c r="R134" s="151" t="str">
        <f t="shared" si="9"/>
        <v>SI</v>
      </c>
      <c r="S134" s="152" t="str">
        <f t="shared" si="7"/>
        <v>Sin Riesgo</v>
      </c>
    </row>
    <row r="135" spans="1:19" s="174" customFormat="1" ht="46.5" customHeight="1" x14ac:dyDescent="0.2">
      <c r="A135" s="127" t="s">
        <v>81</v>
      </c>
      <c r="B135" s="324" t="s">
        <v>3040</v>
      </c>
      <c r="C135" s="324" t="s">
        <v>325</v>
      </c>
      <c r="D135" s="121">
        <v>158</v>
      </c>
      <c r="E135" s="146"/>
      <c r="F135" s="146">
        <v>0</v>
      </c>
      <c r="G135" s="146">
        <v>58.06</v>
      </c>
      <c r="H135" s="146">
        <v>19.399999999999999</v>
      </c>
      <c r="I135" s="146">
        <v>27.1</v>
      </c>
      <c r="J135" s="146">
        <v>0</v>
      </c>
      <c r="K135" s="146">
        <v>19.399999999999999</v>
      </c>
      <c r="L135" s="146">
        <v>0</v>
      </c>
      <c r="M135" s="146">
        <v>27.1</v>
      </c>
      <c r="N135" s="146">
        <v>38.700000000000003</v>
      </c>
      <c r="O135" s="146">
        <v>24.4</v>
      </c>
      <c r="P135" s="146">
        <v>0</v>
      </c>
      <c r="Q135" s="145">
        <f t="shared" si="8"/>
        <v>19.469090909090909</v>
      </c>
      <c r="R135" s="151" t="str">
        <f t="shared" si="9"/>
        <v>NO</v>
      </c>
      <c r="S135" s="152" t="str">
        <f t="shared" si="7"/>
        <v>Medio</v>
      </c>
    </row>
    <row r="136" spans="1:19" s="174" customFormat="1" ht="44.25" customHeight="1" x14ac:dyDescent="0.2">
      <c r="A136" s="127" t="s">
        <v>81</v>
      </c>
      <c r="B136" s="324" t="s">
        <v>237</v>
      </c>
      <c r="C136" s="324" t="s">
        <v>326</v>
      </c>
      <c r="D136" s="121">
        <v>351</v>
      </c>
      <c r="E136" s="146"/>
      <c r="F136" s="146">
        <v>0</v>
      </c>
      <c r="G136" s="146">
        <v>0</v>
      </c>
      <c r="H136" s="146">
        <v>0</v>
      </c>
      <c r="I136" s="146">
        <v>19.350000000000001</v>
      </c>
      <c r="J136" s="146">
        <v>27.1</v>
      </c>
      <c r="K136" s="146">
        <v>19.399999999999999</v>
      </c>
      <c r="L136" s="146">
        <v>19.399999999999999</v>
      </c>
      <c r="M136" s="146">
        <v>19.399999999999999</v>
      </c>
      <c r="N136" s="146">
        <v>38.700000000000003</v>
      </c>
      <c r="O136" s="146">
        <v>0</v>
      </c>
      <c r="P136" s="146">
        <v>19.399999999999999</v>
      </c>
      <c r="Q136" s="145">
        <f t="shared" si="8"/>
        <v>14.795454545454549</v>
      </c>
      <c r="R136" s="151" t="str">
        <f t="shared" si="9"/>
        <v>NO</v>
      </c>
      <c r="S136" s="152" t="str">
        <f t="shared" si="7"/>
        <v>Medio</v>
      </c>
    </row>
    <row r="137" spans="1:19" s="174" customFormat="1" ht="32.1" customHeight="1" x14ac:dyDescent="0.2">
      <c r="A137" s="127" t="s">
        <v>81</v>
      </c>
      <c r="B137" s="324" t="s">
        <v>538</v>
      </c>
      <c r="C137" s="324" t="s">
        <v>327</v>
      </c>
      <c r="D137" s="121">
        <v>125</v>
      </c>
      <c r="E137" s="146"/>
      <c r="F137" s="146">
        <v>0</v>
      </c>
      <c r="G137" s="146">
        <v>65.8</v>
      </c>
      <c r="H137" s="146">
        <v>0</v>
      </c>
      <c r="I137" s="146">
        <v>0</v>
      </c>
      <c r="J137" s="146">
        <v>0</v>
      </c>
      <c r="K137" s="146">
        <v>0</v>
      </c>
      <c r="L137" s="146">
        <v>0</v>
      </c>
      <c r="M137" s="146">
        <v>0</v>
      </c>
      <c r="N137" s="146"/>
      <c r="O137" s="146">
        <v>0</v>
      </c>
      <c r="P137" s="146">
        <v>19.399999999999999</v>
      </c>
      <c r="Q137" s="145">
        <f t="shared" si="8"/>
        <v>8.52</v>
      </c>
      <c r="R137" s="151" t="str">
        <f t="shared" si="9"/>
        <v>NO</v>
      </c>
      <c r="S137" s="152" t="str">
        <f t="shared" si="7"/>
        <v>Bajo</v>
      </c>
    </row>
    <row r="138" spans="1:19" s="174" customFormat="1" ht="32.1" customHeight="1" x14ac:dyDescent="0.2">
      <c r="A138" s="127" t="s">
        <v>81</v>
      </c>
      <c r="B138" s="324" t="s">
        <v>4227</v>
      </c>
      <c r="C138" s="324" t="s">
        <v>343</v>
      </c>
      <c r="D138" s="121">
        <v>124</v>
      </c>
      <c r="E138" s="146"/>
      <c r="F138" s="146"/>
      <c r="G138" s="146"/>
      <c r="H138" s="146"/>
      <c r="I138" s="146"/>
      <c r="J138" s="146">
        <v>71</v>
      </c>
      <c r="K138" s="146"/>
      <c r="L138" s="146"/>
      <c r="M138" s="146"/>
      <c r="N138" s="146"/>
      <c r="O138" s="146">
        <v>79</v>
      </c>
      <c r="P138" s="146"/>
      <c r="Q138" s="145">
        <f t="shared" si="8"/>
        <v>75</v>
      </c>
      <c r="R138" s="151" t="str">
        <f t="shared" si="9"/>
        <v>NO</v>
      </c>
      <c r="S138" s="152" t="str">
        <f t="shared" si="7"/>
        <v>Alto</v>
      </c>
    </row>
    <row r="139" spans="1:19" s="174" customFormat="1" ht="32.1" customHeight="1" x14ac:dyDescent="0.2">
      <c r="A139" s="127" t="s">
        <v>81</v>
      </c>
      <c r="B139" s="324" t="s">
        <v>8</v>
      </c>
      <c r="C139" s="324" t="s">
        <v>328</v>
      </c>
      <c r="D139" s="121">
        <v>340</v>
      </c>
      <c r="E139" s="146"/>
      <c r="F139" s="146">
        <v>0</v>
      </c>
      <c r="G139" s="146">
        <v>0</v>
      </c>
      <c r="H139" s="146">
        <v>0</v>
      </c>
      <c r="I139" s="146">
        <v>0</v>
      </c>
      <c r="J139" s="146">
        <v>38.71</v>
      </c>
      <c r="K139" s="146">
        <v>19.399999999999999</v>
      </c>
      <c r="L139" s="146">
        <v>0</v>
      </c>
      <c r="M139" s="146">
        <v>27.1</v>
      </c>
      <c r="N139" s="146">
        <v>0</v>
      </c>
      <c r="O139" s="146">
        <v>0</v>
      </c>
      <c r="P139" s="146">
        <v>0</v>
      </c>
      <c r="Q139" s="145">
        <f t="shared" ref="Q139:Q155" si="10">AVERAGE(E139:P139)</f>
        <v>7.746363636363637</v>
      </c>
      <c r="R139" s="151" t="str">
        <f t="shared" ref="R139:R155" si="11">IF(Q139&lt;5,"SI","NO")</f>
        <v>NO</v>
      </c>
      <c r="S139" s="152" t="str">
        <f t="shared" ref="S139:S202" si="12">IF(Q139&lt;5,"Sin Riesgo",IF(Q139 &lt;=14,"Bajo",IF(Q139&lt;=35,"Medio",IF(Q139&lt;=80,"Alto","Inviable Sanitariamente"))))</f>
        <v>Bajo</v>
      </c>
    </row>
    <row r="140" spans="1:19" s="174" customFormat="1" ht="32.1" customHeight="1" x14ac:dyDescent="0.2">
      <c r="A140" s="127" t="s">
        <v>81</v>
      </c>
      <c r="B140" s="324" t="s">
        <v>4246</v>
      </c>
      <c r="C140" s="324" t="s">
        <v>4247</v>
      </c>
      <c r="D140" s="121">
        <v>19</v>
      </c>
      <c r="E140" s="146"/>
      <c r="F140" s="146"/>
      <c r="G140" s="146"/>
      <c r="H140" s="146"/>
      <c r="I140" s="146"/>
      <c r="J140" s="146">
        <v>19.399999999999999</v>
      </c>
      <c r="K140" s="146"/>
      <c r="L140" s="146"/>
      <c r="M140" s="146"/>
      <c r="N140" s="146"/>
      <c r="O140" s="146">
        <v>19.399999999999999</v>
      </c>
      <c r="P140" s="146"/>
      <c r="Q140" s="145">
        <f t="shared" si="10"/>
        <v>19.399999999999999</v>
      </c>
      <c r="R140" s="151" t="str">
        <f t="shared" si="11"/>
        <v>NO</v>
      </c>
      <c r="S140" s="152" t="str">
        <f t="shared" si="12"/>
        <v>Medio</v>
      </c>
    </row>
    <row r="141" spans="1:19" s="174" customFormat="1" ht="32.1" customHeight="1" x14ac:dyDescent="0.2">
      <c r="A141" s="127" t="s">
        <v>81</v>
      </c>
      <c r="B141" s="324" t="s">
        <v>4248</v>
      </c>
      <c r="C141" s="324" t="s">
        <v>337</v>
      </c>
      <c r="D141" s="121">
        <v>67</v>
      </c>
      <c r="E141" s="146"/>
      <c r="F141" s="146"/>
      <c r="G141" s="146"/>
      <c r="H141" s="146"/>
      <c r="I141" s="146"/>
      <c r="J141" s="146">
        <v>71</v>
      </c>
      <c r="K141" s="146"/>
      <c r="L141" s="146"/>
      <c r="M141" s="146"/>
      <c r="N141" s="146"/>
      <c r="O141" s="146">
        <v>71</v>
      </c>
      <c r="P141" s="146"/>
      <c r="Q141" s="145">
        <f t="shared" si="10"/>
        <v>71</v>
      </c>
      <c r="R141" s="151" t="str">
        <f t="shared" si="11"/>
        <v>NO</v>
      </c>
      <c r="S141" s="152" t="str">
        <f t="shared" si="12"/>
        <v>Alto</v>
      </c>
    </row>
    <row r="142" spans="1:19" s="174" customFormat="1" ht="32.1" customHeight="1" x14ac:dyDescent="0.2">
      <c r="A142" s="127" t="s">
        <v>81</v>
      </c>
      <c r="B142" s="324" t="s">
        <v>509</v>
      </c>
      <c r="C142" s="324" t="s">
        <v>4249</v>
      </c>
      <c r="D142" s="121">
        <v>50</v>
      </c>
      <c r="E142" s="146"/>
      <c r="F142" s="146"/>
      <c r="G142" s="146"/>
      <c r="H142" s="146"/>
      <c r="I142" s="146"/>
      <c r="J142" s="146">
        <v>70.97</v>
      </c>
      <c r="K142" s="146"/>
      <c r="L142" s="146"/>
      <c r="M142" s="146"/>
      <c r="N142" s="146"/>
      <c r="O142" s="146">
        <v>38.700000000000003</v>
      </c>
      <c r="P142" s="146"/>
      <c r="Q142" s="145">
        <f t="shared" si="10"/>
        <v>54.835000000000001</v>
      </c>
      <c r="R142" s="151" t="str">
        <f t="shared" si="11"/>
        <v>NO</v>
      </c>
      <c r="S142" s="152" t="str">
        <f t="shared" si="12"/>
        <v>Alto</v>
      </c>
    </row>
    <row r="143" spans="1:19" s="174" customFormat="1" ht="32.1" customHeight="1" x14ac:dyDescent="0.2">
      <c r="A143" s="127" t="s">
        <v>81</v>
      </c>
      <c r="B143" s="324" t="s">
        <v>4250</v>
      </c>
      <c r="C143" s="324" t="s">
        <v>338</v>
      </c>
      <c r="D143" s="121">
        <v>102</v>
      </c>
      <c r="E143" s="146"/>
      <c r="F143" s="146"/>
      <c r="G143" s="146"/>
      <c r="H143" s="146"/>
      <c r="I143" s="146"/>
      <c r="J143" s="146">
        <v>71</v>
      </c>
      <c r="K143" s="146"/>
      <c r="L143" s="146"/>
      <c r="M143" s="146"/>
      <c r="N143" s="146"/>
      <c r="O143" s="146">
        <v>19.399999999999999</v>
      </c>
      <c r="P143" s="146"/>
      <c r="Q143" s="145">
        <f t="shared" si="10"/>
        <v>45.2</v>
      </c>
      <c r="R143" s="151" t="str">
        <f t="shared" si="11"/>
        <v>NO</v>
      </c>
      <c r="S143" s="152" t="str">
        <f t="shared" si="12"/>
        <v>Alto</v>
      </c>
    </row>
    <row r="144" spans="1:19" s="174" customFormat="1" ht="32.1" customHeight="1" x14ac:dyDescent="0.2">
      <c r="A144" s="127" t="s">
        <v>81</v>
      </c>
      <c r="B144" s="324" t="s">
        <v>538</v>
      </c>
      <c r="C144" s="324" t="s">
        <v>331</v>
      </c>
      <c r="D144" s="121">
        <v>136</v>
      </c>
      <c r="E144" s="146"/>
      <c r="F144" s="146">
        <v>38.71</v>
      </c>
      <c r="G144" s="146">
        <v>65.8</v>
      </c>
      <c r="H144" s="146">
        <v>70.97</v>
      </c>
      <c r="I144" s="146"/>
      <c r="J144" s="146">
        <v>0</v>
      </c>
      <c r="K144" s="146">
        <v>0</v>
      </c>
      <c r="L144" s="146">
        <v>0</v>
      </c>
      <c r="M144" s="146">
        <v>19.399999999999999</v>
      </c>
      <c r="N144" s="146"/>
      <c r="O144" s="146">
        <v>17.399999999999999</v>
      </c>
      <c r="P144" s="146">
        <v>71</v>
      </c>
      <c r="Q144" s="145">
        <f t="shared" si="10"/>
        <v>31.475555555555552</v>
      </c>
      <c r="R144" s="151" t="str">
        <f t="shared" si="11"/>
        <v>NO</v>
      </c>
      <c r="S144" s="152" t="str">
        <f t="shared" si="12"/>
        <v>Medio</v>
      </c>
    </row>
    <row r="145" spans="1:19" s="174" customFormat="1" ht="32.1" customHeight="1" x14ac:dyDescent="0.2">
      <c r="A145" s="127" t="s">
        <v>81</v>
      </c>
      <c r="B145" s="324" t="s">
        <v>4251</v>
      </c>
      <c r="C145" s="324" t="s">
        <v>332</v>
      </c>
      <c r="D145" s="121">
        <v>150</v>
      </c>
      <c r="E145" s="146"/>
      <c r="F145" s="146"/>
      <c r="G145" s="146"/>
      <c r="H145" s="146"/>
      <c r="I145" s="146"/>
      <c r="J145" s="146">
        <v>71</v>
      </c>
      <c r="K145" s="146"/>
      <c r="L145" s="146"/>
      <c r="M145" s="146"/>
      <c r="N145" s="146"/>
      <c r="O145" s="146">
        <v>71</v>
      </c>
      <c r="P145" s="146"/>
      <c r="Q145" s="145">
        <f t="shared" si="10"/>
        <v>71</v>
      </c>
      <c r="R145" s="151" t="str">
        <f t="shared" si="11"/>
        <v>NO</v>
      </c>
      <c r="S145" s="152" t="str">
        <f t="shared" si="12"/>
        <v>Alto</v>
      </c>
    </row>
    <row r="146" spans="1:19" s="174" customFormat="1" ht="32.1" customHeight="1" x14ac:dyDescent="0.2">
      <c r="A146" s="127" t="s">
        <v>81</v>
      </c>
      <c r="B146" s="324" t="s">
        <v>98</v>
      </c>
      <c r="C146" s="324" t="s">
        <v>333</v>
      </c>
      <c r="D146" s="121">
        <v>460</v>
      </c>
      <c r="E146" s="146"/>
      <c r="F146" s="146"/>
      <c r="G146" s="146"/>
      <c r="H146" s="146"/>
      <c r="I146" s="146"/>
      <c r="J146" s="146">
        <v>78.709999999999994</v>
      </c>
      <c r="K146" s="146"/>
      <c r="L146" s="146"/>
      <c r="M146" s="146"/>
      <c r="N146" s="146"/>
      <c r="O146" s="146">
        <v>71</v>
      </c>
      <c r="P146" s="146"/>
      <c r="Q146" s="145">
        <f t="shared" si="10"/>
        <v>74.85499999999999</v>
      </c>
      <c r="R146" s="151" t="str">
        <f t="shared" si="11"/>
        <v>NO</v>
      </c>
      <c r="S146" s="152" t="str">
        <f t="shared" si="12"/>
        <v>Alto</v>
      </c>
    </row>
    <row r="147" spans="1:19" s="174" customFormat="1" ht="41.25" customHeight="1" x14ac:dyDescent="0.2">
      <c r="A147" s="127" t="s">
        <v>81</v>
      </c>
      <c r="B147" s="324" t="s">
        <v>4252</v>
      </c>
      <c r="C147" s="324" t="s">
        <v>334</v>
      </c>
      <c r="D147" s="121">
        <v>495</v>
      </c>
      <c r="E147" s="146"/>
      <c r="F147" s="146">
        <v>0</v>
      </c>
      <c r="G147" s="146">
        <v>0</v>
      </c>
      <c r="H147" s="146">
        <v>0</v>
      </c>
      <c r="I147" s="146"/>
      <c r="J147" s="146">
        <v>19.350000000000001</v>
      </c>
      <c r="K147" s="146">
        <v>0</v>
      </c>
      <c r="L147" s="146">
        <v>0</v>
      </c>
      <c r="M147" s="146">
        <v>0</v>
      </c>
      <c r="N147" s="146">
        <v>58.1</v>
      </c>
      <c r="O147" s="146">
        <v>0</v>
      </c>
      <c r="P147" s="146">
        <v>0</v>
      </c>
      <c r="Q147" s="145">
        <f t="shared" si="10"/>
        <v>7.7450000000000001</v>
      </c>
      <c r="R147" s="151" t="str">
        <f t="shared" si="11"/>
        <v>NO</v>
      </c>
      <c r="S147" s="152" t="str">
        <f t="shared" si="12"/>
        <v>Bajo</v>
      </c>
    </row>
    <row r="148" spans="1:19" s="174" customFormat="1" ht="32.1" customHeight="1" x14ac:dyDescent="0.2">
      <c r="A148" s="127" t="s">
        <v>81</v>
      </c>
      <c r="B148" s="324" t="s">
        <v>4253</v>
      </c>
      <c r="C148" s="324" t="s">
        <v>335</v>
      </c>
      <c r="D148" s="121">
        <v>145</v>
      </c>
      <c r="E148" s="146"/>
      <c r="F148" s="146"/>
      <c r="G148" s="146"/>
      <c r="H148" s="146"/>
      <c r="I148" s="146"/>
      <c r="J148" s="146">
        <v>71</v>
      </c>
      <c r="K148" s="146"/>
      <c r="L148" s="146"/>
      <c r="M148" s="146"/>
      <c r="N148" s="146"/>
      <c r="O148" s="146">
        <v>71</v>
      </c>
      <c r="P148" s="146"/>
      <c r="Q148" s="145">
        <f t="shared" si="10"/>
        <v>71</v>
      </c>
      <c r="R148" s="151" t="str">
        <f t="shared" si="11"/>
        <v>NO</v>
      </c>
      <c r="S148" s="152" t="str">
        <f t="shared" si="12"/>
        <v>Alto</v>
      </c>
    </row>
    <row r="149" spans="1:19" s="174" customFormat="1" ht="44.25" customHeight="1" x14ac:dyDescent="0.2">
      <c r="A149" s="127" t="s">
        <v>81</v>
      </c>
      <c r="B149" s="324" t="s">
        <v>4254</v>
      </c>
      <c r="C149" s="324" t="s">
        <v>336</v>
      </c>
      <c r="D149" s="121">
        <v>35</v>
      </c>
      <c r="E149" s="146"/>
      <c r="F149" s="146">
        <v>0</v>
      </c>
      <c r="G149" s="146">
        <v>0</v>
      </c>
      <c r="H149" s="146">
        <v>0</v>
      </c>
      <c r="I149" s="146">
        <v>0</v>
      </c>
      <c r="J149" s="146">
        <v>0</v>
      </c>
      <c r="K149" s="146">
        <v>0</v>
      </c>
      <c r="L149" s="146">
        <v>0</v>
      </c>
      <c r="M149" s="146">
        <v>19.399999999999999</v>
      </c>
      <c r="N149" s="146">
        <v>71</v>
      </c>
      <c r="O149" s="146">
        <v>7</v>
      </c>
      <c r="P149" s="146">
        <v>52</v>
      </c>
      <c r="Q149" s="145">
        <f t="shared" si="10"/>
        <v>13.581818181818182</v>
      </c>
      <c r="R149" s="151" t="str">
        <f t="shared" si="11"/>
        <v>NO</v>
      </c>
      <c r="S149" s="152" t="str">
        <f t="shared" si="12"/>
        <v>Bajo</v>
      </c>
    </row>
    <row r="150" spans="1:19" s="174" customFormat="1" ht="48" customHeight="1" x14ac:dyDescent="0.2">
      <c r="A150" s="127" t="s">
        <v>81</v>
      </c>
      <c r="B150" s="324" t="s">
        <v>4255</v>
      </c>
      <c r="C150" s="324" t="s">
        <v>320</v>
      </c>
      <c r="D150" s="121">
        <v>376</v>
      </c>
      <c r="E150" s="146"/>
      <c r="F150" s="146">
        <v>0</v>
      </c>
      <c r="G150" s="146">
        <v>19.399999999999999</v>
      </c>
      <c r="H150" s="146">
        <v>0</v>
      </c>
      <c r="I150" s="146"/>
      <c r="J150" s="146">
        <v>38.71</v>
      </c>
      <c r="K150" s="146">
        <v>19.399999999999999</v>
      </c>
      <c r="L150" s="146">
        <v>19.399999999999999</v>
      </c>
      <c r="M150" s="146">
        <v>0</v>
      </c>
      <c r="N150" s="146">
        <v>38.700000000000003</v>
      </c>
      <c r="O150" s="146">
        <v>7</v>
      </c>
      <c r="P150" s="146">
        <v>19.399999999999999</v>
      </c>
      <c r="Q150" s="145">
        <f t="shared" si="10"/>
        <v>16.201000000000001</v>
      </c>
      <c r="R150" s="151" t="str">
        <f t="shared" si="11"/>
        <v>NO</v>
      </c>
      <c r="S150" s="152" t="str">
        <f t="shared" si="12"/>
        <v>Medio</v>
      </c>
    </row>
    <row r="151" spans="1:19" s="174" customFormat="1" ht="32.1" customHeight="1" x14ac:dyDescent="0.2">
      <c r="A151" s="127" t="s">
        <v>81</v>
      </c>
      <c r="B151" s="324" t="s">
        <v>4256</v>
      </c>
      <c r="C151" s="324" t="s">
        <v>4257</v>
      </c>
      <c r="D151" s="121">
        <v>485</v>
      </c>
      <c r="E151" s="146"/>
      <c r="F151" s="146">
        <v>0</v>
      </c>
      <c r="G151" s="146">
        <v>0</v>
      </c>
      <c r="H151" s="146">
        <v>0</v>
      </c>
      <c r="I151" s="146"/>
      <c r="J151" s="146">
        <v>19.350000000000001</v>
      </c>
      <c r="K151" s="146">
        <v>0</v>
      </c>
      <c r="L151" s="146">
        <v>0</v>
      </c>
      <c r="M151" s="146"/>
      <c r="N151" s="146">
        <v>38.700000000000003</v>
      </c>
      <c r="O151" s="146">
        <v>0</v>
      </c>
      <c r="P151" s="146">
        <v>0</v>
      </c>
      <c r="Q151" s="145">
        <f t="shared" si="10"/>
        <v>6.45</v>
      </c>
      <c r="R151" s="151" t="str">
        <f t="shared" si="11"/>
        <v>NO</v>
      </c>
      <c r="S151" s="152" t="str">
        <f t="shared" si="12"/>
        <v>Bajo</v>
      </c>
    </row>
    <row r="152" spans="1:19" s="174" customFormat="1" ht="32.1" customHeight="1" x14ac:dyDescent="0.2">
      <c r="A152" s="127" t="s">
        <v>81</v>
      </c>
      <c r="B152" s="324" t="s">
        <v>4258</v>
      </c>
      <c r="C152" s="324" t="s">
        <v>340</v>
      </c>
      <c r="D152" s="121">
        <v>36</v>
      </c>
      <c r="E152" s="146"/>
      <c r="F152" s="146">
        <v>0</v>
      </c>
      <c r="G152" s="146">
        <v>0</v>
      </c>
      <c r="H152" s="146">
        <v>0</v>
      </c>
      <c r="I152" s="146">
        <v>7.74</v>
      </c>
      <c r="J152" s="146">
        <v>19.350000000000001</v>
      </c>
      <c r="K152" s="146">
        <v>19.399999999999999</v>
      </c>
      <c r="L152" s="146">
        <v>19.399999999999999</v>
      </c>
      <c r="M152" s="146">
        <v>0</v>
      </c>
      <c r="N152" s="146">
        <v>38.700000000000003</v>
      </c>
      <c r="O152" s="146">
        <v>7</v>
      </c>
      <c r="P152" s="146">
        <v>0</v>
      </c>
      <c r="Q152" s="145">
        <f t="shared" si="10"/>
        <v>10.144545454545455</v>
      </c>
      <c r="R152" s="151" t="str">
        <f t="shared" si="11"/>
        <v>NO</v>
      </c>
      <c r="S152" s="152" t="str">
        <f t="shared" si="12"/>
        <v>Bajo</v>
      </c>
    </row>
    <row r="153" spans="1:19" s="174" customFormat="1" ht="32.1" customHeight="1" x14ac:dyDescent="0.2">
      <c r="A153" s="127" t="s">
        <v>81</v>
      </c>
      <c r="B153" s="324" t="s">
        <v>88</v>
      </c>
      <c r="C153" s="324" t="s">
        <v>86</v>
      </c>
      <c r="D153" s="121">
        <v>27</v>
      </c>
      <c r="E153" s="146"/>
      <c r="F153" s="146"/>
      <c r="G153" s="146"/>
      <c r="H153" s="146"/>
      <c r="I153" s="146"/>
      <c r="J153" s="146">
        <v>19.350000000000001</v>
      </c>
      <c r="K153" s="146"/>
      <c r="L153" s="146"/>
      <c r="M153" s="146"/>
      <c r="N153" s="146"/>
      <c r="O153" s="146">
        <v>52</v>
      </c>
      <c r="P153" s="146"/>
      <c r="Q153" s="145">
        <f t="shared" si="10"/>
        <v>35.674999999999997</v>
      </c>
      <c r="R153" s="151" t="str">
        <f t="shared" si="11"/>
        <v>NO</v>
      </c>
      <c r="S153" s="152" t="str">
        <f t="shared" si="12"/>
        <v>Alto</v>
      </c>
    </row>
    <row r="154" spans="1:19" s="174" customFormat="1" ht="44.25" customHeight="1" x14ac:dyDescent="0.2">
      <c r="A154" s="127" t="s">
        <v>81</v>
      </c>
      <c r="B154" s="324" t="s">
        <v>513</v>
      </c>
      <c r="C154" s="324" t="s">
        <v>342</v>
      </c>
      <c r="D154" s="121">
        <v>115</v>
      </c>
      <c r="E154" s="146"/>
      <c r="F154" s="146">
        <v>0</v>
      </c>
      <c r="G154" s="146">
        <v>19.399999999999999</v>
      </c>
      <c r="H154" s="146">
        <v>0</v>
      </c>
      <c r="I154" s="146"/>
      <c r="J154" s="146">
        <v>0</v>
      </c>
      <c r="K154" s="146">
        <v>0</v>
      </c>
      <c r="L154" s="146"/>
      <c r="M154" s="146">
        <v>19.399999999999999</v>
      </c>
      <c r="N154" s="146"/>
      <c r="O154" s="146">
        <v>90</v>
      </c>
      <c r="P154" s="146">
        <v>19.399999999999999</v>
      </c>
      <c r="Q154" s="145">
        <f t="shared" si="10"/>
        <v>18.525000000000002</v>
      </c>
      <c r="R154" s="151" t="str">
        <f t="shared" si="11"/>
        <v>NO</v>
      </c>
      <c r="S154" s="152" t="str">
        <f t="shared" si="12"/>
        <v>Medio</v>
      </c>
    </row>
    <row r="155" spans="1:19" s="174" customFormat="1" ht="32.1" customHeight="1" x14ac:dyDescent="0.2">
      <c r="A155" s="127" t="s">
        <v>81</v>
      </c>
      <c r="B155" s="240" t="s">
        <v>101</v>
      </c>
      <c r="C155" s="240" t="s">
        <v>238</v>
      </c>
      <c r="D155" s="121">
        <v>50</v>
      </c>
      <c r="E155" s="146"/>
      <c r="F155" s="146"/>
      <c r="G155" s="146"/>
      <c r="H155" s="146"/>
      <c r="I155" s="146"/>
      <c r="J155" s="146">
        <v>71</v>
      </c>
      <c r="K155" s="146"/>
      <c r="L155" s="146"/>
      <c r="M155" s="146"/>
      <c r="N155" s="146"/>
      <c r="O155" s="146">
        <v>71</v>
      </c>
      <c r="P155" s="146"/>
      <c r="Q155" s="145">
        <f t="shared" si="10"/>
        <v>71</v>
      </c>
      <c r="R155" s="151" t="str">
        <f t="shared" si="11"/>
        <v>NO</v>
      </c>
      <c r="S155" s="152" t="str">
        <f t="shared" si="12"/>
        <v>Alto</v>
      </c>
    </row>
    <row r="156" spans="1:19" s="174" customFormat="1" ht="32.1" customHeight="1" x14ac:dyDescent="0.2">
      <c r="A156" s="486" t="s">
        <v>110</v>
      </c>
      <c r="B156" s="359" t="s">
        <v>3516</v>
      </c>
      <c r="C156" s="187" t="s">
        <v>4300</v>
      </c>
      <c r="D156" s="116">
        <v>88</v>
      </c>
      <c r="E156" s="146"/>
      <c r="F156" s="146"/>
      <c r="G156" s="146"/>
      <c r="H156" s="146"/>
      <c r="I156" s="146"/>
      <c r="J156" s="146">
        <v>0</v>
      </c>
      <c r="K156" s="146"/>
      <c r="L156" s="146">
        <v>0</v>
      </c>
      <c r="M156" s="146"/>
      <c r="N156" s="146"/>
      <c r="O156" s="146"/>
      <c r="P156" s="146"/>
      <c r="Q156" s="226">
        <v>0</v>
      </c>
      <c r="R156" s="238" t="s">
        <v>2091</v>
      </c>
      <c r="S156" s="152" t="str">
        <f t="shared" si="12"/>
        <v>Sin Riesgo</v>
      </c>
    </row>
    <row r="157" spans="1:19" s="174" customFormat="1" ht="32.1" customHeight="1" x14ac:dyDescent="0.2">
      <c r="A157" s="486" t="s">
        <v>110</v>
      </c>
      <c r="B157" s="359" t="s">
        <v>4294</v>
      </c>
      <c r="C157" s="187" t="s">
        <v>4306</v>
      </c>
      <c r="D157" s="116">
        <v>76</v>
      </c>
      <c r="E157" s="146"/>
      <c r="F157" s="146"/>
      <c r="G157" s="146"/>
      <c r="H157" s="146"/>
      <c r="I157" s="146"/>
      <c r="J157" s="146">
        <v>0</v>
      </c>
      <c r="K157" s="146"/>
      <c r="L157" s="146">
        <v>26</v>
      </c>
      <c r="M157" s="146"/>
      <c r="N157" s="146"/>
      <c r="O157" s="146"/>
      <c r="P157" s="146"/>
      <c r="Q157" s="226">
        <v>13</v>
      </c>
      <c r="R157" s="238" t="s">
        <v>1117</v>
      </c>
      <c r="S157" s="152" t="str">
        <f t="shared" si="12"/>
        <v>Bajo</v>
      </c>
    </row>
    <row r="158" spans="1:19" s="174" customFormat="1" ht="32.1" customHeight="1" x14ac:dyDescent="0.2">
      <c r="A158" s="486" t="s">
        <v>110</v>
      </c>
      <c r="B158" s="359" t="s">
        <v>4295</v>
      </c>
      <c r="C158" s="187" t="s">
        <v>4301</v>
      </c>
      <c r="D158" s="116">
        <v>61</v>
      </c>
      <c r="E158" s="146"/>
      <c r="F158" s="146"/>
      <c r="G158" s="146"/>
      <c r="H158" s="146"/>
      <c r="I158" s="146"/>
      <c r="J158" s="146">
        <v>0</v>
      </c>
      <c r="K158" s="146"/>
      <c r="L158" s="146">
        <v>28</v>
      </c>
      <c r="M158" s="146"/>
      <c r="N158" s="146"/>
      <c r="O158" s="146"/>
      <c r="P158" s="146"/>
      <c r="Q158" s="226">
        <v>14</v>
      </c>
      <c r="R158" s="238" t="s">
        <v>1117</v>
      </c>
      <c r="S158" s="152" t="str">
        <f t="shared" si="12"/>
        <v>Bajo</v>
      </c>
    </row>
    <row r="159" spans="1:19" s="174" customFormat="1" ht="32.1" customHeight="1" x14ac:dyDescent="0.2">
      <c r="A159" s="486" t="s">
        <v>110</v>
      </c>
      <c r="B159" s="359" t="s">
        <v>4296</v>
      </c>
      <c r="C159" s="187" t="s">
        <v>4302</v>
      </c>
      <c r="D159" s="116">
        <v>217</v>
      </c>
      <c r="E159" s="146"/>
      <c r="F159" s="146"/>
      <c r="G159" s="146"/>
      <c r="H159" s="146"/>
      <c r="I159" s="146"/>
      <c r="J159" s="146">
        <v>0</v>
      </c>
      <c r="K159" s="146"/>
      <c r="L159" s="146">
        <v>26</v>
      </c>
      <c r="M159" s="146"/>
      <c r="N159" s="146"/>
      <c r="O159" s="146"/>
      <c r="P159" s="146"/>
      <c r="Q159" s="226">
        <v>13</v>
      </c>
      <c r="R159" s="238" t="s">
        <v>1117</v>
      </c>
      <c r="S159" s="152" t="str">
        <f t="shared" si="12"/>
        <v>Bajo</v>
      </c>
    </row>
    <row r="160" spans="1:19" s="174" customFormat="1" ht="32.1" customHeight="1" x14ac:dyDescent="0.2">
      <c r="A160" s="486" t="s">
        <v>110</v>
      </c>
      <c r="B160" s="359" t="s">
        <v>4297</v>
      </c>
      <c r="C160" s="187" t="s">
        <v>4303</v>
      </c>
      <c r="D160" s="116">
        <v>59</v>
      </c>
      <c r="E160" s="146"/>
      <c r="F160" s="146"/>
      <c r="G160" s="146"/>
      <c r="H160" s="146"/>
      <c r="I160" s="146"/>
      <c r="J160" s="146">
        <v>0</v>
      </c>
      <c r="K160" s="146"/>
      <c r="L160" s="146">
        <v>19</v>
      </c>
      <c r="M160" s="146"/>
      <c r="N160" s="146"/>
      <c r="O160" s="146"/>
      <c r="P160" s="146"/>
      <c r="Q160" s="226">
        <v>9.5</v>
      </c>
      <c r="R160" s="238" t="s">
        <v>1117</v>
      </c>
      <c r="S160" s="152" t="str">
        <f t="shared" si="12"/>
        <v>Bajo</v>
      </c>
    </row>
    <row r="161" spans="1:20" s="174" customFormat="1" ht="32.1" customHeight="1" x14ac:dyDescent="0.2">
      <c r="A161" s="486" t="s">
        <v>110</v>
      </c>
      <c r="B161" s="359" t="s">
        <v>4298</v>
      </c>
      <c r="C161" s="187" t="s">
        <v>4305</v>
      </c>
      <c r="D161" s="358">
        <v>59</v>
      </c>
      <c r="E161" s="146"/>
      <c r="F161" s="146"/>
      <c r="G161" s="146"/>
      <c r="H161" s="146"/>
      <c r="I161" s="146"/>
      <c r="J161" s="146">
        <v>0</v>
      </c>
      <c r="K161" s="146"/>
      <c r="L161" s="146">
        <v>26</v>
      </c>
      <c r="M161" s="146"/>
      <c r="N161" s="146"/>
      <c r="O161" s="146"/>
      <c r="P161" s="146"/>
      <c r="Q161" s="117">
        <v>13</v>
      </c>
      <c r="R161" s="238" t="s">
        <v>1117</v>
      </c>
      <c r="S161" s="152" t="str">
        <f t="shared" si="12"/>
        <v>Bajo</v>
      </c>
    </row>
    <row r="162" spans="1:20" s="174" customFormat="1" ht="32.1" customHeight="1" x14ac:dyDescent="0.2">
      <c r="A162" s="486" t="s">
        <v>110</v>
      </c>
      <c r="B162" s="359" t="s">
        <v>4299</v>
      </c>
      <c r="C162" s="187" t="s">
        <v>4304</v>
      </c>
      <c r="D162" s="358">
        <v>65</v>
      </c>
      <c r="E162" s="146"/>
      <c r="F162" s="146"/>
      <c r="G162" s="146"/>
      <c r="H162" s="146"/>
      <c r="I162" s="146"/>
      <c r="J162" s="146">
        <v>0</v>
      </c>
      <c r="K162" s="146"/>
      <c r="L162" s="146">
        <v>0</v>
      </c>
      <c r="M162" s="146"/>
      <c r="N162" s="146"/>
      <c r="O162" s="146"/>
      <c r="P162" s="146"/>
      <c r="Q162" s="117">
        <v>0</v>
      </c>
      <c r="R162" s="238" t="s">
        <v>2091</v>
      </c>
      <c r="S162" s="152" t="str">
        <f t="shared" si="12"/>
        <v>Sin Riesgo</v>
      </c>
    </row>
    <row r="163" spans="1:20" s="174" customFormat="1" ht="32.1" customHeight="1" x14ac:dyDescent="0.2">
      <c r="A163" s="486" t="s">
        <v>113</v>
      </c>
      <c r="B163" s="324" t="s">
        <v>4283</v>
      </c>
      <c r="C163" s="324" t="s">
        <v>4284</v>
      </c>
      <c r="D163" s="143">
        <v>771</v>
      </c>
      <c r="E163" s="146"/>
      <c r="F163" s="146"/>
      <c r="G163" s="146"/>
      <c r="H163" s="146"/>
      <c r="I163" s="146"/>
      <c r="J163" s="146">
        <v>50.56</v>
      </c>
      <c r="K163" s="146">
        <v>16.850000000000001</v>
      </c>
      <c r="L163" s="146">
        <v>0</v>
      </c>
      <c r="M163" s="146">
        <v>0</v>
      </c>
      <c r="N163" s="146">
        <v>16.850000000000001</v>
      </c>
      <c r="O163" s="81">
        <v>0</v>
      </c>
      <c r="P163" s="81">
        <v>16.850000000000001</v>
      </c>
      <c r="Q163" s="145">
        <f t="shared" ref="Q163:Q208" si="13">AVERAGE(E163:P163)</f>
        <v>14.444285714285712</v>
      </c>
      <c r="R163" s="151" t="str">
        <f t="shared" ref="R163:R208" si="14">IF(Q163&lt;5,"SI","NO")</f>
        <v>NO</v>
      </c>
      <c r="S163" s="152" t="str">
        <f t="shared" si="12"/>
        <v>Medio</v>
      </c>
    </row>
    <row r="164" spans="1:20" s="174" customFormat="1" ht="32.1" customHeight="1" x14ac:dyDescent="0.2">
      <c r="A164" s="486" t="s">
        <v>113</v>
      </c>
      <c r="B164" s="324" t="s">
        <v>4285</v>
      </c>
      <c r="C164" s="324" t="s">
        <v>4286</v>
      </c>
      <c r="D164" s="121">
        <v>2800</v>
      </c>
      <c r="E164" s="146"/>
      <c r="F164" s="146"/>
      <c r="G164" s="146"/>
      <c r="H164" s="146"/>
      <c r="I164" s="146"/>
      <c r="J164" s="146">
        <v>16.850000000000001</v>
      </c>
      <c r="K164" s="146">
        <v>16.850000000000001</v>
      </c>
      <c r="L164" s="146">
        <v>0</v>
      </c>
      <c r="M164" s="146">
        <v>16.850000000000001</v>
      </c>
      <c r="N164" s="146">
        <v>23.59</v>
      </c>
      <c r="O164" s="81">
        <v>16.850000000000001</v>
      </c>
      <c r="P164" s="81">
        <v>16.850000000000001</v>
      </c>
      <c r="Q164" s="145">
        <f t="shared" si="13"/>
        <v>15.405714285714286</v>
      </c>
      <c r="R164" s="151" t="str">
        <f t="shared" si="14"/>
        <v>NO</v>
      </c>
      <c r="S164" s="152" t="str">
        <f t="shared" si="12"/>
        <v>Medio</v>
      </c>
    </row>
    <row r="165" spans="1:20" s="174" customFormat="1" ht="32.1" customHeight="1" x14ac:dyDescent="0.2">
      <c r="A165" s="486" t="s">
        <v>113</v>
      </c>
      <c r="B165" s="324" t="s">
        <v>4287</v>
      </c>
      <c r="C165" s="324" t="s">
        <v>4288</v>
      </c>
      <c r="D165" s="121">
        <v>111</v>
      </c>
      <c r="E165" s="146"/>
      <c r="F165" s="146"/>
      <c r="G165" s="146"/>
      <c r="H165" s="146"/>
      <c r="I165" s="146"/>
      <c r="J165" s="146">
        <v>0</v>
      </c>
      <c r="K165" s="146">
        <v>16.850000000000001</v>
      </c>
      <c r="L165" s="146">
        <v>17.97</v>
      </c>
      <c r="M165" s="146">
        <v>0</v>
      </c>
      <c r="N165" s="146">
        <v>0</v>
      </c>
      <c r="O165" s="81">
        <v>0</v>
      </c>
      <c r="P165" s="81">
        <v>0</v>
      </c>
      <c r="Q165" s="145">
        <f t="shared" si="13"/>
        <v>4.9742857142857142</v>
      </c>
      <c r="R165" s="151" t="str">
        <f t="shared" si="14"/>
        <v>SI</v>
      </c>
      <c r="S165" s="152" t="str">
        <f t="shared" si="12"/>
        <v>Sin Riesgo</v>
      </c>
    </row>
    <row r="166" spans="1:20" s="174" customFormat="1" ht="32.1" customHeight="1" x14ac:dyDescent="0.2">
      <c r="A166" s="486" t="s">
        <v>113</v>
      </c>
      <c r="B166" s="324" t="s">
        <v>4289</v>
      </c>
      <c r="C166" s="324" t="s">
        <v>366</v>
      </c>
      <c r="D166" s="121">
        <v>1604</v>
      </c>
      <c r="E166" s="146"/>
      <c r="F166" s="146"/>
      <c r="G166" s="146"/>
      <c r="H166" s="146"/>
      <c r="I166" s="146"/>
      <c r="J166" s="146">
        <v>16.850000000000001</v>
      </c>
      <c r="K166" s="146">
        <v>16.850000000000001</v>
      </c>
      <c r="L166" s="146">
        <v>0</v>
      </c>
      <c r="M166" s="146">
        <v>44.94</v>
      </c>
      <c r="N166" s="146">
        <v>33.700000000000003</v>
      </c>
      <c r="O166" s="81">
        <v>33.700000000000003</v>
      </c>
      <c r="P166" s="81">
        <v>16.850000000000001</v>
      </c>
      <c r="Q166" s="145">
        <f t="shared" si="13"/>
        <v>23.270000000000003</v>
      </c>
      <c r="R166" s="151" t="str">
        <f t="shared" si="14"/>
        <v>NO</v>
      </c>
      <c r="S166" s="152" t="str">
        <f t="shared" si="12"/>
        <v>Medio</v>
      </c>
    </row>
    <row r="167" spans="1:20" s="174" customFormat="1" ht="32.1" customHeight="1" x14ac:dyDescent="0.2">
      <c r="A167" s="486" t="s">
        <v>113</v>
      </c>
      <c r="B167" s="324" t="s">
        <v>4290</v>
      </c>
      <c r="C167" s="324" t="s">
        <v>365</v>
      </c>
      <c r="D167" s="121">
        <v>229</v>
      </c>
      <c r="E167" s="146"/>
      <c r="F167" s="146"/>
      <c r="G167" s="146"/>
      <c r="H167" s="146"/>
      <c r="I167" s="146"/>
      <c r="J167" s="146">
        <v>16.850000000000001</v>
      </c>
      <c r="K167" s="146">
        <v>0</v>
      </c>
      <c r="L167" s="146">
        <v>16.850000000000001</v>
      </c>
      <c r="M167" s="146">
        <v>16.850000000000001</v>
      </c>
      <c r="N167" s="146">
        <v>16.850000000000001</v>
      </c>
      <c r="O167" s="81">
        <v>16.850000000000001</v>
      </c>
      <c r="P167" s="81">
        <v>16.850000000000001</v>
      </c>
      <c r="Q167" s="145">
        <f t="shared" si="13"/>
        <v>14.442857142857141</v>
      </c>
      <c r="R167" s="151" t="str">
        <f t="shared" si="14"/>
        <v>NO</v>
      </c>
      <c r="S167" s="152" t="str">
        <f t="shared" si="12"/>
        <v>Medio</v>
      </c>
    </row>
    <row r="168" spans="1:20" s="174" customFormat="1" ht="32.1" customHeight="1" x14ac:dyDescent="0.2">
      <c r="A168" s="486" t="s">
        <v>113</v>
      </c>
      <c r="B168" s="324" t="s">
        <v>4291</v>
      </c>
      <c r="C168" s="324" t="s">
        <v>4292</v>
      </c>
      <c r="D168" s="116">
        <v>40</v>
      </c>
      <c r="E168" s="146"/>
      <c r="F168" s="146"/>
      <c r="G168" s="146"/>
      <c r="H168" s="146"/>
      <c r="I168" s="146"/>
      <c r="J168" s="146">
        <v>61.79</v>
      </c>
      <c r="K168" s="146">
        <v>61.79</v>
      </c>
      <c r="L168" s="146">
        <v>78.650000000000006</v>
      </c>
      <c r="M168" s="146">
        <v>78.650000000000006</v>
      </c>
      <c r="N168" s="146">
        <v>78.650000000000006</v>
      </c>
      <c r="O168" s="146"/>
      <c r="P168" s="146">
        <v>61.8</v>
      </c>
      <c r="Q168" s="145">
        <f t="shared" si="13"/>
        <v>70.221666666666664</v>
      </c>
      <c r="R168" s="151" t="str">
        <f t="shared" si="14"/>
        <v>NO</v>
      </c>
      <c r="S168" s="152" t="str">
        <f t="shared" si="12"/>
        <v>Alto</v>
      </c>
    </row>
    <row r="169" spans="1:20" s="174" customFormat="1" ht="32.1" customHeight="1" x14ac:dyDescent="0.2">
      <c r="A169" s="486" t="s">
        <v>113</v>
      </c>
      <c r="B169" s="324" t="s">
        <v>372</v>
      </c>
      <c r="C169" s="324" t="s">
        <v>4293</v>
      </c>
      <c r="D169" s="121">
        <v>100</v>
      </c>
      <c r="E169" s="146"/>
      <c r="F169" s="146"/>
      <c r="G169" s="146"/>
      <c r="H169" s="146"/>
      <c r="I169" s="146"/>
      <c r="J169" s="146">
        <v>0</v>
      </c>
      <c r="K169" s="146">
        <v>0</v>
      </c>
      <c r="L169" s="146">
        <v>0</v>
      </c>
      <c r="M169" s="146">
        <v>33.700000000000003</v>
      </c>
      <c r="N169" s="146">
        <v>0</v>
      </c>
      <c r="O169" s="81">
        <v>0</v>
      </c>
      <c r="P169" s="81">
        <v>67.790000000000006</v>
      </c>
      <c r="Q169" s="145">
        <f t="shared" si="13"/>
        <v>14.498571428571429</v>
      </c>
      <c r="R169" s="151" t="str">
        <f t="shared" si="14"/>
        <v>NO</v>
      </c>
      <c r="S169" s="152" t="str">
        <f t="shared" si="12"/>
        <v>Medio</v>
      </c>
    </row>
    <row r="170" spans="1:20" s="174" customFormat="1" ht="32.1" customHeight="1" x14ac:dyDescent="0.2">
      <c r="A170" s="486" t="s">
        <v>113</v>
      </c>
      <c r="B170" s="324" t="s">
        <v>370</v>
      </c>
      <c r="C170" s="324" t="s">
        <v>371</v>
      </c>
      <c r="D170" s="121">
        <v>207</v>
      </c>
      <c r="E170" s="146"/>
      <c r="F170" s="146"/>
      <c r="G170" s="146"/>
      <c r="H170" s="146"/>
      <c r="I170" s="146"/>
      <c r="J170" s="146">
        <v>16.850000000000001</v>
      </c>
      <c r="K170" s="146">
        <v>0</v>
      </c>
      <c r="L170" s="146">
        <v>0</v>
      </c>
      <c r="M170" s="146">
        <v>0</v>
      </c>
      <c r="N170" s="146">
        <v>0</v>
      </c>
      <c r="O170" s="81">
        <v>0</v>
      </c>
      <c r="P170" s="81">
        <v>0</v>
      </c>
      <c r="Q170" s="145">
        <f t="shared" si="13"/>
        <v>2.4071428571428575</v>
      </c>
      <c r="R170" s="151" t="str">
        <f t="shared" si="14"/>
        <v>SI</v>
      </c>
      <c r="S170" s="152" t="str">
        <f t="shared" si="12"/>
        <v>Sin Riesgo</v>
      </c>
    </row>
    <row r="171" spans="1:20" s="174" customFormat="1" ht="32.1" customHeight="1" x14ac:dyDescent="0.2">
      <c r="A171" s="486" t="s">
        <v>113</v>
      </c>
      <c r="B171" s="324" t="s">
        <v>535</v>
      </c>
      <c r="C171" s="324" t="s">
        <v>368</v>
      </c>
      <c r="D171" s="121">
        <v>141</v>
      </c>
      <c r="E171" s="146"/>
      <c r="F171" s="146"/>
      <c r="G171" s="146"/>
      <c r="H171" s="146"/>
      <c r="I171" s="146"/>
      <c r="J171" s="146">
        <v>0</v>
      </c>
      <c r="K171" s="146">
        <v>0</v>
      </c>
      <c r="L171" s="146">
        <v>0</v>
      </c>
      <c r="M171" s="146">
        <v>16.850000000000001</v>
      </c>
      <c r="N171" s="146">
        <v>78.650000000000006</v>
      </c>
      <c r="O171" s="81">
        <v>0</v>
      </c>
      <c r="P171" s="81">
        <v>0</v>
      </c>
      <c r="Q171" s="145">
        <f t="shared" si="13"/>
        <v>13.642857142857142</v>
      </c>
      <c r="R171" s="151" t="str">
        <f t="shared" si="14"/>
        <v>NO</v>
      </c>
      <c r="S171" s="152" t="str">
        <f t="shared" si="12"/>
        <v>Bajo</v>
      </c>
    </row>
    <row r="172" spans="1:20" s="174" customFormat="1" ht="32.1" customHeight="1" x14ac:dyDescent="0.2">
      <c r="A172" s="486" t="s">
        <v>113</v>
      </c>
      <c r="B172" s="324" t="s">
        <v>536</v>
      </c>
      <c r="C172" s="324" t="s">
        <v>369</v>
      </c>
      <c r="D172" s="121">
        <v>112</v>
      </c>
      <c r="E172" s="146"/>
      <c r="F172" s="146"/>
      <c r="G172" s="146"/>
      <c r="H172" s="146"/>
      <c r="I172" s="146"/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81">
        <v>0</v>
      </c>
      <c r="P172" s="81">
        <v>16.850000000000001</v>
      </c>
      <c r="Q172" s="145">
        <f t="shared" si="13"/>
        <v>2.4071428571428575</v>
      </c>
      <c r="R172" s="151" t="str">
        <f t="shared" si="14"/>
        <v>SI</v>
      </c>
      <c r="S172" s="152" t="str">
        <f t="shared" si="12"/>
        <v>Sin Riesgo</v>
      </c>
    </row>
    <row r="173" spans="1:20" s="174" customFormat="1" ht="32.1" customHeight="1" x14ac:dyDescent="0.2">
      <c r="A173" s="486" t="s">
        <v>113</v>
      </c>
      <c r="B173" s="324" t="s">
        <v>99</v>
      </c>
      <c r="C173" s="324" t="s">
        <v>367</v>
      </c>
      <c r="D173" s="121">
        <v>18</v>
      </c>
      <c r="E173" s="146"/>
      <c r="F173" s="146"/>
      <c r="G173" s="146"/>
      <c r="H173" s="146"/>
      <c r="I173" s="146"/>
      <c r="J173" s="146">
        <v>61.79</v>
      </c>
      <c r="K173" s="146">
        <v>16.850000000000001</v>
      </c>
      <c r="L173" s="146">
        <v>61.79</v>
      </c>
      <c r="M173" s="146">
        <v>78.650000000000006</v>
      </c>
      <c r="N173" s="146">
        <v>85.39</v>
      </c>
      <c r="O173" s="81">
        <v>16.850000000000001</v>
      </c>
      <c r="P173" s="81">
        <v>78.650000000000006</v>
      </c>
      <c r="Q173" s="145">
        <f t="shared" si="13"/>
        <v>57.138571428571431</v>
      </c>
      <c r="R173" s="151" t="str">
        <f t="shared" si="14"/>
        <v>NO</v>
      </c>
      <c r="S173" s="152" t="str">
        <f t="shared" si="12"/>
        <v>Alto</v>
      </c>
    </row>
    <row r="174" spans="1:20" s="174" customFormat="1" ht="32.1" customHeight="1" x14ac:dyDescent="0.2">
      <c r="A174" s="127" t="s">
        <v>107</v>
      </c>
      <c r="B174" s="370" t="s">
        <v>4326</v>
      </c>
      <c r="C174" s="371" t="s">
        <v>4325</v>
      </c>
      <c r="D174" s="190">
        <v>797</v>
      </c>
      <c r="E174" s="146">
        <v>0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/>
      <c r="L174" s="146">
        <v>0</v>
      </c>
      <c r="M174" s="146">
        <v>0</v>
      </c>
      <c r="N174" s="146">
        <v>0</v>
      </c>
      <c r="O174" s="146">
        <v>0</v>
      </c>
      <c r="P174" s="146">
        <v>0</v>
      </c>
      <c r="Q174" s="404">
        <f t="shared" si="13"/>
        <v>0</v>
      </c>
      <c r="R174" s="153" t="str">
        <f t="shared" si="14"/>
        <v>SI</v>
      </c>
      <c r="S174" s="152" t="str">
        <f t="shared" si="12"/>
        <v>Sin Riesgo</v>
      </c>
      <c r="T174" s="253"/>
    </row>
    <row r="175" spans="1:20" s="174" customFormat="1" ht="32.1" customHeight="1" x14ac:dyDescent="0.2">
      <c r="A175" s="127" t="s">
        <v>107</v>
      </c>
      <c r="B175" s="370" t="s">
        <v>4134</v>
      </c>
      <c r="C175" s="371" t="s">
        <v>271</v>
      </c>
      <c r="D175" s="190">
        <v>1593</v>
      </c>
      <c r="E175" s="146">
        <v>10.01</v>
      </c>
      <c r="F175" s="146">
        <v>0</v>
      </c>
      <c r="G175" s="146">
        <v>0</v>
      </c>
      <c r="H175" s="146">
        <v>0</v>
      </c>
      <c r="I175" s="146">
        <v>0</v>
      </c>
      <c r="J175" s="146">
        <v>0</v>
      </c>
      <c r="K175" s="146"/>
      <c r="L175" s="146">
        <v>0</v>
      </c>
      <c r="M175" s="146">
        <v>11.63</v>
      </c>
      <c r="N175" s="146">
        <v>0</v>
      </c>
      <c r="O175" s="146">
        <v>0</v>
      </c>
      <c r="P175" s="146">
        <v>0</v>
      </c>
      <c r="Q175" s="404">
        <f t="shared" si="13"/>
        <v>1.9672727272727273</v>
      </c>
      <c r="R175" s="153" t="str">
        <f t="shared" si="14"/>
        <v>SI</v>
      </c>
      <c r="S175" s="152" t="str">
        <f t="shared" si="12"/>
        <v>Sin Riesgo</v>
      </c>
      <c r="T175" s="253"/>
    </row>
    <row r="176" spans="1:20" s="174" customFormat="1" ht="32.1" customHeight="1" x14ac:dyDescent="0.2">
      <c r="A176" s="127" t="s">
        <v>107</v>
      </c>
      <c r="B176" s="370" t="s">
        <v>4327</v>
      </c>
      <c r="C176" s="371" t="s">
        <v>4135</v>
      </c>
      <c r="D176" s="190">
        <v>187</v>
      </c>
      <c r="E176" s="146">
        <v>0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/>
      <c r="L176" s="146">
        <v>0</v>
      </c>
      <c r="M176" s="146">
        <v>0</v>
      </c>
      <c r="N176" s="146">
        <v>0</v>
      </c>
      <c r="O176" s="146">
        <v>0</v>
      </c>
      <c r="P176" s="146">
        <v>4.3600000000000003</v>
      </c>
      <c r="Q176" s="404">
        <f t="shared" si="13"/>
        <v>0.39636363636363642</v>
      </c>
      <c r="R176" s="153" t="str">
        <f t="shared" si="14"/>
        <v>SI</v>
      </c>
      <c r="S176" s="152" t="str">
        <f t="shared" si="12"/>
        <v>Sin Riesgo</v>
      </c>
      <c r="T176" s="253"/>
    </row>
    <row r="177" spans="1:20" s="174" customFormat="1" ht="32.1" customHeight="1" x14ac:dyDescent="0.2">
      <c r="A177" s="127" t="s">
        <v>107</v>
      </c>
      <c r="B177" s="370" t="s">
        <v>4328</v>
      </c>
      <c r="C177" s="371" t="s">
        <v>4136</v>
      </c>
      <c r="D177" s="190">
        <v>308</v>
      </c>
      <c r="E177" s="146">
        <v>0</v>
      </c>
      <c r="F177" s="146">
        <v>0</v>
      </c>
      <c r="G177" s="146">
        <v>0</v>
      </c>
      <c r="H177" s="146">
        <v>0</v>
      </c>
      <c r="I177" s="146">
        <v>0</v>
      </c>
      <c r="J177" s="146">
        <v>0</v>
      </c>
      <c r="K177" s="146"/>
      <c r="L177" s="146">
        <v>0</v>
      </c>
      <c r="M177" s="146">
        <v>0</v>
      </c>
      <c r="N177" s="146">
        <v>0</v>
      </c>
      <c r="O177" s="146">
        <v>0</v>
      </c>
      <c r="P177" s="146">
        <v>0</v>
      </c>
      <c r="Q177" s="404">
        <f t="shared" si="13"/>
        <v>0</v>
      </c>
      <c r="R177" s="153" t="str">
        <f t="shared" si="14"/>
        <v>SI</v>
      </c>
      <c r="S177" s="152" t="str">
        <f t="shared" si="12"/>
        <v>Sin Riesgo</v>
      </c>
      <c r="T177" s="253"/>
    </row>
    <row r="178" spans="1:20" s="174" customFormat="1" ht="32.1" customHeight="1" x14ac:dyDescent="0.2">
      <c r="A178" s="127" t="s">
        <v>107</v>
      </c>
      <c r="B178" s="370" t="s">
        <v>4329</v>
      </c>
      <c r="C178" s="371" t="s">
        <v>456</v>
      </c>
      <c r="D178" s="190">
        <v>225</v>
      </c>
      <c r="E178" s="146">
        <v>0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/>
      <c r="L178" s="146">
        <v>2.33</v>
      </c>
      <c r="M178" s="146">
        <v>0</v>
      </c>
      <c r="N178" s="146">
        <v>0</v>
      </c>
      <c r="O178" s="146">
        <v>0</v>
      </c>
      <c r="P178" s="146">
        <v>0</v>
      </c>
      <c r="Q178" s="404">
        <f t="shared" si="13"/>
        <v>0.21181818181818182</v>
      </c>
      <c r="R178" s="153" t="str">
        <f t="shared" si="14"/>
        <v>SI</v>
      </c>
      <c r="S178" s="152" t="str">
        <f t="shared" si="12"/>
        <v>Sin Riesgo</v>
      </c>
      <c r="T178" s="253"/>
    </row>
    <row r="179" spans="1:20" s="174" customFormat="1" ht="32.1" customHeight="1" x14ac:dyDescent="0.2">
      <c r="A179" s="127" t="s">
        <v>107</v>
      </c>
      <c r="B179" s="370" t="s">
        <v>4330</v>
      </c>
      <c r="C179" s="371" t="s">
        <v>273</v>
      </c>
      <c r="D179" s="190">
        <v>530</v>
      </c>
      <c r="E179" s="146">
        <v>0</v>
      </c>
      <c r="F179" s="146">
        <v>0</v>
      </c>
      <c r="G179" s="146">
        <v>0</v>
      </c>
      <c r="H179" s="146">
        <v>0</v>
      </c>
      <c r="I179" s="146">
        <v>0</v>
      </c>
      <c r="J179" s="146">
        <v>0</v>
      </c>
      <c r="K179" s="146"/>
      <c r="L179" s="146">
        <v>0</v>
      </c>
      <c r="M179" s="146">
        <v>0</v>
      </c>
      <c r="N179" s="146">
        <v>0</v>
      </c>
      <c r="O179" s="146">
        <v>0</v>
      </c>
      <c r="P179" s="146">
        <v>0</v>
      </c>
      <c r="Q179" s="404">
        <f t="shared" si="13"/>
        <v>0</v>
      </c>
      <c r="R179" s="153" t="str">
        <f t="shared" si="14"/>
        <v>SI</v>
      </c>
      <c r="S179" s="152" t="str">
        <f t="shared" si="12"/>
        <v>Sin Riesgo</v>
      </c>
      <c r="T179" s="253"/>
    </row>
    <row r="180" spans="1:20" s="174" customFormat="1" ht="32.1" customHeight="1" x14ac:dyDescent="0.2">
      <c r="A180" s="127" t="s">
        <v>107</v>
      </c>
      <c r="B180" s="370" t="s">
        <v>4342</v>
      </c>
      <c r="C180" s="147" t="s">
        <v>4138</v>
      </c>
      <c r="D180" s="190">
        <v>395</v>
      </c>
      <c r="E180" s="146">
        <v>3.6</v>
      </c>
      <c r="F180" s="146">
        <v>0</v>
      </c>
      <c r="G180" s="146">
        <v>0</v>
      </c>
      <c r="H180" s="146">
        <v>0</v>
      </c>
      <c r="I180" s="146">
        <v>0</v>
      </c>
      <c r="J180" s="146">
        <v>0</v>
      </c>
      <c r="K180" s="146"/>
      <c r="L180" s="146"/>
      <c r="M180" s="146">
        <v>30.2</v>
      </c>
      <c r="N180" s="146">
        <v>1.74</v>
      </c>
      <c r="O180" s="146">
        <v>0</v>
      </c>
      <c r="P180" s="146">
        <v>0</v>
      </c>
      <c r="Q180" s="404">
        <f t="shared" si="13"/>
        <v>3.5539999999999998</v>
      </c>
      <c r="R180" s="153" t="str">
        <f t="shared" si="14"/>
        <v>SI</v>
      </c>
      <c r="S180" s="152" t="str">
        <f t="shared" si="12"/>
        <v>Sin Riesgo</v>
      </c>
      <c r="T180" s="253"/>
    </row>
    <row r="181" spans="1:20" s="174" customFormat="1" ht="32.1" customHeight="1" x14ac:dyDescent="0.2">
      <c r="A181" s="127" t="s">
        <v>107</v>
      </c>
      <c r="B181" s="370" t="s">
        <v>457</v>
      </c>
      <c r="C181" s="147" t="s">
        <v>4139</v>
      </c>
      <c r="D181" s="190">
        <v>291</v>
      </c>
      <c r="E181" s="146">
        <v>0</v>
      </c>
      <c r="F181" s="146">
        <v>4.5</v>
      </c>
      <c r="G181" s="146">
        <v>0</v>
      </c>
      <c r="H181" s="146"/>
      <c r="I181" s="146">
        <v>0</v>
      </c>
      <c r="J181" s="146">
        <v>0</v>
      </c>
      <c r="K181" s="146"/>
      <c r="L181" s="146"/>
      <c r="M181" s="146">
        <v>0</v>
      </c>
      <c r="N181" s="146">
        <v>0</v>
      </c>
      <c r="O181" s="146">
        <v>0</v>
      </c>
      <c r="P181" s="146">
        <v>0</v>
      </c>
      <c r="Q181" s="404">
        <f t="shared" si="13"/>
        <v>0.5</v>
      </c>
      <c r="R181" s="153" t="str">
        <f t="shared" si="14"/>
        <v>SI</v>
      </c>
      <c r="S181" s="152" t="str">
        <f t="shared" si="12"/>
        <v>Sin Riesgo</v>
      </c>
      <c r="T181" s="253"/>
    </row>
    <row r="182" spans="1:20" s="174" customFormat="1" ht="32.1" customHeight="1" x14ac:dyDescent="0.2">
      <c r="A182" s="127" t="s">
        <v>107</v>
      </c>
      <c r="B182" s="370" t="s">
        <v>4137</v>
      </c>
      <c r="C182" s="371" t="s">
        <v>4140</v>
      </c>
      <c r="D182" s="190">
        <v>488</v>
      </c>
      <c r="E182" s="146">
        <v>0</v>
      </c>
      <c r="F182" s="146">
        <v>0</v>
      </c>
      <c r="G182" s="146">
        <v>0</v>
      </c>
      <c r="H182" s="146">
        <v>0</v>
      </c>
      <c r="I182" s="146">
        <v>0</v>
      </c>
      <c r="J182" s="146">
        <v>0</v>
      </c>
      <c r="K182" s="146"/>
      <c r="L182" s="146">
        <v>0</v>
      </c>
      <c r="M182" s="146">
        <v>3.1</v>
      </c>
      <c r="N182" s="146">
        <v>0</v>
      </c>
      <c r="O182" s="146">
        <v>0.3</v>
      </c>
      <c r="P182" s="146">
        <v>0</v>
      </c>
      <c r="Q182" s="404">
        <f t="shared" si="13"/>
        <v>0.30909090909090908</v>
      </c>
      <c r="R182" s="153" t="str">
        <f t="shared" si="14"/>
        <v>SI</v>
      </c>
      <c r="S182" s="152" t="str">
        <f t="shared" si="12"/>
        <v>Sin Riesgo</v>
      </c>
      <c r="T182" s="253"/>
    </row>
    <row r="183" spans="1:20" s="174" customFormat="1" ht="32.1" customHeight="1" x14ac:dyDescent="0.2">
      <c r="A183" s="127" t="s">
        <v>107</v>
      </c>
      <c r="B183" s="370" t="s">
        <v>4137</v>
      </c>
      <c r="C183" s="371" t="s">
        <v>4141</v>
      </c>
      <c r="D183" s="190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>
        <v>0</v>
      </c>
      <c r="O183" s="146">
        <v>0</v>
      </c>
      <c r="P183" s="146">
        <v>0</v>
      </c>
      <c r="Q183" s="404">
        <f t="shared" si="13"/>
        <v>0</v>
      </c>
      <c r="R183" s="153" t="str">
        <f t="shared" si="14"/>
        <v>SI</v>
      </c>
      <c r="S183" s="152" t="str">
        <f t="shared" si="12"/>
        <v>Sin Riesgo</v>
      </c>
      <c r="T183" s="253"/>
    </row>
    <row r="184" spans="1:20" s="174" customFormat="1" ht="32.1" customHeight="1" x14ac:dyDescent="0.2">
      <c r="A184" s="127" t="s">
        <v>107</v>
      </c>
      <c r="B184" s="370" t="s">
        <v>4137</v>
      </c>
      <c r="C184" s="371" t="s">
        <v>4142</v>
      </c>
      <c r="D184" s="190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>
        <v>0</v>
      </c>
      <c r="O184" s="146"/>
      <c r="P184" s="146"/>
      <c r="Q184" s="404">
        <f t="shared" si="13"/>
        <v>0</v>
      </c>
      <c r="R184" s="153" t="str">
        <f t="shared" si="14"/>
        <v>SI</v>
      </c>
      <c r="S184" s="152" t="str">
        <f t="shared" si="12"/>
        <v>Sin Riesgo</v>
      </c>
      <c r="T184" s="253"/>
    </row>
    <row r="185" spans="1:20" s="174" customFormat="1" ht="32.1" customHeight="1" x14ac:dyDescent="0.2">
      <c r="A185" s="127" t="s">
        <v>107</v>
      </c>
      <c r="B185" s="370" t="s">
        <v>4333</v>
      </c>
      <c r="C185" s="147" t="s">
        <v>4143</v>
      </c>
      <c r="D185" s="190">
        <v>401</v>
      </c>
      <c r="E185" s="146">
        <v>0</v>
      </c>
      <c r="F185" s="146">
        <v>0</v>
      </c>
      <c r="G185" s="146">
        <v>0</v>
      </c>
      <c r="H185" s="146">
        <v>0</v>
      </c>
      <c r="I185" s="146">
        <v>0</v>
      </c>
      <c r="J185" s="146">
        <v>0</v>
      </c>
      <c r="K185" s="146"/>
      <c r="L185" s="146"/>
      <c r="M185" s="146">
        <v>0</v>
      </c>
      <c r="N185" s="146">
        <v>0</v>
      </c>
      <c r="O185" s="146">
        <v>0</v>
      </c>
      <c r="P185" s="146">
        <v>8.7200000000000006</v>
      </c>
      <c r="Q185" s="404">
        <f t="shared" si="13"/>
        <v>0.87200000000000011</v>
      </c>
      <c r="R185" s="153" t="str">
        <f t="shared" si="14"/>
        <v>SI</v>
      </c>
      <c r="S185" s="152" t="str">
        <f t="shared" si="12"/>
        <v>Sin Riesgo</v>
      </c>
      <c r="T185" s="253"/>
    </row>
    <row r="186" spans="1:20" s="174" customFormat="1" ht="32.1" customHeight="1" x14ac:dyDescent="0.2">
      <c r="A186" s="127" t="s">
        <v>107</v>
      </c>
      <c r="B186" s="370" t="s">
        <v>4332</v>
      </c>
      <c r="C186" s="371" t="s">
        <v>4331</v>
      </c>
      <c r="D186" s="190">
        <v>590</v>
      </c>
      <c r="E186" s="146">
        <v>0</v>
      </c>
      <c r="F186" s="146">
        <v>0</v>
      </c>
      <c r="G186" s="146"/>
      <c r="H186" s="146">
        <v>0</v>
      </c>
      <c r="I186" s="146">
        <v>0</v>
      </c>
      <c r="J186" s="146">
        <v>0</v>
      </c>
      <c r="K186" s="146"/>
      <c r="L186" s="146"/>
      <c r="M186" s="146"/>
      <c r="N186" s="146"/>
      <c r="O186" s="146"/>
      <c r="P186" s="146"/>
      <c r="Q186" s="404">
        <f t="shared" si="13"/>
        <v>0</v>
      </c>
      <c r="R186" s="153" t="str">
        <f t="shared" si="14"/>
        <v>SI</v>
      </c>
      <c r="S186" s="152" t="str">
        <f t="shared" si="12"/>
        <v>Sin Riesgo</v>
      </c>
      <c r="T186" s="253"/>
    </row>
    <row r="187" spans="1:20" s="174" customFormat="1" ht="32.1" customHeight="1" x14ac:dyDescent="0.2">
      <c r="A187" s="127" t="s">
        <v>107</v>
      </c>
      <c r="B187" s="370" t="s">
        <v>4335</v>
      </c>
      <c r="C187" s="371" t="s">
        <v>4145</v>
      </c>
      <c r="D187" s="190">
        <v>125</v>
      </c>
      <c r="E187" s="146">
        <v>0</v>
      </c>
      <c r="F187" s="146">
        <v>0</v>
      </c>
      <c r="G187" s="146">
        <v>0</v>
      </c>
      <c r="H187" s="146">
        <v>0</v>
      </c>
      <c r="I187" s="146">
        <v>0</v>
      </c>
      <c r="J187" s="146">
        <v>0</v>
      </c>
      <c r="K187" s="146"/>
      <c r="L187" s="146"/>
      <c r="M187" s="146">
        <v>2.9</v>
      </c>
      <c r="N187" s="146">
        <v>4.4000000000000004</v>
      </c>
      <c r="O187" s="146">
        <v>0</v>
      </c>
      <c r="P187" s="146">
        <v>4.4000000000000004</v>
      </c>
      <c r="Q187" s="404">
        <f t="shared" si="13"/>
        <v>1.1700000000000002</v>
      </c>
      <c r="R187" s="153" t="str">
        <f t="shared" si="14"/>
        <v>SI</v>
      </c>
      <c r="S187" s="152" t="str">
        <f t="shared" si="12"/>
        <v>Sin Riesgo</v>
      </c>
      <c r="T187" s="253"/>
    </row>
    <row r="188" spans="1:20" s="174" customFormat="1" ht="32.1" customHeight="1" x14ac:dyDescent="0.2">
      <c r="A188" s="127" t="s">
        <v>107</v>
      </c>
      <c r="B188" s="370" t="s">
        <v>4334</v>
      </c>
      <c r="C188" s="371" t="s">
        <v>4146</v>
      </c>
      <c r="D188" s="190">
        <v>153</v>
      </c>
      <c r="E188" s="146">
        <v>0</v>
      </c>
      <c r="F188" s="146">
        <v>0</v>
      </c>
      <c r="G188" s="146">
        <v>0</v>
      </c>
      <c r="H188" s="146">
        <v>0</v>
      </c>
      <c r="I188" s="146">
        <v>0</v>
      </c>
      <c r="J188" s="146">
        <v>0</v>
      </c>
      <c r="K188" s="146"/>
      <c r="L188" s="146"/>
      <c r="M188" s="146">
        <v>3.5</v>
      </c>
      <c r="N188" s="146">
        <v>0</v>
      </c>
      <c r="O188" s="146"/>
      <c r="P188" s="146">
        <v>0</v>
      </c>
      <c r="Q188" s="404">
        <f t="shared" si="13"/>
        <v>0.3888888888888889</v>
      </c>
      <c r="R188" s="153" t="str">
        <f t="shared" si="14"/>
        <v>SI</v>
      </c>
      <c r="S188" s="152" t="str">
        <f t="shared" si="12"/>
        <v>Sin Riesgo</v>
      </c>
      <c r="T188" s="253"/>
    </row>
    <row r="189" spans="1:20" s="174" customFormat="1" ht="32.1" customHeight="1" x14ac:dyDescent="0.2">
      <c r="A189" s="127" t="s">
        <v>107</v>
      </c>
      <c r="B189" s="370" t="s">
        <v>458</v>
      </c>
      <c r="C189" s="371" t="s">
        <v>4147</v>
      </c>
      <c r="D189" s="190">
        <v>104</v>
      </c>
      <c r="E189" s="146">
        <v>0</v>
      </c>
      <c r="F189" s="146">
        <v>0</v>
      </c>
      <c r="G189" s="146">
        <v>0</v>
      </c>
      <c r="H189" s="146">
        <v>0</v>
      </c>
      <c r="I189" s="146">
        <v>0</v>
      </c>
      <c r="J189" s="146">
        <v>0</v>
      </c>
      <c r="K189" s="146"/>
      <c r="L189" s="146">
        <v>0</v>
      </c>
      <c r="M189" s="146">
        <v>0</v>
      </c>
      <c r="N189" s="146">
        <v>0</v>
      </c>
      <c r="O189" s="146">
        <v>0</v>
      </c>
      <c r="P189" s="146">
        <v>0</v>
      </c>
      <c r="Q189" s="404">
        <f t="shared" si="13"/>
        <v>0</v>
      </c>
      <c r="R189" s="153" t="str">
        <f t="shared" si="14"/>
        <v>SI</v>
      </c>
      <c r="S189" s="152" t="str">
        <f t="shared" si="12"/>
        <v>Sin Riesgo</v>
      </c>
      <c r="T189" s="253"/>
    </row>
    <row r="190" spans="1:20" s="174" customFormat="1" ht="32.1" customHeight="1" x14ac:dyDescent="0.2">
      <c r="A190" s="127" t="s">
        <v>107</v>
      </c>
      <c r="B190" s="370" t="s">
        <v>4336</v>
      </c>
      <c r="C190" s="371" t="s">
        <v>4148</v>
      </c>
      <c r="D190" s="190">
        <v>336</v>
      </c>
      <c r="E190" s="146">
        <v>0</v>
      </c>
      <c r="F190" s="146">
        <v>0</v>
      </c>
      <c r="G190" s="146">
        <v>0</v>
      </c>
      <c r="H190" s="146">
        <v>0</v>
      </c>
      <c r="I190" s="146">
        <v>0</v>
      </c>
      <c r="J190" s="146">
        <v>0</v>
      </c>
      <c r="K190" s="146"/>
      <c r="L190" s="146"/>
      <c r="M190" s="146">
        <v>0</v>
      </c>
      <c r="N190" s="146">
        <v>0</v>
      </c>
      <c r="O190" s="146">
        <v>0</v>
      </c>
      <c r="P190" s="146">
        <v>0</v>
      </c>
      <c r="Q190" s="404">
        <f t="shared" si="13"/>
        <v>0</v>
      </c>
      <c r="R190" s="153" t="str">
        <f t="shared" si="14"/>
        <v>SI</v>
      </c>
      <c r="S190" s="152" t="str">
        <f t="shared" si="12"/>
        <v>Sin Riesgo</v>
      </c>
      <c r="T190" s="253"/>
    </row>
    <row r="191" spans="1:20" s="174" customFormat="1" ht="32.1" customHeight="1" x14ac:dyDescent="0.2">
      <c r="A191" s="127" t="s">
        <v>107</v>
      </c>
      <c r="B191" s="370" t="s">
        <v>4343</v>
      </c>
      <c r="C191" s="371" t="s">
        <v>4149</v>
      </c>
      <c r="D191" s="190">
        <v>1508</v>
      </c>
      <c r="E191" s="146">
        <v>3.61</v>
      </c>
      <c r="F191" s="146">
        <v>0</v>
      </c>
      <c r="G191" s="146">
        <v>0</v>
      </c>
      <c r="H191" s="146">
        <v>0</v>
      </c>
      <c r="I191" s="146">
        <v>0</v>
      </c>
      <c r="J191" s="146">
        <v>0</v>
      </c>
      <c r="K191" s="146"/>
      <c r="L191" s="146"/>
      <c r="M191" s="146">
        <v>3.81</v>
      </c>
      <c r="N191" s="146">
        <v>0</v>
      </c>
      <c r="O191" s="146">
        <v>0</v>
      </c>
      <c r="P191" s="146">
        <v>5.81</v>
      </c>
      <c r="Q191" s="404">
        <f t="shared" si="13"/>
        <v>1.323</v>
      </c>
      <c r="R191" s="153" t="str">
        <f t="shared" si="14"/>
        <v>SI</v>
      </c>
      <c r="S191" s="152" t="str">
        <f t="shared" si="12"/>
        <v>Sin Riesgo</v>
      </c>
      <c r="T191" s="253"/>
    </row>
    <row r="192" spans="1:20" s="174" customFormat="1" ht="32.1" customHeight="1" x14ac:dyDescent="0.2">
      <c r="A192" s="127" t="s">
        <v>107</v>
      </c>
      <c r="B192" s="370" t="s">
        <v>4341</v>
      </c>
      <c r="C192" s="147" t="s">
        <v>4150</v>
      </c>
      <c r="D192" s="190">
        <v>376</v>
      </c>
      <c r="E192" s="146">
        <v>3</v>
      </c>
      <c r="F192" s="146">
        <v>0</v>
      </c>
      <c r="G192" s="146">
        <v>0</v>
      </c>
      <c r="H192" s="146">
        <v>0</v>
      </c>
      <c r="I192" s="146">
        <v>0</v>
      </c>
      <c r="J192" s="146">
        <v>0</v>
      </c>
      <c r="K192" s="146"/>
      <c r="L192" s="146">
        <v>22.1</v>
      </c>
      <c r="M192" s="146">
        <v>0</v>
      </c>
      <c r="N192" s="146">
        <v>5.2</v>
      </c>
      <c r="O192" s="146">
        <v>0</v>
      </c>
      <c r="P192" s="146">
        <v>0</v>
      </c>
      <c r="Q192" s="404">
        <f t="shared" si="13"/>
        <v>2.7545454545454544</v>
      </c>
      <c r="R192" s="153" t="str">
        <f t="shared" si="14"/>
        <v>SI</v>
      </c>
      <c r="S192" s="152" t="str">
        <f t="shared" si="12"/>
        <v>Sin Riesgo</v>
      </c>
      <c r="T192" s="253"/>
    </row>
    <row r="193" spans="1:20" s="174" customFormat="1" ht="32.1" customHeight="1" x14ac:dyDescent="0.2">
      <c r="A193" s="127" t="s">
        <v>107</v>
      </c>
      <c r="B193" s="370" t="s">
        <v>4340</v>
      </c>
      <c r="C193" s="371" t="s">
        <v>4151</v>
      </c>
      <c r="D193" s="190">
        <v>426</v>
      </c>
      <c r="E193" s="146">
        <v>2.58</v>
      </c>
      <c r="F193" s="146">
        <v>0</v>
      </c>
      <c r="G193" s="146">
        <v>0</v>
      </c>
      <c r="H193" s="146">
        <v>0</v>
      </c>
      <c r="I193" s="146">
        <v>0</v>
      </c>
      <c r="J193" s="146">
        <v>0</v>
      </c>
      <c r="K193" s="146"/>
      <c r="L193" s="146">
        <v>0</v>
      </c>
      <c r="M193" s="146">
        <v>0</v>
      </c>
      <c r="N193" s="146">
        <v>0</v>
      </c>
      <c r="O193" s="146">
        <v>0</v>
      </c>
      <c r="P193" s="146">
        <v>4.3600000000000003</v>
      </c>
      <c r="Q193" s="404">
        <f t="shared" si="13"/>
        <v>0.63090909090909097</v>
      </c>
      <c r="R193" s="153" t="str">
        <f t="shared" si="14"/>
        <v>SI</v>
      </c>
      <c r="S193" s="152" t="str">
        <f t="shared" si="12"/>
        <v>Sin Riesgo</v>
      </c>
      <c r="T193" s="253"/>
    </row>
    <row r="194" spans="1:20" s="174" customFormat="1" ht="32.1" customHeight="1" x14ac:dyDescent="0.2">
      <c r="A194" s="127" t="s">
        <v>107</v>
      </c>
      <c r="B194" s="370" t="s">
        <v>4338</v>
      </c>
      <c r="C194" s="147" t="s">
        <v>4152</v>
      </c>
      <c r="D194" s="190">
        <v>797</v>
      </c>
      <c r="E194" s="146">
        <v>0</v>
      </c>
      <c r="F194" s="146">
        <v>16.57</v>
      </c>
      <c r="G194" s="146">
        <v>0</v>
      </c>
      <c r="H194" s="146">
        <v>0</v>
      </c>
      <c r="I194" s="146">
        <v>0</v>
      </c>
      <c r="J194" s="146">
        <v>0</v>
      </c>
      <c r="K194" s="146"/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404">
        <f t="shared" si="13"/>
        <v>1.5063636363636363</v>
      </c>
      <c r="R194" s="153" t="str">
        <f t="shared" si="14"/>
        <v>SI</v>
      </c>
      <c r="S194" s="152" t="str">
        <f t="shared" si="12"/>
        <v>Sin Riesgo</v>
      </c>
      <c r="T194" s="253"/>
    </row>
    <row r="195" spans="1:20" s="174" customFormat="1" ht="32.1" customHeight="1" x14ac:dyDescent="0.2">
      <c r="A195" s="127" t="s">
        <v>107</v>
      </c>
      <c r="B195" s="370" t="s">
        <v>4339</v>
      </c>
      <c r="C195" s="371" t="s">
        <v>4153</v>
      </c>
      <c r="D195" s="190">
        <v>3407</v>
      </c>
      <c r="E195" s="146">
        <v>0</v>
      </c>
      <c r="F195" s="146">
        <v>0</v>
      </c>
      <c r="G195" s="146">
        <v>0</v>
      </c>
      <c r="H195" s="146">
        <v>0</v>
      </c>
      <c r="I195" s="146">
        <v>0</v>
      </c>
      <c r="J195" s="146">
        <v>0</v>
      </c>
      <c r="K195" s="146"/>
      <c r="L195" s="146">
        <v>0</v>
      </c>
      <c r="M195" s="146">
        <v>0</v>
      </c>
      <c r="N195" s="146">
        <v>0</v>
      </c>
      <c r="O195" s="146">
        <v>0</v>
      </c>
      <c r="P195" s="146">
        <v>0</v>
      </c>
      <c r="Q195" s="404">
        <f t="shared" si="13"/>
        <v>0</v>
      </c>
      <c r="R195" s="153" t="str">
        <f t="shared" si="14"/>
        <v>SI</v>
      </c>
      <c r="S195" s="152" t="str">
        <f t="shared" si="12"/>
        <v>Sin Riesgo</v>
      </c>
      <c r="T195" s="253"/>
    </row>
    <row r="196" spans="1:20" s="174" customFormat="1" ht="32.1" customHeight="1" x14ac:dyDescent="0.2">
      <c r="A196" s="127" t="s">
        <v>107</v>
      </c>
      <c r="B196" s="370" t="s">
        <v>4144</v>
      </c>
      <c r="C196" s="371" t="s">
        <v>4154</v>
      </c>
      <c r="D196" s="190">
        <v>14924</v>
      </c>
      <c r="E196" s="146">
        <v>6.88</v>
      </c>
      <c r="F196" s="146">
        <v>0</v>
      </c>
      <c r="G196" s="146">
        <v>0.36</v>
      </c>
      <c r="H196" s="146">
        <v>0</v>
      </c>
      <c r="I196" s="146">
        <v>0</v>
      </c>
      <c r="J196" s="146">
        <v>0</v>
      </c>
      <c r="K196" s="146"/>
      <c r="L196" s="146">
        <v>0</v>
      </c>
      <c r="M196" s="146">
        <v>0</v>
      </c>
      <c r="N196" s="146">
        <v>0</v>
      </c>
      <c r="O196" s="146">
        <v>0</v>
      </c>
      <c r="P196" s="146">
        <v>2.4900000000000002</v>
      </c>
      <c r="Q196" s="404">
        <f t="shared" si="13"/>
        <v>0.88454545454545463</v>
      </c>
      <c r="R196" s="153" t="str">
        <f t="shared" si="14"/>
        <v>SI</v>
      </c>
      <c r="S196" s="152" t="str">
        <f t="shared" si="12"/>
        <v>Sin Riesgo</v>
      </c>
      <c r="T196" s="253"/>
    </row>
    <row r="197" spans="1:20" s="174" customFormat="1" ht="32.1" customHeight="1" x14ac:dyDescent="0.2">
      <c r="A197" s="127" t="s">
        <v>107</v>
      </c>
      <c r="B197" s="370" t="s">
        <v>4337</v>
      </c>
      <c r="C197" s="371" t="s">
        <v>4155</v>
      </c>
      <c r="D197" s="190">
        <v>10416</v>
      </c>
      <c r="E197" s="146">
        <v>0</v>
      </c>
      <c r="F197" s="146">
        <v>0</v>
      </c>
      <c r="G197" s="146">
        <v>0</v>
      </c>
      <c r="H197" s="146">
        <v>0</v>
      </c>
      <c r="I197" s="146">
        <v>0</v>
      </c>
      <c r="J197" s="146">
        <v>0</v>
      </c>
      <c r="K197" s="146"/>
      <c r="L197" s="146">
        <v>0</v>
      </c>
      <c r="M197" s="146">
        <v>0</v>
      </c>
      <c r="N197" s="146">
        <v>0</v>
      </c>
      <c r="O197" s="146">
        <v>0</v>
      </c>
      <c r="P197" s="146">
        <v>0</v>
      </c>
      <c r="Q197" s="404">
        <f t="shared" si="13"/>
        <v>0</v>
      </c>
      <c r="R197" s="153" t="str">
        <f t="shared" si="14"/>
        <v>SI</v>
      </c>
      <c r="S197" s="152" t="str">
        <f t="shared" si="12"/>
        <v>Sin Riesgo</v>
      </c>
      <c r="T197" s="253"/>
    </row>
    <row r="198" spans="1:20" s="174" customFormat="1" ht="32.1" customHeight="1" x14ac:dyDescent="0.2">
      <c r="A198" s="127" t="s">
        <v>107</v>
      </c>
      <c r="B198" s="370" t="s">
        <v>457</v>
      </c>
      <c r="C198" s="371" t="s">
        <v>4156</v>
      </c>
      <c r="D198" s="190">
        <v>1606</v>
      </c>
      <c r="E198" s="146">
        <v>0.15</v>
      </c>
      <c r="F198" s="146">
        <v>0</v>
      </c>
      <c r="G198" s="146">
        <v>0</v>
      </c>
      <c r="H198" s="146">
        <v>0</v>
      </c>
      <c r="I198" s="146">
        <v>0</v>
      </c>
      <c r="J198" s="146">
        <v>0</v>
      </c>
      <c r="K198" s="146"/>
      <c r="L198" s="146">
        <v>0</v>
      </c>
      <c r="M198" s="146">
        <v>4.26</v>
      </c>
      <c r="N198" s="146">
        <v>1.94</v>
      </c>
      <c r="O198" s="146">
        <v>0</v>
      </c>
      <c r="P198" s="146">
        <v>0</v>
      </c>
      <c r="Q198" s="404">
        <f t="shared" si="13"/>
        <v>0.57727272727272727</v>
      </c>
      <c r="R198" s="153" t="str">
        <f t="shared" si="14"/>
        <v>SI</v>
      </c>
      <c r="S198" s="152" t="str">
        <f t="shared" si="12"/>
        <v>Sin Riesgo</v>
      </c>
      <c r="T198" s="253"/>
    </row>
    <row r="199" spans="1:20" s="174" customFormat="1" ht="32.1" customHeight="1" x14ac:dyDescent="0.2">
      <c r="A199" s="127" t="s">
        <v>107</v>
      </c>
      <c r="B199" s="370" t="s">
        <v>4344</v>
      </c>
      <c r="C199" s="371" t="s">
        <v>4157</v>
      </c>
      <c r="D199" s="190">
        <v>183</v>
      </c>
      <c r="E199" s="146">
        <v>0</v>
      </c>
      <c r="F199" s="146">
        <v>0</v>
      </c>
      <c r="G199" s="146">
        <v>0</v>
      </c>
      <c r="H199" s="146">
        <v>0</v>
      </c>
      <c r="I199" s="146">
        <v>6.02</v>
      </c>
      <c r="J199" s="146">
        <v>0</v>
      </c>
      <c r="K199" s="146"/>
      <c r="L199" s="146"/>
      <c r="M199" s="146">
        <v>0.87</v>
      </c>
      <c r="N199" s="146">
        <v>0</v>
      </c>
      <c r="O199" s="146">
        <v>0</v>
      </c>
      <c r="P199" s="146">
        <v>15.5</v>
      </c>
      <c r="Q199" s="404">
        <f t="shared" si="13"/>
        <v>2.2389999999999999</v>
      </c>
      <c r="R199" s="153" t="str">
        <f t="shared" si="14"/>
        <v>SI</v>
      </c>
      <c r="S199" s="152" t="str">
        <f t="shared" si="12"/>
        <v>Sin Riesgo</v>
      </c>
      <c r="T199" s="253"/>
    </row>
    <row r="200" spans="1:20" s="174" customFormat="1" ht="32.1" customHeight="1" x14ac:dyDescent="0.2">
      <c r="A200" s="127" t="s">
        <v>107</v>
      </c>
      <c r="B200" s="354" t="s">
        <v>4158</v>
      </c>
      <c r="C200" s="371" t="s">
        <v>4159</v>
      </c>
      <c r="D200" s="190">
        <v>661</v>
      </c>
      <c r="E200" s="146">
        <v>0</v>
      </c>
      <c r="F200" s="146">
        <v>0</v>
      </c>
      <c r="G200" s="146">
        <v>0</v>
      </c>
      <c r="H200" s="146">
        <v>0</v>
      </c>
      <c r="I200" s="146">
        <v>0</v>
      </c>
      <c r="J200" s="146"/>
      <c r="K200" s="146"/>
      <c r="L200" s="146"/>
      <c r="M200" s="146">
        <v>0</v>
      </c>
      <c r="N200" s="146">
        <v>0</v>
      </c>
      <c r="O200" s="146">
        <v>0</v>
      </c>
      <c r="P200" s="146">
        <v>0</v>
      </c>
      <c r="Q200" s="404">
        <f t="shared" si="13"/>
        <v>0</v>
      </c>
      <c r="R200" s="153" t="str">
        <f t="shared" si="14"/>
        <v>SI</v>
      </c>
      <c r="S200" s="152" t="str">
        <f t="shared" si="12"/>
        <v>Sin Riesgo</v>
      </c>
      <c r="T200" s="253"/>
    </row>
    <row r="201" spans="1:20" s="174" customFormat="1" ht="32.1" customHeight="1" x14ac:dyDescent="0.2">
      <c r="A201" s="127" t="s">
        <v>107</v>
      </c>
      <c r="B201" s="354" t="s">
        <v>4160</v>
      </c>
      <c r="C201" s="147" t="s">
        <v>4161</v>
      </c>
      <c r="D201" s="190">
        <v>147</v>
      </c>
      <c r="E201" s="146">
        <v>3</v>
      </c>
      <c r="F201" s="146">
        <v>0</v>
      </c>
      <c r="G201" s="146">
        <v>3.01</v>
      </c>
      <c r="H201" s="146"/>
      <c r="I201" s="146">
        <v>0</v>
      </c>
      <c r="J201" s="146">
        <v>0</v>
      </c>
      <c r="K201" s="146"/>
      <c r="L201" s="146"/>
      <c r="M201" s="146">
        <v>0</v>
      </c>
      <c r="N201" s="146">
        <v>0</v>
      </c>
      <c r="O201" s="146">
        <v>0</v>
      </c>
      <c r="P201" s="146">
        <v>8.7200000000000006</v>
      </c>
      <c r="Q201" s="404">
        <f t="shared" si="13"/>
        <v>1.6366666666666667</v>
      </c>
      <c r="R201" s="153" t="str">
        <f t="shared" si="14"/>
        <v>SI</v>
      </c>
      <c r="S201" s="152" t="str">
        <f t="shared" si="12"/>
        <v>Sin Riesgo</v>
      </c>
      <c r="T201" s="253"/>
    </row>
    <row r="202" spans="1:20" s="174" customFormat="1" ht="32.1" customHeight="1" x14ac:dyDescent="0.2">
      <c r="A202" s="486" t="s">
        <v>112</v>
      </c>
      <c r="B202" s="365" t="s">
        <v>91</v>
      </c>
      <c r="C202" s="365" t="s">
        <v>359</v>
      </c>
      <c r="D202" s="407">
        <v>3400</v>
      </c>
      <c r="E202" s="146">
        <v>0</v>
      </c>
      <c r="F202" s="146">
        <v>0</v>
      </c>
      <c r="G202" s="146">
        <v>0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17.649999999999999</v>
      </c>
      <c r="N202" s="146">
        <v>0</v>
      </c>
      <c r="O202" s="146">
        <v>0</v>
      </c>
      <c r="P202" s="146">
        <v>0</v>
      </c>
      <c r="Q202" s="145">
        <f t="shared" si="13"/>
        <v>1.4708333333333332</v>
      </c>
      <c r="R202" s="151" t="str">
        <f t="shared" si="14"/>
        <v>SI</v>
      </c>
      <c r="S202" s="152" t="str">
        <f t="shared" si="12"/>
        <v>Sin Riesgo</v>
      </c>
    </row>
    <row r="203" spans="1:20" s="174" customFormat="1" ht="32.1" customHeight="1" x14ac:dyDescent="0.2">
      <c r="A203" s="486" t="s">
        <v>112</v>
      </c>
      <c r="B203" s="365" t="s">
        <v>92</v>
      </c>
      <c r="C203" s="365" t="s">
        <v>360</v>
      </c>
      <c r="D203" s="407">
        <v>1270</v>
      </c>
      <c r="E203" s="146">
        <v>0</v>
      </c>
      <c r="F203" s="146">
        <v>0</v>
      </c>
      <c r="G203" s="146">
        <v>0</v>
      </c>
      <c r="H203" s="146">
        <v>0</v>
      </c>
      <c r="I203" s="146">
        <v>0</v>
      </c>
      <c r="J203" s="146">
        <v>0</v>
      </c>
      <c r="K203" s="146"/>
      <c r="L203" s="146">
        <v>0</v>
      </c>
      <c r="M203" s="146">
        <v>47.06</v>
      </c>
      <c r="N203" s="146">
        <v>0</v>
      </c>
      <c r="O203" s="146">
        <v>0</v>
      </c>
      <c r="P203" s="146">
        <v>0</v>
      </c>
      <c r="Q203" s="145">
        <f t="shared" si="13"/>
        <v>4.2781818181818183</v>
      </c>
      <c r="R203" s="151" t="str">
        <f t="shared" si="14"/>
        <v>SI</v>
      </c>
      <c r="S203" s="152" t="str">
        <f t="shared" ref="S203:S208" si="15">IF(Q203&lt;5,"Sin Riesgo",IF(Q203 &lt;=14,"Bajo",IF(Q203&lt;=35,"Medio",IF(Q203&lt;=80,"Alto","Inviable Sanitariamente"))))</f>
        <v>Sin Riesgo</v>
      </c>
    </row>
    <row r="204" spans="1:20" s="174" customFormat="1" ht="32.1" customHeight="1" x14ac:dyDescent="0.2">
      <c r="A204" s="486" t="s">
        <v>112</v>
      </c>
      <c r="B204" s="365" t="s">
        <v>514</v>
      </c>
      <c r="C204" s="365" t="s">
        <v>361</v>
      </c>
      <c r="D204" s="408">
        <v>400</v>
      </c>
      <c r="E204" s="146">
        <v>0</v>
      </c>
      <c r="F204" s="146">
        <v>0</v>
      </c>
      <c r="G204" s="146">
        <v>0</v>
      </c>
      <c r="H204" s="146">
        <v>0</v>
      </c>
      <c r="I204" s="146">
        <v>0</v>
      </c>
      <c r="J204" s="146">
        <v>0</v>
      </c>
      <c r="K204" s="146">
        <v>0</v>
      </c>
      <c r="L204" s="146">
        <v>0</v>
      </c>
      <c r="M204" s="146">
        <v>0</v>
      </c>
      <c r="N204" s="146">
        <v>17.649999999999999</v>
      </c>
      <c r="O204" s="146">
        <v>0</v>
      </c>
      <c r="P204" s="146">
        <v>0</v>
      </c>
      <c r="Q204" s="145">
        <f t="shared" si="13"/>
        <v>1.4708333333333332</v>
      </c>
      <c r="R204" s="151" t="str">
        <f t="shared" si="14"/>
        <v>SI</v>
      </c>
      <c r="S204" s="152" t="str">
        <f t="shared" si="15"/>
        <v>Sin Riesgo</v>
      </c>
    </row>
    <row r="205" spans="1:20" s="174" customFormat="1" ht="32.1" customHeight="1" x14ac:dyDescent="0.2">
      <c r="A205" s="486" t="s">
        <v>112</v>
      </c>
      <c r="B205" s="365" t="s">
        <v>93</v>
      </c>
      <c r="C205" s="365" t="s">
        <v>362</v>
      </c>
      <c r="D205" s="408">
        <v>3960</v>
      </c>
      <c r="E205" s="146">
        <v>0</v>
      </c>
      <c r="F205" s="146">
        <v>0</v>
      </c>
      <c r="G205" s="146">
        <v>0</v>
      </c>
      <c r="H205" s="146">
        <v>0</v>
      </c>
      <c r="I205" s="146">
        <v>17.649999999999999</v>
      </c>
      <c r="J205" s="146">
        <v>0</v>
      </c>
      <c r="K205" s="146">
        <v>0</v>
      </c>
      <c r="L205" s="146">
        <v>0</v>
      </c>
      <c r="M205" s="146">
        <v>17.649999999999999</v>
      </c>
      <c r="N205" s="146">
        <v>17.649999999999999</v>
      </c>
      <c r="O205" s="146">
        <v>0</v>
      </c>
      <c r="P205" s="146">
        <v>0</v>
      </c>
      <c r="Q205" s="145">
        <f t="shared" si="13"/>
        <v>4.4124999999999996</v>
      </c>
      <c r="R205" s="151" t="str">
        <f t="shared" si="14"/>
        <v>SI</v>
      </c>
      <c r="S205" s="152" t="str">
        <f t="shared" si="15"/>
        <v>Sin Riesgo</v>
      </c>
    </row>
    <row r="206" spans="1:20" s="174" customFormat="1" ht="32.1" customHeight="1" x14ac:dyDescent="0.2">
      <c r="A206" s="486" t="s">
        <v>112</v>
      </c>
      <c r="B206" s="365" t="s">
        <v>94</v>
      </c>
      <c r="C206" s="365" t="s">
        <v>363</v>
      </c>
      <c r="D206" s="408">
        <v>388</v>
      </c>
      <c r="E206" s="146">
        <v>0</v>
      </c>
      <c r="F206" s="146">
        <v>0</v>
      </c>
      <c r="G206" s="146">
        <v>0</v>
      </c>
      <c r="H206" s="146">
        <v>0</v>
      </c>
      <c r="I206" s="146">
        <v>17.649999999999999</v>
      </c>
      <c r="J206" s="146">
        <v>17.7</v>
      </c>
      <c r="K206" s="146">
        <v>0</v>
      </c>
      <c r="L206" s="146">
        <v>47.06</v>
      </c>
      <c r="M206" s="146">
        <v>0</v>
      </c>
      <c r="N206" s="146">
        <v>17.649999999999999</v>
      </c>
      <c r="O206" s="146">
        <v>0</v>
      </c>
      <c r="P206" s="146">
        <v>0</v>
      </c>
      <c r="Q206" s="145">
        <f t="shared" si="13"/>
        <v>8.3383333333333329</v>
      </c>
      <c r="R206" s="151" t="str">
        <f t="shared" si="14"/>
        <v>NO</v>
      </c>
      <c r="S206" s="152" t="str">
        <f t="shared" si="15"/>
        <v>Bajo</v>
      </c>
    </row>
    <row r="207" spans="1:20" s="174" customFormat="1" ht="32.1" customHeight="1" x14ac:dyDescent="0.2">
      <c r="A207" s="486" t="s">
        <v>112</v>
      </c>
      <c r="B207" s="365" t="s">
        <v>95</v>
      </c>
      <c r="C207" s="365" t="s">
        <v>364</v>
      </c>
      <c r="D207" s="408">
        <v>393</v>
      </c>
      <c r="E207" s="146">
        <v>0</v>
      </c>
      <c r="F207" s="146">
        <v>0</v>
      </c>
      <c r="G207" s="146">
        <v>0</v>
      </c>
      <c r="H207" s="146">
        <v>0</v>
      </c>
      <c r="I207" s="146">
        <v>17.649999999999999</v>
      </c>
      <c r="J207" s="146">
        <v>17.7</v>
      </c>
      <c r="K207" s="146">
        <v>0</v>
      </c>
      <c r="L207" s="146">
        <v>0</v>
      </c>
      <c r="M207" s="146">
        <v>0</v>
      </c>
      <c r="N207" s="146">
        <v>17.649999999999999</v>
      </c>
      <c r="O207" s="146">
        <v>0</v>
      </c>
      <c r="P207" s="146">
        <v>0</v>
      </c>
      <c r="Q207" s="145">
        <f t="shared" si="13"/>
        <v>4.4166666666666661</v>
      </c>
      <c r="R207" s="151" t="str">
        <f t="shared" si="14"/>
        <v>SI</v>
      </c>
      <c r="S207" s="152" t="str">
        <f t="shared" si="15"/>
        <v>Sin Riesgo</v>
      </c>
    </row>
    <row r="208" spans="1:20" s="174" customFormat="1" ht="41.25" customHeight="1" x14ac:dyDescent="0.2">
      <c r="A208" s="486" t="s">
        <v>112</v>
      </c>
      <c r="B208" s="365" t="s">
        <v>96</v>
      </c>
      <c r="C208" s="365" t="s">
        <v>4282</v>
      </c>
      <c r="D208" s="408">
        <v>486</v>
      </c>
      <c r="E208" s="146">
        <v>0</v>
      </c>
      <c r="F208" s="146">
        <v>0</v>
      </c>
      <c r="G208" s="146">
        <v>0</v>
      </c>
      <c r="H208" s="146">
        <v>0</v>
      </c>
      <c r="I208" s="146"/>
      <c r="J208" s="146">
        <v>0</v>
      </c>
      <c r="K208" s="146">
        <v>0</v>
      </c>
      <c r="L208" s="146">
        <v>0</v>
      </c>
      <c r="M208" s="146">
        <v>0</v>
      </c>
      <c r="N208" s="146">
        <v>17.649999999999999</v>
      </c>
      <c r="O208" s="146">
        <v>0</v>
      </c>
      <c r="P208" s="146">
        <v>0</v>
      </c>
      <c r="Q208" s="145">
        <f t="shared" si="13"/>
        <v>1.6045454545454545</v>
      </c>
      <c r="R208" s="151" t="str">
        <f t="shared" si="14"/>
        <v>SI</v>
      </c>
      <c r="S208" s="152" t="str">
        <f t="shared" si="15"/>
        <v>Sin Riesgo</v>
      </c>
    </row>
    <row r="209" spans="1:19" ht="32.1" customHeight="1" x14ac:dyDescent="0.2">
      <c r="A209" s="380"/>
      <c r="B209" s="381"/>
      <c r="C209" s="382"/>
      <c r="D209" s="383"/>
      <c r="E209" s="384"/>
      <c r="F209" s="384"/>
      <c r="G209" s="384"/>
      <c r="H209" s="385"/>
      <c r="I209" s="385"/>
      <c r="J209" s="385"/>
      <c r="K209" s="385"/>
      <c r="L209" s="385"/>
      <c r="M209" s="385"/>
      <c r="N209" s="385"/>
      <c r="O209" s="385"/>
      <c r="P209" s="380"/>
      <c r="Q209" s="385"/>
      <c r="R209" s="386"/>
      <c r="S209" s="385"/>
    </row>
    <row r="210" spans="1:19" ht="32.1" customHeight="1" x14ac:dyDescent="0.2">
      <c r="A210" s="380"/>
      <c r="B210" s="387"/>
      <c r="C210" s="382"/>
      <c r="D210" s="383"/>
      <c r="E210" s="388"/>
      <c r="F210" s="388"/>
      <c r="G210" s="388"/>
      <c r="H210" s="389"/>
      <c r="I210" s="389"/>
      <c r="J210" s="389"/>
      <c r="K210" s="389"/>
      <c r="L210" s="389"/>
      <c r="M210" s="389"/>
      <c r="N210" s="389"/>
      <c r="O210" s="389"/>
      <c r="P210" s="380"/>
      <c r="Q210" s="385"/>
      <c r="R210" s="386"/>
      <c r="S210" s="385"/>
    </row>
    <row r="211" spans="1:19" ht="32.1" customHeight="1" x14ac:dyDescent="0.2">
      <c r="A211" s="507" t="s">
        <v>4414</v>
      </c>
      <c r="B211" s="506" t="s">
        <v>4478</v>
      </c>
      <c r="E211" s="384"/>
      <c r="F211" s="384"/>
      <c r="G211" s="384"/>
      <c r="H211" s="385"/>
      <c r="I211" s="385"/>
      <c r="J211" s="385"/>
      <c r="K211" s="385"/>
      <c r="L211" s="385"/>
      <c r="M211" s="385"/>
      <c r="N211" s="385"/>
      <c r="O211" s="385"/>
      <c r="P211" s="389"/>
      <c r="Q211" s="385"/>
      <c r="R211" s="386"/>
      <c r="S211" s="385"/>
    </row>
    <row r="212" spans="1:19" ht="37.5" customHeight="1" x14ac:dyDescent="0.2">
      <c r="A212" s="501" t="s">
        <v>4358</v>
      </c>
      <c r="B212" s="509">
        <f>COUNTIF(E11:P208,"&lt;=5")</f>
        <v>767</v>
      </c>
      <c r="E212" s="388"/>
      <c r="F212" s="388"/>
      <c r="G212" s="388"/>
      <c r="H212" s="389"/>
      <c r="I212" s="389"/>
      <c r="J212" s="389"/>
      <c r="K212" s="389"/>
      <c r="L212" s="389"/>
      <c r="M212" s="389"/>
      <c r="N212" s="389"/>
      <c r="O212" s="389"/>
      <c r="P212" s="385"/>
      <c r="Q212" s="385"/>
      <c r="R212" s="386"/>
      <c r="S212" s="385"/>
    </row>
    <row r="213" spans="1:19" ht="37.5" customHeight="1" x14ac:dyDescent="0.2">
      <c r="A213" s="502" t="s">
        <v>4359</v>
      </c>
      <c r="B213" s="509">
        <f>COUNTIFS(E11:P208,"&gt;5",E11:P208,"&lt;=14")</f>
        <v>32</v>
      </c>
      <c r="E213" s="384"/>
      <c r="F213" s="384"/>
      <c r="G213" s="384"/>
      <c r="H213" s="385"/>
      <c r="I213" s="385"/>
      <c r="J213" s="385"/>
      <c r="K213" s="385"/>
      <c r="L213" s="385"/>
      <c r="M213" s="385"/>
      <c r="N213" s="385"/>
      <c r="O213" s="385"/>
      <c r="P213" s="389"/>
      <c r="Q213" s="385"/>
      <c r="R213" s="386"/>
      <c r="S213" s="385"/>
    </row>
    <row r="214" spans="1:19" ht="37.5" customHeight="1" x14ac:dyDescent="0.2">
      <c r="A214" s="503" t="s">
        <v>4360</v>
      </c>
      <c r="B214" s="509">
        <f>COUNTIFS(E11:P208,"&gt;14",E11:P208,"&lt;=35")</f>
        <v>168</v>
      </c>
      <c r="E214" s="388"/>
      <c r="F214" s="388"/>
      <c r="G214" s="388"/>
      <c r="H214" s="389"/>
      <c r="I214" s="389"/>
      <c r="J214" s="389"/>
      <c r="K214" s="389"/>
      <c r="L214" s="389"/>
      <c r="M214" s="389"/>
      <c r="N214" s="389"/>
      <c r="O214" s="389"/>
      <c r="P214" s="385"/>
      <c r="Q214" s="385"/>
      <c r="R214" s="386"/>
      <c r="S214" s="385"/>
    </row>
    <row r="215" spans="1:19" ht="37.5" customHeight="1" x14ac:dyDescent="0.2">
      <c r="A215" s="504" t="s">
        <v>4361</v>
      </c>
      <c r="B215" s="509">
        <f>COUNTIFS(E11:P208,"&gt;35",E11:P208,"&lt;=80")</f>
        <v>122</v>
      </c>
      <c r="E215" s="388"/>
      <c r="F215" s="388"/>
      <c r="G215" s="388"/>
      <c r="H215" s="389"/>
      <c r="I215" s="389"/>
      <c r="J215" s="389"/>
      <c r="K215" s="389"/>
      <c r="L215" s="389"/>
      <c r="M215" s="389"/>
      <c r="N215" s="389"/>
      <c r="O215" s="389"/>
      <c r="P215" s="389"/>
      <c r="Q215" s="385"/>
      <c r="R215" s="386"/>
      <c r="S215" s="385"/>
    </row>
    <row r="216" spans="1:19" ht="37.5" customHeight="1" x14ac:dyDescent="0.2">
      <c r="A216" s="505" t="s">
        <v>4362</v>
      </c>
      <c r="B216" s="509">
        <f>COUNTIFS(E11:P208,"&gt;80",E11:P208,"&lt;=100")</f>
        <v>58</v>
      </c>
      <c r="E216" s="388"/>
      <c r="F216" s="388"/>
      <c r="G216" s="388"/>
      <c r="H216" s="389"/>
      <c r="I216" s="389"/>
      <c r="J216" s="389"/>
      <c r="K216" s="389"/>
      <c r="L216" s="389"/>
      <c r="M216" s="389"/>
      <c r="N216" s="389"/>
      <c r="O216" s="389"/>
      <c r="P216" s="389"/>
      <c r="Q216" s="385"/>
      <c r="R216" s="386"/>
      <c r="S216" s="385"/>
    </row>
    <row r="217" spans="1:19" ht="37.5" customHeight="1" x14ac:dyDescent="0.2">
      <c r="A217" s="508" t="s">
        <v>4363</v>
      </c>
      <c r="B217" s="510">
        <f>COUNT(E11:P208)</f>
        <v>1147</v>
      </c>
      <c r="E217" s="388"/>
      <c r="F217" s="388"/>
      <c r="G217" s="388"/>
      <c r="H217" s="389"/>
      <c r="I217" s="389"/>
      <c r="J217" s="389"/>
      <c r="K217" s="389"/>
      <c r="L217" s="389"/>
      <c r="M217" s="389"/>
      <c r="N217" s="389"/>
      <c r="O217" s="389"/>
      <c r="P217" s="389"/>
      <c r="Q217" s="385"/>
      <c r="R217" s="386"/>
      <c r="S217" s="385"/>
    </row>
    <row r="218" spans="1:19" ht="32.1" customHeight="1" x14ac:dyDescent="0.2">
      <c r="A218" s="531" t="s">
        <v>4415</v>
      </c>
      <c r="B218" s="532">
        <f>B217-B212</f>
        <v>380</v>
      </c>
      <c r="C218" s="382"/>
      <c r="D218" s="383"/>
      <c r="E218" s="384"/>
      <c r="F218" s="384"/>
      <c r="G218" s="384"/>
      <c r="H218" s="385"/>
      <c r="I218" s="385"/>
      <c r="J218" s="385"/>
      <c r="K218" s="385"/>
      <c r="L218" s="385"/>
      <c r="M218" s="385"/>
      <c r="N218" s="385"/>
      <c r="O218" s="385"/>
      <c r="P218" s="389"/>
      <c r="Q218" s="385"/>
      <c r="R218" s="386"/>
      <c r="S218" s="385"/>
    </row>
    <row r="219" spans="1:19" ht="32.1" customHeight="1" x14ac:dyDescent="0.2">
      <c r="A219" s="380"/>
      <c r="B219" s="387"/>
      <c r="C219" s="382"/>
      <c r="D219" s="383"/>
      <c r="E219" s="107"/>
      <c r="F219" s="107"/>
      <c r="G219" s="107"/>
      <c r="H219" s="92"/>
      <c r="I219" s="92"/>
      <c r="J219" s="92"/>
      <c r="K219" s="92"/>
      <c r="L219" s="390"/>
      <c r="M219" s="390"/>
      <c r="N219" s="390"/>
      <c r="O219" s="390"/>
      <c r="P219" s="390"/>
      <c r="Q219" s="385"/>
      <c r="R219" s="386"/>
      <c r="S219" s="385"/>
    </row>
    <row r="220" spans="1:19" ht="32.1" customHeight="1" x14ac:dyDescent="0.2">
      <c r="A220" s="380"/>
      <c r="B220" s="387"/>
      <c r="C220" s="382"/>
      <c r="D220" s="383"/>
      <c r="E220" s="107"/>
      <c r="F220" s="107"/>
      <c r="G220" s="107"/>
      <c r="H220" s="92"/>
      <c r="I220" s="92"/>
      <c r="J220" s="92"/>
      <c r="K220" s="92"/>
      <c r="L220" s="385"/>
      <c r="M220" s="385"/>
      <c r="N220" s="385"/>
      <c r="O220" s="385"/>
      <c r="P220" s="385"/>
      <c r="Q220" s="385"/>
      <c r="R220" s="386"/>
      <c r="S220" s="385"/>
    </row>
    <row r="221" spans="1:19" ht="32.1" customHeight="1" x14ac:dyDescent="0.2">
      <c r="A221" s="380"/>
      <c r="B221" s="387"/>
      <c r="C221" s="382"/>
      <c r="D221" s="383"/>
      <c r="E221" s="107"/>
      <c r="F221" s="107"/>
      <c r="G221" s="107"/>
      <c r="H221" s="92"/>
      <c r="I221" s="92"/>
      <c r="J221" s="92"/>
      <c r="K221" s="92"/>
      <c r="L221" s="390"/>
      <c r="M221" s="390"/>
      <c r="N221" s="390"/>
      <c r="O221" s="390"/>
      <c r="P221" s="390"/>
      <c r="Q221" s="385"/>
      <c r="R221" s="386"/>
      <c r="S221" s="385"/>
    </row>
    <row r="222" spans="1:19" ht="32.1" customHeight="1" x14ac:dyDescent="0.2">
      <c r="A222" s="380"/>
      <c r="B222" s="381"/>
      <c r="C222" s="382"/>
      <c r="D222" s="383"/>
      <c r="E222" s="107"/>
      <c r="F222" s="107"/>
      <c r="G222" s="107"/>
      <c r="H222" s="92"/>
      <c r="I222" s="92"/>
      <c r="J222" s="92"/>
      <c r="K222" s="92"/>
      <c r="L222" s="390"/>
      <c r="M222" s="390"/>
      <c r="N222" s="390"/>
      <c r="O222" s="390"/>
      <c r="P222" s="390"/>
      <c r="Q222" s="385"/>
      <c r="R222" s="386"/>
      <c r="S222" s="385"/>
    </row>
    <row r="223" spans="1:19" ht="32.1" customHeight="1" x14ac:dyDescent="0.2">
      <c r="A223" s="391"/>
      <c r="B223" s="392"/>
      <c r="C223" s="393"/>
      <c r="D223" s="394"/>
      <c r="E223" s="395"/>
      <c r="F223" s="395"/>
      <c r="G223" s="395"/>
      <c r="H223" s="396"/>
      <c r="I223" s="396"/>
      <c r="J223" s="396"/>
      <c r="K223" s="396"/>
      <c r="L223" s="396"/>
      <c r="M223" s="397"/>
      <c r="N223" s="397"/>
      <c r="O223" s="397"/>
      <c r="P223" s="387"/>
      <c r="Q223" s="385"/>
      <c r="R223" s="386"/>
      <c r="S223" s="385"/>
    </row>
    <row r="224" spans="1:19" ht="32.1" customHeight="1" x14ac:dyDescent="0.2">
      <c r="A224" s="391"/>
      <c r="B224" s="392"/>
      <c r="C224" s="398"/>
      <c r="D224" s="394"/>
      <c r="E224" s="395"/>
      <c r="F224" s="395"/>
      <c r="G224" s="395"/>
      <c r="H224" s="396"/>
      <c r="I224" s="396"/>
      <c r="J224" s="396"/>
      <c r="K224" s="396"/>
      <c r="L224" s="396"/>
      <c r="M224" s="397"/>
      <c r="N224" s="397"/>
      <c r="O224" s="397"/>
      <c r="P224" s="387"/>
      <c r="Q224" s="385"/>
      <c r="R224" s="386"/>
      <c r="S224" s="385"/>
    </row>
    <row r="225" spans="1:19" ht="32.1" customHeight="1" x14ac:dyDescent="0.2">
      <c r="A225" s="391"/>
      <c r="B225" s="392"/>
      <c r="C225" s="398"/>
      <c r="D225" s="394"/>
      <c r="E225" s="395"/>
      <c r="F225" s="395"/>
      <c r="G225" s="395"/>
      <c r="H225" s="396"/>
      <c r="I225" s="396"/>
      <c r="J225" s="396"/>
      <c r="K225" s="396"/>
      <c r="L225" s="396"/>
      <c r="M225" s="397"/>
      <c r="N225" s="397"/>
      <c r="O225" s="397"/>
      <c r="P225" s="397"/>
      <c r="Q225" s="385"/>
      <c r="R225" s="386"/>
      <c r="S225" s="385"/>
    </row>
    <row r="226" spans="1:19" ht="32.1" customHeight="1" x14ac:dyDescent="0.2">
      <c r="A226" s="391"/>
      <c r="B226" s="392"/>
      <c r="C226" s="398"/>
      <c r="D226" s="394"/>
      <c r="E226" s="395"/>
      <c r="F226" s="395"/>
      <c r="G226" s="395"/>
      <c r="H226" s="396"/>
      <c r="I226" s="396"/>
      <c r="J226" s="396"/>
      <c r="K226" s="396"/>
      <c r="L226" s="396"/>
      <c r="M226" s="397"/>
      <c r="N226" s="397"/>
      <c r="O226" s="397"/>
      <c r="P226" s="397"/>
      <c r="Q226" s="385"/>
      <c r="R226" s="386"/>
      <c r="S226" s="385"/>
    </row>
    <row r="227" spans="1:19" ht="32.1" customHeight="1" x14ac:dyDescent="0.2">
      <c r="A227" s="391"/>
      <c r="B227" s="392"/>
      <c r="C227" s="393"/>
      <c r="D227" s="394"/>
      <c r="E227" s="395"/>
      <c r="F227" s="395"/>
      <c r="G227" s="395"/>
      <c r="H227" s="396"/>
      <c r="I227" s="396"/>
      <c r="J227" s="396"/>
      <c r="K227" s="396"/>
      <c r="L227" s="396"/>
      <c r="M227" s="397"/>
      <c r="N227" s="397"/>
      <c r="O227" s="397"/>
      <c r="P227" s="397"/>
      <c r="Q227" s="385"/>
      <c r="R227" s="386"/>
      <c r="S227" s="385"/>
    </row>
    <row r="228" spans="1:19" ht="32.1" customHeight="1" x14ac:dyDescent="0.2">
      <c r="A228" s="391"/>
      <c r="B228" s="399"/>
      <c r="C228" s="400"/>
      <c r="D228" s="394"/>
      <c r="E228" s="395"/>
      <c r="F228" s="395"/>
      <c r="G228" s="395"/>
      <c r="H228" s="396"/>
      <c r="I228" s="396"/>
      <c r="J228" s="396"/>
      <c r="K228" s="396"/>
      <c r="L228" s="396"/>
      <c r="M228" s="397"/>
      <c r="N228" s="397"/>
      <c r="O228" s="397"/>
      <c r="P228" s="397"/>
      <c r="Q228" s="385"/>
      <c r="R228" s="386"/>
      <c r="S228" s="385"/>
    </row>
    <row r="229" spans="1:19" ht="32.1" customHeight="1" x14ac:dyDescent="0.2">
      <c r="A229" s="391"/>
      <c r="B229" s="392"/>
      <c r="C229" s="393"/>
      <c r="D229" s="394"/>
      <c r="E229" s="395"/>
      <c r="F229" s="395"/>
      <c r="G229" s="395" t="s">
        <v>473</v>
      </c>
      <c r="H229" s="396"/>
      <c r="I229" s="396"/>
      <c r="J229" s="396"/>
      <c r="K229" s="396"/>
      <c r="L229" s="396"/>
      <c r="M229" s="397"/>
      <c r="N229" s="397"/>
      <c r="O229" s="397"/>
      <c r="P229" s="397"/>
      <c r="Q229" s="385"/>
      <c r="R229" s="386"/>
      <c r="S229" s="385"/>
    </row>
    <row r="230" spans="1:19" ht="36.75" customHeight="1" x14ac:dyDescent="0.2">
      <c r="A230" s="355"/>
      <c r="B230" s="92"/>
      <c r="C230" s="92"/>
      <c r="D230" s="110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3"/>
      <c r="R230" s="94"/>
      <c r="S230" s="95"/>
    </row>
    <row r="231" spans="1:19" ht="36.75" customHeight="1" x14ac:dyDescent="0.2">
      <c r="A231" s="355"/>
      <c r="B231" s="92"/>
      <c r="C231" s="92"/>
      <c r="D231" s="110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3"/>
      <c r="R231" s="94"/>
      <c r="S231" s="95"/>
    </row>
    <row r="232" spans="1:19" ht="36.75" customHeight="1" x14ac:dyDescent="0.2">
      <c r="A232" s="355"/>
      <c r="B232" s="92"/>
      <c r="C232" s="92"/>
      <c r="D232" s="110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3"/>
      <c r="R232" s="94"/>
      <c r="S232" s="95"/>
    </row>
    <row r="233" spans="1:19" ht="36.75" customHeight="1" x14ac:dyDescent="0.2">
      <c r="A233" s="355"/>
      <c r="B233" s="92"/>
      <c r="C233" s="92"/>
      <c r="D233" s="110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3"/>
      <c r="R233" s="94"/>
      <c r="S233" s="95"/>
    </row>
    <row r="234" spans="1:19" ht="36.75" customHeight="1" x14ac:dyDescent="0.2">
      <c r="A234" s="355"/>
      <c r="B234" s="92"/>
      <c r="C234" s="92"/>
      <c r="D234" s="110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3"/>
      <c r="R234" s="94"/>
      <c r="S234" s="95"/>
    </row>
    <row r="235" spans="1:19" ht="36.75" customHeight="1" x14ac:dyDescent="0.2">
      <c r="A235" s="355"/>
      <c r="B235" s="92"/>
      <c r="C235" s="92"/>
      <c r="D235" s="110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3"/>
      <c r="R235" s="94"/>
      <c r="S235" s="95"/>
    </row>
  </sheetData>
  <autoFilter ref="A10:W208">
    <sortState ref="A12:W210">
      <sortCondition ref="A10:A210"/>
    </sortState>
  </autoFilter>
  <customSheetViews>
    <customSheetView guid="{45C8AF51-29EC-46A5-AB7F-1F0634E55D82}" scale="60" showAutoFilter="1" hiddenColumns="1">
      <pane xSplit="3" ySplit="10" topLeftCell="D95" activePane="bottomRight" state="frozenSplit"/>
      <selection pane="bottomRight" activeCell="A220" sqref="A22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208">
        <sortState ref="A12:W210">
          <sortCondition ref="A10:A210"/>
        </sortState>
      </autoFilter>
    </customSheetView>
    <customSheetView guid="{FCC3B493-4306-43B2-9C73-76324485DD47}" scale="60" showAutoFilter="1" hiddenColumns="1">
      <pane xSplit="3" ySplit="10" topLeftCell="D29" activePane="bottomRight" state="frozenSplit"/>
      <selection pane="bottomRight" activeCell="C215" sqref="C215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210">
        <sortState ref="A12:W210">
          <sortCondition ref="A10:A210"/>
        </sortState>
      </autoFilter>
    </customSheetView>
    <customSheetView guid="{AEDE1BDB-8710-4CDA-8488-31F49D423ACE}" scale="70" showAutoFilter="1">
      <pane xSplit="3" ySplit="10" topLeftCell="S11" activePane="bottomRight" state="frozenSplit"/>
      <selection pane="bottomRight" activeCell="S11" sqref="S1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233"/>
    </customSheetView>
    <customSheetView guid="{75DD7674-E7DE-4BB1-A36D-76AA33452CB3}" scale="60" showAutoFilter="1" hiddenColumns="1">
      <pane xSplit="3" ySplit="10" topLeftCell="D11" activePane="bottomRight" state="frozenSplit"/>
      <selection pane="bottomRight" activeCell="B3" sqref="B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208">
        <sortState ref="A12:W210">
          <sortCondition ref="A10:A210"/>
        </sortState>
      </autoFilter>
    </customSheetView>
  </customSheetViews>
  <mergeCells count="21">
    <mergeCell ref="B1:D1"/>
    <mergeCell ref="B2:D2"/>
    <mergeCell ref="B4:D4"/>
    <mergeCell ref="C5:C6"/>
    <mergeCell ref="C9:C10"/>
    <mergeCell ref="A7:B7"/>
    <mergeCell ref="A9:A10"/>
    <mergeCell ref="D5:D6"/>
    <mergeCell ref="B5:B6"/>
    <mergeCell ref="B9:B10"/>
    <mergeCell ref="D9:D10"/>
    <mergeCell ref="S9:S10"/>
    <mergeCell ref="Q5:R6"/>
    <mergeCell ref="S5:S6"/>
    <mergeCell ref="H5:J6"/>
    <mergeCell ref="E9:P9"/>
    <mergeCell ref="R9:R10"/>
    <mergeCell ref="N5:P6"/>
    <mergeCell ref="E5:G6"/>
    <mergeCell ref="Q9:Q10"/>
    <mergeCell ref="K5:M6"/>
  </mergeCells>
  <conditionalFormatting sqref="R230:R235 R178 R83 R11:R76 R99:R122 R156:R171">
    <cfRule type="cellIs" dxfId="7405" priority="3040" stopIfTrue="1" operator="equal">
      <formula>"NO"</formula>
    </cfRule>
  </conditionalFormatting>
  <conditionalFormatting sqref="S230:S235">
    <cfRule type="cellIs" dxfId="7404" priority="3007" stopIfTrue="1" operator="equal">
      <formula>"INVIABLE SANITARIAMENTE"</formula>
    </cfRule>
  </conditionalFormatting>
  <conditionalFormatting sqref="S230:S235">
    <cfRule type="containsText" dxfId="7403" priority="3002" stopIfTrue="1" operator="containsText" text="INVIABLE SANITARIAMENTE">
      <formula>NOT(ISERROR(SEARCH("INVIABLE SANITARIAMENTE",S230)))</formula>
    </cfRule>
    <cfRule type="containsText" dxfId="7402" priority="3003" stopIfTrue="1" operator="containsText" text="ALTO">
      <formula>NOT(ISERROR(SEARCH("ALTO",S230)))</formula>
    </cfRule>
    <cfRule type="containsText" dxfId="7401" priority="3004" stopIfTrue="1" operator="containsText" text="MEDIO">
      <formula>NOT(ISERROR(SEARCH("MEDIO",S230)))</formula>
    </cfRule>
    <cfRule type="containsText" dxfId="7400" priority="3005" stopIfTrue="1" operator="containsText" text="BAJO">
      <formula>NOT(ISERROR(SEARCH("BAJO",S230)))</formula>
    </cfRule>
    <cfRule type="containsText" dxfId="7399" priority="3006" stopIfTrue="1" operator="containsText" text="SIN RIESGO">
      <formula>NOT(ISERROR(SEARCH("SIN RIESGO",S230)))</formula>
    </cfRule>
  </conditionalFormatting>
  <conditionalFormatting sqref="S230:S235">
    <cfRule type="containsText" dxfId="7398" priority="3001" stopIfTrue="1" operator="containsText" text="SIN RIESGO">
      <formula>NOT(ISERROR(SEARCH("SIN RIESGO",S230)))</formula>
    </cfRule>
  </conditionalFormatting>
  <conditionalFormatting sqref="E82:Q82 E29:Q29 E43:Q50 Q42 E33:Q34 Q35 Q83:Q87 Q230:Q235 Q135:Q137 Q144 Q30:Q31 Q90:Q93 Q114 Q175:Q179 Q181 Q199 Q203:Q205 Q108:Q110 Q112 Q51:Q76 Q11:Q28 Q78:Q81 E36:Q41 L32:Q32 Q117:Q120 Q99:Q105 E11:P208 Q156:Q171">
    <cfRule type="containsBlanks" dxfId="7397" priority="2994" stopIfTrue="1">
      <formula>LEN(TRIM(E11))=0</formula>
    </cfRule>
    <cfRule type="cellIs" dxfId="7396" priority="2995" stopIfTrue="1" operator="between">
      <formula>80.1</formula>
      <formula>100</formula>
    </cfRule>
    <cfRule type="cellIs" dxfId="7395" priority="2996" stopIfTrue="1" operator="between">
      <formula>35.1</formula>
      <formula>80</formula>
    </cfRule>
    <cfRule type="cellIs" dxfId="7394" priority="2997" stopIfTrue="1" operator="between">
      <formula>14.1</formula>
      <formula>35</formula>
    </cfRule>
    <cfRule type="cellIs" dxfId="7393" priority="2998" stopIfTrue="1" operator="between">
      <formula>5.1</formula>
      <formula>14</formula>
    </cfRule>
    <cfRule type="cellIs" dxfId="7392" priority="2999" stopIfTrue="1" operator="between">
      <formula>0</formula>
      <formula>5</formula>
    </cfRule>
    <cfRule type="containsBlanks" dxfId="7391" priority="3000" stopIfTrue="1">
      <formula>LEN(TRIM(E11))=0</formula>
    </cfRule>
  </conditionalFormatting>
  <conditionalFormatting sqref="E54:J54 L54:P54 E13:P15 E18:P18 E27:P27">
    <cfRule type="containsBlanks" dxfId="7390" priority="2980" stopIfTrue="1">
      <formula>LEN(TRIM(E13))=0</formula>
    </cfRule>
    <cfRule type="cellIs" dxfId="7389" priority="2981" stopIfTrue="1" operator="between">
      <formula>79.1</formula>
      <formula>100</formula>
    </cfRule>
    <cfRule type="cellIs" dxfId="7388" priority="2982" stopIfTrue="1" operator="between">
      <formula>34.1</formula>
      <formula>79</formula>
    </cfRule>
    <cfRule type="cellIs" dxfId="7387" priority="2983" stopIfTrue="1" operator="between">
      <formula>13.1</formula>
      <formula>34</formula>
    </cfRule>
    <cfRule type="cellIs" dxfId="7386" priority="2984" stopIfTrue="1" operator="between">
      <formula>5.1</formula>
      <formula>13</formula>
    </cfRule>
    <cfRule type="cellIs" dxfId="7385" priority="2985" stopIfTrue="1" operator="between">
      <formula>0</formula>
      <formula>5</formula>
    </cfRule>
    <cfRule type="containsBlanks" dxfId="7384" priority="2986" stopIfTrue="1">
      <formula>LEN(TRIM(E13))=0</formula>
    </cfRule>
  </conditionalFormatting>
  <conditionalFormatting sqref="F20:Q20">
    <cfRule type="containsBlanks" dxfId="7383" priority="2973" stopIfTrue="1">
      <formula>LEN(TRIM(F20))=0</formula>
    </cfRule>
    <cfRule type="cellIs" dxfId="7382" priority="2974" stopIfTrue="1" operator="between">
      <formula>80.1</formula>
      <formula>100</formula>
    </cfRule>
    <cfRule type="cellIs" dxfId="7381" priority="2975" stopIfTrue="1" operator="between">
      <formula>35.1</formula>
      <formula>80</formula>
    </cfRule>
    <cfRule type="cellIs" dxfId="7380" priority="2976" stopIfTrue="1" operator="between">
      <formula>14.1</formula>
      <formula>35</formula>
    </cfRule>
    <cfRule type="cellIs" dxfId="7379" priority="2977" stopIfTrue="1" operator="between">
      <formula>5.1</formula>
      <formula>14</formula>
    </cfRule>
    <cfRule type="cellIs" dxfId="7378" priority="2978" stopIfTrue="1" operator="between">
      <formula>0</formula>
      <formula>5</formula>
    </cfRule>
    <cfRule type="containsBlanks" dxfId="7377" priority="2979" stopIfTrue="1">
      <formula>LEN(TRIM(F20))=0</formula>
    </cfRule>
  </conditionalFormatting>
  <conditionalFormatting sqref="E20">
    <cfRule type="containsBlanks" dxfId="7376" priority="2966" stopIfTrue="1">
      <formula>LEN(TRIM(E20))=0</formula>
    </cfRule>
    <cfRule type="cellIs" dxfId="7375" priority="2967" stopIfTrue="1" operator="between">
      <formula>80.1</formula>
      <formula>100</formula>
    </cfRule>
    <cfRule type="cellIs" dxfId="7374" priority="2968" stopIfTrue="1" operator="between">
      <formula>35.1</formula>
      <formula>80</formula>
    </cfRule>
    <cfRule type="cellIs" dxfId="7373" priority="2969" stopIfTrue="1" operator="between">
      <formula>14.1</formula>
      <formula>35</formula>
    </cfRule>
    <cfRule type="cellIs" dxfId="7372" priority="2970" stopIfTrue="1" operator="between">
      <formula>5.1</formula>
      <formula>14</formula>
    </cfRule>
    <cfRule type="cellIs" dxfId="7371" priority="2971" stopIfTrue="1" operator="between">
      <formula>0</formula>
      <formula>5</formula>
    </cfRule>
    <cfRule type="containsBlanks" dxfId="7370" priority="2972" stopIfTrue="1">
      <formula>LEN(TRIM(E20))=0</formula>
    </cfRule>
  </conditionalFormatting>
  <conditionalFormatting sqref="F24:Q24">
    <cfRule type="containsBlanks" dxfId="7369" priority="2945" stopIfTrue="1">
      <formula>LEN(TRIM(F24))=0</formula>
    </cfRule>
    <cfRule type="cellIs" dxfId="7368" priority="2946" stopIfTrue="1" operator="between">
      <formula>80.1</formula>
      <formula>100</formula>
    </cfRule>
    <cfRule type="cellIs" dxfId="7367" priority="2947" stopIfTrue="1" operator="between">
      <formula>35.1</formula>
      <formula>80</formula>
    </cfRule>
    <cfRule type="cellIs" dxfId="7366" priority="2948" stopIfTrue="1" operator="between">
      <formula>14.1</formula>
      <formula>35</formula>
    </cfRule>
    <cfRule type="cellIs" dxfId="7365" priority="2949" stopIfTrue="1" operator="between">
      <formula>5.1</formula>
      <formula>14</formula>
    </cfRule>
    <cfRule type="cellIs" dxfId="7364" priority="2950" stopIfTrue="1" operator="between">
      <formula>0</formula>
      <formula>5</formula>
    </cfRule>
    <cfRule type="containsBlanks" dxfId="7363" priority="2951" stopIfTrue="1">
      <formula>LEN(TRIM(F24))=0</formula>
    </cfRule>
  </conditionalFormatting>
  <conditionalFormatting sqref="E24">
    <cfRule type="containsBlanks" dxfId="7362" priority="2938" stopIfTrue="1">
      <formula>LEN(TRIM(E24))=0</formula>
    </cfRule>
    <cfRule type="cellIs" dxfId="7361" priority="2939" stopIfTrue="1" operator="between">
      <formula>80.1</formula>
      <formula>100</formula>
    </cfRule>
    <cfRule type="cellIs" dxfId="7360" priority="2940" stopIfTrue="1" operator="between">
      <formula>35.1</formula>
      <formula>80</formula>
    </cfRule>
    <cfRule type="cellIs" dxfId="7359" priority="2941" stopIfTrue="1" operator="between">
      <formula>14.1</formula>
      <formula>35</formula>
    </cfRule>
    <cfRule type="cellIs" dxfId="7358" priority="2942" stopIfTrue="1" operator="between">
      <formula>5.1</formula>
      <formula>14</formula>
    </cfRule>
    <cfRule type="cellIs" dxfId="7357" priority="2943" stopIfTrue="1" operator="between">
      <formula>0</formula>
      <formula>5</formula>
    </cfRule>
    <cfRule type="containsBlanks" dxfId="7356" priority="2944" stopIfTrue="1">
      <formula>LEN(TRIM(E24))=0</formula>
    </cfRule>
  </conditionalFormatting>
  <conditionalFormatting sqref="F21:Q21">
    <cfRule type="containsBlanks" dxfId="7355" priority="2931" stopIfTrue="1">
      <formula>LEN(TRIM(F21))=0</formula>
    </cfRule>
    <cfRule type="cellIs" dxfId="7354" priority="2932" stopIfTrue="1" operator="between">
      <formula>80.1</formula>
      <formula>100</formula>
    </cfRule>
    <cfRule type="cellIs" dxfId="7353" priority="2933" stopIfTrue="1" operator="between">
      <formula>35.1</formula>
      <formula>80</formula>
    </cfRule>
    <cfRule type="cellIs" dxfId="7352" priority="2934" stopIfTrue="1" operator="between">
      <formula>14.1</formula>
      <formula>35</formula>
    </cfRule>
    <cfRule type="cellIs" dxfId="7351" priority="2935" stopIfTrue="1" operator="between">
      <formula>5.1</formula>
      <formula>14</formula>
    </cfRule>
    <cfRule type="cellIs" dxfId="7350" priority="2936" stopIfTrue="1" operator="between">
      <formula>0</formula>
      <formula>5</formula>
    </cfRule>
    <cfRule type="containsBlanks" dxfId="7349" priority="2937" stopIfTrue="1">
      <formula>LEN(TRIM(F21))=0</formula>
    </cfRule>
  </conditionalFormatting>
  <conditionalFormatting sqref="E21">
    <cfRule type="containsBlanks" dxfId="7348" priority="2924" stopIfTrue="1">
      <formula>LEN(TRIM(E21))=0</formula>
    </cfRule>
    <cfRule type="cellIs" dxfId="7347" priority="2925" stopIfTrue="1" operator="between">
      <formula>80.1</formula>
      <formula>100</formula>
    </cfRule>
    <cfRule type="cellIs" dxfId="7346" priority="2926" stopIfTrue="1" operator="between">
      <formula>35.1</formula>
      <formula>80</formula>
    </cfRule>
    <cfRule type="cellIs" dxfId="7345" priority="2927" stopIfTrue="1" operator="between">
      <formula>14.1</formula>
      <formula>35</formula>
    </cfRule>
    <cfRule type="cellIs" dxfId="7344" priority="2928" stopIfTrue="1" operator="between">
      <formula>5.1</formula>
      <formula>14</formula>
    </cfRule>
    <cfRule type="cellIs" dxfId="7343" priority="2929" stopIfTrue="1" operator="between">
      <formula>0</formula>
      <formula>5</formula>
    </cfRule>
    <cfRule type="containsBlanks" dxfId="7342" priority="2930" stopIfTrue="1">
      <formula>LEN(TRIM(E21))=0</formula>
    </cfRule>
  </conditionalFormatting>
  <conditionalFormatting sqref="F22:Q22">
    <cfRule type="containsBlanks" dxfId="7341" priority="2903" stopIfTrue="1">
      <formula>LEN(TRIM(F22))=0</formula>
    </cfRule>
    <cfRule type="cellIs" dxfId="7340" priority="2904" stopIfTrue="1" operator="between">
      <formula>80.1</formula>
      <formula>100</formula>
    </cfRule>
    <cfRule type="cellIs" dxfId="7339" priority="2905" stopIfTrue="1" operator="between">
      <formula>35.1</formula>
      <formula>80</formula>
    </cfRule>
    <cfRule type="cellIs" dxfId="7338" priority="2906" stopIfTrue="1" operator="between">
      <formula>14.1</formula>
      <formula>35</formula>
    </cfRule>
    <cfRule type="cellIs" dxfId="7337" priority="2907" stopIfTrue="1" operator="between">
      <formula>5.1</formula>
      <formula>14</formula>
    </cfRule>
    <cfRule type="cellIs" dxfId="7336" priority="2908" stopIfTrue="1" operator="between">
      <formula>0</formula>
      <formula>5</formula>
    </cfRule>
    <cfRule type="containsBlanks" dxfId="7335" priority="2909" stopIfTrue="1">
      <formula>LEN(TRIM(F22))=0</formula>
    </cfRule>
  </conditionalFormatting>
  <conditionalFormatting sqref="E22">
    <cfRule type="containsBlanks" dxfId="7334" priority="2896" stopIfTrue="1">
      <formula>LEN(TRIM(E22))=0</formula>
    </cfRule>
    <cfRule type="cellIs" dxfId="7333" priority="2897" stopIfTrue="1" operator="between">
      <formula>80.1</formula>
      <formula>100</formula>
    </cfRule>
    <cfRule type="cellIs" dxfId="7332" priority="2898" stopIfTrue="1" operator="between">
      <formula>35.1</formula>
      <formula>80</formula>
    </cfRule>
    <cfRule type="cellIs" dxfId="7331" priority="2899" stopIfTrue="1" operator="between">
      <formula>14.1</formula>
      <formula>35</formula>
    </cfRule>
    <cfRule type="cellIs" dxfId="7330" priority="2900" stopIfTrue="1" operator="between">
      <formula>5.1</formula>
      <formula>14</formula>
    </cfRule>
    <cfRule type="cellIs" dxfId="7329" priority="2901" stopIfTrue="1" operator="between">
      <formula>0</formula>
      <formula>5</formula>
    </cfRule>
    <cfRule type="containsBlanks" dxfId="7328" priority="2902" stopIfTrue="1">
      <formula>LEN(TRIM(E22))=0</formula>
    </cfRule>
  </conditionalFormatting>
  <conditionalFormatting sqref="F26:Q26">
    <cfRule type="containsBlanks" dxfId="7327" priority="2889" stopIfTrue="1">
      <formula>LEN(TRIM(F26))=0</formula>
    </cfRule>
    <cfRule type="cellIs" dxfId="7326" priority="2890" stopIfTrue="1" operator="between">
      <formula>80.1</formula>
      <formula>100</formula>
    </cfRule>
    <cfRule type="cellIs" dxfId="7325" priority="2891" stopIfTrue="1" operator="between">
      <formula>35.1</formula>
      <formula>80</formula>
    </cfRule>
    <cfRule type="cellIs" dxfId="7324" priority="2892" stopIfTrue="1" operator="between">
      <formula>14.1</formula>
      <formula>35</formula>
    </cfRule>
    <cfRule type="cellIs" dxfId="7323" priority="2893" stopIfTrue="1" operator="between">
      <formula>5.1</formula>
      <formula>14</formula>
    </cfRule>
    <cfRule type="cellIs" dxfId="7322" priority="2894" stopIfTrue="1" operator="between">
      <formula>0</formula>
      <formula>5</formula>
    </cfRule>
    <cfRule type="containsBlanks" dxfId="7321" priority="2895" stopIfTrue="1">
      <formula>LEN(TRIM(F26))=0</formula>
    </cfRule>
  </conditionalFormatting>
  <conditionalFormatting sqref="E26">
    <cfRule type="containsBlanks" dxfId="7320" priority="2882" stopIfTrue="1">
      <formula>LEN(TRIM(E26))=0</formula>
    </cfRule>
    <cfRule type="cellIs" dxfId="7319" priority="2883" stopIfTrue="1" operator="between">
      <formula>80.1</formula>
      <formula>100</formula>
    </cfRule>
    <cfRule type="cellIs" dxfId="7318" priority="2884" stopIfTrue="1" operator="between">
      <formula>35.1</formula>
      <formula>80</formula>
    </cfRule>
    <cfRule type="cellIs" dxfId="7317" priority="2885" stopIfTrue="1" operator="between">
      <formula>14.1</formula>
      <formula>35</formula>
    </cfRule>
    <cfRule type="cellIs" dxfId="7316" priority="2886" stopIfTrue="1" operator="between">
      <formula>5.1</formula>
      <formula>14</formula>
    </cfRule>
    <cfRule type="cellIs" dxfId="7315" priority="2887" stopIfTrue="1" operator="between">
      <formula>0</formula>
      <formula>5</formula>
    </cfRule>
    <cfRule type="containsBlanks" dxfId="7314" priority="2888" stopIfTrue="1">
      <formula>LEN(TRIM(E26))=0</formula>
    </cfRule>
  </conditionalFormatting>
  <conditionalFormatting sqref="J32">
    <cfRule type="containsBlanks" dxfId="7313" priority="2833" stopIfTrue="1">
      <formula>LEN(TRIM(J32))=0</formula>
    </cfRule>
    <cfRule type="cellIs" dxfId="7312" priority="2834" stopIfTrue="1" operator="between">
      <formula>79.1</formula>
      <formula>100</formula>
    </cfRule>
    <cfRule type="cellIs" dxfId="7311" priority="2835" stopIfTrue="1" operator="between">
      <formula>34.1</formula>
      <formula>79</formula>
    </cfRule>
    <cfRule type="cellIs" dxfId="7310" priority="2836" stopIfTrue="1" operator="between">
      <formula>13.1</formula>
      <formula>34</formula>
    </cfRule>
    <cfRule type="cellIs" dxfId="7309" priority="2837" stopIfTrue="1" operator="between">
      <formula>5.1</formula>
      <formula>13</formula>
    </cfRule>
    <cfRule type="cellIs" dxfId="7308" priority="2838" stopIfTrue="1" operator="between">
      <formula>0</formula>
      <formula>5</formula>
    </cfRule>
    <cfRule type="containsBlanks" dxfId="7307" priority="2839" stopIfTrue="1">
      <formula>LEN(TRIM(J32))=0</formula>
    </cfRule>
  </conditionalFormatting>
  <conditionalFormatting sqref="E11:P12">
    <cfRule type="containsBlanks" dxfId="7306" priority="2819" stopIfTrue="1">
      <formula>LEN(TRIM(E11))=0</formula>
    </cfRule>
    <cfRule type="cellIs" dxfId="7305" priority="2820" stopIfTrue="1" operator="between">
      <formula>79.1</formula>
      <formula>100</formula>
    </cfRule>
    <cfRule type="cellIs" dxfId="7304" priority="2821" stopIfTrue="1" operator="between">
      <formula>34.1</formula>
      <formula>79</formula>
    </cfRule>
    <cfRule type="cellIs" dxfId="7303" priority="2822" stopIfTrue="1" operator="between">
      <formula>13.1</formula>
      <formula>34</formula>
    </cfRule>
    <cfRule type="cellIs" dxfId="7302" priority="2823" stopIfTrue="1" operator="between">
      <formula>5.1</formula>
      <formula>13</formula>
    </cfRule>
    <cfRule type="cellIs" dxfId="7301" priority="2824" stopIfTrue="1" operator="between">
      <formula>0</formula>
      <formula>5</formula>
    </cfRule>
    <cfRule type="containsBlanks" dxfId="7300" priority="2825" stopIfTrue="1">
      <formula>LEN(TRIM(E11))=0</formula>
    </cfRule>
  </conditionalFormatting>
  <conditionalFormatting sqref="E19:P19">
    <cfRule type="containsBlanks" dxfId="7299" priority="2805" stopIfTrue="1">
      <formula>LEN(TRIM(E19))=0</formula>
    </cfRule>
    <cfRule type="cellIs" dxfId="7298" priority="2806" stopIfTrue="1" operator="between">
      <formula>79.1</formula>
      <formula>100</formula>
    </cfRule>
    <cfRule type="cellIs" dxfId="7297" priority="2807" stopIfTrue="1" operator="between">
      <formula>34.1</formula>
      <formula>79</formula>
    </cfRule>
    <cfRule type="cellIs" dxfId="7296" priority="2808" stopIfTrue="1" operator="between">
      <formula>13.1</formula>
      <formula>34</formula>
    </cfRule>
    <cfRule type="cellIs" dxfId="7295" priority="2809" stopIfTrue="1" operator="between">
      <formula>5.1</formula>
      <formula>13</formula>
    </cfRule>
    <cfRule type="cellIs" dxfId="7294" priority="2810" stopIfTrue="1" operator="between">
      <formula>0</formula>
      <formula>5</formula>
    </cfRule>
    <cfRule type="containsBlanks" dxfId="7293" priority="2811" stopIfTrue="1">
      <formula>LEN(TRIM(E19))=0</formula>
    </cfRule>
  </conditionalFormatting>
  <conditionalFormatting sqref="K32">
    <cfRule type="containsBlanks" dxfId="7292" priority="2791" stopIfTrue="1">
      <formula>LEN(TRIM(K32))=0</formula>
    </cfRule>
    <cfRule type="cellIs" dxfId="7291" priority="2792" stopIfTrue="1" operator="between">
      <formula>79.1</formula>
      <formula>100</formula>
    </cfRule>
    <cfRule type="cellIs" dxfId="7290" priority="2793" stopIfTrue="1" operator="between">
      <formula>34.1</formula>
      <formula>79</formula>
    </cfRule>
    <cfRule type="cellIs" dxfId="7289" priority="2794" stopIfTrue="1" operator="between">
      <formula>13.1</formula>
      <formula>34</formula>
    </cfRule>
    <cfRule type="cellIs" dxfId="7288" priority="2795" stopIfTrue="1" operator="between">
      <formula>5.1</formula>
      <formula>13</formula>
    </cfRule>
    <cfRule type="cellIs" dxfId="7287" priority="2796" stopIfTrue="1" operator="between">
      <formula>0</formula>
      <formula>5</formula>
    </cfRule>
    <cfRule type="containsBlanks" dxfId="7286" priority="2797" stopIfTrue="1">
      <formula>LEN(TRIM(K32))=0</formula>
    </cfRule>
  </conditionalFormatting>
  <conditionalFormatting sqref="E66:J68 E73:J74 E77:J77">
    <cfRule type="containsBlanks" dxfId="7285" priority="2784" stopIfTrue="1">
      <formula>LEN(TRIM(E66))=0</formula>
    </cfRule>
    <cfRule type="cellIs" dxfId="7284" priority="2785" stopIfTrue="1" operator="between">
      <formula>79.1</formula>
      <formula>100</formula>
    </cfRule>
    <cfRule type="cellIs" dxfId="7283" priority="2786" stopIfTrue="1" operator="between">
      <formula>34.1</formula>
      <formula>79</formula>
    </cfRule>
    <cfRule type="cellIs" dxfId="7282" priority="2787" stopIfTrue="1" operator="between">
      <formula>13.1</formula>
      <formula>34</formula>
    </cfRule>
    <cfRule type="cellIs" dxfId="7281" priority="2788" stopIfTrue="1" operator="between">
      <formula>5.1</formula>
      <formula>13</formula>
    </cfRule>
    <cfRule type="cellIs" dxfId="7280" priority="2789" stopIfTrue="1" operator="between">
      <formula>0</formula>
      <formula>5</formula>
    </cfRule>
    <cfRule type="containsBlanks" dxfId="7279" priority="2790" stopIfTrue="1">
      <formula>LEN(TRIM(E66))=0</formula>
    </cfRule>
  </conditionalFormatting>
  <conditionalFormatting sqref="E99:J99">
    <cfRule type="containsBlanks" dxfId="7278" priority="2777" stopIfTrue="1">
      <formula>LEN(TRIM(E99))=0</formula>
    </cfRule>
    <cfRule type="cellIs" dxfId="7277" priority="2778" stopIfTrue="1" operator="between">
      <formula>79.1</formula>
      <formula>100</formula>
    </cfRule>
    <cfRule type="cellIs" dxfId="7276" priority="2779" stopIfTrue="1" operator="between">
      <formula>34.1</formula>
      <formula>79</formula>
    </cfRule>
    <cfRule type="cellIs" dxfId="7275" priority="2780" stopIfTrue="1" operator="between">
      <formula>13.1</formula>
      <formula>34</formula>
    </cfRule>
    <cfRule type="cellIs" dxfId="7274" priority="2781" stopIfTrue="1" operator="between">
      <formula>5.1</formula>
      <formula>13</formula>
    </cfRule>
    <cfRule type="cellIs" dxfId="7273" priority="2782" stopIfTrue="1" operator="between">
      <formula>0</formula>
      <formula>5</formula>
    </cfRule>
    <cfRule type="containsBlanks" dxfId="7272" priority="2783" stopIfTrue="1">
      <formula>LEN(TRIM(E99))=0</formula>
    </cfRule>
  </conditionalFormatting>
  <conditionalFormatting sqref="O99">
    <cfRule type="containsBlanks" dxfId="7271" priority="2770" stopIfTrue="1">
      <formula>LEN(TRIM(O99))=0</formula>
    </cfRule>
    <cfRule type="cellIs" dxfId="7270" priority="2771" stopIfTrue="1" operator="between">
      <formula>79.1</formula>
      <formula>100</formula>
    </cfRule>
    <cfRule type="cellIs" dxfId="7269" priority="2772" stopIfTrue="1" operator="between">
      <formula>34.1</formula>
      <formula>79</formula>
    </cfRule>
    <cfRule type="cellIs" dxfId="7268" priority="2773" stopIfTrue="1" operator="between">
      <formula>13.1</formula>
      <formula>34</formula>
    </cfRule>
    <cfRule type="cellIs" dxfId="7267" priority="2774" stopIfTrue="1" operator="between">
      <formula>5.1</formula>
      <formula>13</formula>
    </cfRule>
    <cfRule type="cellIs" dxfId="7266" priority="2775" stopIfTrue="1" operator="between">
      <formula>0</formula>
      <formula>5</formula>
    </cfRule>
    <cfRule type="containsBlanks" dxfId="7265" priority="2776" stopIfTrue="1">
      <formula>LEN(TRIM(O99))=0</formula>
    </cfRule>
  </conditionalFormatting>
  <conditionalFormatting sqref="L80">
    <cfRule type="containsBlanks" dxfId="7264" priority="2742" stopIfTrue="1">
      <formula>LEN(TRIM(L80))=0</formula>
    </cfRule>
    <cfRule type="cellIs" dxfId="7263" priority="2743" stopIfTrue="1" operator="between">
      <formula>80.1</formula>
      <formula>100</formula>
    </cfRule>
    <cfRule type="cellIs" dxfId="7262" priority="2744" stopIfTrue="1" operator="between">
      <formula>35.1</formula>
      <formula>80</formula>
    </cfRule>
    <cfRule type="cellIs" dxfId="7261" priority="2745" stopIfTrue="1" operator="between">
      <formula>14.1</formula>
      <formula>35</formula>
    </cfRule>
    <cfRule type="cellIs" dxfId="7260" priority="2746" stopIfTrue="1" operator="between">
      <formula>5.1</formula>
      <formula>14</formula>
    </cfRule>
    <cfRule type="cellIs" dxfId="7259" priority="2747" stopIfTrue="1" operator="between">
      <formula>0</formula>
      <formula>5</formula>
    </cfRule>
    <cfRule type="containsBlanks" dxfId="7258" priority="2748" stopIfTrue="1">
      <formula>LEN(TRIM(L80))=0</formula>
    </cfRule>
  </conditionalFormatting>
  <conditionalFormatting sqref="I78">
    <cfRule type="containsBlanks" dxfId="7257" priority="2735" stopIfTrue="1">
      <formula>LEN(TRIM(I78))=0</formula>
    </cfRule>
    <cfRule type="cellIs" dxfId="7256" priority="2736" stopIfTrue="1" operator="between">
      <formula>80.1</formula>
      <formula>100</formula>
    </cfRule>
    <cfRule type="cellIs" dxfId="7255" priority="2737" stopIfTrue="1" operator="between">
      <formula>35.1</formula>
      <formula>80</formula>
    </cfRule>
    <cfRule type="cellIs" dxfId="7254" priority="2738" stopIfTrue="1" operator="between">
      <formula>14.1</formula>
      <formula>35</formula>
    </cfRule>
    <cfRule type="cellIs" dxfId="7253" priority="2739" stopIfTrue="1" operator="between">
      <formula>5.1</formula>
      <formula>14</formula>
    </cfRule>
    <cfRule type="cellIs" dxfId="7252" priority="2740" stopIfTrue="1" operator="between">
      <formula>0</formula>
      <formula>5</formula>
    </cfRule>
    <cfRule type="containsBlanks" dxfId="7251" priority="2741" stopIfTrue="1">
      <formula>LEN(TRIM(I78))=0</formula>
    </cfRule>
  </conditionalFormatting>
  <conditionalFormatting sqref="H80">
    <cfRule type="containsBlanks" dxfId="7250" priority="2721" stopIfTrue="1">
      <formula>LEN(TRIM(H80))=0</formula>
    </cfRule>
    <cfRule type="cellIs" dxfId="7249" priority="2722" stopIfTrue="1" operator="between">
      <formula>80.1</formula>
      <formula>100</formula>
    </cfRule>
    <cfRule type="cellIs" dxfId="7248" priority="2723" stopIfTrue="1" operator="between">
      <formula>35.1</formula>
      <formula>80</formula>
    </cfRule>
    <cfRule type="cellIs" dxfId="7247" priority="2724" stopIfTrue="1" operator="between">
      <formula>14.1</formula>
      <formula>35</formula>
    </cfRule>
    <cfRule type="cellIs" dxfId="7246" priority="2725" stopIfTrue="1" operator="between">
      <formula>5.1</formula>
      <formula>14</formula>
    </cfRule>
    <cfRule type="cellIs" dxfId="7245" priority="2726" stopIfTrue="1" operator="between">
      <formula>0</formula>
      <formula>5</formula>
    </cfRule>
    <cfRule type="containsBlanks" dxfId="7244" priority="2727" stopIfTrue="1">
      <formula>LEN(TRIM(H80))=0</formula>
    </cfRule>
  </conditionalFormatting>
  <conditionalFormatting sqref="E79">
    <cfRule type="containsBlanks" dxfId="7243" priority="2714" stopIfTrue="1">
      <formula>LEN(TRIM(E79))=0</formula>
    </cfRule>
    <cfRule type="cellIs" dxfId="7242" priority="2715" stopIfTrue="1" operator="between">
      <formula>80.1</formula>
      <formula>100</formula>
    </cfRule>
    <cfRule type="cellIs" dxfId="7241" priority="2716" stopIfTrue="1" operator="between">
      <formula>35.1</formula>
      <formula>80</formula>
    </cfRule>
    <cfRule type="cellIs" dxfId="7240" priority="2717" stopIfTrue="1" operator="between">
      <formula>14.1</formula>
      <formula>35</formula>
    </cfRule>
    <cfRule type="cellIs" dxfId="7239" priority="2718" stopIfTrue="1" operator="between">
      <formula>5.1</formula>
      <formula>14</formula>
    </cfRule>
    <cfRule type="cellIs" dxfId="7238" priority="2719" stopIfTrue="1" operator="between">
      <formula>0</formula>
      <formula>5</formula>
    </cfRule>
    <cfRule type="containsBlanks" dxfId="7237" priority="2720" stopIfTrue="1">
      <formula>LEN(TRIM(E79))=0</formula>
    </cfRule>
  </conditionalFormatting>
  <conditionalFormatting sqref="E16:P16">
    <cfRule type="containsBlanks" dxfId="7236" priority="2693" stopIfTrue="1">
      <formula>LEN(TRIM(E16))=0</formula>
    </cfRule>
    <cfRule type="cellIs" dxfId="7235" priority="2694" stopIfTrue="1" operator="between">
      <formula>79.1</formula>
      <formula>100</formula>
    </cfRule>
    <cfRule type="cellIs" dxfId="7234" priority="2695" stopIfTrue="1" operator="between">
      <formula>34.1</formula>
      <formula>79</formula>
    </cfRule>
    <cfRule type="cellIs" dxfId="7233" priority="2696" stopIfTrue="1" operator="between">
      <formula>13.1</formula>
      <formula>34</formula>
    </cfRule>
    <cfRule type="cellIs" dxfId="7232" priority="2697" stopIfTrue="1" operator="between">
      <formula>5.1</formula>
      <formula>13</formula>
    </cfRule>
    <cfRule type="cellIs" dxfId="7231" priority="2698" stopIfTrue="1" operator="between">
      <formula>0</formula>
      <formula>5</formula>
    </cfRule>
    <cfRule type="containsBlanks" dxfId="7230" priority="2699" stopIfTrue="1">
      <formula>LEN(TRIM(E16))=0</formula>
    </cfRule>
  </conditionalFormatting>
  <conditionalFormatting sqref="E17:P17">
    <cfRule type="containsBlanks" dxfId="7229" priority="2686" stopIfTrue="1">
      <formula>LEN(TRIM(E17))=0</formula>
    </cfRule>
    <cfRule type="cellIs" dxfId="7228" priority="2687" stopIfTrue="1" operator="between">
      <formula>79.1</formula>
      <formula>100</formula>
    </cfRule>
    <cfRule type="cellIs" dxfId="7227" priority="2688" stopIfTrue="1" operator="between">
      <formula>34.1</formula>
      <formula>79</formula>
    </cfRule>
    <cfRule type="cellIs" dxfId="7226" priority="2689" stopIfTrue="1" operator="between">
      <formula>13.1</formula>
      <formula>34</formula>
    </cfRule>
    <cfRule type="cellIs" dxfId="7225" priority="2690" stopIfTrue="1" operator="between">
      <formula>5.1</formula>
      <formula>13</formula>
    </cfRule>
    <cfRule type="cellIs" dxfId="7224" priority="2691" stopIfTrue="1" operator="between">
      <formula>0</formula>
      <formula>5</formula>
    </cfRule>
    <cfRule type="containsBlanks" dxfId="7223" priority="2692" stopIfTrue="1">
      <formula>LEN(TRIM(E17))=0</formula>
    </cfRule>
  </conditionalFormatting>
  <conditionalFormatting sqref="E28:P28">
    <cfRule type="containsBlanks" dxfId="7222" priority="2651" stopIfTrue="1">
      <formula>LEN(TRIM(E28))=0</formula>
    </cfRule>
    <cfRule type="cellIs" dxfId="7221" priority="2652" stopIfTrue="1" operator="between">
      <formula>80.1</formula>
      <formula>100</formula>
    </cfRule>
    <cfRule type="cellIs" dxfId="7220" priority="2653" stopIfTrue="1" operator="between">
      <formula>35.1</formula>
      <formula>80</formula>
    </cfRule>
    <cfRule type="cellIs" dxfId="7219" priority="2654" stopIfTrue="1" operator="between">
      <formula>14.1</formula>
      <formula>35</formula>
    </cfRule>
    <cfRule type="cellIs" dxfId="7218" priority="2655" stopIfTrue="1" operator="between">
      <formula>5.1</formula>
      <formula>14</formula>
    </cfRule>
    <cfRule type="cellIs" dxfId="7217" priority="2656" stopIfTrue="1" operator="between">
      <formula>0</formula>
      <formula>5</formula>
    </cfRule>
    <cfRule type="containsBlanks" dxfId="7216" priority="2657" stopIfTrue="1">
      <formula>LEN(TRIM(E28))=0</formula>
    </cfRule>
  </conditionalFormatting>
  <conditionalFormatting sqref="Q31">
    <cfRule type="containsBlanks" dxfId="7215" priority="2602" stopIfTrue="1">
      <formula>LEN(TRIM(Q31))=0</formula>
    </cfRule>
    <cfRule type="cellIs" dxfId="7214" priority="2603" stopIfTrue="1" operator="between">
      <formula>80.1</formula>
      <formula>100</formula>
    </cfRule>
    <cfRule type="cellIs" dxfId="7213" priority="2604" stopIfTrue="1" operator="between">
      <formula>35.1</formula>
      <formula>80</formula>
    </cfRule>
    <cfRule type="cellIs" dxfId="7212" priority="2605" stopIfTrue="1" operator="between">
      <formula>14.1</formula>
      <formula>35</formula>
    </cfRule>
    <cfRule type="cellIs" dxfId="7211" priority="2606" stopIfTrue="1" operator="between">
      <formula>5.1</formula>
      <formula>14</formula>
    </cfRule>
    <cfRule type="cellIs" dxfId="7210" priority="2607" stopIfTrue="1" operator="between">
      <formula>0</formula>
      <formula>5</formula>
    </cfRule>
    <cfRule type="containsBlanks" dxfId="7209" priority="2608" stopIfTrue="1">
      <formula>LEN(TRIM(Q31))=0</formula>
    </cfRule>
  </conditionalFormatting>
  <conditionalFormatting sqref="E31:P31">
    <cfRule type="containsBlanks" dxfId="7208" priority="2595" stopIfTrue="1">
      <formula>LEN(TRIM(E31))=0</formula>
    </cfRule>
    <cfRule type="cellIs" dxfId="7207" priority="2596" stopIfTrue="1" operator="between">
      <formula>80.1</formula>
      <formula>100</formula>
    </cfRule>
    <cfRule type="cellIs" dxfId="7206" priority="2597" stopIfTrue="1" operator="between">
      <formula>35.1</formula>
      <formula>80</formula>
    </cfRule>
    <cfRule type="cellIs" dxfId="7205" priority="2598" stopIfTrue="1" operator="between">
      <formula>14.1</formula>
      <formula>35</formula>
    </cfRule>
    <cfRule type="cellIs" dxfId="7204" priority="2599" stopIfTrue="1" operator="between">
      <formula>5.1</formula>
      <formula>14</formula>
    </cfRule>
    <cfRule type="cellIs" dxfId="7203" priority="2600" stopIfTrue="1" operator="between">
      <formula>0</formula>
      <formula>5</formula>
    </cfRule>
    <cfRule type="containsBlanks" dxfId="7202" priority="2601" stopIfTrue="1">
      <formula>LEN(TRIM(E31))=0</formula>
    </cfRule>
  </conditionalFormatting>
  <conditionalFormatting sqref="E30:P30">
    <cfRule type="containsBlanks" dxfId="7201" priority="2574" stopIfTrue="1">
      <formula>LEN(TRIM(E30))=0</formula>
    </cfRule>
    <cfRule type="cellIs" dxfId="7200" priority="2575" stopIfTrue="1" operator="between">
      <formula>80.1</formula>
      <formula>100</formula>
    </cfRule>
    <cfRule type="cellIs" dxfId="7199" priority="2576" stopIfTrue="1" operator="between">
      <formula>35.1</formula>
      <formula>80</formula>
    </cfRule>
    <cfRule type="cellIs" dxfId="7198" priority="2577" stopIfTrue="1" operator="between">
      <formula>14.1</formula>
      <formula>35</formula>
    </cfRule>
    <cfRule type="cellIs" dxfId="7197" priority="2578" stopIfTrue="1" operator="between">
      <formula>5.1</formula>
      <formula>14</formula>
    </cfRule>
    <cfRule type="cellIs" dxfId="7196" priority="2579" stopIfTrue="1" operator="between">
      <formula>0</formula>
      <formula>5</formula>
    </cfRule>
    <cfRule type="containsBlanks" dxfId="7195" priority="2580" stopIfTrue="1">
      <formula>LEN(TRIM(E30))=0</formula>
    </cfRule>
  </conditionalFormatting>
  <conditionalFormatting sqref="E35:P35">
    <cfRule type="containsBlanks" dxfId="7194" priority="2567" stopIfTrue="1">
      <formula>LEN(TRIM(E35))=0</formula>
    </cfRule>
    <cfRule type="cellIs" dxfId="7193" priority="2568" stopIfTrue="1" operator="between">
      <formula>79.1</formula>
      <formula>100</formula>
    </cfRule>
    <cfRule type="cellIs" dxfId="7192" priority="2569" stopIfTrue="1" operator="between">
      <formula>34.1</formula>
      <formula>79</formula>
    </cfRule>
    <cfRule type="cellIs" dxfId="7191" priority="2570" stopIfTrue="1" operator="between">
      <formula>13.1</formula>
      <formula>34</formula>
    </cfRule>
    <cfRule type="cellIs" dxfId="7190" priority="2571" stopIfTrue="1" operator="between">
      <formula>5.1</formula>
      <formula>13</formula>
    </cfRule>
    <cfRule type="cellIs" dxfId="7189" priority="2572" stopIfTrue="1" operator="between">
      <formula>0</formula>
      <formula>5</formula>
    </cfRule>
    <cfRule type="containsBlanks" dxfId="7188" priority="2573" stopIfTrue="1">
      <formula>LEN(TRIM(E35))=0</formula>
    </cfRule>
  </conditionalFormatting>
  <conditionalFormatting sqref="E53:P53">
    <cfRule type="containsBlanks" dxfId="7187" priority="2560" stopIfTrue="1">
      <formula>LEN(TRIM(E53))=0</formula>
    </cfRule>
    <cfRule type="cellIs" dxfId="7186" priority="2561" stopIfTrue="1" operator="between">
      <formula>79.1</formula>
      <formula>100</formula>
    </cfRule>
    <cfRule type="cellIs" dxfId="7185" priority="2562" stopIfTrue="1" operator="between">
      <formula>34.1</formula>
      <formula>79</formula>
    </cfRule>
    <cfRule type="cellIs" dxfId="7184" priority="2563" stopIfTrue="1" operator="between">
      <formula>13.1</formula>
      <formula>34</formula>
    </cfRule>
    <cfRule type="cellIs" dxfId="7183" priority="2564" stopIfTrue="1" operator="between">
      <formula>5.1</formula>
      <formula>13</formula>
    </cfRule>
    <cfRule type="cellIs" dxfId="7182" priority="2565" stopIfTrue="1" operator="between">
      <formula>0</formula>
      <formula>5</formula>
    </cfRule>
    <cfRule type="containsBlanks" dxfId="7181" priority="2566" stopIfTrue="1">
      <formula>LEN(TRIM(E53))=0</formula>
    </cfRule>
  </conditionalFormatting>
  <conditionalFormatting sqref="E55:P55">
    <cfRule type="containsBlanks" dxfId="7180" priority="2553" stopIfTrue="1">
      <formula>LEN(TRIM(E55))=0</formula>
    </cfRule>
    <cfRule type="cellIs" dxfId="7179" priority="2554" stopIfTrue="1" operator="between">
      <formula>79.1</formula>
      <formula>100</formula>
    </cfRule>
    <cfRule type="cellIs" dxfId="7178" priority="2555" stopIfTrue="1" operator="between">
      <formula>34.1</formula>
      <formula>79</formula>
    </cfRule>
    <cfRule type="cellIs" dxfId="7177" priority="2556" stopIfTrue="1" operator="between">
      <formula>13.1</formula>
      <formula>34</formula>
    </cfRule>
    <cfRule type="cellIs" dxfId="7176" priority="2557" stopIfTrue="1" operator="between">
      <formula>5.1</formula>
      <formula>13</formula>
    </cfRule>
    <cfRule type="cellIs" dxfId="7175" priority="2558" stopIfTrue="1" operator="between">
      <formula>0</formula>
      <formula>5</formula>
    </cfRule>
    <cfRule type="containsBlanks" dxfId="7174" priority="2559" stopIfTrue="1">
      <formula>LEN(TRIM(E55))=0</formula>
    </cfRule>
  </conditionalFormatting>
  <conditionalFormatting sqref="E56:P56">
    <cfRule type="containsBlanks" dxfId="7173" priority="2546" stopIfTrue="1">
      <formula>LEN(TRIM(E56))=0</formula>
    </cfRule>
    <cfRule type="cellIs" dxfId="7172" priority="2547" stopIfTrue="1" operator="between">
      <formula>79.1</formula>
      <formula>100</formula>
    </cfRule>
    <cfRule type="cellIs" dxfId="7171" priority="2548" stopIfTrue="1" operator="between">
      <formula>34.1</formula>
      <formula>79</formula>
    </cfRule>
    <cfRule type="cellIs" dxfId="7170" priority="2549" stopIfTrue="1" operator="between">
      <formula>13.1</formula>
      <formula>34</formula>
    </cfRule>
    <cfRule type="cellIs" dxfId="7169" priority="2550" stopIfTrue="1" operator="between">
      <formula>5.1</formula>
      <formula>13</formula>
    </cfRule>
    <cfRule type="cellIs" dxfId="7168" priority="2551" stopIfTrue="1" operator="between">
      <formula>0</formula>
      <formula>5</formula>
    </cfRule>
    <cfRule type="containsBlanks" dxfId="7167" priority="2552" stopIfTrue="1">
      <formula>LEN(TRIM(E56))=0</formula>
    </cfRule>
  </conditionalFormatting>
  <conditionalFormatting sqref="E57:P57">
    <cfRule type="containsBlanks" dxfId="7166" priority="2539" stopIfTrue="1">
      <formula>LEN(TRIM(E57))=0</formula>
    </cfRule>
    <cfRule type="cellIs" dxfId="7165" priority="2540" stopIfTrue="1" operator="between">
      <formula>79.1</formula>
      <formula>100</formula>
    </cfRule>
    <cfRule type="cellIs" dxfId="7164" priority="2541" stopIfTrue="1" operator="between">
      <formula>34.1</formula>
      <formula>79</formula>
    </cfRule>
    <cfRule type="cellIs" dxfId="7163" priority="2542" stopIfTrue="1" operator="between">
      <formula>13.1</formula>
      <formula>34</formula>
    </cfRule>
    <cfRule type="cellIs" dxfId="7162" priority="2543" stopIfTrue="1" operator="between">
      <formula>5.1</formula>
      <formula>13</formula>
    </cfRule>
    <cfRule type="cellIs" dxfId="7161" priority="2544" stopIfTrue="1" operator="between">
      <formula>0</formula>
      <formula>5</formula>
    </cfRule>
    <cfRule type="containsBlanks" dxfId="7160" priority="2545" stopIfTrue="1">
      <formula>LEN(TRIM(E57))=0</formula>
    </cfRule>
  </conditionalFormatting>
  <conditionalFormatting sqref="E58:P58">
    <cfRule type="containsBlanks" dxfId="7159" priority="2532" stopIfTrue="1">
      <formula>LEN(TRIM(E58))=0</formula>
    </cfRule>
    <cfRule type="cellIs" dxfId="7158" priority="2533" stopIfTrue="1" operator="between">
      <formula>79.1</formula>
      <formula>100</formula>
    </cfRule>
    <cfRule type="cellIs" dxfId="7157" priority="2534" stopIfTrue="1" operator="between">
      <formula>34.1</formula>
      <formula>79</formula>
    </cfRule>
    <cfRule type="cellIs" dxfId="7156" priority="2535" stopIfTrue="1" operator="between">
      <formula>13.1</formula>
      <formula>34</formula>
    </cfRule>
    <cfRule type="cellIs" dxfId="7155" priority="2536" stopIfTrue="1" operator="between">
      <formula>5.1</formula>
      <formula>13</formula>
    </cfRule>
    <cfRule type="cellIs" dxfId="7154" priority="2537" stopIfTrue="1" operator="between">
      <formula>0</formula>
      <formula>5</formula>
    </cfRule>
    <cfRule type="containsBlanks" dxfId="7153" priority="2538" stopIfTrue="1">
      <formula>LEN(TRIM(E58))=0</formula>
    </cfRule>
  </conditionalFormatting>
  <conditionalFormatting sqref="E59:P59">
    <cfRule type="containsBlanks" dxfId="7152" priority="2525" stopIfTrue="1">
      <formula>LEN(TRIM(E59))=0</formula>
    </cfRule>
    <cfRule type="cellIs" dxfId="7151" priority="2526" stopIfTrue="1" operator="between">
      <formula>79.1</formula>
      <formula>100</formula>
    </cfRule>
    <cfRule type="cellIs" dxfId="7150" priority="2527" stopIfTrue="1" operator="between">
      <formula>34.1</formula>
      <formula>79</formula>
    </cfRule>
    <cfRule type="cellIs" dxfId="7149" priority="2528" stopIfTrue="1" operator="between">
      <formula>13.1</formula>
      <formula>34</formula>
    </cfRule>
    <cfRule type="cellIs" dxfId="7148" priority="2529" stopIfTrue="1" operator="between">
      <formula>5.1</formula>
      <formula>13</formula>
    </cfRule>
    <cfRule type="cellIs" dxfId="7147" priority="2530" stopIfTrue="1" operator="between">
      <formula>0</formula>
      <formula>5</formula>
    </cfRule>
    <cfRule type="containsBlanks" dxfId="7146" priority="2531" stopIfTrue="1">
      <formula>LEN(TRIM(E59))=0</formula>
    </cfRule>
  </conditionalFormatting>
  <conditionalFormatting sqref="E69:P69">
    <cfRule type="containsBlanks" dxfId="7145" priority="2511" stopIfTrue="1">
      <formula>LEN(TRIM(E69))=0</formula>
    </cfRule>
    <cfRule type="cellIs" dxfId="7144" priority="2512" stopIfTrue="1" operator="between">
      <formula>79.1</formula>
      <formula>100</formula>
    </cfRule>
    <cfRule type="cellIs" dxfId="7143" priority="2513" stopIfTrue="1" operator="between">
      <formula>34.1</formula>
      <formula>79</formula>
    </cfRule>
    <cfRule type="cellIs" dxfId="7142" priority="2514" stopIfTrue="1" operator="between">
      <formula>13.1</formula>
      <formula>34</formula>
    </cfRule>
    <cfRule type="cellIs" dxfId="7141" priority="2515" stopIfTrue="1" operator="between">
      <formula>5.1</formula>
      <formula>13</formula>
    </cfRule>
    <cfRule type="cellIs" dxfId="7140" priority="2516" stopIfTrue="1" operator="between">
      <formula>0</formula>
      <formula>5</formula>
    </cfRule>
    <cfRule type="containsBlanks" dxfId="7139" priority="2517" stopIfTrue="1">
      <formula>LEN(TRIM(E69))=0</formula>
    </cfRule>
  </conditionalFormatting>
  <conditionalFormatting sqref="E70:P70">
    <cfRule type="containsBlanks" dxfId="7138" priority="2497" stopIfTrue="1">
      <formula>LEN(TRIM(E70))=0</formula>
    </cfRule>
    <cfRule type="cellIs" dxfId="7137" priority="2498" stopIfTrue="1" operator="between">
      <formula>79.1</formula>
      <formula>100</formula>
    </cfRule>
    <cfRule type="cellIs" dxfId="7136" priority="2499" stopIfTrue="1" operator="between">
      <formula>34.1</formula>
      <formula>79</formula>
    </cfRule>
    <cfRule type="cellIs" dxfId="7135" priority="2500" stopIfTrue="1" operator="between">
      <formula>13.1</formula>
      <formula>34</formula>
    </cfRule>
    <cfRule type="cellIs" dxfId="7134" priority="2501" stopIfTrue="1" operator="between">
      <formula>5.1</formula>
      <formula>13</formula>
    </cfRule>
    <cfRule type="cellIs" dxfId="7133" priority="2502" stopIfTrue="1" operator="between">
      <formula>0</formula>
      <formula>5</formula>
    </cfRule>
    <cfRule type="containsBlanks" dxfId="7132" priority="2503" stopIfTrue="1">
      <formula>LEN(TRIM(E70))=0</formula>
    </cfRule>
  </conditionalFormatting>
  <conditionalFormatting sqref="E52:P52">
    <cfRule type="containsBlanks" dxfId="7131" priority="2490" stopIfTrue="1">
      <formula>LEN(TRIM(E52))=0</formula>
    </cfRule>
    <cfRule type="cellIs" dxfId="7130" priority="2491" stopIfTrue="1" operator="between">
      <formula>79.1</formula>
      <formula>100</formula>
    </cfRule>
    <cfRule type="cellIs" dxfId="7129" priority="2492" stopIfTrue="1" operator="between">
      <formula>34.1</formula>
      <formula>79</formula>
    </cfRule>
    <cfRule type="cellIs" dxfId="7128" priority="2493" stopIfTrue="1" operator="between">
      <formula>13.1</formula>
      <formula>34</formula>
    </cfRule>
    <cfRule type="cellIs" dxfId="7127" priority="2494" stopIfTrue="1" operator="between">
      <formula>5.1</formula>
      <formula>13</formula>
    </cfRule>
    <cfRule type="cellIs" dxfId="7126" priority="2495" stopIfTrue="1" operator="between">
      <formula>0</formula>
      <formula>5</formula>
    </cfRule>
    <cfRule type="containsBlanks" dxfId="7125" priority="2496" stopIfTrue="1">
      <formula>LEN(TRIM(E52))=0</formula>
    </cfRule>
  </conditionalFormatting>
  <conditionalFormatting sqref="E84:P84">
    <cfRule type="containsBlanks" dxfId="7124" priority="2434" stopIfTrue="1">
      <formula>LEN(TRIM(E84))=0</formula>
    </cfRule>
    <cfRule type="cellIs" dxfId="7123" priority="2435" stopIfTrue="1" operator="between">
      <formula>79.1</formula>
      <formula>100</formula>
    </cfRule>
    <cfRule type="cellIs" dxfId="7122" priority="2436" stopIfTrue="1" operator="between">
      <formula>34.1</formula>
      <formula>79</formula>
    </cfRule>
    <cfRule type="cellIs" dxfId="7121" priority="2437" stopIfTrue="1" operator="between">
      <formula>13.1</formula>
      <formula>34</formula>
    </cfRule>
    <cfRule type="cellIs" dxfId="7120" priority="2438" stopIfTrue="1" operator="between">
      <formula>5.1</formula>
      <formula>13</formula>
    </cfRule>
    <cfRule type="cellIs" dxfId="7119" priority="2439" stopIfTrue="1" operator="between">
      <formula>0</formula>
      <formula>5</formula>
    </cfRule>
    <cfRule type="containsBlanks" dxfId="7118" priority="2440" stopIfTrue="1">
      <formula>LEN(TRIM(E84))=0</formula>
    </cfRule>
  </conditionalFormatting>
  <conditionalFormatting sqref="Q71">
    <cfRule type="containsBlanks" dxfId="7117" priority="2483" stopIfTrue="1">
      <formula>LEN(TRIM(Q71))=0</formula>
    </cfRule>
    <cfRule type="cellIs" dxfId="7116" priority="2484" stopIfTrue="1" operator="between">
      <formula>80.1</formula>
      <formula>100</formula>
    </cfRule>
    <cfRule type="cellIs" dxfId="7115" priority="2485" stopIfTrue="1" operator="between">
      <formula>35.1</formula>
      <formula>80</formula>
    </cfRule>
    <cfRule type="cellIs" dxfId="7114" priority="2486" stopIfTrue="1" operator="between">
      <formula>14.1</formula>
      <formula>35</formula>
    </cfRule>
    <cfRule type="cellIs" dxfId="7113" priority="2487" stopIfTrue="1" operator="between">
      <formula>5.1</formula>
      <formula>14</formula>
    </cfRule>
    <cfRule type="cellIs" dxfId="7112" priority="2488" stopIfTrue="1" operator="between">
      <formula>0</formula>
      <formula>5</formula>
    </cfRule>
    <cfRule type="containsBlanks" dxfId="7111" priority="2489" stopIfTrue="1">
      <formula>LEN(TRIM(Q71))=0</formula>
    </cfRule>
  </conditionalFormatting>
  <conditionalFormatting sqref="E71:P71">
    <cfRule type="containsBlanks" dxfId="7110" priority="2476" stopIfTrue="1">
      <formula>LEN(TRIM(E71))=0</formula>
    </cfRule>
    <cfRule type="cellIs" dxfId="7109" priority="2477" stopIfTrue="1" operator="between">
      <formula>79.1</formula>
      <formula>100</formula>
    </cfRule>
    <cfRule type="cellIs" dxfId="7108" priority="2478" stopIfTrue="1" operator="between">
      <formula>34.1</formula>
      <formula>79</formula>
    </cfRule>
    <cfRule type="cellIs" dxfId="7107" priority="2479" stopIfTrue="1" operator="between">
      <formula>13.1</formula>
      <formula>34</formula>
    </cfRule>
    <cfRule type="cellIs" dxfId="7106" priority="2480" stopIfTrue="1" operator="between">
      <formula>5.1</formula>
      <formula>13</formula>
    </cfRule>
    <cfRule type="cellIs" dxfId="7105" priority="2481" stopIfTrue="1" operator="between">
      <formula>0</formula>
      <formula>5</formula>
    </cfRule>
    <cfRule type="containsBlanks" dxfId="7104" priority="2482" stopIfTrue="1">
      <formula>LEN(TRIM(E71))=0</formula>
    </cfRule>
  </conditionalFormatting>
  <conditionalFormatting sqref="E87:P87">
    <cfRule type="containsBlanks" dxfId="7103" priority="2427" stopIfTrue="1">
      <formula>LEN(TRIM(E87))=0</formula>
    </cfRule>
    <cfRule type="cellIs" dxfId="7102" priority="2428" stopIfTrue="1" operator="between">
      <formula>79.1</formula>
      <formula>100</formula>
    </cfRule>
    <cfRule type="cellIs" dxfId="7101" priority="2429" stopIfTrue="1" operator="between">
      <formula>34.1</formula>
      <formula>79</formula>
    </cfRule>
    <cfRule type="cellIs" dxfId="7100" priority="2430" stopIfTrue="1" operator="between">
      <formula>13.1</formula>
      <formula>34</formula>
    </cfRule>
    <cfRule type="cellIs" dxfId="7099" priority="2431" stopIfTrue="1" operator="between">
      <formula>5.1</formula>
      <formula>13</formula>
    </cfRule>
    <cfRule type="cellIs" dxfId="7098" priority="2432" stopIfTrue="1" operator="between">
      <formula>0</formula>
      <formula>5</formula>
    </cfRule>
    <cfRule type="containsBlanks" dxfId="7097" priority="2433" stopIfTrue="1">
      <formula>LEN(TRIM(E87))=0</formula>
    </cfRule>
  </conditionalFormatting>
  <conditionalFormatting sqref="E72:P72">
    <cfRule type="containsBlanks" dxfId="7096" priority="2455" stopIfTrue="1">
      <formula>LEN(TRIM(E72))=0</formula>
    </cfRule>
    <cfRule type="cellIs" dxfId="7095" priority="2456" stopIfTrue="1" operator="between">
      <formula>79.1</formula>
      <formula>100</formula>
    </cfRule>
    <cfRule type="cellIs" dxfId="7094" priority="2457" stopIfTrue="1" operator="between">
      <formula>34.1</formula>
      <formula>79</formula>
    </cfRule>
    <cfRule type="cellIs" dxfId="7093" priority="2458" stopIfTrue="1" operator="between">
      <formula>13.1</formula>
      <formula>34</formula>
    </cfRule>
    <cfRule type="cellIs" dxfId="7092" priority="2459" stopIfTrue="1" operator="between">
      <formula>5.1</formula>
      <formula>13</formula>
    </cfRule>
    <cfRule type="cellIs" dxfId="7091" priority="2460" stopIfTrue="1" operator="between">
      <formula>0</formula>
      <formula>5</formula>
    </cfRule>
    <cfRule type="containsBlanks" dxfId="7090" priority="2461" stopIfTrue="1">
      <formula>LEN(TRIM(E72))=0</formula>
    </cfRule>
  </conditionalFormatting>
  <conditionalFormatting sqref="E81:P81">
    <cfRule type="containsBlanks" dxfId="7089" priority="2448" stopIfTrue="1">
      <formula>LEN(TRIM(E81))=0</formula>
    </cfRule>
    <cfRule type="cellIs" dxfId="7088" priority="2449" stopIfTrue="1" operator="between">
      <formula>79.1</formula>
      <formula>100</formula>
    </cfRule>
    <cfRule type="cellIs" dxfId="7087" priority="2450" stopIfTrue="1" operator="between">
      <formula>34.1</formula>
      <formula>79</formula>
    </cfRule>
    <cfRule type="cellIs" dxfId="7086" priority="2451" stopIfTrue="1" operator="between">
      <formula>13.1</formula>
      <formula>34</formula>
    </cfRule>
    <cfRule type="cellIs" dxfId="7085" priority="2452" stopIfTrue="1" operator="between">
      <formula>5.1</formula>
      <formula>13</formula>
    </cfRule>
    <cfRule type="cellIs" dxfId="7084" priority="2453" stopIfTrue="1" operator="between">
      <formula>0</formula>
      <formula>5</formula>
    </cfRule>
    <cfRule type="containsBlanks" dxfId="7083" priority="2454" stopIfTrue="1">
      <formula>LEN(TRIM(E81))=0</formula>
    </cfRule>
  </conditionalFormatting>
  <conditionalFormatting sqref="E83:P83">
    <cfRule type="containsBlanks" dxfId="7082" priority="2441" stopIfTrue="1">
      <formula>LEN(TRIM(E83))=0</formula>
    </cfRule>
    <cfRule type="cellIs" dxfId="7081" priority="2442" stopIfTrue="1" operator="between">
      <formula>79.1</formula>
      <formula>100</formula>
    </cfRule>
    <cfRule type="cellIs" dxfId="7080" priority="2443" stopIfTrue="1" operator="between">
      <formula>34.1</formula>
      <formula>79</formula>
    </cfRule>
    <cfRule type="cellIs" dxfId="7079" priority="2444" stopIfTrue="1" operator="between">
      <formula>13.1</formula>
      <formula>34</formula>
    </cfRule>
    <cfRule type="cellIs" dxfId="7078" priority="2445" stopIfTrue="1" operator="between">
      <formula>5.1</formula>
      <formula>13</formula>
    </cfRule>
    <cfRule type="cellIs" dxfId="7077" priority="2446" stopIfTrue="1" operator="between">
      <formula>0</formula>
      <formula>5</formula>
    </cfRule>
    <cfRule type="containsBlanks" dxfId="7076" priority="2447" stopIfTrue="1">
      <formula>LEN(TRIM(E83))=0</formula>
    </cfRule>
  </conditionalFormatting>
  <conditionalFormatting sqref="Q86">
    <cfRule type="containsBlanks" dxfId="7075" priority="2420" stopIfTrue="1">
      <formula>LEN(TRIM(Q86))=0</formula>
    </cfRule>
    <cfRule type="cellIs" dxfId="7074" priority="2421" stopIfTrue="1" operator="between">
      <formula>80.1</formula>
      <formula>100</formula>
    </cfRule>
    <cfRule type="cellIs" dxfId="7073" priority="2422" stopIfTrue="1" operator="between">
      <formula>35.1</formula>
      <formula>80</formula>
    </cfRule>
    <cfRule type="cellIs" dxfId="7072" priority="2423" stopIfTrue="1" operator="between">
      <formula>14.1</formula>
      <formula>35</formula>
    </cfRule>
    <cfRule type="cellIs" dxfId="7071" priority="2424" stopIfTrue="1" operator="between">
      <formula>5.1</formula>
      <formula>14</formula>
    </cfRule>
    <cfRule type="cellIs" dxfId="7070" priority="2425" stopIfTrue="1" operator="between">
      <formula>0</formula>
      <formula>5</formula>
    </cfRule>
    <cfRule type="containsBlanks" dxfId="7069" priority="2426" stopIfTrue="1">
      <formula>LEN(TRIM(Q86))=0</formula>
    </cfRule>
  </conditionalFormatting>
  <conditionalFormatting sqref="Q85">
    <cfRule type="containsBlanks" dxfId="7068" priority="2413" stopIfTrue="1">
      <formula>LEN(TRIM(Q85))=0</formula>
    </cfRule>
    <cfRule type="cellIs" dxfId="7067" priority="2414" stopIfTrue="1" operator="between">
      <formula>80.1</formula>
      <formula>100</formula>
    </cfRule>
    <cfRule type="cellIs" dxfId="7066" priority="2415" stopIfTrue="1" operator="between">
      <formula>35.1</formula>
      <formula>80</formula>
    </cfRule>
    <cfRule type="cellIs" dxfId="7065" priority="2416" stopIfTrue="1" operator="between">
      <formula>14.1</formula>
      <formula>35</formula>
    </cfRule>
    <cfRule type="cellIs" dxfId="7064" priority="2417" stopIfTrue="1" operator="between">
      <formula>5.1</formula>
      <formula>14</formula>
    </cfRule>
    <cfRule type="cellIs" dxfId="7063" priority="2418" stopIfTrue="1" operator="between">
      <formula>0</formula>
      <formula>5</formula>
    </cfRule>
    <cfRule type="containsBlanks" dxfId="7062" priority="2419" stopIfTrue="1">
      <formula>LEN(TRIM(Q85))=0</formula>
    </cfRule>
  </conditionalFormatting>
  <conditionalFormatting sqref="E85:P85">
    <cfRule type="containsBlanks" dxfId="7061" priority="2406" stopIfTrue="1">
      <formula>LEN(TRIM(E85))=0</formula>
    </cfRule>
    <cfRule type="cellIs" dxfId="7060" priority="2407" stopIfTrue="1" operator="between">
      <formula>79.1</formula>
      <formula>100</formula>
    </cfRule>
    <cfRule type="cellIs" dxfId="7059" priority="2408" stopIfTrue="1" operator="between">
      <formula>34.1</formula>
      <formula>79</formula>
    </cfRule>
    <cfRule type="cellIs" dxfId="7058" priority="2409" stopIfTrue="1" operator="between">
      <formula>13.1</formula>
      <formula>34</formula>
    </cfRule>
    <cfRule type="cellIs" dxfId="7057" priority="2410" stopIfTrue="1" operator="between">
      <formula>5.1</formula>
      <formula>13</formula>
    </cfRule>
    <cfRule type="cellIs" dxfId="7056" priority="2411" stopIfTrue="1" operator="between">
      <formula>0</formula>
      <formula>5</formula>
    </cfRule>
    <cfRule type="containsBlanks" dxfId="7055" priority="2412" stopIfTrue="1">
      <formula>LEN(TRIM(E85))=0</formula>
    </cfRule>
  </conditionalFormatting>
  <conditionalFormatting sqref="E86:P86">
    <cfRule type="containsBlanks" dxfId="7054" priority="2399" stopIfTrue="1">
      <formula>LEN(TRIM(E86))=0</formula>
    </cfRule>
    <cfRule type="cellIs" dxfId="7053" priority="2400" stopIfTrue="1" operator="between">
      <formula>79.1</formula>
      <formula>100</formula>
    </cfRule>
    <cfRule type="cellIs" dxfId="7052" priority="2401" stopIfTrue="1" operator="between">
      <formula>34.1</formula>
      <formula>79</formula>
    </cfRule>
    <cfRule type="cellIs" dxfId="7051" priority="2402" stopIfTrue="1" operator="between">
      <formula>13.1</formula>
      <formula>34</formula>
    </cfRule>
    <cfRule type="cellIs" dxfId="7050" priority="2403" stopIfTrue="1" operator="between">
      <formula>5.1</formula>
      <formula>13</formula>
    </cfRule>
    <cfRule type="cellIs" dxfId="7049" priority="2404" stopIfTrue="1" operator="between">
      <formula>0</formula>
      <formula>5</formula>
    </cfRule>
    <cfRule type="containsBlanks" dxfId="7048" priority="2405" stopIfTrue="1">
      <formula>LEN(TRIM(E86))=0</formula>
    </cfRule>
  </conditionalFormatting>
  <conditionalFormatting sqref="E88:P88">
    <cfRule type="containsBlanks" dxfId="7047" priority="2392" stopIfTrue="1">
      <formula>LEN(TRIM(E88))=0</formula>
    </cfRule>
    <cfRule type="cellIs" dxfId="7046" priority="2393" stopIfTrue="1" operator="between">
      <formula>79.1</formula>
      <formula>100</formula>
    </cfRule>
    <cfRule type="cellIs" dxfId="7045" priority="2394" stopIfTrue="1" operator="between">
      <formula>34.1</formula>
      <formula>79</formula>
    </cfRule>
    <cfRule type="cellIs" dxfId="7044" priority="2395" stopIfTrue="1" operator="between">
      <formula>13.1</formula>
      <formula>34</formula>
    </cfRule>
    <cfRule type="cellIs" dxfId="7043" priority="2396" stopIfTrue="1" operator="between">
      <formula>5.1</formula>
      <formula>13</formula>
    </cfRule>
    <cfRule type="cellIs" dxfId="7042" priority="2397" stopIfTrue="1" operator="between">
      <formula>0</formula>
      <formula>5</formula>
    </cfRule>
    <cfRule type="containsBlanks" dxfId="7041" priority="2398" stopIfTrue="1">
      <formula>LEN(TRIM(E88))=0</formula>
    </cfRule>
  </conditionalFormatting>
  <conditionalFormatting sqref="E93:P93 E95:K95">
    <cfRule type="containsBlanks" dxfId="7040" priority="2378" stopIfTrue="1">
      <formula>LEN(TRIM(E93))=0</formula>
    </cfRule>
    <cfRule type="cellIs" dxfId="7039" priority="2379" stopIfTrue="1" operator="between">
      <formula>79.1</formula>
      <formula>100</formula>
    </cfRule>
    <cfRule type="cellIs" dxfId="7038" priority="2380" stopIfTrue="1" operator="between">
      <formula>34.1</formula>
      <formula>79</formula>
    </cfRule>
    <cfRule type="cellIs" dxfId="7037" priority="2381" stopIfTrue="1" operator="between">
      <formula>13.1</formula>
      <formula>34</formula>
    </cfRule>
    <cfRule type="cellIs" dxfId="7036" priority="2382" stopIfTrue="1" operator="between">
      <formula>5.1</formula>
      <formula>13</formula>
    </cfRule>
    <cfRule type="cellIs" dxfId="7035" priority="2383" stopIfTrue="1" operator="between">
      <formula>0</formula>
      <formula>5</formula>
    </cfRule>
    <cfRule type="containsBlanks" dxfId="7034" priority="2384" stopIfTrue="1">
      <formula>LEN(TRIM(E93))=0</formula>
    </cfRule>
  </conditionalFormatting>
  <conditionalFormatting sqref="E96:P96">
    <cfRule type="containsBlanks" dxfId="7033" priority="2371" stopIfTrue="1">
      <formula>LEN(TRIM(E96))=0</formula>
    </cfRule>
    <cfRule type="cellIs" dxfId="7032" priority="2372" stopIfTrue="1" operator="between">
      <formula>79.1</formula>
      <formula>100</formula>
    </cfRule>
    <cfRule type="cellIs" dxfId="7031" priority="2373" stopIfTrue="1" operator="between">
      <formula>34.1</formula>
      <formula>79</formula>
    </cfRule>
    <cfRule type="cellIs" dxfId="7030" priority="2374" stopIfTrue="1" operator="between">
      <formula>13.1</formula>
      <formula>34</formula>
    </cfRule>
    <cfRule type="cellIs" dxfId="7029" priority="2375" stopIfTrue="1" operator="between">
      <formula>5.1</formula>
      <formula>13</formula>
    </cfRule>
    <cfRule type="cellIs" dxfId="7028" priority="2376" stopIfTrue="1" operator="between">
      <formula>0</formula>
      <formula>5</formula>
    </cfRule>
    <cfRule type="containsBlanks" dxfId="7027" priority="2377" stopIfTrue="1">
      <formula>LEN(TRIM(E96))=0</formula>
    </cfRule>
  </conditionalFormatting>
  <conditionalFormatting sqref="E97:P97">
    <cfRule type="containsBlanks" dxfId="7026" priority="2364" stopIfTrue="1">
      <formula>LEN(TRIM(E97))=0</formula>
    </cfRule>
    <cfRule type="cellIs" dxfId="7025" priority="2365" stopIfTrue="1" operator="between">
      <formula>79.1</formula>
      <formula>100</formula>
    </cfRule>
    <cfRule type="cellIs" dxfId="7024" priority="2366" stopIfTrue="1" operator="between">
      <formula>34.1</formula>
      <formula>79</formula>
    </cfRule>
    <cfRule type="cellIs" dxfId="7023" priority="2367" stopIfTrue="1" operator="between">
      <formula>13.1</formula>
      <formula>34</formula>
    </cfRule>
    <cfRule type="cellIs" dxfId="7022" priority="2368" stopIfTrue="1" operator="between">
      <formula>5.1</formula>
      <formula>13</formula>
    </cfRule>
    <cfRule type="cellIs" dxfId="7021" priority="2369" stopIfTrue="1" operator="between">
      <formula>0</formula>
      <formula>5</formula>
    </cfRule>
    <cfRule type="containsBlanks" dxfId="7020" priority="2370" stopIfTrue="1">
      <formula>LEN(TRIM(E97))=0</formula>
    </cfRule>
  </conditionalFormatting>
  <conditionalFormatting sqref="E98:P98">
    <cfRule type="containsBlanks" dxfId="7019" priority="2357" stopIfTrue="1">
      <formula>LEN(TRIM(E98))=0</formula>
    </cfRule>
    <cfRule type="cellIs" dxfId="7018" priority="2358" stopIfTrue="1" operator="between">
      <formula>79.1</formula>
      <formula>100</formula>
    </cfRule>
    <cfRule type="cellIs" dxfId="7017" priority="2359" stopIfTrue="1" operator="between">
      <formula>34.1</formula>
      <formula>79</formula>
    </cfRule>
    <cfRule type="cellIs" dxfId="7016" priority="2360" stopIfTrue="1" operator="between">
      <formula>13.1</formula>
      <formula>34</formula>
    </cfRule>
    <cfRule type="cellIs" dxfId="7015" priority="2361" stopIfTrue="1" operator="between">
      <formula>5.1</formula>
      <formula>13</formula>
    </cfRule>
    <cfRule type="cellIs" dxfId="7014" priority="2362" stopIfTrue="1" operator="between">
      <formula>0</formula>
      <formula>5</formula>
    </cfRule>
    <cfRule type="containsBlanks" dxfId="7013" priority="2363" stopIfTrue="1">
      <formula>LEN(TRIM(E98))=0</formula>
    </cfRule>
  </conditionalFormatting>
  <conditionalFormatting sqref="E100:P100">
    <cfRule type="containsBlanks" dxfId="7012" priority="2336" stopIfTrue="1">
      <formula>LEN(TRIM(E100))=0</formula>
    </cfRule>
    <cfRule type="cellIs" dxfId="7011" priority="2337" stopIfTrue="1" operator="between">
      <formula>79.1</formula>
      <formula>100</formula>
    </cfRule>
    <cfRule type="cellIs" dxfId="7010" priority="2338" stopIfTrue="1" operator="between">
      <formula>34.1</formula>
      <formula>79</formula>
    </cfRule>
    <cfRule type="cellIs" dxfId="7009" priority="2339" stopIfTrue="1" operator="between">
      <formula>13.1</formula>
      <formula>34</formula>
    </cfRule>
    <cfRule type="cellIs" dxfId="7008" priority="2340" stopIfTrue="1" operator="between">
      <formula>5.1</formula>
      <formula>13</formula>
    </cfRule>
    <cfRule type="cellIs" dxfId="7007" priority="2341" stopIfTrue="1" operator="between">
      <formula>0</formula>
      <formula>5</formula>
    </cfRule>
    <cfRule type="containsBlanks" dxfId="7006" priority="2342" stopIfTrue="1">
      <formula>LEN(TRIM(E100))=0</formula>
    </cfRule>
  </conditionalFormatting>
  <conditionalFormatting sqref="E101:P101">
    <cfRule type="containsBlanks" dxfId="7005" priority="2329" stopIfTrue="1">
      <formula>LEN(TRIM(E101))=0</formula>
    </cfRule>
    <cfRule type="cellIs" dxfId="7004" priority="2330" stopIfTrue="1" operator="between">
      <formula>79.1</formula>
      <formula>100</formula>
    </cfRule>
    <cfRule type="cellIs" dxfId="7003" priority="2331" stopIfTrue="1" operator="between">
      <formula>34.1</formula>
      <formula>79</formula>
    </cfRule>
    <cfRule type="cellIs" dxfId="7002" priority="2332" stopIfTrue="1" operator="between">
      <formula>13.1</formula>
      <formula>34</formula>
    </cfRule>
    <cfRule type="cellIs" dxfId="7001" priority="2333" stopIfTrue="1" operator="between">
      <formula>5.1</formula>
      <formula>13</formula>
    </cfRule>
    <cfRule type="cellIs" dxfId="7000" priority="2334" stopIfTrue="1" operator="between">
      <formula>0</formula>
      <formula>5</formula>
    </cfRule>
    <cfRule type="containsBlanks" dxfId="6999" priority="2335" stopIfTrue="1">
      <formula>LEN(TRIM(E101))=0</formula>
    </cfRule>
  </conditionalFormatting>
  <conditionalFormatting sqref="E102:K102">
    <cfRule type="containsBlanks" dxfId="6998" priority="2287" stopIfTrue="1">
      <formula>LEN(TRIM(E102))=0</formula>
    </cfRule>
    <cfRule type="cellIs" dxfId="6997" priority="2288" stopIfTrue="1" operator="between">
      <formula>79.1</formula>
      <formula>100</formula>
    </cfRule>
    <cfRule type="cellIs" dxfId="6996" priority="2289" stopIfTrue="1" operator="between">
      <formula>34.1</formula>
      <formula>79</formula>
    </cfRule>
    <cfRule type="cellIs" dxfId="6995" priority="2290" stopIfTrue="1" operator="between">
      <formula>13.1</formula>
      <formula>34</formula>
    </cfRule>
    <cfRule type="cellIs" dxfId="6994" priority="2291" stopIfTrue="1" operator="between">
      <formula>5.1</formula>
      <formula>13</formula>
    </cfRule>
    <cfRule type="cellIs" dxfId="6993" priority="2292" stopIfTrue="1" operator="between">
      <formula>0</formula>
      <formula>5</formula>
    </cfRule>
    <cfRule type="containsBlanks" dxfId="6992" priority="2293" stopIfTrue="1">
      <formula>LEN(TRIM(E102))=0</formula>
    </cfRule>
  </conditionalFormatting>
  <conditionalFormatting sqref="L102:P102">
    <cfRule type="containsBlanks" dxfId="6991" priority="2294" stopIfTrue="1">
      <formula>LEN(TRIM(L102))=0</formula>
    </cfRule>
    <cfRule type="cellIs" dxfId="6990" priority="2295" stopIfTrue="1" operator="between">
      <formula>79.1</formula>
      <formula>100</formula>
    </cfRule>
    <cfRule type="cellIs" dxfId="6989" priority="2296" stopIfTrue="1" operator="between">
      <formula>34.1</formula>
      <formula>79</formula>
    </cfRule>
    <cfRule type="cellIs" dxfId="6988" priority="2297" stopIfTrue="1" operator="between">
      <formula>13.1</formula>
      <formula>34</formula>
    </cfRule>
    <cfRule type="cellIs" dxfId="6987" priority="2298" stopIfTrue="1" operator="between">
      <formula>5.1</formula>
      <formula>13</formula>
    </cfRule>
    <cfRule type="cellIs" dxfId="6986" priority="2299" stopIfTrue="1" operator="between">
      <formula>0</formula>
      <formula>5</formula>
    </cfRule>
    <cfRule type="containsBlanks" dxfId="6985" priority="2300" stopIfTrue="1">
      <formula>LEN(TRIM(L102))=0</formula>
    </cfRule>
  </conditionalFormatting>
  <conditionalFormatting sqref="F23:Q23">
    <cfRule type="containsBlanks" dxfId="6984" priority="2252" stopIfTrue="1">
      <formula>LEN(TRIM(F23))=0</formula>
    </cfRule>
    <cfRule type="cellIs" dxfId="6983" priority="2253" stopIfTrue="1" operator="between">
      <formula>80.1</formula>
      <formula>100</formula>
    </cfRule>
    <cfRule type="cellIs" dxfId="6982" priority="2254" stopIfTrue="1" operator="between">
      <formula>35.1</formula>
      <formula>80</formula>
    </cfRule>
    <cfRule type="cellIs" dxfId="6981" priority="2255" stopIfTrue="1" operator="between">
      <formula>14.1</formula>
      <formula>35</formula>
    </cfRule>
    <cfRule type="cellIs" dxfId="6980" priority="2256" stopIfTrue="1" operator="between">
      <formula>5.1</formula>
      <formula>14</formula>
    </cfRule>
    <cfRule type="cellIs" dxfId="6979" priority="2257" stopIfTrue="1" operator="between">
      <formula>0</formula>
      <formula>5</formula>
    </cfRule>
    <cfRule type="containsBlanks" dxfId="6978" priority="2258" stopIfTrue="1">
      <formula>LEN(TRIM(F23))=0</formula>
    </cfRule>
  </conditionalFormatting>
  <conditionalFormatting sqref="E23">
    <cfRule type="containsBlanks" dxfId="6977" priority="2245" stopIfTrue="1">
      <formula>LEN(TRIM(E23))=0</formula>
    </cfRule>
    <cfRule type="cellIs" dxfId="6976" priority="2246" stopIfTrue="1" operator="between">
      <formula>80.1</formula>
      <formula>100</formula>
    </cfRule>
    <cfRule type="cellIs" dxfId="6975" priority="2247" stopIfTrue="1" operator="between">
      <formula>35.1</formula>
      <formula>80</formula>
    </cfRule>
    <cfRule type="cellIs" dxfId="6974" priority="2248" stopIfTrue="1" operator="between">
      <formula>14.1</formula>
      <formula>35</formula>
    </cfRule>
    <cfRule type="cellIs" dxfId="6973" priority="2249" stopIfTrue="1" operator="between">
      <formula>5.1</formula>
      <formula>14</formula>
    </cfRule>
    <cfRule type="cellIs" dxfId="6972" priority="2250" stopIfTrue="1" operator="between">
      <formula>0</formula>
      <formula>5</formula>
    </cfRule>
    <cfRule type="containsBlanks" dxfId="6971" priority="2251" stopIfTrue="1">
      <formula>LEN(TRIM(E23))=0</formula>
    </cfRule>
  </conditionalFormatting>
  <conditionalFormatting sqref="F25:Q25">
    <cfRule type="containsBlanks" dxfId="6970" priority="2238" stopIfTrue="1">
      <formula>LEN(TRIM(F25))=0</formula>
    </cfRule>
    <cfRule type="cellIs" dxfId="6969" priority="2239" stopIfTrue="1" operator="between">
      <formula>80.1</formula>
      <formula>100</formula>
    </cfRule>
    <cfRule type="cellIs" dxfId="6968" priority="2240" stopIfTrue="1" operator="between">
      <formula>35.1</formula>
      <formula>80</formula>
    </cfRule>
    <cfRule type="cellIs" dxfId="6967" priority="2241" stopIfTrue="1" operator="between">
      <formula>14.1</formula>
      <formula>35</formula>
    </cfRule>
    <cfRule type="cellIs" dxfId="6966" priority="2242" stopIfTrue="1" operator="between">
      <formula>5.1</formula>
      <formula>14</formula>
    </cfRule>
    <cfRule type="cellIs" dxfId="6965" priority="2243" stopIfTrue="1" operator="between">
      <formula>0</formula>
      <formula>5</formula>
    </cfRule>
    <cfRule type="containsBlanks" dxfId="6964" priority="2244" stopIfTrue="1">
      <formula>LEN(TRIM(F25))=0</formula>
    </cfRule>
  </conditionalFormatting>
  <conditionalFormatting sqref="E25">
    <cfRule type="containsBlanks" dxfId="6963" priority="2231" stopIfTrue="1">
      <formula>LEN(TRIM(E25))=0</formula>
    </cfRule>
    <cfRule type="cellIs" dxfId="6962" priority="2232" stopIfTrue="1" operator="between">
      <formula>80.1</formula>
      <formula>100</formula>
    </cfRule>
    <cfRule type="cellIs" dxfId="6961" priority="2233" stopIfTrue="1" operator="between">
      <formula>35.1</formula>
      <formula>80</formula>
    </cfRule>
    <cfRule type="cellIs" dxfId="6960" priority="2234" stopIfTrue="1" operator="between">
      <formula>14.1</formula>
      <formula>35</formula>
    </cfRule>
    <cfRule type="cellIs" dxfId="6959" priority="2235" stopIfTrue="1" operator="between">
      <formula>5.1</formula>
      <formula>14</formula>
    </cfRule>
    <cfRule type="cellIs" dxfId="6958" priority="2236" stopIfTrue="1" operator="between">
      <formula>0</formula>
      <formula>5</formula>
    </cfRule>
    <cfRule type="containsBlanks" dxfId="6957" priority="2237" stopIfTrue="1">
      <formula>LEN(TRIM(E25))=0</formula>
    </cfRule>
  </conditionalFormatting>
  <conditionalFormatting sqref="Q60">
    <cfRule type="containsBlanks" dxfId="6956" priority="2161" stopIfTrue="1">
      <formula>LEN(TRIM(Q60))=0</formula>
    </cfRule>
    <cfRule type="cellIs" dxfId="6955" priority="2162" stopIfTrue="1" operator="between">
      <formula>80.1</formula>
      <formula>100</formula>
    </cfRule>
    <cfRule type="cellIs" dxfId="6954" priority="2163" stopIfTrue="1" operator="between">
      <formula>35.1</formula>
      <formula>80</formula>
    </cfRule>
    <cfRule type="cellIs" dxfId="6953" priority="2164" stopIfTrue="1" operator="between">
      <formula>14.1</formula>
      <formula>35</formula>
    </cfRule>
    <cfRule type="cellIs" dxfId="6952" priority="2165" stopIfTrue="1" operator="between">
      <formula>5.1</formula>
      <formula>14</formula>
    </cfRule>
    <cfRule type="cellIs" dxfId="6951" priority="2166" stopIfTrue="1" operator="between">
      <formula>0</formula>
      <formula>5</formula>
    </cfRule>
    <cfRule type="containsBlanks" dxfId="6950" priority="2167" stopIfTrue="1">
      <formula>LEN(TRIM(Q60))=0</formula>
    </cfRule>
  </conditionalFormatting>
  <conditionalFormatting sqref="E60:J60">
    <cfRule type="containsBlanks" dxfId="6949" priority="2154" stopIfTrue="1">
      <formula>LEN(TRIM(E60))=0</formula>
    </cfRule>
    <cfRule type="cellIs" dxfId="6948" priority="2155" stopIfTrue="1" operator="between">
      <formula>79.1</formula>
      <formula>100</formula>
    </cfRule>
    <cfRule type="cellIs" dxfId="6947" priority="2156" stopIfTrue="1" operator="between">
      <formula>34.1</formula>
      <formula>79</formula>
    </cfRule>
    <cfRule type="cellIs" dxfId="6946" priority="2157" stopIfTrue="1" operator="between">
      <formula>13.1</formula>
      <formula>34</formula>
    </cfRule>
    <cfRule type="cellIs" dxfId="6945" priority="2158" stopIfTrue="1" operator="between">
      <formula>5.1</formula>
      <formula>13</formula>
    </cfRule>
    <cfRule type="cellIs" dxfId="6944" priority="2159" stopIfTrue="1" operator="between">
      <formula>0</formula>
      <formula>5</formula>
    </cfRule>
    <cfRule type="containsBlanks" dxfId="6943" priority="2160" stopIfTrue="1">
      <formula>LEN(TRIM(E60))=0</formula>
    </cfRule>
  </conditionalFormatting>
  <conditionalFormatting sqref="Q61">
    <cfRule type="containsBlanks" dxfId="6942" priority="2133" stopIfTrue="1">
      <formula>LEN(TRIM(Q61))=0</formula>
    </cfRule>
    <cfRule type="cellIs" dxfId="6941" priority="2134" stopIfTrue="1" operator="between">
      <formula>80.1</formula>
      <formula>100</formula>
    </cfRule>
    <cfRule type="cellIs" dxfId="6940" priority="2135" stopIfTrue="1" operator="between">
      <formula>35.1</formula>
      <formula>80</formula>
    </cfRule>
    <cfRule type="cellIs" dxfId="6939" priority="2136" stopIfTrue="1" operator="between">
      <formula>14.1</formula>
      <formula>35</formula>
    </cfRule>
    <cfRule type="cellIs" dxfId="6938" priority="2137" stopIfTrue="1" operator="between">
      <formula>5.1</formula>
      <formula>14</formula>
    </cfRule>
    <cfRule type="cellIs" dxfId="6937" priority="2138" stopIfTrue="1" operator="between">
      <formula>0</formula>
      <formula>5</formula>
    </cfRule>
    <cfRule type="containsBlanks" dxfId="6936" priority="2139" stopIfTrue="1">
      <formula>LEN(TRIM(Q61))=0</formula>
    </cfRule>
  </conditionalFormatting>
  <conditionalFormatting sqref="E61:J61">
    <cfRule type="containsBlanks" dxfId="6935" priority="2126" stopIfTrue="1">
      <formula>LEN(TRIM(E61))=0</formula>
    </cfRule>
    <cfRule type="cellIs" dxfId="6934" priority="2127" stopIfTrue="1" operator="between">
      <formula>79.1</formula>
      <formula>100</formula>
    </cfRule>
    <cfRule type="cellIs" dxfId="6933" priority="2128" stopIfTrue="1" operator="between">
      <formula>34.1</formula>
      <formula>79</formula>
    </cfRule>
    <cfRule type="cellIs" dxfId="6932" priority="2129" stopIfTrue="1" operator="between">
      <formula>13.1</formula>
      <formula>34</formula>
    </cfRule>
    <cfRule type="cellIs" dxfId="6931" priority="2130" stopIfTrue="1" operator="between">
      <formula>5.1</formula>
      <formula>13</formula>
    </cfRule>
    <cfRule type="cellIs" dxfId="6930" priority="2131" stopIfTrue="1" operator="between">
      <formula>0</formula>
      <formula>5</formula>
    </cfRule>
    <cfRule type="containsBlanks" dxfId="6929" priority="2132" stopIfTrue="1">
      <formula>LEN(TRIM(E61))=0</formula>
    </cfRule>
  </conditionalFormatting>
  <conditionalFormatting sqref="Q62">
    <cfRule type="containsBlanks" dxfId="6928" priority="2119" stopIfTrue="1">
      <formula>LEN(TRIM(Q62))=0</formula>
    </cfRule>
    <cfRule type="cellIs" dxfId="6927" priority="2120" stopIfTrue="1" operator="between">
      <formula>80.1</formula>
      <formula>100</formula>
    </cfRule>
    <cfRule type="cellIs" dxfId="6926" priority="2121" stopIfTrue="1" operator="between">
      <formula>35.1</formula>
      <formula>80</formula>
    </cfRule>
    <cfRule type="cellIs" dxfId="6925" priority="2122" stopIfTrue="1" operator="between">
      <formula>14.1</formula>
      <formula>35</formula>
    </cfRule>
    <cfRule type="cellIs" dxfId="6924" priority="2123" stopIfTrue="1" operator="between">
      <formula>5.1</formula>
      <formula>14</formula>
    </cfRule>
    <cfRule type="cellIs" dxfId="6923" priority="2124" stopIfTrue="1" operator="between">
      <formula>0</formula>
      <formula>5</formula>
    </cfRule>
    <cfRule type="containsBlanks" dxfId="6922" priority="2125" stopIfTrue="1">
      <formula>LEN(TRIM(Q62))=0</formula>
    </cfRule>
  </conditionalFormatting>
  <conditionalFormatting sqref="E62:J62">
    <cfRule type="containsBlanks" dxfId="6921" priority="2112" stopIfTrue="1">
      <formula>LEN(TRIM(E62))=0</formula>
    </cfRule>
    <cfRule type="cellIs" dxfId="6920" priority="2113" stopIfTrue="1" operator="between">
      <formula>79.1</formula>
      <formula>100</formula>
    </cfRule>
    <cfRule type="cellIs" dxfId="6919" priority="2114" stopIfTrue="1" operator="between">
      <formula>34.1</formula>
      <formula>79</formula>
    </cfRule>
    <cfRule type="cellIs" dxfId="6918" priority="2115" stopIfTrue="1" operator="between">
      <formula>13.1</formula>
      <formula>34</formula>
    </cfRule>
    <cfRule type="cellIs" dxfId="6917" priority="2116" stopIfTrue="1" operator="between">
      <formula>5.1</formula>
      <formula>13</formula>
    </cfRule>
    <cfRule type="cellIs" dxfId="6916" priority="2117" stopIfTrue="1" operator="between">
      <formula>0</formula>
      <formula>5</formula>
    </cfRule>
    <cfRule type="containsBlanks" dxfId="6915" priority="2118" stopIfTrue="1">
      <formula>LEN(TRIM(E62))=0</formula>
    </cfRule>
  </conditionalFormatting>
  <conditionalFormatting sqref="Q63">
    <cfRule type="containsBlanks" dxfId="6914" priority="2091" stopIfTrue="1">
      <formula>LEN(TRIM(Q63))=0</formula>
    </cfRule>
    <cfRule type="cellIs" dxfId="6913" priority="2092" stopIfTrue="1" operator="between">
      <formula>80.1</formula>
      <formula>100</formula>
    </cfRule>
    <cfRule type="cellIs" dxfId="6912" priority="2093" stopIfTrue="1" operator="between">
      <formula>35.1</formula>
      <formula>80</formula>
    </cfRule>
    <cfRule type="cellIs" dxfId="6911" priority="2094" stopIfTrue="1" operator="between">
      <formula>14.1</formula>
      <formula>35</formula>
    </cfRule>
    <cfRule type="cellIs" dxfId="6910" priority="2095" stopIfTrue="1" operator="between">
      <formula>5.1</formula>
      <formula>14</formula>
    </cfRule>
    <cfRule type="cellIs" dxfId="6909" priority="2096" stopIfTrue="1" operator="between">
      <formula>0</formula>
      <formula>5</formula>
    </cfRule>
    <cfRule type="containsBlanks" dxfId="6908" priority="2097" stopIfTrue="1">
      <formula>LEN(TRIM(Q63))=0</formula>
    </cfRule>
  </conditionalFormatting>
  <conditionalFormatting sqref="E63:J63">
    <cfRule type="containsBlanks" dxfId="6907" priority="2084" stopIfTrue="1">
      <formula>LEN(TRIM(E63))=0</formula>
    </cfRule>
    <cfRule type="cellIs" dxfId="6906" priority="2085" stopIfTrue="1" operator="between">
      <formula>79.1</formula>
      <formula>100</formula>
    </cfRule>
    <cfRule type="cellIs" dxfId="6905" priority="2086" stopIfTrue="1" operator="between">
      <formula>34.1</formula>
      <formula>79</formula>
    </cfRule>
    <cfRule type="cellIs" dxfId="6904" priority="2087" stopIfTrue="1" operator="between">
      <formula>13.1</formula>
      <formula>34</formula>
    </cfRule>
    <cfRule type="cellIs" dxfId="6903" priority="2088" stopIfTrue="1" operator="between">
      <formula>5.1</formula>
      <formula>13</formula>
    </cfRule>
    <cfRule type="cellIs" dxfId="6902" priority="2089" stopIfTrue="1" operator="between">
      <formula>0</formula>
      <formula>5</formula>
    </cfRule>
    <cfRule type="containsBlanks" dxfId="6901" priority="2090" stopIfTrue="1">
      <formula>LEN(TRIM(E63))=0</formula>
    </cfRule>
  </conditionalFormatting>
  <conditionalFormatting sqref="Q64">
    <cfRule type="containsBlanks" dxfId="6900" priority="2063" stopIfTrue="1">
      <formula>LEN(TRIM(Q64))=0</formula>
    </cfRule>
    <cfRule type="cellIs" dxfId="6899" priority="2064" stopIfTrue="1" operator="between">
      <formula>80.1</formula>
      <formula>100</formula>
    </cfRule>
    <cfRule type="cellIs" dxfId="6898" priority="2065" stopIfTrue="1" operator="between">
      <formula>35.1</formula>
      <formula>80</formula>
    </cfRule>
    <cfRule type="cellIs" dxfId="6897" priority="2066" stopIfTrue="1" operator="between">
      <formula>14.1</formula>
      <formula>35</formula>
    </cfRule>
    <cfRule type="cellIs" dxfId="6896" priority="2067" stopIfTrue="1" operator="between">
      <formula>5.1</formula>
      <formula>14</formula>
    </cfRule>
    <cfRule type="cellIs" dxfId="6895" priority="2068" stopIfTrue="1" operator="between">
      <formula>0</formula>
      <formula>5</formula>
    </cfRule>
    <cfRule type="containsBlanks" dxfId="6894" priority="2069" stopIfTrue="1">
      <formula>LEN(TRIM(Q64))=0</formula>
    </cfRule>
  </conditionalFormatting>
  <conditionalFormatting sqref="E64:J64">
    <cfRule type="containsBlanks" dxfId="6893" priority="2056" stopIfTrue="1">
      <formula>LEN(TRIM(E64))=0</formula>
    </cfRule>
    <cfRule type="cellIs" dxfId="6892" priority="2057" stopIfTrue="1" operator="between">
      <formula>79.1</formula>
      <formula>100</formula>
    </cfRule>
    <cfRule type="cellIs" dxfId="6891" priority="2058" stopIfTrue="1" operator="between">
      <formula>34.1</formula>
      <formula>79</formula>
    </cfRule>
    <cfRule type="cellIs" dxfId="6890" priority="2059" stopIfTrue="1" operator="between">
      <formula>13.1</formula>
      <formula>34</formula>
    </cfRule>
    <cfRule type="cellIs" dxfId="6889" priority="2060" stopIfTrue="1" operator="between">
      <formula>5.1</formula>
      <formula>13</formula>
    </cfRule>
    <cfRule type="cellIs" dxfId="6888" priority="2061" stopIfTrue="1" operator="between">
      <formula>0</formula>
      <formula>5</formula>
    </cfRule>
    <cfRule type="containsBlanks" dxfId="6887" priority="2062" stopIfTrue="1">
      <formula>LEN(TRIM(E64))=0</formula>
    </cfRule>
  </conditionalFormatting>
  <conditionalFormatting sqref="Q65">
    <cfRule type="containsBlanks" dxfId="6886" priority="2049" stopIfTrue="1">
      <formula>LEN(TRIM(Q65))=0</formula>
    </cfRule>
    <cfRule type="cellIs" dxfId="6885" priority="2050" stopIfTrue="1" operator="between">
      <formula>80.1</formula>
      <formula>100</formula>
    </cfRule>
    <cfRule type="cellIs" dxfId="6884" priority="2051" stopIfTrue="1" operator="between">
      <formula>35.1</formula>
      <formula>80</formula>
    </cfRule>
    <cfRule type="cellIs" dxfId="6883" priority="2052" stopIfTrue="1" operator="between">
      <formula>14.1</formula>
      <formula>35</formula>
    </cfRule>
    <cfRule type="cellIs" dxfId="6882" priority="2053" stopIfTrue="1" operator="between">
      <formula>5.1</formula>
      <formula>14</formula>
    </cfRule>
    <cfRule type="cellIs" dxfId="6881" priority="2054" stopIfTrue="1" operator="between">
      <formula>0</formula>
      <formula>5</formula>
    </cfRule>
    <cfRule type="containsBlanks" dxfId="6880" priority="2055" stopIfTrue="1">
      <formula>LEN(TRIM(Q65))=0</formula>
    </cfRule>
  </conditionalFormatting>
  <conditionalFormatting sqref="E65:J65">
    <cfRule type="containsBlanks" dxfId="6879" priority="2042" stopIfTrue="1">
      <formula>LEN(TRIM(E65))=0</formula>
    </cfRule>
    <cfRule type="cellIs" dxfId="6878" priority="2043" stopIfTrue="1" operator="between">
      <formula>79.1</formula>
      <formula>100</formula>
    </cfRule>
    <cfRule type="cellIs" dxfId="6877" priority="2044" stopIfTrue="1" operator="between">
      <formula>34.1</formula>
      <formula>79</formula>
    </cfRule>
    <cfRule type="cellIs" dxfId="6876" priority="2045" stopIfTrue="1" operator="between">
      <formula>13.1</formula>
      <formula>34</formula>
    </cfRule>
    <cfRule type="cellIs" dxfId="6875" priority="2046" stopIfTrue="1" operator="between">
      <formula>5.1</formula>
      <formula>13</formula>
    </cfRule>
    <cfRule type="cellIs" dxfId="6874" priority="2047" stopIfTrue="1" operator="between">
      <formula>0</formula>
      <formula>5</formula>
    </cfRule>
    <cfRule type="containsBlanks" dxfId="6873" priority="2048" stopIfTrue="1">
      <formula>LEN(TRIM(E65))=0</formula>
    </cfRule>
  </conditionalFormatting>
  <conditionalFormatting sqref="E42:Q42">
    <cfRule type="containsBlanks" dxfId="6872" priority="2035" stopIfTrue="1">
      <formula>LEN(TRIM(E42))=0</formula>
    </cfRule>
    <cfRule type="cellIs" dxfId="6871" priority="2036" stopIfTrue="1" operator="between">
      <formula>80.1</formula>
      <formula>100</formula>
    </cfRule>
    <cfRule type="cellIs" dxfId="6870" priority="2037" stopIfTrue="1" operator="between">
      <formula>35.1</formula>
      <formula>80</formula>
    </cfRule>
    <cfRule type="cellIs" dxfId="6869" priority="2038" stopIfTrue="1" operator="between">
      <formula>14.1</formula>
      <formula>35</formula>
    </cfRule>
    <cfRule type="cellIs" dxfId="6868" priority="2039" stopIfTrue="1" operator="between">
      <formula>5.1</formula>
      <formula>14</formula>
    </cfRule>
    <cfRule type="cellIs" dxfId="6867" priority="2040" stopIfTrue="1" operator="between">
      <formula>0</formula>
      <formula>5</formula>
    </cfRule>
    <cfRule type="containsBlanks" dxfId="6866" priority="2041" stopIfTrue="1">
      <formula>LEN(TRIM(E42))=0</formula>
    </cfRule>
  </conditionalFormatting>
  <conditionalFormatting sqref="P75:Q76">
    <cfRule type="containsBlanks" dxfId="6865" priority="2028" stopIfTrue="1">
      <formula>LEN(TRIM(P75))=0</formula>
    </cfRule>
    <cfRule type="cellIs" dxfId="6864" priority="2029" stopIfTrue="1" operator="between">
      <formula>80.1</formula>
      <formula>100</formula>
    </cfRule>
    <cfRule type="cellIs" dxfId="6863" priority="2030" stopIfTrue="1" operator="between">
      <formula>35.1</formula>
      <formula>80</formula>
    </cfRule>
    <cfRule type="cellIs" dxfId="6862" priority="2031" stopIfTrue="1" operator="between">
      <formula>14.1</formula>
      <formula>35</formula>
    </cfRule>
    <cfRule type="cellIs" dxfId="6861" priority="2032" stopIfTrue="1" operator="between">
      <formula>5.1</formula>
      <formula>14</formula>
    </cfRule>
    <cfRule type="cellIs" dxfId="6860" priority="2033" stopIfTrue="1" operator="between">
      <formula>0</formula>
      <formula>5</formula>
    </cfRule>
    <cfRule type="containsBlanks" dxfId="6859" priority="2034" stopIfTrue="1">
      <formula>LEN(TRIM(P75))=0</formula>
    </cfRule>
  </conditionalFormatting>
  <conditionalFormatting sqref="E75:J76">
    <cfRule type="containsBlanks" dxfId="6858" priority="2021" stopIfTrue="1">
      <formula>LEN(TRIM(E75))=0</formula>
    </cfRule>
    <cfRule type="cellIs" dxfId="6857" priority="2022" stopIfTrue="1" operator="between">
      <formula>79.1</formula>
      <formula>100</formula>
    </cfRule>
    <cfRule type="cellIs" dxfId="6856" priority="2023" stopIfTrue="1" operator="between">
      <formula>34.1</formula>
      <formula>79</formula>
    </cfRule>
    <cfRule type="cellIs" dxfId="6855" priority="2024" stopIfTrue="1" operator="between">
      <formula>13.1</formula>
      <formula>34</formula>
    </cfRule>
    <cfRule type="cellIs" dxfId="6854" priority="2025" stopIfTrue="1" operator="between">
      <formula>5.1</formula>
      <formula>13</formula>
    </cfRule>
    <cfRule type="cellIs" dxfId="6853" priority="2026" stopIfTrue="1" operator="between">
      <formula>0</formula>
      <formula>5</formula>
    </cfRule>
    <cfRule type="containsBlanks" dxfId="6852" priority="2027" stopIfTrue="1">
      <formula>LEN(TRIM(E75))=0</formula>
    </cfRule>
  </conditionalFormatting>
  <conditionalFormatting sqref="Q51">
    <cfRule type="containsBlanks" dxfId="6851" priority="2014" stopIfTrue="1">
      <formula>LEN(TRIM(Q51))=0</formula>
    </cfRule>
    <cfRule type="cellIs" dxfId="6850" priority="2015" stopIfTrue="1" operator="between">
      <formula>80.1</formula>
      <formula>100</formula>
    </cfRule>
    <cfRule type="cellIs" dxfId="6849" priority="2016" stopIfTrue="1" operator="between">
      <formula>35.1</formula>
      <formula>80</formula>
    </cfRule>
    <cfRule type="cellIs" dxfId="6848" priority="2017" stopIfTrue="1" operator="between">
      <formula>14.1</formula>
      <formula>35</formula>
    </cfRule>
    <cfRule type="cellIs" dxfId="6847" priority="2018" stopIfTrue="1" operator="between">
      <formula>5.1</formula>
      <formula>14</formula>
    </cfRule>
    <cfRule type="cellIs" dxfId="6846" priority="2019" stopIfTrue="1" operator="between">
      <formula>0</formula>
      <formula>5</formula>
    </cfRule>
    <cfRule type="containsBlanks" dxfId="6845" priority="2020" stopIfTrue="1">
      <formula>LEN(TRIM(Q51))=0</formula>
    </cfRule>
  </conditionalFormatting>
  <conditionalFormatting sqref="E51:P51">
    <cfRule type="containsBlanks" dxfId="6844" priority="2007" stopIfTrue="1">
      <formula>LEN(TRIM(E51))=0</formula>
    </cfRule>
    <cfRule type="cellIs" dxfId="6843" priority="2008" stopIfTrue="1" operator="between">
      <formula>79.1</formula>
      <formula>100</formula>
    </cfRule>
    <cfRule type="cellIs" dxfId="6842" priority="2009" stopIfTrue="1" operator="between">
      <formula>34.1</formula>
      <formula>79</formula>
    </cfRule>
    <cfRule type="cellIs" dxfId="6841" priority="2010" stopIfTrue="1" operator="between">
      <formula>13.1</formula>
      <formula>34</formula>
    </cfRule>
    <cfRule type="cellIs" dxfId="6840" priority="2011" stopIfTrue="1" operator="between">
      <formula>5.1</formula>
      <formula>13</formula>
    </cfRule>
    <cfRule type="cellIs" dxfId="6839" priority="2012" stopIfTrue="1" operator="between">
      <formula>0</formula>
      <formula>5</formula>
    </cfRule>
    <cfRule type="containsBlanks" dxfId="6838" priority="2013" stopIfTrue="1">
      <formula>LEN(TRIM(E51))=0</formula>
    </cfRule>
  </conditionalFormatting>
  <conditionalFormatting sqref="Q88 Q96">
    <cfRule type="containsBlanks" dxfId="6837" priority="1977" stopIfTrue="1">
      <formula>LEN(TRIM(Q88))=0</formula>
    </cfRule>
    <cfRule type="cellIs" dxfId="6836" priority="1978" stopIfTrue="1" operator="between">
      <formula>80.1</formula>
      <formula>100</formula>
    </cfRule>
    <cfRule type="cellIs" dxfId="6835" priority="1979" stopIfTrue="1" operator="between">
      <formula>35.1</formula>
      <formula>80</formula>
    </cfRule>
    <cfRule type="cellIs" dxfId="6834" priority="1980" stopIfTrue="1" operator="between">
      <formula>14.1</formula>
      <formula>35</formula>
    </cfRule>
    <cfRule type="cellIs" dxfId="6833" priority="1981" stopIfTrue="1" operator="between">
      <formula>5.1</formula>
      <formula>14</formula>
    </cfRule>
    <cfRule type="cellIs" dxfId="6832" priority="1982" stopIfTrue="1" operator="between">
      <formula>0</formula>
      <formula>5</formula>
    </cfRule>
    <cfRule type="containsBlanks" dxfId="6831" priority="1983" stopIfTrue="1">
      <formula>LEN(TRIM(Q88))=0</formula>
    </cfRule>
  </conditionalFormatting>
  <conditionalFormatting sqref="Q20">
    <cfRule type="containsBlanks" dxfId="6830" priority="1956" stopIfTrue="1">
      <formula>LEN(TRIM(Q20))=0</formula>
    </cfRule>
    <cfRule type="cellIs" dxfId="6829" priority="1957" stopIfTrue="1" operator="between">
      <formula>80.1</formula>
      <formula>100</formula>
    </cfRule>
    <cfRule type="cellIs" dxfId="6828" priority="1958" stopIfTrue="1" operator="between">
      <formula>35.1</formula>
      <formula>80</formula>
    </cfRule>
    <cfRule type="cellIs" dxfId="6827" priority="1959" stopIfTrue="1" operator="between">
      <formula>14.1</formula>
      <formula>35</formula>
    </cfRule>
    <cfRule type="cellIs" dxfId="6826" priority="1960" stopIfTrue="1" operator="between">
      <formula>5.1</formula>
      <formula>14</formula>
    </cfRule>
    <cfRule type="cellIs" dxfId="6825" priority="1961" stopIfTrue="1" operator="between">
      <formula>0</formula>
      <formula>5</formula>
    </cfRule>
    <cfRule type="containsBlanks" dxfId="6824" priority="1962" stopIfTrue="1">
      <formula>LEN(TRIM(Q20))=0</formula>
    </cfRule>
  </conditionalFormatting>
  <conditionalFormatting sqref="Q22">
    <cfRule type="containsBlanks" dxfId="6823" priority="1942" stopIfTrue="1">
      <formula>LEN(TRIM(Q22))=0</formula>
    </cfRule>
    <cfRule type="cellIs" dxfId="6822" priority="1943" stopIfTrue="1" operator="between">
      <formula>80.1</formula>
      <formula>100</formula>
    </cfRule>
    <cfRule type="cellIs" dxfId="6821" priority="1944" stopIfTrue="1" operator="between">
      <formula>35.1</formula>
      <formula>80</formula>
    </cfRule>
    <cfRule type="cellIs" dxfId="6820" priority="1945" stopIfTrue="1" operator="between">
      <formula>14.1</formula>
      <formula>35</formula>
    </cfRule>
    <cfRule type="cellIs" dxfId="6819" priority="1946" stopIfTrue="1" operator="between">
      <formula>5.1</formula>
      <formula>14</formula>
    </cfRule>
    <cfRule type="cellIs" dxfId="6818" priority="1947" stopIfTrue="1" operator="between">
      <formula>0</formula>
      <formula>5</formula>
    </cfRule>
    <cfRule type="containsBlanks" dxfId="6817" priority="1948" stopIfTrue="1">
      <formula>LEN(TRIM(Q22))=0</formula>
    </cfRule>
  </conditionalFormatting>
  <conditionalFormatting sqref="Q26">
    <cfRule type="containsBlanks" dxfId="6816" priority="1932" stopIfTrue="1">
      <formula>LEN(TRIM(Q26))=0</formula>
    </cfRule>
    <cfRule type="cellIs" dxfId="6815" priority="1933" stopIfTrue="1" operator="between">
      <formula>80.1</formula>
      <formula>100</formula>
    </cfRule>
    <cfRule type="cellIs" dxfId="6814" priority="1934" stopIfTrue="1" operator="between">
      <formula>35.1</formula>
      <formula>80</formula>
    </cfRule>
    <cfRule type="cellIs" dxfId="6813" priority="1935" stopIfTrue="1" operator="between">
      <formula>14.1</formula>
      <formula>35</formula>
    </cfRule>
    <cfRule type="cellIs" dxfId="6812" priority="1936" stopIfTrue="1" operator="between">
      <formula>5.1</formula>
      <formula>14</formula>
    </cfRule>
    <cfRule type="cellIs" dxfId="6811" priority="1937" stopIfTrue="1" operator="between">
      <formula>0</formula>
      <formula>5</formula>
    </cfRule>
    <cfRule type="containsBlanks" dxfId="6810" priority="1938" stopIfTrue="1">
      <formula>LEN(TRIM(Q26))=0</formula>
    </cfRule>
  </conditionalFormatting>
  <conditionalFormatting sqref="R208:R209">
    <cfRule type="cellIs" dxfId="6809" priority="1896" stopIfTrue="1" operator="equal">
      <formula>"NO"</formula>
    </cfRule>
  </conditionalFormatting>
  <conditionalFormatting sqref="R208:R209">
    <cfRule type="cellIs" dxfId="6808" priority="1895" stopIfTrue="1" operator="equal">
      <formula>"NO"</formula>
    </cfRule>
  </conditionalFormatting>
  <conditionalFormatting sqref="R208:R209">
    <cfRule type="cellIs" dxfId="6807" priority="1894" stopIfTrue="1" operator="equal">
      <formula>"NO"</formula>
    </cfRule>
  </conditionalFormatting>
  <conditionalFormatting sqref="S209">
    <cfRule type="cellIs" dxfId="6806" priority="1893" stopIfTrue="1" operator="equal">
      <formula>"INVIABLE SANITARIAMENTE"</formula>
    </cfRule>
  </conditionalFormatting>
  <conditionalFormatting sqref="S209">
    <cfRule type="containsText" dxfId="6805" priority="1888" stopIfTrue="1" operator="containsText" text="INVIABLE SANITARIAMENTE">
      <formula>NOT(ISERROR(SEARCH("INVIABLE SANITARIAMENTE",S209)))</formula>
    </cfRule>
    <cfRule type="containsText" dxfId="6804" priority="1889" stopIfTrue="1" operator="containsText" text="ALTO">
      <formula>NOT(ISERROR(SEARCH("ALTO",S209)))</formula>
    </cfRule>
    <cfRule type="containsText" dxfId="6803" priority="1890" stopIfTrue="1" operator="containsText" text="MEDIO">
      <formula>NOT(ISERROR(SEARCH("MEDIO",S209)))</formula>
    </cfRule>
    <cfRule type="containsText" dxfId="6802" priority="1891" stopIfTrue="1" operator="containsText" text="BAJO">
      <formula>NOT(ISERROR(SEARCH("BAJO",S209)))</formula>
    </cfRule>
    <cfRule type="containsText" dxfId="6801" priority="1892" stopIfTrue="1" operator="containsText" text="SIN RIESGO">
      <formula>NOT(ISERROR(SEARCH("SIN RIESGO",S209)))</formula>
    </cfRule>
  </conditionalFormatting>
  <conditionalFormatting sqref="S209">
    <cfRule type="containsText" dxfId="6800" priority="1887" stopIfTrue="1" operator="containsText" text="SIN RIESGO">
      <formula>NOT(ISERROR(SEARCH("SIN RIESGO",S209)))</formula>
    </cfRule>
  </conditionalFormatting>
  <conditionalFormatting sqref="Q208:Q209">
    <cfRule type="containsBlanks" dxfId="6799" priority="1880" stopIfTrue="1">
      <formula>LEN(TRIM(Q208))=0</formula>
    </cfRule>
    <cfRule type="cellIs" dxfId="6798" priority="1881" stopIfTrue="1" operator="between">
      <formula>80.1</formula>
      <formula>100</formula>
    </cfRule>
    <cfRule type="cellIs" dxfId="6797" priority="1882" stopIfTrue="1" operator="between">
      <formula>35.1</formula>
      <formula>80</formula>
    </cfRule>
    <cfRule type="cellIs" dxfId="6796" priority="1883" stopIfTrue="1" operator="between">
      <formula>14.1</formula>
      <formula>35</formula>
    </cfRule>
    <cfRule type="cellIs" dxfId="6795" priority="1884" stopIfTrue="1" operator="between">
      <formula>5.1</formula>
      <formula>14</formula>
    </cfRule>
    <cfRule type="cellIs" dxfId="6794" priority="1885" stopIfTrue="1" operator="between">
      <formula>0</formula>
      <formula>5</formula>
    </cfRule>
    <cfRule type="containsBlanks" dxfId="6793" priority="1886" stopIfTrue="1">
      <formula>LEN(TRIM(Q208))=0</formula>
    </cfRule>
  </conditionalFormatting>
  <conditionalFormatting sqref="Q212:Q213">
    <cfRule type="containsBlanks" dxfId="6792" priority="1846" stopIfTrue="1">
      <formula>LEN(TRIM(Q212))=0</formula>
    </cfRule>
    <cfRule type="cellIs" dxfId="6791" priority="1847" stopIfTrue="1" operator="between">
      <formula>80.1</formula>
      <formula>100</formula>
    </cfRule>
    <cfRule type="cellIs" dxfId="6790" priority="1848" stopIfTrue="1" operator="between">
      <formula>35.1</formula>
      <formula>80</formula>
    </cfRule>
    <cfRule type="cellIs" dxfId="6789" priority="1849" stopIfTrue="1" operator="between">
      <formula>14.1</formula>
      <formula>35</formula>
    </cfRule>
    <cfRule type="cellIs" dxfId="6788" priority="1850" stopIfTrue="1" operator="between">
      <formula>5.1</formula>
      <formula>14</formula>
    </cfRule>
    <cfRule type="cellIs" dxfId="6787" priority="1851" stopIfTrue="1" operator="between">
      <formula>0</formula>
      <formula>5</formula>
    </cfRule>
    <cfRule type="containsBlanks" dxfId="6786" priority="1852" stopIfTrue="1">
      <formula>LEN(TRIM(Q212))=0</formula>
    </cfRule>
  </conditionalFormatting>
  <conditionalFormatting sqref="R210:R211">
    <cfRule type="cellIs" dxfId="6785" priority="1879" stopIfTrue="1" operator="equal">
      <formula>"NO"</formula>
    </cfRule>
  </conditionalFormatting>
  <conditionalFormatting sqref="R210:R211">
    <cfRule type="cellIs" dxfId="6784" priority="1878" stopIfTrue="1" operator="equal">
      <formula>"NO"</formula>
    </cfRule>
  </conditionalFormatting>
  <conditionalFormatting sqref="R210:R211">
    <cfRule type="cellIs" dxfId="6783" priority="1877" stopIfTrue="1" operator="equal">
      <formula>"NO"</formula>
    </cfRule>
  </conditionalFormatting>
  <conditionalFormatting sqref="S210:S211">
    <cfRule type="cellIs" dxfId="6782" priority="1876" stopIfTrue="1" operator="equal">
      <formula>"INVIABLE SANITARIAMENTE"</formula>
    </cfRule>
  </conditionalFormatting>
  <conditionalFormatting sqref="S210:S211">
    <cfRule type="containsText" dxfId="6781" priority="1871" stopIfTrue="1" operator="containsText" text="INVIABLE SANITARIAMENTE">
      <formula>NOT(ISERROR(SEARCH("INVIABLE SANITARIAMENTE",S210)))</formula>
    </cfRule>
    <cfRule type="containsText" dxfId="6780" priority="1872" stopIfTrue="1" operator="containsText" text="ALTO">
      <formula>NOT(ISERROR(SEARCH("ALTO",S210)))</formula>
    </cfRule>
    <cfRule type="containsText" dxfId="6779" priority="1873" stopIfTrue="1" operator="containsText" text="MEDIO">
      <formula>NOT(ISERROR(SEARCH("MEDIO",S210)))</formula>
    </cfRule>
    <cfRule type="containsText" dxfId="6778" priority="1874" stopIfTrue="1" operator="containsText" text="BAJO">
      <formula>NOT(ISERROR(SEARCH("BAJO",S210)))</formula>
    </cfRule>
    <cfRule type="containsText" dxfId="6777" priority="1875" stopIfTrue="1" operator="containsText" text="SIN RIESGO">
      <formula>NOT(ISERROR(SEARCH("SIN RIESGO",S210)))</formula>
    </cfRule>
  </conditionalFormatting>
  <conditionalFormatting sqref="S210:S211">
    <cfRule type="containsText" dxfId="6776" priority="1870" stopIfTrue="1" operator="containsText" text="SIN RIESGO">
      <formula>NOT(ISERROR(SEARCH("SIN RIESGO",S210)))</formula>
    </cfRule>
  </conditionalFormatting>
  <conditionalFormatting sqref="Q210:Q211">
    <cfRule type="containsBlanks" dxfId="6775" priority="1863" stopIfTrue="1">
      <formula>LEN(TRIM(Q210))=0</formula>
    </cfRule>
    <cfRule type="cellIs" dxfId="6774" priority="1864" stopIfTrue="1" operator="between">
      <formula>80.1</formula>
      <formula>100</formula>
    </cfRule>
    <cfRule type="cellIs" dxfId="6773" priority="1865" stopIfTrue="1" operator="between">
      <formula>35.1</formula>
      <formula>80</formula>
    </cfRule>
    <cfRule type="cellIs" dxfId="6772" priority="1866" stopIfTrue="1" operator="between">
      <formula>14.1</formula>
      <formula>35</formula>
    </cfRule>
    <cfRule type="cellIs" dxfId="6771" priority="1867" stopIfTrue="1" operator="between">
      <formula>5.1</formula>
      <formula>14</formula>
    </cfRule>
    <cfRule type="cellIs" dxfId="6770" priority="1868" stopIfTrue="1" operator="between">
      <formula>0</formula>
      <formula>5</formula>
    </cfRule>
    <cfRule type="containsBlanks" dxfId="6769" priority="1869" stopIfTrue="1">
      <formula>LEN(TRIM(Q210))=0</formula>
    </cfRule>
  </conditionalFormatting>
  <conditionalFormatting sqref="R212:R213">
    <cfRule type="cellIs" dxfId="6768" priority="1862" stopIfTrue="1" operator="equal">
      <formula>"NO"</formula>
    </cfRule>
  </conditionalFormatting>
  <conditionalFormatting sqref="R212:R213">
    <cfRule type="cellIs" dxfId="6767" priority="1861" stopIfTrue="1" operator="equal">
      <formula>"NO"</formula>
    </cfRule>
  </conditionalFormatting>
  <conditionalFormatting sqref="R212:R213">
    <cfRule type="cellIs" dxfId="6766" priority="1860" stopIfTrue="1" operator="equal">
      <formula>"NO"</formula>
    </cfRule>
  </conditionalFormatting>
  <conditionalFormatting sqref="S212:S221">
    <cfRule type="cellIs" dxfId="6765" priority="1859" stopIfTrue="1" operator="equal">
      <formula>"INVIABLE SANITARIAMENTE"</formula>
    </cfRule>
  </conditionalFormatting>
  <conditionalFormatting sqref="S212:S221">
    <cfRule type="containsText" dxfId="6764" priority="1854" stopIfTrue="1" operator="containsText" text="INVIABLE SANITARIAMENTE">
      <formula>NOT(ISERROR(SEARCH("INVIABLE SANITARIAMENTE",S212)))</formula>
    </cfRule>
    <cfRule type="containsText" dxfId="6763" priority="1855" stopIfTrue="1" operator="containsText" text="ALTO">
      <formula>NOT(ISERROR(SEARCH("ALTO",S212)))</formula>
    </cfRule>
    <cfRule type="containsText" dxfId="6762" priority="1856" stopIfTrue="1" operator="containsText" text="MEDIO">
      <formula>NOT(ISERROR(SEARCH("MEDIO",S212)))</formula>
    </cfRule>
    <cfRule type="containsText" dxfId="6761" priority="1857" stopIfTrue="1" operator="containsText" text="BAJO">
      <formula>NOT(ISERROR(SEARCH("BAJO",S212)))</formula>
    </cfRule>
    <cfRule type="containsText" dxfId="6760" priority="1858" stopIfTrue="1" operator="containsText" text="SIN RIESGO">
      <formula>NOT(ISERROR(SEARCH("SIN RIESGO",S212)))</formula>
    </cfRule>
  </conditionalFormatting>
  <conditionalFormatting sqref="S212:S221">
    <cfRule type="containsText" dxfId="6759" priority="1853" stopIfTrue="1" operator="containsText" text="SIN RIESGO">
      <formula>NOT(ISERROR(SEARCH("SIN RIESGO",S212)))</formula>
    </cfRule>
  </conditionalFormatting>
  <conditionalFormatting sqref="E94:P94">
    <cfRule type="containsBlanks" dxfId="6758" priority="1839" stopIfTrue="1">
      <formula>LEN(TRIM(E94))=0</formula>
    </cfRule>
    <cfRule type="cellIs" dxfId="6757" priority="1840" stopIfTrue="1" operator="between">
      <formula>79.1</formula>
      <formula>100</formula>
    </cfRule>
    <cfRule type="cellIs" dxfId="6756" priority="1841" stopIfTrue="1" operator="between">
      <formula>34.1</formula>
      <formula>79</formula>
    </cfRule>
    <cfRule type="cellIs" dxfId="6755" priority="1842" stopIfTrue="1" operator="between">
      <formula>13.1</formula>
      <formula>34</formula>
    </cfRule>
    <cfRule type="cellIs" dxfId="6754" priority="1843" stopIfTrue="1" operator="between">
      <formula>5.1</formula>
      <formula>13</formula>
    </cfRule>
    <cfRule type="cellIs" dxfId="6753" priority="1844" stopIfTrue="1" operator="between">
      <formula>0</formula>
      <formula>5</formula>
    </cfRule>
    <cfRule type="containsBlanks" dxfId="6752" priority="1845" stopIfTrue="1">
      <formula>LEN(TRIM(E94))=0</formula>
    </cfRule>
  </conditionalFormatting>
  <conditionalFormatting sqref="Q94">
    <cfRule type="containsBlanks" dxfId="6751" priority="1822" stopIfTrue="1">
      <formula>LEN(TRIM(Q94))=0</formula>
    </cfRule>
    <cfRule type="cellIs" dxfId="6750" priority="1823" stopIfTrue="1" operator="between">
      <formula>80.1</formula>
      <formula>100</formula>
    </cfRule>
    <cfRule type="cellIs" dxfId="6749" priority="1824" stopIfTrue="1" operator="between">
      <formula>35.1</formula>
      <formula>80</formula>
    </cfRule>
    <cfRule type="cellIs" dxfId="6748" priority="1825" stopIfTrue="1" operator="between">
      <formula>14.1</formula>
      <formula>35</formula>
    </cfRule>
    <cfRule type="cellIs" dxfId="6747" priority="1826" stopIfTrue="1" operator="between">
      <formula>5.1</formula>
      <formula>14</formula>
    </cfRule>
    <cfRule type="cellIs" dxfId="6746" priority="1827" stopIfTrue="1" operator="between">
      <formula>0</formula>
      <formula>5</formula>
    </cfRule>
    <cfRule type="containsBlanks" dxfId="6745" priority="1828" stopIfTrue="1">
      <formula>LEN(TRIM(Q94))=0</formula>
    </cfRule>
  </conditionalFormatting>
  <conditionalFormatting sqref="Q95">
    <cfRule type="containsBlanks" dxfId="6744" priority="1805" stopIfTrue="1">
      <formula>LEN(TRIM(Q95))=0</formula>
    </cfRule>
    <cfRule type="cellIs" dxfId="6743" priority="1806" stopIfTrue="1" operator="between">
      <formula>80.1</formula>
      <formula>100</formula>
    </cfRule>
    <cfRule type="cellIs" dxfId="6742" priority="1807" stopIfTrue="1" operator="between">
      <formula>35.1</formula>
      <formula>80</formula>
    </cfRule>
    <cfRule type="cellIs" dxfId="6741" priority="1808" stopIfTrue="1" operator="between">
      <formula>14.1</formula>
      <formula>35</formula>
    </cfRule>
    <cfRule type="cellIs" dxfId="6740" priority="1809" stopIfTrue="1" operator="between">
      <formula>5.1</formula>
      <formula>14</formula>
    </cfRule>
    <cfRule type="cellIs" dxfId="6739" priority="1810" stopIfTrue="1" operator="between">
      <formula>0</formula>
      <formula>5</formula>
    </cfRule>
    <cfRule type="containsBlanks" dxfId="6738" priority="1811" stopIfTrue="1">
      <formula>LEN(TRIM(Q95))=0</formula>
    </cfRule>
  </conditionalFormatting>
  <conditionalFormatting sqref="L95:P95">
    <cfRule type="containsBlanks" dxfId="6737" priority="1798" stopIfTrue="1">
      <formula>LEN(TRIM(L95))=0</formula>
    </cfRule>
    <cfRule type="cellIs" dxfId="6736" priority="1799" stopIfTrue="1" operator="between">
      <formula>79.1</formula>
      <formula>100</formula>
    </cfRule>
    <cfRule type="cellIs" dxfId="6735" priority="1800" stopIfTrue="1" operator="between">
      <formula>34.1</formula>
      <formula>79</formula>
    </cfRule>
    <cfRule type="cellIs" dxfId="6734" priority="1801" stopIfTrue="1" operator="between">
      <formula>13.1</formula>
      <formula>34</formula>
    </cfRule>
    <cfRule type="cellIs" dxfId="6733" priority="1802" stopIfTrue="1" operator="between">
      <formula>5.1</formula>
      <formula>13</formula>
    </cfRule>
    <cfRule type="cellIs" dxfId="6732" priority="1803" stopIfTrue="1" operator="between">
      <formula>0</formula>
      <formula>5</formula>
    </cfRule>
    <cfRule type="containsBlanks" dxfId="6731" priority="1804" stopIfTrue="1">
      <formula>LEN(TRIM(L95))=0</formula>
    </cfRule>
  </conditionalFormatting>
  <conditionalFormatting sqref="N89:P89">
    <cfRule type="containsBlanks" dxfId="6730" priority="1774" stopIfTrue="1">
      <formula>LEN(TRIM(N89))=0</formula>
    </cfRule>
    <cfRule type="cellIs" dxfId="6729" priority="1775" stopIfTrue="1" operator="between">
      <formula>79.1</formula>
      <formula>100</formula>
    </cfRule>
    <cfRule type="cellIs" dxfId="6728" priority="1776" stopIfTrue="1" operator="between">
      <formula>34.1</formula>
      <formula>79</formula>
    </cfRule>
    <cfRule type="cellIs" dxfId="6727" priority="1777" stopIfTrue="1" operator="between">
      <formula>13.1</formula>
      <formula>34</formula>
    </cfRule>
    <cfRule type="cellIs" dxfId="6726" priority="1778" stopIfTrue="1" operator="between">
      <formula>5.1</formula>
      <formula>13</formula>
    </cfRule>
    <cfRule type="cellIs" dxfId="6725" priority="1779" stopIfTrue="1" operator="between">
      <formula>0</formula>
      <formula>5</formula>
    </cfRule>
    <cfRule type="containsBlanks" dxfId="6724" priority="1780" stopIfTrue="1">
      <formula>LEN(TRIM(N89))=0</formula>
    </cfRule>
  </conditionalFormatting>
  <conditionalFormatting sqref="Q89">
    <cfRule type="containsBlanks" dxfId="6723" priority="1791" stopIfTrue="1">
      <formula>LEN(TRIM(Q89))=0</formula>
    </cfRule>
    <cfRule type="cellIs" dxfId="6722" priority="1792" stopIfTrue="1" operator="between">
      <formula>80.1</formula>
      <formula>100</formula>
    </cfRule>
    <cfRule type="cellIs" dxfId="6721" priority="1793" stopIfTrue="1" operator="between">
      <formula>35.1</formula>
      <formula>80</formula>
    </cfRule>
    <cfRule type="cellIs" dxfId="6720" priority="1794" stopIfTrue="1" operator="between">
      <formula>14.1</formula>
      <formula>35</formula>
    </cfRule>
    <cfRule type="cellIs" dxfId="6719" priority="1795" stopIfTrue="1" operator="between">
      <formula>5.1</formula>
      <formula>14</formula>
    </cfRule>
    <cfRule type="cellIs" dxfId="6718" priority="1796" stopIfTrue="1" operator="between">
      <formula>0</formula>
      <formula>5</formula>
    </cfRule>
    <cfRule type="containsBlanks" dxfId="6717" priority="1797" stopIfTrue="1">
      <formula>LEN(TRIM(Q89))=0</formula>
    </cfRule>
  </conditionalFormatting>
  <conditionalFormatting sqref="R84:R98">
    <cfRule type="cellIs" dxfId="6716" priority="1790" stopIfTrue="1" operator="equal">
      <formula>"NO"</formula>
    </cfRule>
  </conditionalFormatting>
  <conditionalFormatting sqref="R84:R98">
    <cfRule type="cellIs" dxfId="6715" priority="1789" stopIfTrue="1" operator="equal">
      <formula>"NO"</formula>
    </cfRule>
  </conditionalFormatting>
  <conditionalFormatting sqref="R84:R98">
    <cfRule type="cellIs" dxfId="6714" priority="1788" stopIfTrue="1" operator="equal">
      <formula>"NO"</formula>
    </cfRule>
  </conditionalFormatting>
  <conditionalFormatting sqref="Q223:Q224">
    <cfRule type="containsBlanks" dxfId="6713" priority="1733" stopIfTrue="1">
      <formula>LEN(TRIM(Q223))=0</formula>
    </cfRule>
    <cfRule type="cellIs" dxfId="6712" priority="1734" stopIfTrue="1" operator="between">
      <formula>80.1</formula>
      <formula>100</formula>
    </cfRule>
    <cfRule type="cellIs" dxfId="6711" priority="1735" stopIfTrue="1" operator="between">
      <formula>35.1</formula>
      <formula>80</formula>
    </cfRule>
    <cfRule type="cellIs" dxfId="6710" priority="1736" stopIfTrue="1" operator="between">
      <formula>14.1</formula>
      <formula>35</formula>
    </cfRule>
    <cfRule type="cellIs" dxfId="6709" priority="1737" stopIfTrue="1" operator="between">
      <formula>5.1</formula>
      <formula>14</formula>
    </cfRule>
    <cfRule type="cellIs" dxfId="6708" priority="1738" stopIfTrue="1" operator="between">
      <formula>0</formula>
      <formula>5</formula>
    </cfRule>
    <cfRule type="containsBlanks" dxfId="6707" priority="1739" stopIfTrue="1">
      <formula>LEN(TRIM(Q223))=0</formula>
    </cfRule>
  </conditionalFormatting>
  <conditionalFormatting sqref="Q227:Q228">
    <cfRule type="containsBlanks" dxfId="6706" priority="1699" stopIfTrue="1">
      <formula>LEN(TRIM(Q227))=0</formula>
    </cfRule>
    <cfRule type="cellIs" dxfId="6705" priority="1700" stopIfTrue="1" operator="between">
      <formula>80.1</formula>
      <formula>100</formula>
    </cfRule>
    <cfRule type="cellIs" dxfId="6704" priority="1701" stopIfTrue="1" operator="between">
      <formula>35.1</formula>
      <formula>80</formula>
    </cfRule>
    <cfRule type="cellIs" dxfId="6703" priority="1702" stopIfTrue="1" operator="between">
      <formula>14.1</formula>
      <formula>35</formula>
    </cfRule>
    <cfRule type="cellIs" dxfId="6702" priority="1703" stopIfTrue="1" operator="between">
      <formula>5.1</formula>
      <formula>14</formula>
    </cfRule>
    <cfRule type="cellIs" dxfId="6701" priority="1704" stopIfTrue="1" operator="between">
      <formula>0</formula>
      <formula>5</formula>
    </cfRule>
    <cfRule type="containsBlanks" dxfId="6700" priority="1705" stopIfTrue="1">
      <formula>LEN(TRIM(Q227))=0</formula>
    </cfRule>
  </conditionalFormatting>
  <conditionalFormatting sqref="Q225:Q226">
    <cfRule type="containsBlanks" dxfId="6699" priority="1716" stopIfTrue="1">
      <formula>LEN(TRIM(Q225))=0</formula>
    </cfRule>
    <cfRule type="cellIs" dxfId="6698" priority="1717" stopIfTrue="1" operator="between">
      <formula>80.1</formula>
      <formula>100</formula>
    </cfRule>
    <cfRule type="cellIs" dxfId="6697" priority="1718" stopIfTrue="1" operator="between">
      <formula>35.1</formula>
      <formula>80</formula>
    </cfRule>
    <cfRule type="cellIs" dxfId="6696" priority="1719" stopIfTrue="1" operator="between">
      <formula>14.1</formula>
      <formula>35</formula>
    </cfRule>
    <cfRule type="cellIs" dxfId="6695" priority="1720" stopIfTrue="1" operator="between">
      <formula>5.1</formula>
      <formula>14</formula>
    </cfRule>
    <cfRule type="cellIs" dxfId="6694" priority="1721" stopIfTrue="1" operator="between">
      <formula>0</formula>
      <formula>5</formula>
    </cfRule>
    <cfRule type="containsBlanks" dxfId="6693" priority="1722" stopIfTrue="1">
      <formula>LEN(TRIM(Q225))=0</formula>
    </cfRule>
  </conditionalFormatting>
  <conditionalFormatting sqref="Q229">
    <cfRule type="containsBlanks" dxfId="6692" priority="1682" stopIfTrue="1">
      <formula>LEN(TRIM(Q229))=0</formula>
    </cfRule>
    <cfRule type="cellIs" dxfId="6691" priority="1683" stopIfTrue="1" operator="between">
      <formula>80.1</formula>
      <formula>100</formula>
    </cfRule>
    <cfRule type="cellIs" dxfId="6690" priority="1684" stopIfTrue="1" operator="between">
      <formula>35.1</formula>
      <formula>80</formula>
    </cfRule>
    <cfRule type="cellIs" dxfId="6689" priority="1685" stopIfTrue="1" operator="between">
      <formula>14.1</formula>
      <formula>35</formula>
    </cfRule>
    <cfRule type="cellIs" dxfId="6688" priority="1686" stopIfTrue="1" operator="between">
      <formula>5.1</formula>
      <formula>14</formula>
    </cfRule>
    <cfRule type="cellIs" dxfId="6687" priority="1687" stopIfTrue="1" operator="between">
      <formula>0</formula>
      <formula>5</formula>
    </cfRule>
    <cfRule type="containsBlanks" dxfId="6686" priority="1688" stopIfTrue="1">
      <formula>LEN(TRIM(Q229))=0</formula>
    </cfRule>
  </conditionalFormatting>
  <conditionalFormatting sqref="Q216:Q217">
    <cfRule type="containsBlanks" dxfId="6685" priority="1614" stopIfTrue="1">
      <formula>LEN(TRIM(Q216))=0</formula>
    </cfRule>
    <cfRule type="cellIs" dxfId="6684" priority="1615" stopIfTrue="1" operator="between">
      <formula>80.1</formula>
      <formula>100</formula>
    </cfRule>
    <cfRule type="cellIs" dxfId="6683" priority="1616" stopIfTrue="1" operator="between">
      <formula>35.1</formula>
      <formula>80</formula>
    </cfRule>
    <cfRule type="cellIs" dxfId="6682" priority="1617" stopIfTrue="1" operator="between">
      <formula>14.1</formula>
      <formula>35</formula>
    </cfRule>
    <cfRule type="cellIs" dxfId="6681" priority="1618" stopIfTrue="1" operator="between">
      <formula>5.1</formula>
      <formula>14</formula>
    </cfRule>
    <cfRule type="cellIs" dxfId="6680" priority="1619" stopIfTrue="1" operator="between">
      <formula>0</formula>
      <formula>5</formula>
    </cfRule>
    <cfRule type="containsBlanks" dxfId="6679" priority="1620" stopIfTrue="1">
      <formula>LEN(TRIM(Q216))=0</formula>
    </cfRule>
  </conditionalFormatting>
  <conditionalFormatting sqref="Q214:Q215">
    <cfRule type="containsBlanks" dxfId="6678" priority="1631" stopIfTrue="1">
      <formula>LEN(TRIM(Q214))=0</formula>
    </cfRule>
    <cfRule type="cellIs" dxfId="6677" priority="1632" stopIfTrue="1" operator="between">
      <formula>80.1</formula>
      <formula>100</formula>
    </cfRule>
    <cfRule type="cellIs" dxfId="6676" priority="1633" stopIfTrue="1" operator="between">
      <formula>35.1</formula>
      <formula>80</formula>
    </cfRule>
    <cfRule type="cellIs" dxfId="6675" priority="1634" stopIfTrue="1" operator="between">
      <formula>14.1</formula>
      <formula>35</formula>
    </cfRule>
    <cfRule type="cellIs" dxfId="6674" priority="1635" stopIfTrue="1" operator="between">
      <formula>5.1</formula>
      <formula>14</formula>
    </cfRule>
    <cfRule type="cellIs" dxfId="6673" priority="1636" stopIfTrue="1" operator="between">
      <formula>0</formula>
      <formula>5</formula>
    </cfRule>
    <cfRule type="containsBlanks" dxfId="6672" priority="1637" stopIfTrue="1">
      <formula>LEN(TRIM(Q214))=0</formula>
    </cfRule>
  </conditionalFormatting>
  <conditionalFormatting sqref="Q220:Q221">
    <cfRule type="containsBlanks" dxfId="6671" priority="1580" stopIfTrue="1">
      <formula>LEN(TRIM(Q220))=0</formula>
    </cfRule>
    <cfRule type="cellIs" dxfId="6670" priority="1581" stopIfTrue="1" operator="between">
      <formula>80.1</formula>
      <formula>100</formula>
    </cfRule>
    <cfRule type="cellIs" dxfId="6669" priority="1582" stopIfTrue="1" operator="between">
      <formula>35.1</formula>
      <formula>80</formula>
    </cfRule>
    <cfRule type="cellIs" dxfId="6668" priority="1583" stopIfTrue="1" operator="between">
      <formula>14.1</formula>
      <formula>35</formula>
    </cfRule>
    <cfRule type="cellIs" dxfId="6667" priority="1584" stopIfTrue="1" operator="between">
      <formula>5.1</formula>
      <formula>14</formula>
    </cfRule>
    <cfRule type="cellIs" dxfId="6666" priority="1585" stopIfTrue="1" operator="between">
      <formula>0</formula>
      <formula>5</formula>
    </cfRule>
    <cfRule type="containsBlanks" dxfId="6665" priority="1586" stopIfTrue="1">
      <formula>LEN(TRIM(Q220))=0</formula>
    </cfRule>
  </conditionalFormatting>
  <conditionalFormatting sqref="Q218:Q219">
    <cfRule type="containsBlanks" dxfId="6664" priority="1597" stopIfTrue="1">
      <formula>LEN(TRIM(Q218))=0</formula>
    </cfRule>
    <cfRule type="cellIs" dxfId="6663" priority="1598" stopIfTrue="1" operator="between">
      <formula>80.1</formula>
      <formula>100</formula>
    </cfRule>
    <cfRule type="cellIs" dxfId="6662" priority="1599" stopIfTrue="1" operator="between">
      <formula>35.1</formula>
      <formula>80</formula>
    </cfRule>
    <cfRule type="cellIs" dxfId="6661" priority="1600" stopIfTrue="1" operator="between">
      <formula>14.1</formula>
      <formula>35</formula>
    </cfRule>
    <cfRule type="cellIs" dxfId="6660" priority="1601" stopIfTrue="1" operator="between">
      <formula>5.1</formula>
      <formula>14</formula>
    </cfRule>
    <cfRule type="cellIs" dxfId="6659" priority="1602" stopIfTrue="1" operator="between">
      <formula>0</formula>
      <formula>5</formula>
    </cfRule>
    <cfRule type="containsBlanks" dxfId="6658" priority="1603" stopIfTrue="1">
      <formula>LEN(TRIM(Q218))=0</formula>
    </cfRule>
  </conditionalFormatting>
  <conditionalFormatting sqref="E208:G209 I209:K209 M208:O209 E211:O211 E213:O213 E218:O218">
    <cfRule type="containsBlanks" dxfId="6657" priority="1573" stopIfTrue="1">
      <formula>LEN(TRIM(E208))=0</formula>
    </cfRule>
    <cfRule type="cellIs" dxfId="6656" priority="1574" stopIfTrue="1" operator="between">
      <formula>80.1</formula>
      <formula>100</formula>
    </cfRule>
    <cfRule type="cellIs" dxfId="6655" priority="1575" stopIfTrue="1" operator="between">
      <formula>35.1</formula>
      <formula>80</formula>
    </cfRule>
    <cfRule type="cellIs" dxfId="6654" priority="1576" stopIfTrue="1" operator="between">
      <formula>14.1</formula>
      <formula>35</formula>
    </cfRule>
    <cfRule type="cellIs" dxfId="6653" priority="1577" stopIfTrue="1" operator="between">
      <formula>5.1</formula>
      <formula>14</formula>
    </cfRule>
    <cfRule type="cellIs" dxfId="6652" priority="1578" stopIfTrue="1" operator="between">
      <formula>0</formula>
      <formula>5</formula>
    </cfRule>
    <cfRule type="containsBlanks" dxfId="6651" priority="1579" stopIfTrue="1">
      <formula>LEN(TRIM(E208))=0</formula>
    </cfRule>
  </conditionalFormatting>
  <conditionalFormatting sqref="K208:L208">
    <cfRule type="containsBlanks" dxfId="6650" priority="1566" stopIfTrue="1">
      <formula>LEN(TRIM(K208))=0</formula>
    </cfRule>
    <cfRule type="cellIs" dxfId="6649" priority="1567" stopIfTrue="1" operator="between">
      <formula>80.1</formula>
      <formula>100</formula>
    </cfRule>
    <cfRule type="cellIs" dxfId="6648" priority="1568" stopIfTrue="1" operator="between">
      <formula>35.1</formula>
      <formula>80</formula>
    </cfRule>
    <cfRule type="cellIs" dxfId="6647" priority="1569" stopIfTrue="1" operator="between">
      <formula>14.1</formula>
      <formula>35</formula>
    </cfRule>
    <cfRule type="cellIs" dxfId="6646" priority="1570" stopIfTrue="1" operator="between">
      <formula>5.1</formula>
      <formula>14</formula>
    </cfRule>
    <cfRule type="cellIs" dxfId="6645" priority="1571" stopIfTrue="1" operator="between">
      <formula>0</formula>
      <formula>5</formula>
    </cfRule>
    <cfRule type="containsBlanks" dxfId="6644" priority="1572" stopIfTrue="1">
      <formula>LEN(TRIM(K208))=0</formula>
    </cfRule>
  </conditionalFormatting>
  <conditionalFormatting sqref="L209">
    <cfRule type="containsBlanks" dxfId="6643" priority="1559" stopIfTrue="1">
      <formula>LEN(TRIM(L209))=0</formula>
    </cfRule>
    <cfRule type="cellIs" dxfId="6642" priority="1560" stopIfTrue="1" operator="between">
      <formula>80.1</formula>
      <formula>100</formula>
    </cfRule>
    <cfRule type="cellIs" dxfId="6641" priority="1561" stopIfTrue="1" operator="between">
      <formula>35.1</formula>
      <formula>80</formula>
    </cfRule>
    <cfRule type="cellIs" dxfId="6640" priority="1562" stopIfTrue="1" operator="between">
      <formula>14.1</formula>
      <formula>35</formula>
    </cfRule>
    <cfRule type="cellIs" dxfId="6639" priority="1563" stopIfTrue="1" operator="between">
      <formula>5.1</formula>
      <formula>14</formula>
    </cfRule>
    <cfRule type="cellIs" dxfId="6638" priority="1564" stopIfTrue="1" operator="between">
      <formula>0</formula>
      <formula>5</formula>
    </cfRule>
    <cfRule type="containsBlanks" dxfId="6637" priority="1565" stopIfTrue="1">
      <formula>LEN(TRIM(L209))=0</formula>
    </cfRule>
  </conditionalFormatting>
  <conditionalFormatting sqref="H208">
    <cfRule type="containsBlanks" dxfId="6636" priority="1552" stopIfTrue="1">
      <formula>LEN(TRIM(H208))=0</formula>
    </cfRule>
    <cfRule type="cellIs" dxfId="6635" priority="1553" stopIfTrue="1" operator="between">
      <formula>80.1</formula>
      <formula>100</formula>
    </cfRule>
    <cfRule type="cellIs" dxfId="6634" priority="1554" stopIfTrue="1" operator="between">
      <formula>35.1</formula>
      <formula>80</formula>
    </cfRule>
    <cfRule type="cellIs" dxfId="6633" priority="1555" stopIfTrue="1" operator="between">
      <formula>14.1</formula>
      <formula>35</formula>
    </cfRule>
    <cfRule type="cellIs" dxfId="6632" priority="1556" stopIfTrue="1" operator="between">
      <formula>5.1</formula>
      <formula>14</formula>
    </cfRule>
    <cfRule type="cellIs" dxfId="6631" priority="1557" stopIfTrue="1" operator="between">
      <formula>0</formula>
      <formula>5</formula>
    </cfRule>
    <cfRule type="containsBlanks" dxfId="6630" priority="1558" stopIfTrue="1">
      <formula>LEN(TRIM(H208))=0</formula>
    </cfRule>
  </conditionalFormatting>
  <conditionalFormatting sqref="H209">
    <cfRule type="containsBlanks" dxfId="6629" priority="1545" stopIfTrue="1">
      <formula>LEN(TRIM(H209))=0</formula>
    </cfRule>
    <cfRule type="cellIs" dxfId="6628" priority="1546" stopIfTrue="1" operator="between">
      <formula>80.1</formula>
      <formula>100</formula>
    </cfRule>
    <cfRule type="cellIs" dxfId="6627" priority="1547" stopIfTrue="1" operator="between">
      <formula>35.1</formula>
      <formula>80</formula>
    </cfRule>
    <cfRule type="cellIs" dxfId="6626" priority="1548" stopIfTrue="1" operator="between">
      <formula>14.1</formula>
      <formula>35</formula>
    </cfRule>
    <cfRule type="cellIs" dxfId="6625" priority="1549" stopIfTrue="1" operator="between">
      <formula>5.1</formula>
      <formula>14</formula>
    </cfRule>
    <cfRule type="cellIs" dxfId="6624" priority="1550" stopIfTrue="1" operator="between">
      <formula>0</formula>
      <formula>5</formula>
    </cfRule>
    <cfRule type="containsBlanks" dxfId="6623" priority="1551" stopIfTrue="1">
      <formula>LEN(TRIM(H209))=0</formula>
    </cfRule>
  </conditionalFormatting>
  <conditionalFormatting sqref="E214:O214">
    <cfRule type="containsBlanks" dxfId="6622" priority="1524" stopIfTrue="1">
      <formula>LEN(TRIM(E214))=0</formula>
    </cfRule>
    <cfRule type="cellIs" dxfId="6621" priority="1525" stopIfTrue="1" operator="between">
      <formula>79.1</formula>
      <formula>100</formula>
    </cfRule>
    <cfRule type="cellIs" dxfId="6620" priority="1526" stopIfTrue="1" operator="between">
      <formula>34.1</formula>
      <formula>79</formula>
    </cfRule>
    <cfRule type="cellIs" dxfId="6619" priority="1527" stopIfTrue="1" operator="between">
      <formula>13.1</formula>
      <formula>34</formula>
    </cfRule>
    <cfRule type="cellIs" dxfId="6618" priority="1528" stopIfTrue="1" operator="between">
      <formula>5.1</formula>
      <formula>13</formula>
    </cfRule>
    <cfRule type="cellIs" dxfId="6617" priority="1529" stopIfTrue="1" operator="between">
      <formula>0</formula>
      <formula>5</formula>
    </cfRule>
    <cfRule type="containsBlanks" dxfId="6616" priority="1530" stopIfTrue="1">
      <formula>LEN(TRIM(E214))=0</formula>
    </cfRule>
  </conditionalFormatting>
  <conditionalFormatting sqref="E217:O217">
    <cfRule type="containsBlanks" dxfId="6615" priority="1517" stopIfTrue="1">
      <formula>LEN(TRIM(E217))=0</formula>
    </cfRule>
    <cfRule type="cellIs" dxfId="6614" priority="1518" stopIfTrue="1" operator="between">
      <formula>79.1</formula>
      <formula>100</formula>
    </cfRule>
    <cfRule type="cellIs" dxfId="6613" priority="1519" stopIfTrue="1" operator="between">
      <formula>34.1</formula>
      <formula>79</formula>
    </cfRule>
    <cfRule type="cellIs" dxfId="6612" priority="1520" stopIfTrue="1" operator="between">
      <formula>13.1</formula>
      <formula>34</formula>
    </cfRule>
    <cfRule type="cellIs" dxfId="6611" priority="1521" stopIfTrue="1" operator="between">
      <formula>5.1</formula>
      <formula>13</formula>
    </cfRule>
    <cfRule type="cellIs" dxfId="6610" priority="1522" stopIfTrue="1" operator="between">
      <formula>0</formula>
      <formula>5</formula>
    </cfRule>
    <cfRule type="containsBlanks" dxfId="6609" priority="1523" stopIfTrue="1">
      <formula>LEN(TRIM(E217))=0</formula>
    </cfRule>
  </conditionalFormatting>
  <conditionalFormatting sqref="E210:O210">
    <cfRule type="containsBlanks" dxfId="6608" priority="1538" stopIfTrue="1">
      <formula>LEN(TRIM(E210))=0</formula>
    </cfRule>
    <cfRule type="cellIs" dxfId="6607" priority="1539" stopIfTrue="1" operator="between">
      <formula>79.1</formula>
      <formula>100</formula>
    </cfRule>
    <cfRule type="cellIs" dxfId="6606" priority="1540" stopIfTrue="1" operator="between">
      <formula>34.1</formula>
      <formula>79</formula>
    </cfRule>
    <cfRule type="cellIs" dxfId="6605" priority="1541" stopIfTrue="1" operator="between">
      <formula>13.1</formula>
      <formula>34</formula>
    </cfRule>
    <cfRule type="cellIs" dxfId="6604" priority="1542" stopIfTrue="1" operator="between">
      <formula>5.1</formula>
      <formula>13</formula>
    </cfRule>
    <cfRule type="cellIs" dxfId="6603" priority="1543" stopIfTrue="1" operator="between">
      <formula>0</formula>
      <formula>5</formula>
    </cfRule>
    <cfRule type="containsBlanks" dxfId="6602" priority="1544" stopIfTrue="1">
      <formula>LEN(TRIM(E210))=0</formula>
    </cfRule>
  </conditionalFormatting>
  <conditionalFormatting sqref="E212:O212">
    <cfRule type="containsBlanks" dxfId="6601" priority="1531" stopIfTrue="1">
      <formula>LEN(TRIM(E212))=0</formula>
    </cfRule>
    <cfRule type="cellIs" dxfId="6600" priority="1532" stopIfTrue="1" operator="between">
      <formula>79.1</formula>
      <formula>100</formula>
    </cfRule>
    <cfRule type="cellIs" dxfId="6599" priority="1533" stopIfTrue="1" operator="between">
      <formula>34.1</formula>
      <formula>79</formula>
    </cfRule>
    <cfRule type="cellIs" dxfId="6598" priority="1534" stopIfTrue="1" operator="between">
      <formula>13.1</formula>
      <formula>34</formula>
    </cfRule>
    <cfRule type="cellIs" dxfId="6597" priority="1535" stopIfTrue="1" operator="between">
      <formula>5.1</formula>
      <formula>13</formula>
    </cfRule>
    <cfRule type="cellIs" dxfId="6596" priority="1536" stopIfTrue="1" operator="between">
      <formula>0</formula>
      <formula>5</formula>
    </cfRule>
    <cfRule type="containsBlanks" dxfId="6595" priority="1537" stopIfTrue="1">
      <formula>LEN(TRIM(E212))=0</formula>
    </cfRule>
  </conditionalFormatting>
  <conditionalFormatting sqref="E215:O215">
    <cfRule type="containsBlanks" dxfId="6594" priority="1510" stopIfTrue="1">
      <formula>LEN(TRIM(E215))=0</formula>
    </cfRule>
    <cfRule type="cellIs" dxfId="6593" priority="1511" stopIfTrue="1" operator="between">
      <formula>79.1</formula>
      <formula>100</formula>
    </cfRule>
    <cfRule type="cellIs" dxfId="6592" priority="1512" stopIfTrue="1" operator="between">
      <formula>34.1</formula>
      <formula>79</formula>
    </cfRule>
    <cfRule type="cellIs" dxfId="6591" priority="1513" stopIfTrue="1" operator="between">
      <formula>13.1</formula>
      <formula>34</formula>
    </cfRule>
    <cfRule type="cellIs" dxfId="6590" priority="1514" stopIfTrue="1" operator="between">
      <formula>5.1</formula>
      <formula>13</formula>
    </cfRule>
    <cfRule type="cellIs" dxfId="6589" priority="1515" stopIfTrue="1" operator="between">
      <formula>0</formula>
      <formula>5</formula>
    </cfRule>
    <cfRule type="containsBlanks" dxfId="6588" priority="1516" stopIfTrue="1">
      <formula>LEN(TRIM(E215))=0</formula>
    </cfRule>
  </conditionalFormatting>
  <conditionalFormatting sqref="E216:O216">
    <cfRule type="containsBlanks" dxfId="6587" priority="1503" stopIfTrue="1">
      <formula>LEN(TRIM(E216))=0</formula>
    </cfRule>
    <cfRule type="cellIs" dxfId="6586" priority="1504" stopIfTrue="1" operator="between">
      <formula>79.1</formula>
      <formula>100</formula>
    </cfRule>
    <cfRule type="cellIs" dxfId="6585" priority="1505" stopIfTrue="1" operator="between">
      <formula>34.1</formula>
      <formula>79</formula>
    </cfRule>
    <cfRule type="cellIs" dxfId="6584" priority="1506" stopIfTrue="1" operator="between">
      <formula>13.1</formula>
      <formula>34</formula>
    </cfRule>
    <cfRule type="cellIs" dxfId="6583" priority="1507" stopIfTrue="1" operator="between">
      <formula>5.1</formula>
      <formula>13</formula>
    </cfRule>
    <cfRule type="cellIs" dxfId="6582" priority="1508" stopIfTrue="1" operator="between">
      <formula>0</formula>
      <formula>5</formula>
    </cfRule>
    <cfRule type="containsBlanks" dxfId="6581" priority="1509" stopIfTrue="1">
      <formula>LEN(TRIM(E216))=0</formula>
    </cfRule>
  </conditionalFormatting>
  <conditionalFormatting sqref="P212 P214">
    <cfRule type="containsBlanks" dxfId="6580" priority="1496" stopIfTrue="1">
      <formula>LEN(TRIM(P212))=0</formula>
    </cfRule>
    <cfRule type="cellIs" dxfId="6579" priority="1497" stopIfTrue="1" operator="between">
      <formula>80.1</formula>
      <formula>100</formula>
    </cfRule>
    <cfRule type="cellIs" dxfId="6578" priority="1498" stopIfTrue="1" operator="between">
      <formula>35.1</formula>
      <formula>80</formula>
    </cfRule>
    <cfRule type="cellIs" dxfId="6577" priority="1499" stopIfTrue="1" operator="between">
      <formula>14.1</formula>
      <formula>35</formula>
    </cfRule>
    <cfRule type="cellIs" dxfId="6576" priority="1500" stopIfTrue="1" operator="between">
      <formula>5.1</formula>
      <formula>14</formula>
    </cfRule>
    <cfRule type="cellIs" dxfId="6575" priority="1501" stopIfTrue="1" operator="between">
      <formula>0</formula>
      <formula>5</formula>
    </cfRule>
    <cfRule type="containsBlanks" dxfId="6574" priority="1502" stopIfTrue="1">
      <formula>LEN(TRIM(P212))=0</formula>
    </cfRule>
  </conditionalFormatting>
  <conditionalFormatting sqref="P215">
    <cfRule type="containsBlanks" dxfId="6573" priority="1475" stopIfTrue="1">
      <formula>LEN(TRIM(P215))=0</formula>
    </cfRule>
    <cfRule type="cellIs" dxfId="6572" priority="1476" stopIfTrue="1" operator="between">
      <formula>79.1</formula>
      <formula>100</formula>
    </cfRule>
    <cfRule type="cellIs" dxfId="6571" priority="1477" stopIfTrue="1" operator="between">
      <formula>34.1</formula>
      <formula>79</formula>
    </cfRule>
    <cfRule type="cellIs" dxfId="6570" priority="1478" stopIfTrue="1" operator="between">
      <formula>13.1</formula>
      <formula>34</formula>
    </cfRule>
    <cfRule type="cellIs" dxfId="6569" priority="1479" stopIfTrue="1" operator="between">
      <formula>5.1</formula>
      <formula>13</formula>
    </cfRule>
    <cfRule type="cellIs" dxfId="6568" priority="1480" stopIfTrue="1" operator="between">
      <formula>0</formula>
      <formula>5</formula>
    </cfRule>
    <cfRule type="containsBlanks" dxfId="6567" priority="1481" stopIfTrue="1">
      <formula>LEN(TRIM(P215))=0</formula>
    </cfRule>
  </conditionalFormatting>
  <conditionalFormatting sqref="P218">
    <cfRule type="containsBlanks" dxfId="6566" priority="1468" stopIfTrue="1">
      <formula>LEN(TRIM(P218))=0</formula>
    </cfRule>
    <cfRule type="cellIs" dxfId="6565" priority="1469" stopIfTrue="1" operator="between">
      <formula>79.1</formula>
      <formula>100</formula>
    </cfRule>
    <cfRule type="cellIs" dxfId="6564" priority="1470" stopIfTrue="1" operator="between">
      <formula>34.1</formula>
      <formula>79</formula>
    </cfRule>
    <cfRule type="cellIs" dxfId="6563" priority="1471" stopIfTrue="1" operator="between">
      <formula>13.1</formula>
      <formula>34</formula>
    </cfRule>
    <cfRule type="cellIs" dxfId="6562" priority="1472" stopIfTrue="1" operator="between">
      <formula>5.1</formula>
      <formula>13</formula>
    </cfRule>
    <cfRule type="cellIs" dxfId="6561" priority="1473" stopIfTrue="1" operator="between">
      <formula>0</formula>
      <formula>5</formula>
    </cfRule>
    <cfRule type="containsBlanks" dxfId="6560" priority="1474" stopIfTrue="1">
      <formula>LEN(TRIM(P218))=0</formula>
    </cfRule>
  </conditionalFormatting>
  <conditionalFormatting sqref="P211">
    <cfRule type="containsBlanks" dxfId="6559" priority="1489" stopIfTrue="1">
      <formula>LEN(TRIM(P211))=0</formula>
    </cfRule>
    <cfRule type="cellIs" dxfId="6558" priority="1490" stopIfTrue="1" operator="between">
      <formula>79.1</formula>
      <formula>100</formula>
    </cfRule>
    <cfRule type="cellIs" dxfId="6557" priority="1491" stopIfTrue="1" operator="between">
      <formula>34.1</formula>
      <formula>79</formula>
    </cfRule>
    <cfRule type="cellIs" dxfId="6556" priority="1492" stopIfTrue="1" operator="between">
      <formula>13.1</formula>
      <formula>34</formula>
    </cfRule>
    <cfRule type="cellIs" dxfId="6555" priority="1493" stopIfTrue="1" operator="between">
      <formula>5.1</formula>
      <formula>13</formula>
    </cfRule>
    <cfRule type="cellIs" dxfId="6554" priority="1494" stopIfTrue="1" operator="between">
      <formula>0</formula>
      <formula>5</formula>
    </cfRule>
    <cfRule type="containsBlanks" dxfId="6553" priority="1495" stopIfTrue="1">
      <formula>LEN(TRIM(P211))=0</formula>
    </cfRule>
  </conditionalFormatting>
  <conditionalFormatting sqref="P213">
    <cfRule type="containsBlanks" dxfId="6552" priority="1482" stopIfTrue="1">
      <formula>LEN(TRIM(P213))=0</formula>
    </cfRule>
    <cfRule type="cellIs" dxfId="6551" priority="1483" stopIfTrue="1" operator="between">
      <formula>79.1</formula>
      <formula>100</formula>
    </cfRule>
    <cfRule type="cellIs" dxfId="6550" priority="1484" stopIfTrue="1" operator="between">
      <formula>34.1</formula>
      <formula>79</formula>
    </cfRule>
    <cfRule type="cellIs" dxfId="6549" priority="1485" stopIfTrue="1" operator="between">
      <formula>13.1</formula>
      <formula>34</formula>
    </cfRule>
    <cfRule type="cellIs" dxfId="6548" priority="1486" stopIfTrue="1" operator="between">
      <formula>5.1</formula>
      <formula>13</formula>
    </cfRule>
    <cfRule type="cellIs" dxfId="6547" priority="1487" stopIfTrue="1" operator="between">
      <formula>0</formula>
      <formula>5</formula>
    </cfRule>
    <cfRule type="containsBlanks" dxfId="6546" priority="1488" stopIfTrue="1">
      <formula>LEN(TRIM(P213))=0</formula>
    </cfRule>
  </conditionalFormatting>
  <conditionalFormatting sqref="P216">
    <cfRule type="containsBlanks" dxfId="6545" priority="1461" stopIfTrue="1">
      <formula>LEN(TRIM(P216))=0</formula>
    </cfRule>
    <cfRule type="cellIs" dxfId="6544" priority="1462" stopIfTrue="1" operator="between">
      <formula>79.1</formula>
      <formula>100</formula>
    </cfRule>
    <cfRule type="cellIs" dxfId="6543" priority="1463" stopIfTrue="1" operator="between">
      <formula>34.1</formula>
      <formula>79</formula>
    </cfRule>
    <cfRule type="cellIs" dxfId="6542" priority="1464" stopIfTrue="1" operator="between">
      <formula>13.1</formula>
      <formula>34</formula>
    </cfRule>
    <cfRule type="cellIs" dxfId="6541" priority="1465" stopIfTrue="1" operator="between">
      <formula>5.1</formula>
      <formula>13</formula>
    </cfRule>
    <cfRule type="cellIs" dxfId="6540" priority="1466" stopIfTrue="1" operator="between">
      <formula>0</formula>
      <formula>5</formula>
    </cfRule>
    <cfRule type="containsBlanks" dxfId="6539" priority="1467" stopIfTrue="1">
      <formula>LEN(TRIM(P216))=0</formula>
    </cfRule>
  </conditionalFormatting>
  <conditionalFormatting sqref="P217">
    <cfRule type="containsBlanks" dxfId="6538" priority="1454" stopIfTrue="1">
      <formula>LEN(TRIM(P217))=0</formula>
    </cfRule>
    <cfRule type="cellIs" dxfId="6537" priority="1455" stopIfTrue="1" operator="between">
      <formula>79.1</formula>
      <formula>100</formula>
    </cfRule>
    <cfRule type="cellIs" dxfId="6536" priority="1456" stopIfTrue="1" operator="between">
      <formula>34.1</formula>
      <formula>79</formula>
    </cfRule>
    <cfRule type="cellIs" dxfId="6535" priority="1457" stopIfTrue="1" operator="between">
      <formula>13.1</formula>
      <formula>34</formula>
    </cfRule>
    <cfRule type="cellIs" dxfId="6534" priority="1458" stopIfTrue="1" operator="between">
      <formula>5.1</formula>
      <formula>13</formula>
    </cfRule>
    <cfRule type="cellIs" dxfId="6533" priority="1459" stopIfTrue="1" operator="between">
      <formula>0</formula>
      <formula>5</formula>
    </cfRule>
    <cfRule type="containsBlanks" dxfId="6532" priority="1460" stopIfTrue="1">
      <formula>LEN(TRIM(P217))=0</formula>
    </cfRule>
  </conditionalFormatting>
  <conditionalFormatting sqref="Q222">
    <cfRule type="containsBlanks" dxfId="6531" priority="1409" stopIfTrue="1">
      <formula>LEN(TRIM(Q222))=0</formula>
    </cfRule>
    <cfRule type="cellIs" dxfId="6530" priority="1410" stopIfTrue="1" operator="between">
      <formula>80.1</formula>
      <formula>100</formula>
    </cfRule>
    <cfRule type="cellIs" dxfId="6529" priority="1411" stopIfTrue="1" operator="between">
      <formula>35.1</formula>
      <formula>80</formula>
    </cfRule>
    <cfRule type="cellIs" dxfId="6528" priority="1412" stopIfTrue="1" operator="between">
      <formula>14.1</formula>
      <formula>35</formula>
    </cfRule>
    <cfRule type="cellIs" dxfId="6527" priority="1413" stopIfTrue="1" operator="between">
      <formula>5.1</formula>
      <formula>14</formula>
    </cfRule>
    <cfRule type="cellIs" dxfId="6526" priority="1414" stopIfTrue="1" operator="between">
      <formula>0</formula>
      <formula>5</formula>
    </cfRule>
    <cfRule type="containsBlanks" dxfId="6525" priority="1415" stopIfTrue="1">
      <formula>LEN(TRIM(Q222))=0</formula>
    </cfRule>
  </conditionalFormatting>
  <conditionalFormatting sqref="L220:P220">
    <cfRule type="containsBlanks" dxfId="6524" priority="1447" stopIfTrue="1">
      <formula>LEN(TRIM(L220))=0</formula>
    </cfRule>
    <cfRule type="cellIs" dxfId="6523" priority="1448" stopIfTrue="1" operator="between">
      <formula>80.1</formula>
      <formula>100</formula>
    </cfRule>
    <cfRule type="cellIs" dxfId="6522" priority="1449" stopIfTrue="1" operator="between">
      <formula>35.1</formula>
      <formula>80</formula>
    </cfRule>
    <cfRule type="cellIs" dxfId="6521" priority="1450" stopIfTrue="1" operator="between">
      <formula>14.1</formula>
      <formula>35</formula>
    </cfRule>
    <cfRule type="cellIs" dxfId="6520" priority="1451" stopIfTrue="1" operator="between">
      <formula>5.1</formula>
      <formula>14</formula>
    </cfRule>
    <cfRule type="cellIs" dxfId="6519" priority="1452" stopIfTrue="1" operator="between">
      <formula>0</formula>
      <formula>5</formula>
    </cfRule>
    <cfRule type="containsBlanks" dxfId="6518" priority="1453" stopIfTrue="1">
      <formula>LEN(TRIM(L220))=0</formula>
    </cfRule>
  </conditionalFormatting>
  <conditionalFormatting sqref="L219:P219">
    <cfRule type="containsBlanks" dxfId="6517" priority="1440" stopIfTrue="1">
      <formula>LEN(TRIM(L219))=0</formula>
    </cfRule>
    <cfRule type="cellIs" dxfId="6516" priority="1441" stopIfTrue="1" operator="between">
      <formula>79.1</formula>
      <formula>100</formula>
    </cfRule>
    <cfRule type="cellIs" dxfId="6515" priority="1442" stopIfTrue="1" operator="between">
      <formula>34.1</formula>
      <formula>79</formula>
    </cfRule>
    <cfRule type="cellIs" dxfId="6514" priority="1443" stopIfTrue="1" operator="between">
      <formula>13.1</formula>
      <formula>34</formula>
    </cfRule>
    <cfRule type="cellIs" dxfId="6513" priority="1444" stopIfTrue="1" operator="between">
      <formula>5.1</formula>
      <formula>13</formula>
    </cfRule>
    <cfRule type="cellIs" dxfId="6512" priority="1445" stopIfTrue="1" operator="between">
      <formula>0</formula>
      <formula>5</formula>
    </cfRule>
    <cfRule type="containsBlanks" dxfId="6511" priority="1446" stopIfTrue="1">
      <formula>LEN(TRIM(L219))=0</formula>
    </cfRule>
  </conditionalFormatting>
  <conditionalFormatting sqref="L221:P221">
    <cfRule type="containsBlanks" dxfId="6510" priority="1433" stopIfTrue="1">
      <formula>LEN(TRIM(L221))=0</formula>
    </cfRule>
    <cfRule type="cellIs" dxfId="6509" priority="1434" stopIfTrue="1" operator="between">
      <formula>79.1</formula>
      <formula>100</formula>
    </cfRule>
    <cfRule type="cellIs" dxfId="6508" priority="1435" stopIfTrue="1" operator="between">
      <formula>34.1</formula>
      <formula>79</formula>
    </cfRule>
    <cfRule type="cellIs" dxfId="6507" priority="1436" stopIfTrue="1" operator="between">
      <formula>13.1</formula>
      <formula>34</formula>
    </cfRule>
    <cfRule type="cellIs" dxfId="6506" priority="1437" stopIfTrue="1" operator="between">
      <formula>5.1</formula>
      <formula>13</formula>
    </cfRule>
    <cfRule type="cellIs" dxfId="6505" priority="1438" stopIfTrue="1" operator="between">
      <formula>0</formula>
      <formula>5</formula>
    </cfRule>
    <cfRule type="containsBlanks" dxfId="6504" priority="1439" stopIfTrue="1">
      <formula>LEN(TRIM(L221))=0</formula>
    </cfRule>
  </conditionalFormatting>
  <conditionalFormatting sqref="L222:P222">
    <cfRule type="containsBlanks" dxfId="6503" priority="1426" stopIfTrue="1">
      <formula>LEN(TRIM(L222))=0</formula>
    </cfRule>
    <cfRule type="cellIs" dxfId="6502" priority="1427" stopIfTrue="1" operator="between">
      <formula>79.1</formula>
      <formula>100</formula>
    </cfRule>
    <cfRule type="cellIs" dxfId="6501" priority="1428" stopIfTrue="1" operator="between">
      <formula>34.1</formula>
      <formula>79</formula>
    </cfRule>
    <cfRule type="cellIs" dxfId="6500" priority="1429" stopIfTrue="1" operator="between">
      <formula>13.1</formula>
      <formula>34</formula>
    </cfRule>
    <cfRule type="cellIs" dxfId="6499" priority="1430" stopIfTrue="1" operator="between">
      <formula>5.1</formula>
      <formula>13</formula>
    </cfRule>
    <cfRule type="cellIs" dxfId="6498" priority="1431" stopIfTrue="1" operator="between">
      <formula>0</formula>
      <formula>5</formula>
    </cfRule>
    <cfRule type="containsBlanks" dxfId="6497" priority="1432" stopIfTrue="1">
      <formula>LEN(TRIM(L222))=0</formula>
    </cfRule>
  </conditionalFormatting>
  <conditionalFormatting sqref="R222:R229">
    <cfRule type="cellIs" dxfId="6496" priority="1425" stopIfTrue="1" operator="equal">
      <formula>"NO"</formula>
    </cfRule>
  </conditionalFormatting>
  <conditionalFormatting sqref="R222:R229">
    <cfRule type="cellIs" dxfId="6495" priority="1424" stopIfTrue="1" operator="equal">
      <formula>"NO"</formula>
    </cfRule>
  </conditionalFormatting>
  <conditionalFormatting sqref="R222:R229">
    <cfRule type="cellIs" dxfId="6494" priority="1423" stopIfTrue="1" operator="equal">
      <formula>"NO"</formula>
    </cfRule>
  </conditionalFormatting>
  <conditionalFormatting sqref="S222:S229">
    <cfRule type="cellIs" dxfId="6493" priority="1422" stopIfTrue="1" operator="equal">
      <formula>"INVIABLE SANITARIAMENTE"</formula>
    </cfRule>
  </conditionalFormatting>
  <conditionalFormatting sqref="S222:S229">
    <cfRule type="containsText" dxfId="6492" priority="1417" stopIfTrue="1" operator="containsText" text="INVIABLE SANITARIAMENTE">
      <formula>NOT(ISERROR(SEARCH("INVIABLE SANITARIAMENTE",S222)))</formula>
    </cfRule>
    <cfRule type="containsText" dxfId="6491" priority="1418" stopIfTrue="1" operator="containsText" text="ALTO">
      <formula>NOT(ISERROR(SEARCH("ALTO",S222)))</formula>
    </cfRule>
    <cfRule type="containsText" dxfId="6490" priority="1419" stopIfTrue="1" operator="containsText" text="MEDIO">
      <formula>NOT(ISERROR(SEARCH("MEDIO",S222)))</formula>
    </cfRule>
    <cfRule type="containsText" dxfId="6489" priority="1420" stopIfTrue="1" operator="containsText" text="BAJO">
      <formula>NOT(ISERROR(SEARCH("BAJO",S222)))</formula>
    </cfRule>
    <cfRule type="containsText" dxfId="6488" priority="1421" stopIfTrue="1" operator="containsText" text="SIN RIESGO">
      <formula>NOT(ISERROR(SEARCH("SIN RIESGO",S222)))</formula>
    </cfRule>
  </conditionalFormatting>
  <conditionalFormatting sqref="S222:S229">
    <cfRule type="containsText" dxfId="6487" priority="1416" stopIfTrue="1" operator="containsText" text="SIN RIESGO">
      <formula>NOT(ISERROR(SEARCH("SIN RIESGO",S222)))</formula>
    </cfRule>
  </conditionalFormatting>
  <conditionalFormatting sqref="Q106:Q107">
    <cfRule type="containsBlanks" dxfId="6486" priority="1334" stopIfTrue="1">
      <formula>LEN(TRIM(Q106))=0</formula>
    </cfRule>
    <cfRule type="cellIs" dxfId="6485" priority="1335" stopIfTrue="1" operator="between">
      <formula>80.1</formula>
      <formula>100</formula>
    </cfRule>
    <cfRule type="cellIs" dxfId="6484" priority="1336" stopIfTrue="1" operator="between">
      <formula>35.1</formula>
      <formula>80</formula>
    </cfRule>
    <cfRule type="cellIs" dxfId="6483" priority="1337" stopIfTrue="1" operator="between">
      <formula>14.1</formula>
      <formula>35</formula>
    </cfRule>
    <cfRule type="cellIs" dxfId="6482" priority="1338" stopIfTrue="1" operator="between">
      <formula>5.1</formula>
      <formula>14</formula>
    </cfRule>
    <cfRule type="cellIs" dxfId="6481" priority="1339" stopIfTrue="1" operator="between">
      <formula>0</formula>
      <formula>5</formula>
    </cfRule>
    <cfRule type="containsBlanks" dxfId="6480" priority="1340" stopIfTrue="1">
      <formula>LEN(TRIM(Q106))=0</formula>
    </cfRule>
  </conditionalFormatting>
  <conditionalFormatting sqref="Q97:Q98">
    <cfRule type="containsBlanks" dxfId="6479" priority="1319" stopIfTrue="1">
      <formula>LEN(TRIM(Q97))=0</formula>
    </cfRule>
    <cfRule type="cellIs" dxfId="6478" priority="1320" stopIfTrue="1" operator="between">
      <formula>80.1</formula>
      <formula>100</formula>
    </cfRule>
    <cfRule type="cellIs" dxfId="6477" priority="1321" stopIfTrue="1" operator="between">
      <formula>35.1</formula>
      <formula>80</formula>
    </cfRule>
    <cfRule type="cellIs" dxfId="6476" priority="1322" stopIfTrue="1" operator="between">
      <formula>14.1</formula>
      <formula>35</formula>
    </cfRule>
    <cfRule type="cellIs" dxfId="6475" priority="1323" stopIfTrue="1" operator="between">
      <formula>5.1</formula>
      <formula>14</formula>
    </cfRule>
    <cfRule type="cellIs" dxfId="6474" priority="1324" stopIfTrue="1" operator="between">
      <formula>0</formula>
      <formula>5</formula>
    </cfRule>
    <cfRule type="containsBlanks" dxfId="6473" priority="1325" stopIfTrue="1">
      <formula>LEN(TRIM(Q97))=0</formula>
    </cfRule>
  </conditionalFormatting>
  <conditionalFormatting sqref="Q111">
    <cfRule type="containsBlanks" dxfId="6472" priority="1244" stopIfTrue="1">
      <formula>LEN(TRIM(Q111))=0</formula>
    </cfRule>
    <cfRule type="cellIs" dxfId="6471" priority="1245" stopIfTrue="1" operator="between">
      <formula>80.1</formula>
      <formula>100</formula>
    </cfRule>
    <cfRule type="cellIs" dxfId="6470" priority="1246" stopIfTrue="1" operator="between">
      <formula>35.1</formula>
      <formula>80</formula>
    </cfRule>
    <cfRule type="cellIs" dxfId="6469" priority="1247" stopIfTrue="1" operator="between">
      <formula>14.1</formula>
      <formula>35</formula>
    </cfRule>
    <cfRule type="cellIs" dxfId="6468" priority="1248" stopIfTrue="1" operator="between">
      <formula>5.1</formula>
      <formula>14</formula>
    </cfRule>
    <cfRule type="cellIs" dxfId="6467" priority="1249" stopIfTrue="1" operator="between">
      <formula>0</formula>
      <formula>5</formula>
    </cfRule>
    <cfRule type="containsBlanks" dxfId="6466" priority="1250" stopIfTrue="1">
      <formula>LEN(TRIM(Q111))=0</formula>
    </cfRule>
  </conditionalFormatting>
  <conditionalFormatting sqref="Q116">
    <cfRule type="containsBlanks" dxfId="6465" priority="1199" stopIfTrue="1">
      <formula>LEN(TRIM(Q116))=0</formula>
    </cfRule>
    <cfRule type="cellIs" dxfId="6464" priority="1200" stopIfTrue="1" operator="between">
      <formula>80.1</formula>
      <formula>100</formula>
    </cfRule>
    <cfRule type="cellIs" dxfId="6463" priority="1201" stopIfTrue="1" operator="between">
      <formula>35.1</formula>
      <formula>80</formula>
    </cfRule>
    <cfRule type="cellIs" dxfId="6462" priority="1202" stopIfTrue="1" operator="between">
      <formula>14.1</formula>
      <formula>35</formula>
    </cfRule>
    <cfRule type="cellIs" dxfId="6461" priority="1203" stopIfTrue="1" operator="between">
      <formula>5.1</formula>
      <formula>14</formula>
    </cfRule>
    <cfRule type="cellIs" dxfId="6460" priority="1204" stopIfTrue="1" operator="between">
      <formula>0</formula>
      <formula>5</formula>
    </cfRule>
    <cfRule type="containsBlanks" dxfId="6459" priority="1205" stopIfTrue="1">
      <formula>LEN(TRIM(Q116))=0</formula>
    </cfRule>
  </conditionalFormatting>
  <conditionalFormatting sqref="Q121:Q122">
    <cfRule type="containsBlanks" dxfId="6458" priority="1079" stopIfTrue="1">
      <formula>LEN(TRIM(Q121))=0</formula>
    </cfRule>
    <cfRule type="cellIs" dxfId="6457" priority="1080" stopIfTrue="1" operator="between">
      <formula>80.1</formula>
      <formula>100</formula>
    </cfRule>
    <cfRule type="cellIs" dxfId="6456" priority="1081" stopIfTrue="1" operator="between">
      <formula>35.1</formula>
      <formula>80</formula>
    </cfRule>
    <cfRule type="cellIs" dxfId="6455" priority="1082" stopIfTrue="1" operator="between">
      <formula>14.1</formula>
      <formula>35</formula>
    </cfRule>
    <cfRule type="cellIs" dxfId="6454" priority="1083" stopIfTrue="1" operator="between">
      <formula>5.1</formula>
      <formula>14</formula>
    </cfRule>
    <cfRule type="cellIs" dxfId="6453" priority="1084" stopIfTrue="1" operator="between">
      <formula>0</formula>
      <formula>5</formula>
    </cfRule>
    <cfRule type="containsBlanks" dxfId="6452" priority="1085" stopIfTrue="1">
      <formula>LEN(TRIM(Q121))=0</formula>
    </cfRule>
  </conditionalFormatting>
  <conditionalFormatting sqref="Q123:Q126">
    <cfRule type="containsBlanks" dxfId="6451" priority="1064" stopIfTrue="1">
      <formula>LEN(TRIM(Q123))=0</formula>
    </cfRule>
    <cfRule type="cellIs" dxfId="6450" priority="1065" stopIfTrue="1" operator="between">
      <formula>80.1</formula>
      <formula>100</formula>
    </cfRule>
    <cfRule type="cellIs" dxfId="6449" priority="1066" stopIfTrue="1" operator="between">
      <formula>35.1</formula>
      <formula>80</formula>
    </cfRule>
    <cfRule type="cellIs" dxfId="6448" priority="1067" stopIfTrue="1" operator="between">
      <formula>14.1</formula>
      <formula>35</formula>
    </cfRule>
    <cfRule type="cellIs" dxfId="6447" priority="1068" stopIfTrue="1" operator="between">
      <formula>5.1</formula>
      <formula>14</formula>
    </cfRule>
    <cfRule type="cellIs" dxfId="6446" priority="1069" stopIfTrue="1" operator="between">
      <formula>0</formula>
      <formula>5</formula>
    </cfRule>
    <cfRule type="containsBlanks" dxfId="6445" priority="1070" stopIfTrue="1">
      <formula>LEN(TRIM(Q123))=0</formula>
    </cfRule>
  </conditionalFormatting>
  <conditionalFormatting sqref="R123">
    <cfRule type="cellIs" dxfId="6444" priority="1062" stopIfTrue="1" operator="equal">
      <formula>"NO"</formula>
    </cfRule>
  </conditionalFormatting>
  <conditionalFormatting sqref="Q127:Q130">
    <cfRule type="containsBlanks" dxfId="6443" priority="1049" stopIfTrue="1">
      <formula>LEN(TRIM(Q127))=0</formula>
    </cfRule>
    <cfRule type="cellIs" dxfId="6442" priority="1050" stopIfTrue="1" operator="between">
      <formula>80.1</formula>
      <formula>100</formula>
    </cfRule>
    <cfRule type="cellIs" dxfId="6441" priority="1051" stopIfTrue="1" operator="between">
      <formula>35.1</formula>
      <formula>80</formula>
    </cfRule>
    <cfRule type="cellIs" dxfId="6440" priority="1052" stopIfTrue="1" operator="between">
      <formula>14.1</formula>
      <formula>35</formula>
    </cfRule>
    <cfRule type="cellIs" dxfId="6439" priority="1053" stopIfTrue="1" operator="between">
      <formula>5.1</formula>
      <formula>14</formula>
    </cfRule>
    <cfRule type="cellIs" dxfId="6438" priority="1054" stopIfTrue="1" operator="between">
      <formula>0</formula>
      <formula>5</formula>
    </cfRule>
    <cfRule type="containsBlanks" dxfId="6437" priority="1055" stopIfTrue="1">
      <formula>LEN(TRIM(Q127))=0</formula>
    </cfRule>
  </conditionalFormatting>
  <conditionalFormatting sqref="R129">
    <cfRule type="cellIs" dxfId="6436" priority="1047" stopIfTrue="1" operator="equal">
      <formula>"NO"</formula>
    </cfRule>
  </conditionalFormatting>
  <conditionalFormatting sqref="Q131:Q132">
    <cfRule type="containsBlanks" dxfId="6435" priority="1034" stopIfTrue="1">
      <formula>LEN(TRIM(Q131))=0</formula>
    </cfRule>
    <cfRule type="cellIs" dxfId="6434" priority="1035" stopIfTrue="1" operator="between">
      <formula>80.1</formula>
      <formula>100</formula>
    </cfRule>
    <cfRule type="cellIs" dxfId="6433" priority="1036" stopIfTrue="1" operator="between">
      <formula>35.1</formula>
      <formula>80</formula>
    </cfRule>
    <cfRule type="cellIs" dxfId="6432" priority="1037" stopIfTrue="1" operator="between">
      <formula>14.1</formula>
      <formula>35</formula>
    </cfRule>
    <cfRule type="cellIs" dxfId="6431" priority="1038" stopIfTrue="1" operator="between">
      <formula>5.1</formula>
      <formula>14</formula>
    </cfRule>
    <cfRule type="cellIs" dxfId="6430" priority="1039" stopIfTrue="1" operator="between">
      <formula>0</formula>
      <formula>5</formula>
    </cfRule>
    <cfRule type="containsBlanks" dxfId="6429" priority="1040" stopIfTrue="1">
      <formula>LEN(TRIM(Q131))=0</formula>
    </cfRule>
  </conditionalFormatting>
  <conditionalFormatting sqref="Q133:Q134">
    <cfRule type="containsBlanks" dxfId="6428" priority="1019" stopIfTrue="1">
      <formula>LEN(TRIM(Q133))=0</formula>
    </cfRule>
    <cfRule type="cellIs" dxfId="6427" priority="1020" stopIfTrue="1" operator="between">
      <formula>80.1</formula>
      <formula>100</formula>
    </cfRule>
    <cfRule type="cellIs" dxfId="6426" priority="1021" stopIfTrue="1" operator="between">
      <formula>35.1</formula>
      <formula>80</formula>
    </cfRule>
    <cfRule type="cellIs" dxfId="6425" priority="1022" stopIfTrue="1" operator="between">
      <formula>14.1</formula>
      <formula>35</formula>
    </cfRule>
    <cfRule type="cellIs" dxfId="6424" priority="1023" stopIfTrue="1" operator="between">
      <formula>5.1</formula>
      <formula>14</formula>
    </cfRule>
    <cfRule type="cellIs" dxfId="6423" priority="1024" stopIfTrue="1" operator="between">
      <formula>0</formula>
      <formula>5</formula>
    </cfRule>
    <cfRule type="containsBlanks" dxfId="6422" priority="1025" stopIfTrue="1">
      <formula>LEN(TRIM(Q133))=0</formula>
    </cfRule>
  </conditionalFormatting>
  <conditionalFormatting sqref="R134">
    <cfRule type="cellIs" dxfId="6421" priority="1017" stopIfTrue="1" operator="equal">
      <formula>"NO"</formula>
    </cfRule>
  </conditionalFormatting>
  <conditionalFormatting sqref="Q138:Q141">
    <cfRule type="containsBlanks" dxfId="6420" priority="989" stopIfTrue="1">
      <formula>LEN(TRIM(Q138))=0</formula>
    </cfRule>
    <cfRule type="cellIs" dxfId="6419" priority="990" stopIfTrue="1" operator="between">
      <formula>80.1</formula>
      <formula>100</formula>
    </cfRule>
    <cfRule type="cellIs" dxfId="6418" priority="991" stopIfTrue="1" operator="between">
      <formula>35.1</formula>
      <formula>80</formula>
    </cfRule>
    <cfRule type="cellIs" dxfId="6417" priority="992" stopIfTrue="1" operator="between">
      <formula>14.1</formula>
      <formula>35</formula>
    </cfRule>
    <cfRule type="cellIs" dxfId="6416" priority="993" stopIfTrue="1" operator="between">
      <formula>5.1</formula>
      <formula>14</formula>
    </cfRule>
    <cfRule type="cellIs" dxfId="6415" priority="994" stopIfTrue="1" operator="between">
      <formula>0</formula>
      <formula>5</formula>
    </cfRule>
    <cfRule type="containsBlanks" dxfId="6414" priority="995" stopIfTrue="1">
      <formula>LEN(TRIM(Q138))=0</formula>
    </cfRule>
  </conditionalFormatting>
  <conditionalFormatting sqref="Q142:Q143">
    <cfRule type="containsBlanks" dxfId="6413" priority="974" stopIfTrue="1">
      <formula>LEN(TRIM(Q142))=0</formula>
    </cfRule>
    <cfRule type="cellIs" dxfId="6412" priority="975" stopIfTrue="1" operator="between">
      <formula>80.1</formula>
      <formula>100</formula>
    </cfRule>
    <cfRule type="cellIs" dxfId="6411" priority="976" stopIfTrue="1" operator="between">
      <formula>35.1</formula>
      <formula>80</formula>
    </cfRule>
    <cfRule type="cellIs" dxfId="6410" priority="977" stopIfTrue="1" operator="between">
      <formula>14.1</formula>
      <formula>35</formula>
    </cfRule>
    <cfRule type="cellIs" dxfId="6409" priority="978" stopIfTrue="1" operator="between">
      <formula>5.1</formula>
      <formula>14</formula>
    </cfRule>
    <cfRule type="cellIs" dxfId="6408" priority="979" stopIfTrue="1" operator="between">
      <formula>0</formula>
      <formula>5</formula>
    </cfRule>
    <cfRule type="containsBlanks" dxfId="6407" priority="980" stopIfTrue="1">
      <formula>LEN(TRIM(Q142))=0</formula>
    </cfRule>
  </conditionalFormatting>
  <conditionalFormatting sqref="Q145:Q147 Q149">
    <cfRule type="containsBlanks" dxfId="6406" priority="944" stopIfTrue="1">
      <formula>LEN(TRIM(Q145))=0</formula>
    </cfRule>
    <cfRule type="cellIs" dxfId="6405" priority="945" stopIfTrue="1" operator="between">
      <formula>80.1</formula>
      <formula>100</formula>
    </cfRule>
    <cfRule type="cellIs" dxfId="6404" priority="946" stopIfTrue="1" operator="between">
      <formula>35.1</formula>
      <formula>80</formula>
    </cfRule>
    <cfRule type="cellIs" dxfId="6403" priority="947" stopIfTrue="1" operator="between">
      <formula>14.1</formula>
      <formula>35</formula>
    </cfRule>
    <cfRule type="cellIs" dxfId="6402" priority="948" stopIfTrue="1" operator="between">
      <formula>5.1</formula>
      <formula>14</formula>
    </cfRule>
    <cfRule type="cellIs" dxfId="6401" priority="949" stopIfTrue="1" operator="between">
      <formula>0</formula>
      <formula>5</formula>
    </cfRule>
    <cfRule type="containsBlanks" dxfId="6400" priority="950" stopIfTrue="1">
      <formula>LEN(TRIM(Q145))=0</formula>
    </cfRule>
  </conditionalFormatting>
  <conditionalFormatting sqref="Q150:Q153">
    <cfRule type="containsBlanks" dxfId="6399" priority="929" stopIfTrue="1">
      <formula>LEN(TRIM(Q150))=0</formula>
    </cfRule>
    <cfRule type="cellIs" dxfId="6398" priority="930" stopIfTrue="1" operator="between">
      <formula>80.1</formula>
      <formula>100</formula>
    </cfRule>
    <cfRule type="cellIs" dxfId="6397" priority="931" stopIfTrue="1" operator="between">
      <formula>35.1</formula>
      <formula>80</formula>
    </cfRule>
    <cfRule type="cellIs" dxfId="6396" priority="932" stopIfTrue="1" operator="between">
      <formula>14.1</formula>
      <formula>35</formula>
    </cfRule>
    <cfRule type="cellIs" dxfId="6395" priority="933" stopIfTrue="1" operator="between">
      <formula>5.1</formula>
      <formula>14</formula>
    </cfRule>
    <cfRule type="cellIs" dxfId="6394" priority="934" stopIfTrue="1" operator="between">
      <formula>0</formula>
      <formula>5</formula>
    </cfRule>
    <cfRule type="containsBlanks" dxfId="6393" priority="935" stopIfTrue="1">
      <formula>LEN(TRIM(Q150))=0</formula>
    </cfRule>
  </conditionalFormatting>
  <conditionalFormatting sqref="Q155">
    <cfRule type="containsBlanks" dxfId="6392" priority="899" stopIfTrue="1">
      <formula>LEN(TRIM(Q155))=0</formula>
    </cfRule>
    <cfRule type="cellIs" dxfId="6391" priority="900" stopIfTrue="1" operator="between">
      <formula>80.1</formula>
      <formula>100</formula>
    </cfRule>
    <cfRule type="cellIs" dxfId="6390" priority="901" stopIfTrue="1" operator="between">
      <formula>35.1</formula>
      <formula>80</formula>
    </cfRule>
    <cfRule type="cellIs" dxfId="6389" priority="902" stopIfTrue="1" operator="between">
      <formula>14.1</formula>
      <formula>35</formula>
    </cfRule>
    <cfRule type="cellIs" dxfId="6388" priority="903" stopIfTrue="1" operator="between">
      <formula>5.1</formula>
      <formula>14</formula>
    </cfRule>
    <cfRule type="cellIs" dxfId="6387" priority="904" stopIfTrue="1" operator="between">
      <formula>0</formula>
      <formula>5</formula>
    </cfRule>
    <cfRule type="containsBlanks" dxfId="6386" priority="905" stopIfTrue="1">
      <formula>LEN(TRIM(Q155))=0</formula>
    </cfRule>
  </conditionalFormatting>
  <conditionalFormatting sqref="R155">
    <cfRule type="cellIs" dxfId="6385" priority="897" stopIfTrue="1" operator="equal">
      <formula>"NO"</formula>
    </cfRule>
  </conditionalFormatting>
  <conditionalFormatting sqref="Q172">
    <cfRule type="containsBlanks" dxfId="6384" priority="794" stopIfTrue="1">
      <formula>LEN(TRIM(Q172))=0</formula>
    </cfRule>
    <cfRule type="cellIs" dxfId="6383" priority="795" stopIfTrue="1" operator="between">
      <formula>80.1</formula>
      <formula>100</formula>
    </cfRule>
    <cfRule type="cellIs" dxfId="6382" priority="796" stopIfTrue="1" operator="between">
      <formula>35.1</formula>
      <formula>80</formula>
    </cfRule>
    <cfRule type="cellIs" dxfId="6381" priority="797" stopIfTrue="1" operator="between">
      <formula>14.1</formula>
      <formula>35</formula>
    </cfRule>
    <cfRule type="cellIs" dxfId="6380" priority="798" stopIfTrue="1" operator="between">
      <formula>5.1</formula>
      <formula>14</formula>
    </cfRule>
    <cfRule type="cellIs" dxfId="6379" priority="799" stopIfTrue="1" operator="between">
      <formula>0</formula>
      <formula>5</formula>
    </cfRule>
    <cfRule type="containsBlanks" dxfId="6378" priority="800" stopIfTrue="1">
      <formula>LEN(TRIM(Q172))=0</formula>
    </cfRule>
  </conditionalFormatting>
  <conditionalFormatting sqref="R172">
    <cfRule type="cellIs" dxfId="6377" priority="792" stopIfTrue="1" operator="equal">
      <formula>"NO"</formula>
    </cfRule>
  </conditionalFormatting>
  <conditionalFormatting sqref="Q173:Q174">
    <cfRule type="containsBlanks" dxfId="6376" priority="779" stopIfTrue="1">
      <formula>LEN(TRIM(Q173))=0</formula>
    </cfRule>
    <cfRule type="cellIs" dxfId="6375" priority="780" stopIfTrue="1" operator="between">
      <formula>80.1</formula>
      <formula>100</formula>
    </cfRule>
    <cfRule type="cellIs" dxfId="6374" priority="781" stopIfTrue="1" operator="between">
      <formula>35.1</formula>
      <formula>80</formula>
    </cfRule>
    <cfRule type="cellIs" dxfId="6373" priority="782" stopIfTrue="1" operator="between">
      <formula>14.1</formula>
      <formula>35</formula>
    </cfRule>
    <cfRule type="cellIs" dxfId="6372" priority="783" stopIfTrue="1" operator="between">
      <formula>5.1</formula>
      <formula>14</formula>
    </cfRule>
    <cfRule type="cellIs" dxfId="6371" priority="784" stopIfTrue="1" operator="between">
      <formula>0</formula>
      <formula>5</formula>
    </cfRule>
    <cfRule type="containsBlanks" dxfId="6370" priority="785" stopIfTrue="1">
      <formula>LEN(TRIM(Q173))=0</formula>
    </cfRule>
  </conditionalFormatting>
  <conditionalFormatting sqref="R173">
    <cfRule type="cellIs" dxfId="6369" priority="777" stopIfTrue="1" operator="equal">
      <formula>"NO"</formula>
    </cfRule>
  </conditionalFormatting>
  <conditionalFormatting sqref="Q180">
    <cfRule type="containsBlanks" dxfId="6368" priority="734" stopIfTrue="1">
      <formula>LEN(TRIM(Q180))=0</formula>
    </cfRule>
    <cfRule type="cellIs" dxfId="6367" priority="735" stopIfTrue="1" operator="between">
      <formula>80.1</formula>
      <formula>100</formula>
    </cfRule>
    <cfRule type="cellIs" dxfId="6366" priority="736" stopIfTrue="1" operator="between">
      <formula>35.1</formula>
      <formula>80</formula>
    </cfRule>
    <cfRule type="cellIs" dxfId="6365" priority="737" stopIfTrue="1" operator="between">
      <formula>14.1</formula>
      <formula>35</formula>
    </cfRule>
    <cfRule type="cellIs" dxfId="6364" priority="738" stopIfTrue="1" operator="between">
      <formula>5.1</formula>
      <formula>14</formula>
    </cfRule>
    <cfRule type="cellIs" dxfId="6363" priority="739" stopIfTrue="1" operator="between">
      <formula>0</formula>
      <formula>5</formula>
    </cfRule>
    <cfRule type="containsBlanks" dxfId="6362" priority="740" stopIfTrue="1">
      <formula>LEN(TRIM(Q180))=0</formula>
    </cfRule>
  </conditionalFormatting>
  <conditionalFormatting sqref="Q182:Q185">
    <cfRule type="containsBlanks" dxfId="6361" priority="704" stopIfTrue="1">
      <formula>LEN(TRIM(Q182))=0</formula>
    </cfRule>
    <cfRule type="cellIs" dxfId="6360" priority="705" stopIfTrue="1" operator="between">
      <formula>80.1</formula>
      <formula>100</formula>
    </cfRule>
    <cfRule type="cellIs" dxfId="6359" priority="706" stopIfTrue="1" operator="between">
      <formula>35.1</formula>
      <formula>80</formula>
    </cfRule>
    <cfRule type="cellIs" dxfId="6358" priority="707" stopIfTrue="1" operator="between">
      <formula>14.1</formula>
      <formula>35</formula>
    </cfRule>
    <cfRule type="cellIs" dxfId="6357" priority="708" stopIfTrue="1" operator="between">
      <formula>5.1</formula>
      <formula>14</formula>
    </cfRule>
    <cfRule type="cellIs" dxfId="6356" priority="709" stopIfTrue="1" operator="between">
      <formula>0</formula>
      <formula>5</formula>
    </cfRule>
    <cfRule type="containsBlanks" dxfId="6355" priority="710" stopIfTrue="1">
      <formula>LEN(TRIM(Q182))=0</formula>
    </cfRule>
  </conditionalFormatting>
  <conditionalFormatting sqref="R182">
    <cfRule type="cellIs" dxfId="6354" priority="702" stopIfTrue="1" operator="equal">
      <formula>"NO"</formula>
    </cfRule>
  </conditionalFormatting>
  <conditionalFormatting sqref="Q186:Q189">
    <cfRule type="containsBlanks" dxfId="6353" priority="689" stopIfTrue="1">
      <formula>LEN(TRIM(Q186))=0</formula>
    </cfRule>
    <cfRule type="cellIs" dxfId="6352" priority="690" stopIfTrue="1" operator="between">
      <formula>80.1</formula>
      <formula>100</formula>
    </cfRule>
    <cfRule type="cellIs" dxfId="6351" priority="691" stopIfTrue="1" operator="between">
      <formula>35.1</formula>
      <formula>80</formula>
    </cfRule>
    <cfRule type="cellIs" dxfId="6350" priority="692" stopIfTrue="1" operator="between">
      <formula>14.1</formula>
      <formula>35</formula>
    </cfRule>
    <cfRule type="cellIs" dxfId="6349" priority="693" stopIfTrue="1" operator="between">
      <formula>5.1</formula>
      <formula>14</formula>
    </cfRule>
    <cfRule type="cellIs" dxfId="6348" priority="694" stopIfTrue="1" operator="between">
      <formula>0</formula>
      <formula>5</formula>
    </cfRule>
    <cfRule type="containsBlanks" dxfId="6347" priority="695" stopIfTrue="1">
      <formula>LEN(TRIM(Q186))=0</formula>
    </cfRule>
  </conditionalFormatting>
  <conditionalFormatting sqref="Q191">
    <cfRule type="containsBlanks" dxfId="6346" priority="659" stopIfTrue="1">
      <formula>LEN(TRIM(Q191))=0</formula>
    </cfRule>
    <cfRule type="cellIs" dxfId="6345" priority="660" stopIfTrue="1" operator="between">
      <formula>80.1</formula>
      <formula>100</formula>
    </cfRule>
    <cfRule type="cellIs" dxfId="6344" priority="661" stopIfTrue="1" operator="between">
      <formula>35.1</formula>
      <formula>80</formula>
    </cfRule>
    <cfRule type="cellIs" dxfId="6343" priority="662" stopIfTrue="1" operator="between">
      <formula>14.1</formula>
      <formula>35</formula>
    </cfRule>
    <cfRule type="cellIs" dxfId="6342" priority="663" stopIfTrue="1" operator="between">
      <formula>5.1</formula>
      <formula>14</formula>
    </cfRule>
    <cfRule type="cellIs" dxfId="6341" priority="664" stopIfTrue="1" operator="between">
      <formula>0</formula>
      <formula>5</formula>
    </cfRule>
    <cfRule type="containsBlanks" dxfId="6340" priority="665" stopIfTrue="1">
      <formula>LEN(TRIM(Q191))=0</formula>
    </cfRule>
  </conditionalFormatting>
  <conditionalFormatting sqref="Q192:Q194">
    <cfRule type="containsBlanks" dxfId="6339" priority="644" stopIfTrue="1">
      <formula>LEN(TRIM(Q192))=0</formula>
    </cfRule>
    <cfRule type="cellIs" dxfId="6338" priority="645" stopIfTrue="1" operator="between">
      <formula>80.1</formula>
      <formula>100</formula>
    </cfRule>
    <cfRule type="cellIs" dxfId="6337" priority="646" stopIfTrue="1" operator="between">
      <formula>35.1</formula>
      <formula>80</formula>
    </cfRule>
    <cfRule type="cellIs" dxfId="6336" priority="647" stopIfTrue="1" operator="between">
      <formula>14.1</formula>
      <formula>35</formula>
    </cfRule>
    <cfRule type="cellIs" dxfId="6335" priority="648" stopIfTrue="1" operator="between">
      <formula>5.1</formula>
      <formula>14</formula>
    </cfRule>
    <cfRule type="cellIs" dxfId="6334" priority="649" stopIfTrue="1" operator="between">
      <formula>0</formula>
      <formula>5</formula>
    </cfRule>
    <cfRule type="containsBlanks" dxfId="6333" priority="650" stopIfTrue="1">
      <formula>LEN(TRIM(Q192))=0</formula>
    </cfRule>
  </conditionalFormatting>
  <conditionalFormatting sqref="R193">
    <cfRule type="cellIs" dxfId="6332" priority="642" stopIfTrue="1" operator="equal">
      <formula>"NO"</formula>
    </cfRule>
  </conditionalFormatting>
  <conditionalFormatting sqref="Q195:Q197">
    <cfRule type="containsBlanks" dxfId="6331" priority="629" stopIfTrue="1">
      <formula>LEN(TRIM(Q195))=0</formula>
    </cfRule>
    <cfRule type="cellIs" dxfId="6330" priority="630" stopIfTrue="1" operator="between">
      <formula>80.1</formula>
      <formula>100</formula>
    </cfRule>
    <cfRule type="cellIs" dxfId="6329" priority="631" stopIfTrue="1" operator="between">
      <formula>35.1</formula>
      <formula>80</formula>
    </cfRule>
    <cfRule type="cellIs" dxfId="6328" priority="632" stopIfTrue="1" operator="between">
      <formula>14.1</formula>
      <formula>35</formula>
    </cfRule>
    <cfRule type="cellIs" dxfId="6327" priority="633" stopIfTrue="1" operator="between">
      <formula>5.1</formula>
      <formula>14</formula>
    </cfRule>
    <cfRule type="cellIs" dxfId="6326" priority="634" stopIfTrue="1" operator="between">
      <formula>0</formula>
      <formula>5</formula>
    </cfRule>
    <cfRule type="containsBlanks" dxfId="6325" priority="635" stopIfTrue="1">
      <formula>LEN(TRIM(Q195))=0</formula>
    </cfRule>
  </conditionalFormatting>
  <conditionalFormatting sqref="Q201:Q202">
    <cfRule type="containsBlanks" dxfId="6324" priority="599" stopIfTrue="1">
      <formula>LEN(TRIM(Q201))=0</formula>
    </cfRule>
    <cfRule type="cellIs" dxfId="6323" priority="600" stopIfTrue="1" operator="between">
      <formula>80.1</formula>
      <formula>100</formula>
    </cfRule>
    <cfRule type="cellIs" dxfId="6322" priority="601" stopIfTrue="1" operator="between">
      <formula>35.1</formula>
      <formula>80</formula>
    </cfRule>
    <cfRule type="cellIs" dxfId="6321" priority="602" stopIfTrue="1" operator="between">
      <formula>14.1</formula>
      <formula>35</formula>
    </cfRule>
    <cfRule type="cellIs" dxfId="6320" priority="603" stopIfTrue="1" operator="between">
      <formula>5.1</formula>
      <formula>14</formula>
    </cfRule>
    <cfRule type="cellIs" dxfId="6319" priority="604" stopIfTrue="1" operator="between">
      <formula>0</formula>
      <formula>5</formula>
    </cfRule>
    <cfRule type="containsBlanks" dxfId="6318" priority="605" stopIfTrue="1">
      <formula>LEN(TRIM(Q201))=0</formula>
    </cfRule>
  </conditionalFormatting>
  <conditionalFormatting sqref="Q206:Q207">
    <cfRule type="containsBlanks" dxfId="6317" priority="569" stopIfTrue="1">
      <formula>LEN(TRIM(Q206))=0</formula>
    </cfRule>
    <cfRule type="cellIs" dxfId="6316" priority="570" stopIfTrue="1" operator="between">
      <formula>80.1</formula>
      <formula>100</formula>
    </cfRule>
    <cfRule type="cellIs" dxfId="6315" priority="571" stopIfTrue="1" operator="between">
      <formula>35.1</formula>
      <formula>80</formula>
    </cfRule>
    <cfRule type="cellIs" dxfId="6314" priority="572" stopIfTrue="1" operator="between">
      <formula>14.1</formula>
      <formula>35</formula>
    </cfRule>
    <cfRule type="cellIs" dxfId="6313" priority="573" stopIfTrue="1" operator="between">
      <formula>5.1</formula>
      <formula>14</formula>
    </cfRule>
    <cfRule type="cellIs" dxfId="6312" priority="574" stopIfTrue="1" operator="between">
      <formula>0</formula>
      <formula>5</formula>
    </cfRule>
    <cfRule type="containsBlanks" dxfId="6311" priority="575" stopIfTrue="1">
      <formula>LEN(TRIM(Q206))=0</formula>
    </cfRule>
  </conditionalFormatting>
  <conditionalFormatting sqref="E103:P103">
    <cfRule type="containsBlanks" dxfId="6310" priority="554" stopIfTrue="1">
      <formula>LEN(TRIM(E103))=0</formula>
    </cfRule>
    <cfRule type="cellIs" dxfId="6309" priority="555" stopIfTrue="1" operator="between">
      <formula>79.1</formula>
      <formula>100</formula>
    </cfRule>
    <cfRule type="cellIs" dxfId="6308" priority="556" stopIfTrue="1" operator="between">
      <formula>34.1</formula>
      <formula>79</formula>
    </cfRule>
    <cfRule type="cellIs" dxfId="6307" priority="557" stopIfTrue="1" operator="between">
      <formula>13.1</formula>
      <formula>34</formula>
    </cfRule>
    <cfRule type="cellIs" dxfId="6306" priority="558" stopIfTrue="1" operator="between">
      <formula>5.1</formula>
      <formula>13</formula>
    </cfRule>
    <cfRule type="cellIs" dxfId="6305" priority="559" stopIfTrue="1" operator="between">
      <formula>0</formula>
      <formula>5</formula>
    </cfRule>
    <cfRule type="containsBlanks" dxfId="6304" priority="560" stopIfTrue="1">
      <formula>LEN(TRIM(E103))=0</formula>
    </cfRule>
  </conditionalFormatting>
  <conditionalFormatting sqref="E106:P106">
    <cfRule type="containsBlanks" dxfId="6303" priority="547" stopIfTrue="1">
      <formula>LEN(TRIM(E106))=0</formula>
    </cfRule>
    <cfRule type="cellIs" dxfId="6302" priority="548" stopIfTrue="1" operator="between">
      <formula>79.1</formula>
      <formula>100</formula>
    </cfRule>
    <cfRule type="cellIs" dxfId="6301" priority="549" stopIfTrue="1" operator="between">
      <formula>34.1</formula>
      <formula>79</formula>
    </cfRule>
    <cfRule type="cellIs" dxfId="6300" priority="550" stopIfTrue="1" operator="between">
      <formula>13.1</formula>
      <formula>34</formula>
    </cfRule>
    <cfRule type="cellIs" dxfId="6299" priority="551" stopIfTrue="1" operator="between">
      <formula>5.1</formula>
      <formula>13</formula>
    </cfRule>
    <cfRule type="cellIs" dxfId="6298" priority="552" stopIfTrue="1" operator="between">
      <formula>0</formula>
      <formula>5</formula>
    </cfRule>
    <cfRule type="containsBlanks" dxfId="6297" priority="553" stopIfTrue="1">
      <formula>LEN(TRIM(E106))=0</formula>
    </cfRule>
  </conditionalFormatting>
  <conditionalFormatting sqref="E104:P104">
    <cfRule type="containsBlanks" dxfId="6296" priority="540" stopIfTrue="1">
      <formula>LEN(TRIM(E104))=0</formula>
    </cfRule>
    <cfRule type="cellIs" dxfId="6295" priority="541" stopIfTrue="1" operator="between">
      <formula>79.1</formula>
      <formula>100</formula>
    </cfRule>
    <cfRule type="cellIs" dxfId="6294" priority="542" stopIfTrue="1" operator="between">
      <formula>34.1</formula>
      <formula>79</formula>
    </cfRule>
    <cfRule type="cellIs" dxfId="6293" priority="543" stopIfTrue="1" operator="between">
      <formula>13.1</formula>
      <formula>34</formula>
    </cfRule>
    <cfRule type="cellIs" dxfId="6292" priority="544" stopIfTrue="1" operator="between">
      <formula>5.1</formula>
      <formula>13</formula>
    </cfRule>
    <cfRule type="cellIs" dxfId="6291" priority="545" stopIfTrue="1" operator="between">
      <formula>0</formula>
      <formula>5</formula>
    </cfRule>
    <cfRule type="containsBlanks" dxfId="6290" priority="546" stopIfTrue="1">
      <formula>LEN(TRIM(E104))=0</formula>
    </cfRule>
  </conditionalFormatting>
  <conditionalFormatting sqref="E105:P105">
    <cfRule type="containsBlanks" dxfId="6289" priority="533" stopIfTrue="1">
      <formula>LEN(TRIM(E105))=0</formula>
    </cfRule>
    <cfRule type="cellIs" dxfId="6288" priority="534" stopIfTrue="1" operator="between">
      <formula>79.1</formula>
      <formula>100</formula>
    </cfRule>
    <cfRule type="cellIs" dxfId="6287" priority="535" stopIfTrue="1" operator="between">
      <formula>34.1</formula>
      <formula>79</formula>
    </cfRule>
    <cfRule type="cellIs" dxfId="6286" priority="536" stopIfTrue="1" operator="between">
      <formula>13.1</formula>
      <formula>34</formula>
    </cfRule>
    <cfRule type="cellIs" dxfId="6285" priority="537" stopIfTrue="1" operator="between">
      <formula>5.1</formula>
      <formula>13</formula>
    </cfRule>
    <cfRule type="cellIs" dxfId="6284" priority="538" stopIfTrue="1" operator="between">
      <formula>0</formula>
      <formula>5</formula>
    </cfRule>
    <cfRule type="containsBlanks" dxfId="6283" priority="539" stopIfTrue="1">
      <formula>LEN(TRIM(E105))=0</formula>
    </cfRule>
  </conditionalFormatting>
  <conditionalFormatting sqref="E116:P116">
    <cfRule type="containsBlanks" dxfId="6282" priority="526" stopIfTrue="1">
      <formula>LEN(TRIM(E116))=0</formula>
    </cfRule>
    <cfRule type="cellIs" dxfId="6281" priority="527" stopIfTrue="1" operator="between">
      <formula>79.1</formula>
      <formula>100</formula>
    </cfRule>
    <cfRule type="cellIs" dxfId="6280" priority="528" stopIfTrue="1" operator="between">
      <formula>34.1</formula>
      <formula>79</formula>
    </cfRule>
    <cfRule type="cellIs" dxfId="6279" priority="529" stopIfTrue="1" operator="between">
      <formula>13.1</formula>
      <formula>34</formula>
    </cfRule>
    <cfRule type="cellIs" dxfId="6278" priority="530" stopIfTrue="1" operator="between">
      <formula>5.1</formula>
      <formula>13</formula>
    </cfRule>
    <cfRule type="cellIs" dxfId="6277" priority="531" stopIfTrue="1" operator="between">
      <formula>0</formula>
      <formula>5</formula>
    </cfRule>
    <cfRule type="containsBlanks" dxfId="6276" priority="532" stopIfTrue="1">
      <formula>LEN(TRIM(E116))=0</formula>
    </cfRule>
  </conditionalFormatting>
  <conditionalFormatting sqref="N107:P107 E107:L107">
    <cfRule type="containsBlanks" dxfId="6275" priority="519" stopIfTrue="1">
      <formula>LEN(TRIM(E107))=0</formula>
    </cfRule>
    <cfRule type="cellIs" dxfId="6274" priority="520" stopIfTrue="1" operator="between">
      <formula>79.1</formula>
      <formula>100</formula>
    </cfRule>
    <cfRule type="cellIs" dxfId="6273" priority="521" stopIfTrue="1" operator="between">
      <formula>34.1</formula>
      <formula>79</formula>
    </cfRule>
    <cfRule type="cellIs" dxfId="6272" priority="522" stopIfTrue="1" operator="between">
      <formula>13.1</formula>
      <formula>34</formula>
    </cfRule>
    <cfRule type="cellIs" dxfId="6271" priority="523" stopIfTrue="1" operator="between">
      <formula>5.1</formula>
      <formula>13</formula>
    </cfRule>
    <cfRule type="cellIs" dxfId="6270" priority="524" stopIfTrue="1" operator="between">
      <formula>0</formula>
      <formula>5</formula>
    </cfRule>
    <cfRule type="containsBlanks" dxfId="6269" priority="525" stopIfTrue="1">
      <formula>LEN(TRIM(E107))=0</formula>
    </cfRule>
  </conditionalFormatting>
  <conditionalFormatting sqref="M107">
    <cfRule type="containsBlanks" dxfId="6268" priority="512" stopIfTrue="1">
      <formula>LEN(TRIM(M107))=0</formula>
    </cfRule>
    <cfRule type="cellIs" dxfId="6267" priority="513" stopIfTrue="1" operator="between">
      <formula>79.1</formula>
      <formula>100</formula>
    </cfRule>
    <cfRule type="cellIs" dxfId="6266" priority="514" stopIfTrue="1" operator="between">
      <formula>34.1</formula>
      <formula>79</formula>
    </cfRule>
    <cfRule type="cellIs" dxfId="6265" priority="515" stopIfTrue="1" operator="between">
      <formula>13.1</formula>
      <formula>34</formula>
    </cfRule>
    <cfRule type="cellIs" dxfId="6264" priority="516" stopIfTrue="1" operator="between">
      <formula>5.1</formula>
      <formula>13</formula>
    </cfRule>
    <cfRule type="cellIs" dxfId="6263" priority="517" stopIfTrue="1" operator="between">
      <formula>0</formula>
      <formula>5</formula>
    </cfRule>
    <cfRule type="containsBlanks" dxfId="6262" priority="518" stopIfTrue="1">
      <formula>LEN(TRIM(M107))=0</formula>
    </cfRule>
  </conditionalFormatting>
  <conditionalFormatting sqref="E119:P119">
    <cfRule type="containsBlanks" dxfId="6261" priority="491" stopIfTrue="1">
      <formula>LEN(TRIM(E119))=0</formula>
    </cfRule>
    <cfRule type="cellIs" dxfId="6260" priority="492" stopIfTrue="1" operator="between">
      <formula>79.1</formula>
      <formula>100</formula>
    </cfRule>
    <cfRule type="cellIs" dxfId="6259" priority="493" stopIfTrue="1" operator="between">
      <formula>34.1</formula>
      <formula>79</formula>
    </cfRule>
    <cfRule type="cellIs" dxfId="6258" priority="494" stopIfTrue="1" operator="between">
      <formula>13.1</formula>
      <formula>34</formula>
    </cfRule>
    <cfRule type="cellIs" dxfId="6257" priority="495" stopIfTrue="1" operator="between">
      <formula>5.1</formula>
      <formula>13</formula>
    </cfRule>
    <cfRule type="cellIs" dxfId="6256" priority="496" stopIfTrue="1" operator="between">
      <formula>0</formula>
      <formula>5</formula>
    </cfRule>
    <cfRule type="containsBlanks" dxfId="6255" priority="497" stopIfTrue="1">
      <formula>LEN(TRIM(E119))=0</formula>
    </cfRule>
  </conditionalFormatting>
  <conditionalFormatting sqref="E118:P118">
    <cfRule type="containsBlanks" dxfId="6254" priority="484" stopIfTrue="1">
      <formula>LEN(TRIM(E118))=0</formula>
    </cfRule>
    <cfRule type="cellIs" dxfId="6253" priority="485" stopIfTrue="1" operator="between">
      <formula>79.1</formula>
      <formula>100</formula>
    </cfRule>
    <cfRule type="cellIs" dxfId="6252" priority="486" stopIfTrue="1" operator="between">
      <formula>34.1</formula>
      <formula>79</formula>
    </cfRule>
    <cfRule type="cellIs" dxfId="6251" priority="487" stopIfTrue="1" operator="between">
      <formula>13.1</formula>
      <formula>34</formula>
    </cfRule>
    <cfRule type="cellIs" dxfId="6250" priority="488" stopIfTrue="1" operator="between">
      <formula>5.1</formula>
      <formula>13</formula>
    </cfRule>
    <cfRule type="cellIs" dxfId="6249" priority="489" stopIfTrue="1" operator="between">
      <formula>0</formula>
      <formula>5</formula>
    </cfRule>
    <cfRule type="containsBlanks" dxfId="6248" priority="490" stopIfTrue="1">
      <formula>LEN(TRIM(E118))=0</formula>
    </cfRule>
  </conditionalFormatting>
  <conditionalFormatting sqref="E108:P108">
    <cfRule type="containsBlanks" dxfId="6247" priority="392" stopIfTrue="1">
      <formula>LEN(TRIM(E108))=0</formula>
    </cfRule>
    <cfRule type="cellIs" dxfId="6246" priority="393" stopIfTrue="1" operator="between">
      <formula>79.1</formula>
      <formula>100</formula>
    </cfRule>
    <cfRule type="cellIs" dxfId="6245" priority="394" stopIfTrue="1" operator="between">
      <formula>34.1</formula>
      <formula>79</formula>
    </cfRule>
    <cfRule type="cellIs" dxfId="6244" priority="395" stopIfTrue="1" operator="between">
      <formula>13.1</formula>
      <formula>34</formula>
    </cfRule>
    <cfRule type="cellIs" dxfId="6243" priority="396" stopIfTrue="1" operator="between">
      <formula>5.1</formula>
      <formula>13</formula>
    </cfRule>
    <cfRule type="cellIs" dxfId="6242" priority="397" stopIfTrue="1" operator="between">
      <formula>0</formula>
      <formula>5</formula>
    </cfRule>
    <cfRule type="containsBlanks" dxfId="6241" priority="398" stopIfTrue="1">
      <formula>LEN(TRIM(E108))=0</formula>
    </cfRule>
  </conditionalFormatting>
  <conditionalFormatting sqref="E117:P117">
    <cfRule type="containsBlanks" dxfId="6240" priority="463" stopIfTrue="1">
      <formula>LEN(TRIM(E117))=0</formula>
    </cfRule>
    <cfRule type="cellIs" dxfId="6239" priority="464" stopIfTrue="1" operator="between">
      <formula>79.1</formula>
      <formula>100</formula>
    </cfRule>
    <cfRule type="cellIs" dxfId="6238" priority="465" stopIfTrue="1" operator="between">
      <formula>34.1</formula>
      <formula>79</formula>
    </cfRule>
    <cfRule type="cellIs" dxfId="6237" priority="466" stopIfTrue="1" operator="between">
      <formula>13.1</formula>
      <formula>34</formula>
    </cfRule>
    <cfRule type="cellIs" dxfId="6236" priority="467" stopIfTrue="1" operator="between">
      <formula>5.1</formula>
      <formula>13</formula>
    </cfRule>
    <cfRule type="cellIs" dxfId="6235" priority="468" stopIfTrue="1" operator="between">
      <formula>0</formula>
      <formula>5</formula>
    </cfRule>
    <cfRule type="containsBlanks" dxfId="6234" priority="469" stopIfTrue="1">
      <formula>LEN(TRIM(E117))=0</formula>
    </cfRule>
  </conditionalFormatting>
  <conditionalFormatting sqref="E114:P114">
    <cfRule type="containsBlanks" dxfId="6233" priority="456" stopIfTrue="1">
      <formula>LEN(TRIM(E114))=0</formula>
    </cfRule>
    <cfRule type="cellIs" dxfId="6232" priority="457" stopIfTrue="1" operator="between">
      <formula>79.1</formula>
      <formula>100</formula>
    </cfRule>
    <cfRule type="cellIs" dxfId="6231" priority="458" stopIfTrue="1" operator="between">
      <formula>34.1</formula>
      <formula>79</formula>
    </cfRule>
    <cfRule type="cellIs" dxfId="6230" priority="459" stopIfTrue="1" operator="between">
      <formula>13.1</formula>
      <formula>34</formula>
    </cfRule>
    <cfRule type="cellIs" dxfId="6229" priority="460" stopIfTrue="1" operator="between">
      <formula>5.1</formula>
      <formula>13</formula>
    </cfRule>
    <cfRule type="cellIs" dxfId="6228" priority="461" stopIfTrue="1" operator="between">
      <formula>0</formula>
      <formula>5</formula>
    </cfRule>
    <cfRule type="containsBlanks" dxfId="6227" priority="462" stopIfTrue="1">
      <formula>LEN(TRIM(E114))=0</formula>
    </cfRule>
  </conditionalFormatting>
  <conditionalFormatting sqref="E112:P112">
    <cfRule type="containsBlanks" dxfId="6226" priority="442" stopIfTrue="1">
      <formula>LEN(TRIM(E112))=0</formula>
    </cfRule>
    <cfRule type="cellIs" dxfId="6225" priority="443" stopIfTrue="1" operator="between">
      <formula>79.1</formula>
      <formula>100</formula>
    </cfRule>
    <cfRule type="cellIs" dxfId="6224" priority="444" stopIfTrue="1" operator="between">
      <formula>34.1</formula>
      <formula>79</formula>
    </cfRule>
    <cfRule type="cellIs" dxfId="6223" priority="445" stopIfTrue="1" operator="between">
      <formula>13.1</formula>
      <formula>34</formula>
    </cfRule>
    <cfRule type="cellIs" dxfId="6222" priority="446" stopIfTrue="1" operator="between">
      <formula>5.1</formula>
      <formula>13</formula>
    </cfRule>
    <cfRule type="cellIs" dxfId="6221" priority="447" stopIfTrue="1" operator="between">
      <formula>0</formula>
      <formula>5</formula>
    </cfRule>
    <cfRule type="containsBlanks" dxfId="6220" priority="448" stopIfTrue="1">
      <formula>LEN(TRIM(E112))=0</formula>
    </cfRule>
  </conditionalFormatting>
  <conditionalFormatting sqref="E111:P111">
    <cfRule type="containsBlanks" dxfId="6219" priority="420" stopIfTrue="1">
      <formula>LEN(TRIM(E111))=0</formula>
    </cfRule>
    <cfRule type="cellIs" dxfId="6218" priority="421" stopIfTrue="1" operator="between">
      <formula>79.1</formula>
      <formula>100</formula>
    </cfRule>
    <cfRule type="cellIs" dxfId="6217" priority="422" stopIfTrue="1" operator="between">
      <formula>34.1</formula>
      <formula>79</formula>
    </cfRule>
    <cfRule type="cellIs" dxfId="6216" priority="423" stopIfTrue="1" operator="between">
      <formula>13.1</formula>
      <formula>34</formula>
    </cfRule>
    <cfRule type="cellIs" dxfId="6215" priority="424" stopIfTrue="1" operator="between">
      <formula>5.1</formula>
      <formula>13</formula>
    </cfRule>
    <cfRule type="cellIs" dxfId="6214" priority="425" stopIfTrue="1" operator="between">
      <formula>0</formula>
      <formula>5</formula>
    </cfRule>
    <cfRule type="containsBlanks" dxfId="6213" priority="426" stopIfTrue="1">
      <formula>LEN(TRIM(E111))=0</formula>
    </cfRule>
  </conditionalFormatting>
  <conditionalFormatting sqref="E110:P110">
    <cfRule type="containsBlanks" dxfId="6212" priority="413" stopIfTrue="1">
      <formula>LEN(TRIM(E110))=0</formula>
    </cfRule>
    <cfRule type="cellIs" dxfId="6211" priority="414" stopIfTrue="1" operator="between">
      <formula>79.1</formula>
      <formula>100</formula>
    </cfRule>
    <cfRule type="cellIs" dxfId="6210" priority="415" stopIfTrue="1" operator="between">
      <formula>34.1</formula>
      <formula>79</formula>
    </cfRule>
    <cfRule type="cellIs" dxfId="6209" priority="416" stopIfTrue="1" operator="between">
      <formula>13.1</formula>
      <formula>34</formula>
    </cfRule>
    <cfRule type="cellIs" dxfId="6208" priority="417" stopIfTrue="1" operator="between">
      <formula>5.1</formula>
      <formula>13</formula>
    </cfRule>
    <cfRule type="cellIs" dxfId="6207" priority="418" stopIfTrue="1" operator="between">
      <formula>0</formula>
      <formula>5</formula>
    </cfRule>
    <cfRule type="containsBlanks" dxfId="6206" priority="419" stopIfTrue="1">
      <formula>LEN(TRIM(E110))=0</formula>
    </cfRule>
  </conditionalFormatting>
  <conditionalFormatting sqref="E109:P109">
    <cfRule type="containsBlanks" dxfId="6205" priority="406" stopIfTrue="1">
      <formula>LEN(TRIM(E109))=0</formula>
    </cfRule>
    <cfRule type="cellIs" dxfId="6204" priority="407" stopIfTrue="1" operator="between">
      <formula>79.1</formula>
      <formula>100</formula>
    </cfRule>
    <cfRule type="cellIs" dxfId="6203" priority="408" stopIfTrue="1" operator="between">
      <formula>34.1</formula>
      <formula>79</formula>
    </cfRule>
    <cfRule type="cellIs" dxfId="6202" priority="409" stopIfTrue="1" operator="between">
      <formula>13.1</formula>
      <formula>34</formula>
    </cfRule>
    <cfRule type="cellIs" dxfId="6201" priority="410" stopIfTrue="1" operator="between">
      <formula>5.1</formula>
      <formula>13</formula>
    </cfRule>
    <cfRule type="cellIs" dxfId="6200" priority="411" stopIfTrue="1" operator="between">
      <formula>0</formula>
      <formula>5</formula>
    </cfRule>
    <cfRule type="containsBlanks" dxfId="6199" priority="412" stopIfTrue="1">
      <formula>LEN(TRIM(E109))=0</formula>
    </cfRule>
  </conditionalFormatting>
  <conditionalFormatting sqref="Q148">
    <cfRule type="containsBlanks" dxfId="6198" priority="385" stopIfTrue="1">
      <formula>LEN(TRIM(Q148))=0</formula>
    </cfRule>
    <cfRule type="cellIs" dxfId="6197" priority="386" stopIfTrue="1" operator="between">
      <formula>80.1</formula>
      <formula>100</formula>
    </cfRule>
    <cfRule type="cellIs" dxfId="6196" priority="387" stopIfTrue="1" operator="between">
      <formula>35.1</formula>
      <formula>80</formula>
    </cfRule>
    <cfRule type="cellIs" dxfId="6195" priority="388" stopIfTrue="1" operator="between">
      <formula>14.1</formula>
      <formula>35</formula>
    </cfRule>
    <cfRule type="cellIs" dxfId="6194" priority="389" stopIfTrue="1" operator="between">
      <formula>5.1</formula>
      <formula>14</formula>
    </cfRule>
    <cfRule type="cellIs" dxfId="6193" priority="390" stopIfTrue="1" operator="between">
      <formula>0</formula>
      <formula>5</formula>
    </cfRule>
    <cfRule type="containsBlanks" dxfId="6192" priority="391" stopIfTrue="1">
      <formula>LEN(TRIM(Q148))=0</formula>
    </cfRule>
  </conditionalFormatting>
  <conditionalFormatting sqref="R148:R154">
    <cfRule type="cellIs" dxfId="6191" priority="383" stopIfTrue="1" operator="equal">
      <formula>"NO"</formula>
    </cfRule>
  </conditionalFormatting>
  <conditionalFormatting sqref="E157:P157">
    <cfRule type="containsBlanks" dxfId="6190" priority="272" stopIfTrue="1">
      <formula>LEN(TRIM(E157))=0</formula>
    </cfRule>
    <cfRule type="cellIs" dxfId="6189" priority="273" stopIfTrue="1" operator="between">
      <formula>80.1</formula>
      <formula>100</formula>
    </cfRule>
    <cfRule type="cellIs" dxfId="6188" priority="274" stopIfTrue="1" operator="between">
      <formula>35.1</formula>
      <formula>80</formula>
    </cfRule>
    <cfRule type="cellIs" dxfId="6187" priority="275" stopIfTrue="1" operator="between">
      <formula>14.1</formula>
      <formula>35</formula>
    </cfRule>
    <cfRule type="cellIs" dxfId="6186" priority="276" stopIfTrue="1" operator="between">
      <formula>5.1</formula>
      <formula>14</formula>
    </cfRule>
    <cfRule type="cellIs" dxfId="6185" priority="277" stopIfTrue="1" operator="between">
      <formula>0</formula>
      <formula>5</formula>
    </cfRule>
    <cfRule type="containsBlanks" dxfId="6184" priority="278" stopIfTrue="1">
      <formula>LEN(TRIM(E157))=0</formula>
    </cfRule>
  </conditionalFormatting>
  <conditionalFormatting sqref="E159:P159">
    <cfRule type="containsBlanks" dxfId="6183" priority="370" stopIfTrue="1">
      <formula>LEN(TRIM(E159))=0</formula>
    </cfRule>
    <cfRule type="cellIs" dxfId="6182" priority="371" stopIfTrue="1" operator="between">
      <formula>80.1</formula>
      <formula>100</formula>
    </cfRule>
    <cfRule type="cellIs" dxfId="6181" priority="372" stopIfTrue="1" operator="between">
      <formula>35.1</formula>
      <formula>80</formula>
    </cfRule>
    <cfRule type="cellIs" dxfId="6180" priority="373" stopIfTrue="1" operator="between">
      <formula>14.1</formula>
      <formula>35</formula>
    </cfRule>
    <cfRule type="cellIs" dxfId="6179" priority="374" stopIfTrue="1" operator="between">
      <formula>5.1</formula>
      <formula>14</formula>
    </cfRule>
    <cfRule type="cellIs" dxfId="6178" priority="375" stopIfTrue="1" operator="between">
      <formula>0</formula>
      <formula>5</formula>
    </cfRule>
    <cfRule type="containsBlanks" dxfId="6177" priority="376" stopIfTrue="1">
      <formula>LEN(TRIM(E159))=0</formula>
    </cfRule>
  </conditionalFormatting>
  <conditionalFormatting sqref="E169:P169">
    <cfRule type="containsBlanks" dxfId="6176" priority="363" stopIfTrue="1">
      <formula>LEN(TRIM(E169))=0</formula>
    </cfRule>
    <cfRule type="cellIs" dxfId="6175" priority="364" stopIfTrue="1" operator="between">
      <formula>80.1</formula>
      <formula>100</formula>
    </cfRule>
    <cfRule type="cellIs" dxfId="6174" priority="365" stopIfTrue="1" operator="between">
      <formula>35.1</formula>
      <formula>80</formula>
    </cfRule>
    <cfRule type="cellIs" dxfId="6173" priority="366" stopIfTrue="1" operator="between">
      <formula>14.1</formula>
      <formula>35</formula>
    </cfRule>
    <cfRule type="cellIs" dxfId="6172" priority="367" stopIfTrue="1" operator="between">
      <formula>5.1</formula>
      <formula>14</formula>
    </cfRule>
    <cfRule type="cellIs" dxfId="6171" priority="368" stopIfTrue="1" operator="between">
      <formula>0</formula>
      <formula>5</formula>
    </cfRule>
    <cfRule type="containsBlanks" dxfId="6170" priority="369" stopIfTrue="1">
      <formula>LEN(TRIM(E169))=0</formula>
    </cfRule>
  </conditionalFormatting>
  <conditionalFormatting sqref="E170:P170">
    <cfRule type="containsBlanks" dxfId="6169" priority="356" stopIfTrue="1">
      <formula>LEN(TRIM(E170))=0</formula>
    </cfRule>
    <cfRule type="cellIs" dxfId="6168" priority="357" stopIfTrue="1" operator="between">
      <formula>80.1</formula>
      <formula>100</formula>
    </cfRule>
    <cfRule type="cellIs" dxfId="6167" priority="358" stopIfTrue="1" operator="between">
      <formula>35.1</formula>
      <formula>80</formula>
    </cfRule>
    <cfRule type="cellIs" dxfId="6166" priority="359" stopIfTrue="1" operator="between">
      <formula>14.1</formula>
      <formula>35</formula>
    </cfRule>
    <cfRule type="cellIs" dxfId="6165" priority="360" stopIfTrue="1" operator="between">
      <formula>5.1</formula>
      <formula>14</formula>
    </cfRule>
    <cfRule type="cellIs" dxfId="6164" priority="361" stopIfTrue="1" operator="between">
      <formula>0</formula>
      <formula>5</formula>
    </cfRule>
    <cfRule type="containsBlanks" dxfId="6163" priority="362" stopIfTrue="1">
      <formula>LEN(TRIM(E170))=0</formula>
    </cfRule>
  </conditionalFormatting>
  <conditionalFormatting sqref="E171:P171">
    <cfRule type="containsBlanks" dxfId="6162" priority="349" stopIfTrue="1">
      <formula>LEN(TRIM(E171))=0</formula>
    </cfRule>
    <cfRule type="cellIs" dxfId="6161" priority="350" stopIfTrue="1" operator="between">
      <formula>80.1</formula>
      <formula>100</formula>
    </cfRule>
    <cfRule type="cellIs" dxfId="6160" priority="351" stopIfTrue="1" operator="between">
      <formula>35.1</formula>
      <formula>80</formula>
    </cfRule>
    <cfRule type="cellIs" dxfId="6159" priority="352" stopIfTrue="1" operator="between">
      <formula>14.1</formula>
      <formula>35</formula>
    </cfRule>
    <cfRule type="cellIs" dxfId="6158" priority="353" stopIfTrue="1" operator="between">
      <formula>5.1</formula>
      <formula>14</formula>
    </cfRule>
    <cfRule type="cellIs" dxfId="6157" priority="354" stopIfTrue="1" operator="between">
      <formula>0</formula>
      <formula>5</formula>
    </cfRule>
    <cfRule type="containsBlanks" dxfId="6156" priority="355" stopIfTrue="1">
      <formula>LEN(TRIM(E171))=0</formula>
    </cfRule>
  </conditionalFormatting>
  <conditionalFormatting sqref="E161:P161">
    <cfRule type="containsBlanks" dxfId="6155" priority="335" stopIfTrue="1">
      <formula>LEN(TRIM(E161))=0</formula>
    </cfRule>
    <cfRule type="cellIs" dxfId="6154" priority="336" stopIfTrue="1" operator="between">
      <formula>80.1</formula>
      <formula>100</formula>
    </cfRule>
    <cfRule type="cellIs" dxfId="6153" priority="337" stopIfTrue="1" operator="between">
      <formula>35.1</formula>
      <formula>80</formula>
    </cfRule>
    <cfRule type="cellIs" dxfId="6152" priority="338" stopIfTrue="1" operator="between">
      <formula>14.1</formula>
      <formula>35</formula>
    </cfRule>
    <cfRule type="cellIs" dxfId="6151" priority="339" stopIfTrue="1" operator="between">
      <formula>5.1</formula>
      <formula>14</formula>
    </cfRule>
    <cfRule type="cellIs" dxfId="6150" priority="340" stopIfTrue="1" operator="between">
      <formula>0</formula>
      <formula>5</formula>
    </cfRule>
    <cfRule type="containsBlanks" dxfId="6149" priority="341" stopIfTrue="1">
      <formula>LEN(TRIM(E161))=0</formula>
    </cfRule>
  </conditionalFormatting>
  <conditionalFormatting sqref="E160:P160">
    <cfRule type="containsBlanks" dxfId="6148" priority="258" stopIfTrue="1">
      <formula>LEN(TRIM(E160))=0</formula>
    </cfRule>
    <cfRule type="cellIs" dxfId="6147" priority="259" stopIfTrue="1" operator="between">
      <formula>80.1</formula>
      <formula>100</formula>
    </cfRule>
    <cfRule type="cellIs" dxfId="6146" priority="260" stopIfTrue="1" operator="between">
      <formula>35.1</formula>
      <formula>80</formula>
    </cfRule>
    <cfRule type="cellIs" dxfId="6145" priority="261" stopIfTrue="1" operator="between">
      <formula>14.1</formula>
      <formula>35</formula>
    </cfRule>
    <cfRule type="cellIs" dxfId="6144" priority="262" stopIfTrue="1" operator="between">
      <formula>5.1</formula>
      <formula>14</formula>
    </cfRule>
    <cfRule type="cellIs" dxfId="6143" priority="263" stopIfTrue="1" operator="between">
      <formula>0</formula>
      <formula>5</formula>
    </cfRule>
    <cfRule type="containsBlanks" dxfId="6142" priority="264" stopIfTrue="1">
      <formula>LEN(TRIM(E160))=0</formula>
    </cfRule>
  </conditionalFormatting>
  <conditionalFormatting sqref="E162:P163">
    <cfRule type="containsBlanks" dxfId="6141" priority="328" stopIfTrue="1">
      <formula>LEN(TRIM(E162))=0</formula>
    </cfRule>
    <cfRule type="cellIs" dxfId="6140" priority="329" stopIfTrue="1" operator="between">
      <formula>80.1</formula>
      <formula>100</formula>
    </cfRule>
    <cfRule type="cellIs" dxfId="6139" priority="330" stopIfTrue="1" operator="between">
      <formula>35.1</formula>
      <formula>80</formula>
    </cfRule>
    <cfRule type="cellIs" dxfId="6138" priority="331" stopIfTrue="1" operator="between">
      <formula>14.1</formula>
      <formula>35</formula>
    </cfRule>
    <cfRule type="cellIs" dxfId="6137" priority="332" stopIfTrue="1" operator="between">
      <formula>5.1</formula>
      <formula>14</formula>
    </cfRule>
    <cfRule type="cellIs" dxfId="6136" priority="333" stopIfTrue="1" operator="between">
      <formula>0</formula>
      <formula>5</formula>
    </cfRule>
    <cfRule type="containsBlanks" dxfId="6135" priority="334" stopIfTrue="1">
      <formula>LEN(TRIM(E162))=0</formula>
    </cfRule>
  </conditionalFormatting>
  <conditionalFormatting sqref="E180:O180">
    <cfRule type="containsBlanks" dxfId="6134" priority="202" stopIfTrue="1">
      <formula>LEN(TRIM(E180))=0</formula>
    </cfRule>
    <cfRule type="cellIs" dxfId="6133" priority="203" stopIfTrue="1" operator="between">
      <formula>80.1</formula>
      <formula>100</formula>
    </cfRule>
    <cfRule type="cellIs" dxfId="6132" priority="204" stopIfTrue="1" operator="between">
      <formula>35.1</formula>
      <formula>80</formula>
    </cfRule>
    <cfRule type="cellIs" dxfId="6131" priority="205" stopIfTrue="1" operator="between">
      <formula>14.1</formula>
      <formula>35</formula>
    </cfRule>
    <cfRule type="cellIs" dxfId="6130" priority="206" stopIfTrue="1" operator="between">
      <formula>5.1</formula>
      <formula>14</formula>
    </cfRule>
    <cfRule type="cellIs" dxfId="6129" priority="207" stopIfTrue="1" operator="between">
      <formula>0</formula>
      <formula>5</formula>
    </cfRule>
    <cfRule type="containsBlanks" dxfId="6128" priority="208" stopIfTrue="1">
      <formula>LEN(TRIM(E180))=0</formula>
    </cfRule>
  </conditionalFormatting>
  <conditionalFormatting sqref="E168:P168">
    <cfRule type="containsBlanks" dxfId="6127" priority="307" stopIfTrue="1">
      <formula>LEN(TRIM(E168))=0</formula>
    </cfRule>
    <cfRule type="cellIs" dxfId="6126" priority="308" stopIfTrue="1" operator="between">
      <formula>80.1</formula>
      <formula>100</formula>
    </cfRule>
    <cfRule type="cellIs" dxfId="6125" priority="309" stopIfTrue="1" operator="between">
      <formula>35.1</formula>
      <formula>80</formula>
    </cfRule>
    <cfRule type="cellIs" dxfId="6124" priority="310" stopIfTrue="1" operator="between">
      <formula>14.1</formula>
      <formula>35</formula>
    </cfRule>
    <cfRule type="cellIs" dxfId="6123" priority="311" stopIfTrue="1" operator="between">
      <formula>5.1</formula>
      <formula>14</formula>
    </cfRule>
    <cfRule type="cellIs" dxfId="6122" priority="312" stopIfTrue="1" operator="between">
      <formula>0</formula>
      <formula>5</formula>
    </cfRule>
    <cfRule type="containsBlanks" dxfId="6121" priority="313" stopIfTrue="1">
      <formula>LEN(TRIM(E168))=0</formula>
    </cfRule>
  </conditionalFormatting>
  <conditionalFormatting sqref="E156:P156">
    <cfRule type="containsBlanks" dxfId="6120" priority="300" stopIfTrue="1">
      <formula>LEN(TRIM(E156))=0</formula>
    </cfRule>
    <cfRule type="cellIs" dxfId="6119" priority="301" stopIfTrue="1" operator="between">
      <formula>80.1</formula>
      <formula>100</formula>
    </cfRule>
    <cfRule type="cellIs" dxfId="6118" priority="302" stopIfTrue="1" operator="between">
      <formula>35.1</formula>
      <formula>80</formula>
    </cfRule>
    <cfRule type="cellIs" dxfId="6117" priority="303" stopIfTrue="1" operator="between">
      <formula>14.1</formula>
      <formula>35</formula>
    </cfRule>
    <cfRule type="cellIs" dxfId="6116" priority="304" stopIfTrue="1" operator="between">
      <formula>5.1</formula>
      <formula>14</formula>
    </cfRule>
    <cfRule type="cellIs" dxfId="6115" priority="305" stopIfTrue="1" operator="between">
      <formula>0</formula>
      <formula>5</formula>
    </cfRule>
    <cfRule type="containsBlanks" dxfId="6114" priority="306" stopIfTrue="1">
      <formula>LEN(TRIM(E156))=0</formula>
    </cfRule>
  </conditionalFormatting>
  <conditionalFormatting sqref="E154:Q154">
    <cfRule type="containsBlanks" dxfId="6113" priority="293" stopIfTrue="1">
      <formula>LEN(TRIM(E154))=0</formula>
    </cfRule>
    <cfRule type="cellIs" dxfId="6112" priority="294" stopIfTrue="1" operator="between">
      <formula>80.1</formula>
      <formula>100</formula>
    </cfRule>
    <cfRule type="cellIs" dxfId="6111" priority="295" stopIfTrue="1" operator="between">
      <formula>35.1</formula>
      <formula>80</formula>
    </cfRule>
    <cfRule type="cellIs" dxfId="6110" priority="296" stopIfTrue="1" operator="between">
      <formula>14.1</formula>
      <formula>35</formula>
    </cfRule>
    <cfRule type="cellIs" dxfId="6109" priority="297" stopIfTrue="1" operator="between">
      <formula>5.1</formula>
      <formula>14</formula>
    </cfRule>
    <cfRule type="cellIs" dxfId="6108" priority="298" stopIfTrue="1" operator="between">
      <formula>0</formula>
      <formula>5</formula>
    </cfRule>
    <cfRule type="containsBlanks" dxfId="6107" priority="299" stopIfTrue="1">
      <formula>LEN(TRIM(E154))=0</formula>
    </cfRule>
  </conditionalFormatting>
  <conditionalFormatting sqref="E166:P166">
    <cfRule type="containsBlanks" dxfId="6106" priority="279" stopIfTrue="1">
      <formula>LEN(TRIM(E166))=0</formula>
    </cfRule>
    <cfRule type="cellIs" dxfId="6105" priority="280" stopIfTrue="1" operator="between">
      <formula>80.1</formula>
      <formula>100</formula>
    </cfRule>
    <cfRule type="cellIs" dxfId="6104" priority="281" stopIfTrue="1" operator="between">
      <formula>35.1</formula>
      <formula>80</formula>
    </cfRule>
    <cfRule type="cellIs" dxfId="6103" priority="282" stopIfTrue="1" operator="between">
      <formula>14.1</formula>
      <formula>35</formula>
    </cfRule>
    <cfRule type="cellIs" dxfId="6102" priority="283" stopIfTrue="1" operator="between">
      <formula>5.1</formula>
      <formula>14</formula>
    </cfRule>
    <cfRule type="cellIs" dxfId="6101" priority="284" stopIfTrue="1" operator="between">
      <formula>0</formula>
      <formula>5</formula>
    </cfRule>
    <cfRule type="containsBlanks" dxfId="6100" priority="285" stopIfTrue="1">
      <formula>LEN(TRIM(E166))=0</formula>
    </cfRule>
  </conditionalFormatting>
  <conditionalFormatting sqref="E158:P158">
    <cfRule type="containsBlanks" dxfId="6099" priority="265" stopIfTrue="1">
      <formula>LEN(TRIM(E158))=0</formula>
    </cfRule>
    <cfRule type="cellIs" dxfId="6098" priority="266" stopIfTrue="1" operator="between">
      <formula>80.1</formula>
      <formula>100</formula>
    </cfRule>
    <cfRule type="cellIs" dxfId="6097" priority="267" stopIfTrue="1" operator="between">
      <formula>35.1</formula>
      <formula>80</formula>
    </cfRule>
    <cfRule type="cellIs" dxfId="6096" priority="268" stopIfTrue="1" operator="between">
      <formula>14.1</formula>
      <formula>35</formula>
    </cfRule>
    <cfRule type="cellIs" dxfId="6095" priority="269" stopIfTrue="1" operator="between">
      <formula>5.1</formula>
      <formula>14</formula>
    </cfRule>
    <cfRule type="cellIs" dxfId="6094" priority="270" stopIfTrue="1" operator="between">
      <formula>0</formula>
      <formula>5</formula>
    </cfRule>
    <cfRule type="containsBlanks" dxfId="6093" priority="271" stopIfTrue="1">
      <formula>LEN(TRIM(E158))=0</formula>
    </cfRule>
  </conditionalFormatting>
  <conditionalFormatting sqref="E165:P165">
    <cfRule type="containsBlanks" dxfId="6092" priority="251" stopIfTrue="1">
      <formula>LEN(TRIM(E165))=0</formula>
    </cfRule>
    <cfRule type="cellIs" dxfId="6091" priority="252" stopIfTrue="1" operator="between">
      <formula>80.1</formula>
      <formula>100</formula>
    </cfRule>
    <cfRule type="cellIs" dxfId="6090" priority="253" stopIfTrue="1" operator="between">
      <formula>35.1</formula>
      <formula>80</formula>
    </cfRule>
    <cfRule type="cellIs" dxfId="6089" priority="254" stopIfTrue="1" operator="between">
      <formula>14.1</formula>
      <formula>35</formula>
    </cfRule>
    <cfRule type="cellIs" dxfId="6088" priority="255" stopIfTrue="1" operator="between">
      <formula>5.1</formula>
      <formula>14</formula>
    </cfRule>
    <cfRule type="cellIs" dxfId="6087" priority="256" stopIfTrue="1" operator="between">
      <formula>0</formula>
      <formula>5</formula>
    </cfRule>
    <cfRule type="containsBlanks" dxfId="6086" priority="257" stopIfTrue="1">
      <formula>LEN(TRIM(E165))=0</formula>
    </cfRule>
  </conditionalFormatting>
  <conditionalFormatting sqref="E177:P177">
    <cfRule type="containsBlanks" dxfId="6085" priority="244" stopIfTrue="1">
      <formula>LEN(TRIM(E177))=0</formula>
    </cfRule>
    <cfRule type="cellIs" dxfId="6084" priority="245" stopIfTrue="1" operator="between">
      <formula>80.1</formula>
      <formula>100</formula>
    </cfRule>
    <cfRule type="cellIs" dxfId="6083" priority="246" stopIfTrue="1" operator="between">
      <formula>35.1</formula>
      <formula>80</formula>
    </cfRule>
    <cfRule type="cellIs" dxfId="6082" priority="247" stopIfTrue="1" operator="between">
      <formula>14.1</formula>
      <formula>35</formula>
    </cfRule>
    <cfRule type="cellIs" dxfId="6081" priority="248" stopIfTrue="1" operator="between">
      <formula>5.1</formula>
      <formula>14</formula>
    </cfRule>
    <cfRule type="cellIs" dxfId="6080" priority="249" stopIfTrue="1" operator="between">
      <formula>0</formula>
      <formula>5</formula>
    </cfRule>
    <cfRule type="containsBlanks" dxfId="6079" priority="250" stopIfTrue="1">
      <formula>LEN(TRIM(E177))=0</formula>
    </cfRule>
  </conditionalFormatting>
  <conditionalFormatting sqref="E181:P181">
    <cfRule type="containsBlanks" dxfId="6078" priority="237" stopIfTrue="1">
      <formula>LEN(TRIM(E181))=0</formula>
    </cfRule>
    <cfRule type="cellIs" dxfId="6077" priority="238" stopIfTrue="1" operator="between">
      <formula>80.1</formula>
      <formula>100</formula>
    </cfRule>
    <cfRule type="cellIs" dxfId="6076" priority="239" stopIfTrue="1" operator="between">
      <formula>35.1</formula>
      <formula>80</formula>
    </cfRule>
    <cfRule type="cellIs" dxfId="6075" priority="240" stopIfTrue="1" operator="between">
      <formula>14.1</formula>
      <formula>35</formula>
    </cfRule>
    <cfRule type="cellIs" dxfId="6074" priority="241" stopIfTrue="1" operator="between">
      <formula>5.1</formula>
      <formula>14</formula>
    </cfRule>
    <cfRule type="cellIs" dxfId="6073" priority="242" stopIfTrue="1" operator="between">
      <formula>0</formula>
      <formula>5</formula>
    </cfRule>
    <cfRule type="containsBlanks" dxfId="6072" priority="243" stopIfTrue="1">
      <formula>LEN(TRIM(E181))=0</formula>
    </cfRule>
  </conditionalFormatting>
  <conditionalFormatting sqref="E175:O175">
    <cfRule type="containsBlanks" dxfId="6071" priority="230" stopIfTrue="1">
      <formula>LEN(TRIM(E175))=0</formula>
    </cfRule>
    <cfRule type="cellIs" dxfId="6070" priority="231" stopIfTrue="1" operator="between">
      <formula>80.1</formula>
      <formula>100</formula>
    </cfRule>
    <cfRule type="cellIs" dxfId="6069" priority="232" stopIfTrue="1" operator="between">
      <formula>35.1</formula>
      <formula>80</formula>
    </cfRule>
    <cfRule type="cellIs" dxfId="6068" priority="233" stopIfTrue="1" operator="between">
      <formula>14.1</formula>
      <formula>35</formula>
    </cfRule>
    <cfRule type="cellIs" dxfId="6067" priority="234" stopIfTrue="1" operator="between">
      <formula>5.1</formula>
      <formula>14</formula>
    </cfRule>
    <cfRule type="cellIs" dxfId="6066" priority="235" stopIfTrue="1" operator="between">
      <formula>0</formula>
      <formula>5</formula>
    </cfRule>
    <cfRule type="containsBlanks" dxfId="6065" priority="236" stopIfTrue="1">
      <formula>LEN(TRIM(E175))=0</formula>
    </cfRule>
  </conditionalFormatting>
  <conditionalFormatting sqref="E174:N174">
    <cfRule type="containsBlanks" dxfId="6064" priority="223" stopIfTrue="1">
      <formula>LEN(TRIM(E174))=0</formula>
    </cfRule>
    <cfRule type="cellIs" dxfId="6063" priority="224" stopIfTrue="1" operator="between">
      <formula>80.1</formula>
      <formula>100</formula>
    </cfRule>
    <cfRule type="cellIs" dxfId="6062" priority="225" stopIfTrue="1" operator="between">
      <formula>35.1</formula>
      <formula>80</formula>
    </cfRule>
    <cfRule type="cellIs" dxfId="6061" priority="226" stopIfTrue="1" operator="between">
      <formula>14.1</formula>
      <formula>35</formula>
    </cfRule>
    <cfRule type="cellIs" dxfId="6060" priority="227" stopIfTrue="1" operator="between">
      <formula>5.1</formula>
      <formula>14</formula>
    </cfRule>
    <cfRule type="cellIs" dxfId="6059" priority="228" stopIfTrue="1" operator="between">
      <formula>0</formula>
      <formula>5</formula>
    </cfRule>
    <cfRule type="containsBlanks" dxfId="6058" priority="229" stopIfTrue="1">
      <formula>LEN(TRIM(E174))=0</formula>
    </cfRule>
  </conditionalFormatting>
  <conditionalFormatting sqref="E179:O179">
    <cfRule type="containsBlanks" dxfId="6057" priority="216" stopIfTrue="1">
      <formula>LEN(TRIM(E179))=0</formula>
    </cfRule>
    <cfRule type="cellIs" dxfId="6056" priority="217" stopIfTrue="1" operator="between">
      <formula>80.1</formula>
      <formula>100</formula>
    </cfRule>
    <cfRule type="cellIs" dxfId="6055" priority="218" stopIfTrue="1" operator="between">
      <formula>35.1</formula>
      <formula>80</formula>
    </cfRule>
    <cfRule type="cellIs" dxfId="6054" priority="219" stopIfTrue="1" operator="between">
      <formula>14.1</formula>
      <formula>35</formula>
    </cfRule>
    <cfRule type="cellIs" dxfId="6053" priority="220" stopIfTrue="1" operator="between">
      <formula>5.1</formula>
      <formula>14</formula>
    </cfRule>
    <cfRule type="cellIs" dxfId="6052" priority="221" stopIfTrue="1" operator="between">
      <formula>0</formula>
      <formula>5</formula>
    </cfRule>
    <cfRule type="containsBlanks" dxfId="6051" priority="222" stopIfTrue="1">
      <formula>LEN(TRIM(E179))=0</formula>
    </cfRule>
  </conditionalFormatting>
  <conditionalFormatting sqref="E176:P176">
    <cfRule type="containsBlanks" dxfId="6050" priority="209" stopIfTrue="1">
      <formula>LEN(TRIM(E176))=0</formula>
    </cfRule>
    <cfRule type="cellIs" dxfId="6049" priority="210" stopIfTrue="1" operator="between">
      <formula>80.1</formula>
      <formula>100</formula>
    </cfRule>
    <cfRule type="cellIs" dxfId="6048" priority="211" stopIfTrue="1" operator="between">
      <formula>35.1</formula>
      <formula>80</formula>
    </cfRule>
    <cfRule type="cellIs" dxfId="6047" priority="212" stopIfTrue="1" operator="between">
      <formula>14.1</formula>
      <formula>35</formula>
    </cfRule>
    <cfRule type="cellIs" dxfId="6046" priority="213" stopIfTrue="1" operator="between">
      <formula>5.1</formula>
      <formula>14</formula>
    </cfRule>
    <cfRule type="cellIs" dxfId="6045" priority="214" stopIfTrue="1" operator="between">
      <formula>0</formula>
      <formula>5</formula>
    </cfRule>
    <cfRule type="containsBlanks" dxfId="6044" priority="215" stopIfTrue="1">
      <formula>LEN(TRIM(E176))=0</formula>
    </cfRule>
  </conditionalFormatting>
  <conditionalFormatting sqref="Q200">
    <cfRule type="containsBlanks" dxfId="6043" priority="165" stopIfTrue="1">
      <formula>LEN(TRIM(Q200))=0</formula>
    </cfRule>
    <cfRule type="cellIs" dxfId="6042" priority="166" stopIfTrue="1" operator="between">
      <formula>80.1</formula>
      <formula>100</formula>
    </cfRule>
    <cfRule type="cellIs" dxfId="6041" priority="167" stopIfTrue="1" operator="between">
      <formula>35.1</formula>
      <formula>80</formula>
    </cfRule>
    <cfRule type="cellIs" dxfId="6040" priority="168" stopIfTrue="1" operator="between">
      <formula>14.1</formula>
      <formula>35</formula>
    </cfRule>
    <cfRule type="cellIs" dxfId="6039" priority="169" stopIfTrue="1" operator="between">
      <formula>5.1</formula>
      <formula>14</formula>
    </cfRule>
    <cfRule type="cellIs" dxfId="6038" priority="170" stopIfTrue="1" operator="between">
      <formula>0</formula>
      <formula>5</formula>
    </cfRule>
    <cfRule type="containsBlanks" dxfId="6037" priority="171" stopIfTrue="1">
      <formula>LEN(TRIM(Q200))=0</formula>
    </cfRule>
  </conditionalFormatting>
  <conditionalFormatting sqref="E115:Q115">
    <cfRule type="containsBlanks" dxfId="6036" priority="150" stopIfTrue="1">
      <formula>LEN(TRIM(E115))=0</formula>
    </cfRule>
    <cfRule type="cellIs" dxfId="6035" priority="151" stopIfTrue="1" operator="between">
      <formula>79.1</formula>
      <formula>100</formula>
    </cfRule>
    <cfRule type="cellIs" dxfId="6034" priority="152" stopIfTrue="1" operator="between">
      <formula>34.1</formula>
      <formula>79</formula>
    </cfRule>
    <cfRule type="cellIs" dxfId="6033" priority="153" stopIfTrue="1" operator="between">
      <formula>13.1</formula>
      <formula>34</formula>
    </cfRule>
    <cfRule type="cellIs" dxfId="6032" priority="154" stopIfTrue="1" operator="between">
      <formula>5.1</formula>
      <formula>13</formula>
    </cfRule>
    <cfRule type="cellIs" dxfId="6031" priority="155" stopIfTrue="1" operator="between">
      <formula>0</formula>
      <formula>5</formula>
    </cfRule>
    <cfRule type="containsBlanks" dxfId="6030" priority="156" stopIfTrue="1">
      <formula>LEN(TRIM(E115))=0</formula>
    </cfRule>
  </conditionalFormatting>
  <conditionalFormatting sqref="Q113">
    <cfRule type="containsBlanks" dxfId="6029" priority="143" stopIfTrue="1">
      <formula>LEN(TRIM(Q113))=0</formula>
    </cfRule>
    <cfRule type="cellIs" dxfId="6028" priority="144" stopIfTrue="1" operator="between">
      <formula>80.1</formula>
      <formula>100</formula>
    </cfRule>
    <cfRule type="cellIs" dxfId="6027" priority="145" stopIfTrue="1" operator="between">
      <formula>35.1</formula>
      <formula>80</formula>
    </cfRule>
    <cfRule type="cellIs" dxfId="6026" priority="146" stopIfTrue="1" operator="between">
      <formula>14.1</formula>
      <formula>35</formula>
    </cfRule>
    <cfRule type="cellIs" dxfId="6025" priority="147" stopIfTrue="1" operator="between">
      <formula>5.1</formula>
      <formula>14</formula>
    </cfRule>
    <cfRule type="cellIs" dxfId="6024" priority="148" stopIfTrue="1" operator="between">
      <formula>0</formula>
      <formula>5</formula>
    </cfRule>
    <cfRule type="containsBlanks" dxfId="6023" priority="149" stopIfTrue="1">
      <formula>LEN(TRIM(Q113))=0</formula>
    </cfRule>
  </conditionalFormatting>
  <conditionalFormatting sqref="E113:P113">
    <cfRule type="containsBlanks" dxfId="6022" priority="136" stopIfTrue="1">
      <formula>LEN(TRIM(E113))=0</formula>
    </cfRule>
    <cfRule type="cellIs" dxfId="6021" priority="137" stopIfTrue="1" operator="between">
      <formula>79.1</formula>
      <formula>100</formula>
    </cfRule>
    <cfRule type="cellIs" dxfId="6020" priority="138" stopIfTrue="1" operator="between">
      <formula>34.1</formula>
      <formula>79</formula>
    </cfRule>
    <cfRule type="cellIs" dxfId="6019" priority="139" stopIfTrue="1" operator="between">
      <formula>13.1</formula>
      <formula>34</formula>
    </cfRule>
    <cfRule type="cellIs" dxfId="6018" priority="140" stopIfTrue="1" operator="between">
      <formula>5.1</formula>
      <formula>13</formula>
    </cfRule>
    <cfRule type="cellIs" dxfId="6017" priority="141" stopIfTrue="1" operator="between">
      <formula>0</formula>
      <formula>5</formula>
    </cfRule>
    <cfRule type="containsBlanks" dxfId="6016" priority="142" stopIfTrue="1">
      <formula>LEN(TRIM(E113))=0</formula>
    </cfRule>
  </conditionalFormatting>
  <conditionalFormatting sqref="Q198">
    <cfRule type="containsBlanks" dxfId="6015" priority="122" stopIfTrue="1">
      <formula>LEN(TRIM(Q198))=0</formula>
    </cfRule>
    <cfRule type="cellIs" dxfId="6014" priority="123" stopIfTrue="1" operator="between">
      <formula>80.1</formula>
      <formula>100</formula>
    </cfRule>
    <cfRule type="cellIs" dxfId="6013" priority="124" stopIfTrue="1" operator="between">
      <formula>35.1</formula>
      <formula>80</formula>
    </cfRule>
    <cfRule type="cellIs" dxfId="6012" priority="125" stopIfTrue="1" operator="between">
      <formula>14.1</formula>
      <formula>35</formula>
    </cfRule>
    <cfRule type="cellIs" dxfId="6011" priority="126" stopIfTrue="1" operator="between">
      <formula>5.1</formula>
      <formula>14</formula>
    </cfRule>
    <cfRule type="cellIs" dxfId="6010" priority="127" stopIfTrue="1" operator="between">
      <formula>0</formula>
      <formula>5</formula>
    </cfRule>
    <cfRule type="containsBlanks" dxfId="6009" priority="128" stopIfTrue="1">
      <formula>LEN(TRIM(Q198))=0</formula>
    </cfRule>
  </conditionalFormatting>
  <conditionalFormatting sqref="Q190">
    <cfRule type="containsBlanks" dxfId="6008" priority="129" stopIfTrue="1">
      <formula>LEN(TRIM(Q190))=0</formula>
    </cfRule>
    <cfRule type="cellIs" dxfId="6007" priority="130" stopIfTrue="1" operator="between">
      <formula>80.1</formula>
      <formula>100</formula>
    </cfRule>
    <cfRule type="cellIs" dxfId="6006" priority="131" stopIfTrue="1" operator="between">
      <formula>35.1</formula>
      <formula>80</formula>
    </cfRule>
    <cfRule type="cellIs" dxfId="6005" priority="132" stopIfTrue="1" operator="between">
      <formula>14.1</formula>
      <formula>35</formula>
    </cfRule>
    <cfRule type="cellIs" dxfId="6004" priority="133" stopIfTrue="1" operator="between">
      <formula>5.1</formula>
      <formula>14</formula>
    </cfRule>
    <cfRule type="cellIs" dxfId="6003" priority="134" stopIfTrue="1" operator="between">
      <formula>0</formula>
      <formula>5</formula>
    </cfRule>
    <cfRule type="containsBlanks" dxfId="6002" priority="135" stopIfTrue="1">
      <formula>LEN(TRIM(Q190))=0</formula>
    </cfRule>
  </conditionalFormatting>
  <conditionalFormatting sqref="Q77">
    <cfRule type="containsBlanks" dxfId="6001" priority="115" stopIfTrue="1">
      <formula>LEN(TRIM(Q77))=0</formula>
    </cfRule>
    <cfRule type="cellIs" dxfId="6000" priority="116" stopIfTrue="1" operator="between">
      <formula>80.1</formula>
      <formula>100</formula>
    </cfRule>
    <cfRule type="cellIs" dxfId="5999" priority="117" stopIfTrue="1" operator="between">
      <formula>35.1</formula>
      <formula>80</formula>
    </cfRule>
    <cfRule type="cellIs" dxfId="5998" priority="118" stopIfTrue="1" operator="between">
      <formula>14.1</formula>
      <formula>35</formula>
    </cfRule>
    <cfRule type="cellIs" dxfId="5997" priority="119" stopIfTrue="1" operator="between">
      <formula>5.1</formula>
      <formula>14</formula>
    </cfRule>
    <cfRule type="cellIs" dxfId="5996" priority="120" stopIfTrue="1" operator="between">
      <formula>0</formula>
      <formula>5</formula>
    </cfRule>
    <cfRule type="containsBlanks" dxfId="5995" priority="121" stopIfTrue="1">
      <formula>LEN(TRIM(Q77))=0</formula>
    </cfRule>
  </conditionalFormatting>
  <conditionalFormatting sqref="Q77">
    <cfRule type="containsBlanks" dxfId="5994" priority="108" stopIfTrue="1">
      <formula>LEN(TRIM(Q77))=0</formula>
    </cfRule>
    <cfRule type="cellIs" dxfId="5993" priority="109" stopIfTrue="1" operator="between">
      <formula>80.1</formula>
      <formula>100</formula>
    </cfRule>
    <cfRule type="cellIs" dxfId="5992" priority="110" stopIfTrue="1" operator="between">
      <formula>35.1</formula>
      <formula>80</formula>
    </cfRule>
    <cfRule type="cellIs" dxfId="5991" priority="111" stopIfTrue="1" operator="between">
      <formula>14.1</formula>
      <formula>35</formula>
    </cfRule>
    <cfRule type="cellIs" dxfId="5990" priority="112" stopIfTrue="1" operator="between">
      <formula>5.1</formula>
      <formula>14</formula>
    </cfRule>
    <cfRule type="cellIs" dxfId="5989" priority="113" stopIfTrue="1" operator="between">
      <formula>0</formula>
      <formula>5</formula>
    </cfRule>
    <cfRule type="containsBlanks" dxfId="5988" priority="114" stopIfTrue="1">
      <formula>LEN(TRIM(Q77))=0</formula>
    </cfRule>
  </conditionalFormatting>
  <conditionalFormatting sqref="R77:R82">
    <cfRule type="cellIs" dxfId="5987" priority="107" stopIfTrue="1" operator="equal">
      <formula>"NO"</formula>
    </cfRule>
  </conditionalFormatting>
  <conditionalFormatting sqref="R77:R82">
    <cfRule type="cellIs" dxfId="5986" priority="106" stopIfTrue="1" operator="equal">
      <formula>"NO"</formula>
    </cfRule>
  </conditionalFormatting>
  <conditionalFormatting sqref="R77:R82">
    <cfRule type="cellIs" dxfId="5985" priority="105" stopIfTrue="1" operator="equal">
      <formula>"NO"</formula>
    </cfRule>
  </conditionalFormatting>
  <conditionalFormatting sqref="R124:R128">
    <cfRule type="cellIs" dxfId="5984" priority="87" stopIfTrue="1" operator="equal">
      <formula>"NO"</formula>
    </cfRule>
  </conditionalFormatting>
  <conditionalFormatting sqref="R124:R128">
    <cfRule type="cellIs" dxfId="5983" priority="86" stopIfTrue="1" operator="equal">
      <formula>"NO"</formula>
    </cfRule>
  </conditionalFormatting>
  <conditionalFormatting sqref="R124:R128">
    <cfRule type="cellIs" dxfId="5982" priority="85" stopIfTrue="1" operator="equal">
      <formula>"NO"</formula>
    </cfRule>
  </conditionalFormatting>
  <conditionalFormatting sqref="R130:R133">
    <cfRule type="cellIs" dxfId="5981" priority="84" stopIfTrue="1" operator="equal">
      <formula>"NO"</formula>
    </cfRule>
  </conditionalFormatting>
  <conditionalFormatting sqref="R130:R133">
    <cfRule type="cellIs" dxfId="5980" priority="83" stopIfTrue="1" operator="equal">
      <formula>"NO"</formula>
    </cfRule>
  </conditionalFormatting>
  <conditionalFormatting sqref="R130:R133">
    <cfRule type="cellIs" dxfId="5979" priority="82" stopIfTrue="1" operator="equal">
      <formula>"NO"</formula>
    </cfRule>
  </conditionalFormatting>
  <conditionalFormatting sqref="R135:R147">
    <cfRule type="cellIs" dxfId="5978" priority="81" stopIfTrue="1" operator="equal">
      <formula>"NO"</formula>
    </cfRule>
  </conditionalFormatting>
  <conditionalFormatting sqref="R135:R147">
    <cfRule type="cellIs" dxfId="5977" priority="80" stopIfTrue="1" operator="equal">
      <formula>"NO"</formula>
    </cfRule>
  </conditionalFormatting>
  <conditionalFormatting sqref="R135:R147">
    <cfRule type="cellIs" dxfId="5976" priority="79" stopIfTrue="1" operator="equal">
      <formula>"NO"</formula>
    </cfRule>
  </conditionalFormatting>
  <conditionalFormatting sqref="R174:R177">
    <cfRule type="cellIs" dxfId="5975" priority="70" stopIfTrue="1" operator="equal">
      <formula>"NO"</formula>
    </cfRule>
  </conditionalFormatting>
  <conditionalFormatting sqref="R179:R181">
    <cfRule type="cellIs" dxfId="5974" priority="69" stopIfTrue="1" operator="equal">
      <formula>"NO"</formula>
    </cfRule>
  </conditionalFormatting>
  <conditionalFormatting sqref="R183:R192">
    <cfRule type="cellIs" dxfId="5973" priority="68" stopIfTrue="1" operator="equal">
      <formula>"NO"</formula>
    </cfRule>
  </conditionalFormatting>
  <conditionalFormatting sqref="R194:R207">
    <cfRule type="cellIs" dxfId="5972" priority="67" stopIfTrue="1" operator="equal">
      <formula>"NO"</formula>
    </cfRule>
  </conditionalFormatting>
  <conditionalFormatting sqref="R214:R221">
    <cfRule type="cellIs" dxfId="5971" priority="66" stopIfTrue="1" operator="equal">
      <formula>"NO"</formula>
    </cfRule>
  </conditionalFormatting>
  <conditionalFormatting sqref="R214:R221">
    <cfRule type="cellIs" dxfId="5970" priority="65" stopIfTrue="1" operator="equal">
      <formula>"NO"</formula>
    </cfRule>
  </conditionalFormatting>
  <conditionalFormatting sqref="R214:R221">
    <cfRule type="cellIs" dxfId="5969" priority="64" stopIfTrue="1" operator="equal">
      <formula>"NO"</formula>
    </cfRule>
  </conditionalFormatting>
  <conditionalFormatting sqref="S11:S208">
    <cfRule type="cellIs" dxfId="5968" priority="7" stopIfTrue="1" operator="equal">
      <formula>"INVIABLE SANITARIAMENTE"</formula>
    </cfRule>
  </conditionalFormatting>
  <conditionalFormatting sqref="S11:S208">
    <cfRule type="containsText" dxfId="5967" priority="2" stopIfTrue="1" operator="containsText" text="INVIABLE SANITARIAMENTE">
      <formula>NOT(ISERROR(SEARCH("INVIABLE SANITARIAMENTE",S11)))</formula>
    </cfRule>
    <cfRule type="containsText" dxfId="5966" priority="3" stopIfTrue="1" operator="containsText" text="ALTO">
      <formula>NOT(ISERROR(SEARCH("ALTO",S11)))</formula>
    </cfRule>
    <cfRule type="containsText" dxfId="5965" priority="4" stopIfTrue="1" operator="containsText" text="MEDIO">
      <formula>NOT(ISERROR(SEARCH("MEDIO",S11)))</formula>
    </cfRule>
    <cfRule type="containsText" dxfId="5964" priority="5" stopIfTrue="1" operator="containsText" text="BAJO">
      <formula>NOT(ISERROR(SEARCH("BAJO",S11)))</formula>
    </cfRule>
    <cfRule type="containsText" dxfId="5963" priority="6" stopIfTrue="1" operator="containsText" text="SIN RIESGO">
      <formula>NOT(ISERROR(SEARCH("SIN RIESGO",S11)))</formula>
    </cfRule>
  </conditionalFormatting>
  <conditionalFormatting sqref="S11:S208">
    <cfRule type="containsText" dxfId="5962" priority="1" stopIfTrue="1" operator="containsText" text="SIN RIESGO">
      <formula>NOT(ISERROR(SEARCH("SIN RIESGO",S11)))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142"/>
  <sheetViews>
    <sheetView zoomScale="60" zoomScaleNormal="55" workbookViewId="0">
      <selection activeCell="E28" sqref="E28"/>
    </sheetView>
  </sheetViews>
  <sheetFormatPr baseColWidth="10" defaultRowHeight="12.75" x14ac:dyDescent="0.2"/>
  <cols>
    <col min="1" max="1" width="42.85546875" customWidth="1"/>
    <col min="2" max="2" width="29.5703125" bestFit="1" customWidth="1"/>
    <col min="3" max="3" width="25.140625" customWidth="1"/>
    <col min="4" max="4" width="28.42578125" customWidth="1"/>
    <col min="5" max="5" width="45.85546875" customWidth="1"/>
    <col min="6" max="6" width="25" style="4" customWidth="1"/>
  </cols>
  <sheetData>
    <row r="1" spans="1:6" ht="18" x14ac:dyDescent="0.25">
      <c r="B1" s="65" t="s">
        <v>258</v>
      </c>
    </row>
    <row r="2" spans="1:6" ht="18" x14ac:dyDescent="0.25">
      <c r="B2" s="64" t="s">
        <v>270</v>
      </c>
    </row>
    <row r="3" spans="1:6" s="343" customFormat="1" ht="18" x14ac:dyDescent="0.25">
      <c r="B3" s="64" t="s">
        <v>4413</v>
      </c>
      <c r="F3" s="4"/>
    </row>
    <row r="4" spans="1:6" ht="18" x14ac:dyDescent="0.25">
      <c r="B4" s="65" t="s">
        <v>4355</v>
      </c>
    </row>
    <row r="5" spans="1:6" s="343" customFormat="1" ht="18" x14ac:dyDescent="0.25">
      <c r="B5" s="65"/>
      <c r="F5" s="4"/>
    </row>
    <row r="6" spans="1:6" ht="20.25" customHeight="1" x14ac:dyDescent="0.2"/>
    <row r="7" spans="1:6" ht="54" customHeight="1" x14ac:dyDescent="0.2">
      <c r="A7" s="63" t="s">
        <v>102</v>
      </c>
      <c r="B7" s="545" t="s">
        <v>37</v>
      </c>
      <c r="C7" s="545" t="s">
        <v>103</v>
      </c>
      <c r="D7" s="545" t="s">
        <v>104</v>
      </c>
      <c r="E7" s="546" t="s">
        <v>4477</v>
      </c>
      <c r="F7" s="546" t="s">
        <v>105</v>
      </c>
    </row>
    <row r="8" spans="1:6" ht="24.95" customHeight="1" x14ac:dyDescent="0.2">
      <c r="A8" s="583" t="s">
        <v>106</v>
      </c>
      <c r="B8" s="543" t="s">
        <v>107</v>
      </c>
      <c r="C8" s="58">
        <v>52</v>
      </c>
      <c r="D8" s="374">
        <f>COUNTIF('VALLE DE ABURRA'!A:A, "Medellín")-COUNTIFS('VALLE DE ABURRA'!A:A,"Medellín",'VALLE DE ABURRA'!C:C,"")</f>
        <v>28</v>
      </c>
      <c r="E8" s="538">
        <v>73989.74063400572</v>
      </c>
      <c r="F8" s="539">
        <v>99.135446685878904</v>
      </c>
    </row>
    <row r="9" spans="1:6" ht="24.95" customHeight="1" x14ac:dyDescent="0.2">
      <c r="A9" s="583"/>
      <c r="B9" s="543" t="s">
        <v>79</v>
      </c>
      <c r="C9" s="58">
        <v>56</v>
      </c>
      <c r="D9" s="58">
        <f>COUNTIF('VALLE DE ABURRA'!A:A, "Barbosa")-COUNTIFS('VALLE DE ABURRA'!A:A,"Barbosa",'VALLE DE ABURRA'!C:C,"")</f>
        <v>45</v>
      </c>
      <c r="E9" s="538">
        <v>6773.1120331949869</v>
      </c>
      <c r="F9" s="539">
        <v>66.390041493775598</v>
      </c>
    </row>
    <row r="10" spans="1:6" ht="24.95" customHeight="1" x14ac:dyDescent="0.2">
      <c r="A10" s="583"/>
      <c r="B10" s="543" t="s">
        <v>80</v>
      </c>
      <c r="C10" s="58">
        <v>20</v>
      </c>
      <c r="D10" s="58">
        <f>COUNTIF('VALLE DE ABURRA'!A:A, "Bello")-COUNTIFS('VALLE DE ABURRA'!A:A,"Bello",'VALLE DE ABURRA'!C:C,"")</f>
        <v>16</v>
      </c>
      <c r="E10" s="538">
        <v>6590.0749999999998</v>
      </c>
      <c r="F10" s="539">
        <v>78.5</v>
      </c>
    </row>
    <row r="11" spans="1:6" ht="24.95" customHeight="1" x14ac:dyDescent="0.2">
      <c r="A11" s="583"/>
      <c r="B11" s="543" t="s">
        <v>108</v>
      </c>
      <c r="C11" s="58">
        <v>20</v>
      </c>
      <c r="D11" s="58">
        <f>COUNTIF('VALLE DE ABURRA'!A:A, "Caldas")-COUNTIFS('VALLE DE ABURRA'!A:A,"Caldas",'VALLE DE ABURRA'!C:C,"")</f>
        <v>19</v>
      </c>
      <c r="E11" s="538">
        <v>4225.4031999999997</v>
      </c>
      <c r="F11" s="539">
        <v>77.36</v>
      </c>
    </row>
    <row r="12" spans="1:6" ht="24.95" customHeight="1" x14ac:dyDescent="0.2">
      <c r="A12" s="583"/>
      <c r="B12" s="543" t="s">
        <v>109</v>
      </c>
      <c r="C12" s="58">
        <v>15</v>
      </c>
      <c r="D12" s="58">
        <f>COUNTIF('VALLE DE ABURRA'!A:A, "Copacabana")-COUNTIFS('VALLE DE ABURRA'!A:A,"Copacabana",'VALLE DE ABURRA'!C:C,"")</f>
        <v>19</v>
      </c>
      <c r="E12" s="538">
        <v>5109.5426621160241</v>
      </c>
      <c r="F12" s="539">
        <v>81.569965870306902</v>
      </c>
    </row>
    <row r="13" spans="1:6" ht="24.95" customHeight="1" x14ac:dyDescent="0.2">
      <c r="A13" s="583"/>
      <c r="B13" s="543" t="s">
        <v>81</v>
      </c>
      <c r="C13" s="58">
        <v>25</v>
      </c>
      <c r="D13" s="58">
        <f>COUNTIF('VALLE DE ABURRA'!A:A, "Girardota")-COUNTIFS('VALLE DE ABURRA'!A:A,"Girardota",'VALLE DE ABURRA'!C:C,"")</f>
        <v>31</v>
      </c>
      <c r="E13" s="538">
        <v>5719.0223463686907</v>
      </c>
      <c r="F13" s="539">
        <v>75.418994413407503</v>
      </c>
    </row>
    <row r="14" spans="1:6" ht="24.95" customHeight="1" x14ac:dyDescent="0.2">
      <c r="A14" s="583"/>
      <c r="B14" s="543" t="s">
        <v>110</v>
      </c>
      <c r="C14" s="58">
        <v>8</v>
      </c>
      <c r="D14" s="58">
        <f>COUNTIF('VALLE DE ABURRA'!A:A, "Itagui")-COUNTIFS('VALLE DE ABURRA'!A:A,"Itagui",'VALLE DE ABURRA'!C:C,"")</f>
        <v>7</v>
      </c>
      <c r="E14" s="538">
        <v>7277.0505617977396</v>
      </c>
      <c r="F14" s="539">
        <v>87.359550561797604</v>
      </c>
    </row>
    <row r="15" spans="1:6" ht="24.95" customHeight="1" x14ac:dyDescent="0.2">
      <c r="A15" s="583"/>
      <c r="B15" s="543" t="s">
        <v>111</v>
      </c>
      <c r="C15" s="58">
        <v>6</v>
      </c>
      <c r="D15" s="58">
        <f>COUNTIF('VALLE DE ABURRA'!A:A, "Envigado")-COUNTIFS('VALLE DE ABURRA'!A:A,"Envigado",'VALLE DE ABURRA'!C:C,"")</f>
        <v>15</v>
      </c>
      <c r="E15" s="538">
        <v>2725</v>
      </c>
      <c r="F15" s="540">
        <v>100</v>
      </c>
    </row>
    <row r="16" spans="1:6" ht="24.95" customHeight="1" x14ac:dyDescent="0.2">
      <c r="A16" s="583"/>
      <c r="B16" s="543" t="s">
        <v>112</v>
      </c>
      <c r="C16" s="58">
        <v>6</v>
      </c>
      <c r="D16" s="58">
        <f>COUNTIF('VALLE DE ABURRA'!A:A, "Sabaneta")-COUNTIFS('VALLE DE ABURRA'!A:A,"Sabaneta",'VALLE DE ABURRA'!C:C,"")</f>
        <v>7</v>
      </c>
      <c r="E16" s="538">
        <v>3583.9181286549679</v>
      </c>
      <c r="F16" s="539">
        <v>99.4152046783625</v>
      </c>
    </row>
    <row r="17" spans="1:6" ht="24.95" customHeight="1" x14ac:dyDescent="0.2">
      <c r="A17" s="583"/>
      <c r="B17" s="543" t="s">
        <v>113</v>
      </c>
      <c r="C17" s="58">
        <v>14</v>
      </c>
      <c r="D17" s="58">
        <f>COUNTIF('VALLE DE ABURRA'!A:A, "La Estrella")-COUNTIFS('VALLE DE ABURRA'!A:A,"La Estrella",'VALLE DE ABURRA'!C:C,"")</f>
        <v>11</v>
      </c>
      <c r="E17" s="538">
        <v>6770.8208955223763</v>
      </c>
      <c r="F17" s="539">
        <v>76.119402985074501</v>
      </c>
    </row>
    <row r="18" spans="1:6" ht="24.95" customHeight="1" x14ac:dyDescent="0.2">
      <c r="A18" s="584"/>
      <c r="B18" s="544" t="s">
        <v>114</v>
      </c>
      <c r="C18" s="45">
        <f>SUM(C8:C17)</f>
        <v>222</v>
      </c>
      <c r="D18" s="45">
        <f>SUM(D8:D17)</f>
        <v>198</v>
      </c>
      <c r="E18" s="585">
        <f>SUM(E8:E17)</f>
        <v>122763.68546166051</v>
      </c>
      <c r="F18" s="586"/>
    </row>
    <row r="19" spans="1:6" ht="24.95" customHeight="1" x14ac:dyDescent="0.2">
      <c r="A19" s="583" t="s">
        <v>115</v>
      </c>
      <c r="B19" s="543" t="s">
        <v>4116</v>
      </c>
      <c r="C19" s="58">
        <v>50</v>
      </c>
      <c r="D19" s="374">
        <f>COUNTIF(URABA!A:A, "Apartadó")-COUNTIFS(URABA!A:A,"Apartadó",URABA!C:C,"")</f>
        <v>9</v>
      </c>
      <c r="E19" s="541">
        <v>3319.8661999999999</v>
      </c>
      <c r="F19" s="542">
        <v>52.06</v>
      </c>
    </row>
    <row r="20" spans="1:6" ht="24.95" customHeight="1" x14ac:dyDescent="0.2">
      <c r="A20" s="583"/>
      <c r="B20" s="543" t="s">
        <v>117</v>
      </c>
      <c r="C20" s="58">
        <v>62</v>
      </c>
      <c r="D20" s="58">
        <f>COUNTIF(URABA!A:A, "Arboletes")-COUNTIFS(URABA!A:A,"Arboletes",URABA!C:C,"")</f>
        <v>24</v>
      </c>
      <c r="E20" s="541">
        <v>2867.9939999999997</v>
      </c>
      <c r="F20" s="542">
        <v>51.9</v>
      </c>
    </row>
    <row r="21" spans="1:6" ht="24.95" customHeight="1" x14ac:dyDescent="0.2">
      <c r="A21" s="583"/>
      <c r="B21" s="543" t="s">
        <v>118</v>
      </c>
      <c r="C21" s="58">
        <v>31</v>
      </c>
      <c r="D21" s="58">
        <f>COUNTIF(URABA!A:A, "Carepa")-COUNTIFS(URABA!A:A,"Carepa",URABA!C:C,"")</f>
        <v>15</v>
      </c>
      <c r="E21" s="541">
        <v>2311.0245</v>
      </c>
      <c r="F21" s="542">
        <v>59.03</v>
      </c>
    </row>
    <row r="22" spans="1:6" ht="24.95" customHeight="1" x14ac:dyDescent="0.2">
      <c r="A22" s="583"/>
      <c r="B22" s="543" t="s">
        <v>4118</v>
      </c>
      <c r="C22" s="58">
        <v>30</v>
      </c>
      <c r="D22" s="377">
        <f>COUNTIF(URABA!A:A, "Chigorodó")-COUNTIFS(URABA!A:A,"Chigorodó",URABA!C:C,"")</f>
        <v>4</v>
      </c>
      <c r="E22" s="541">
        <v>787.94099999999992</v>
      </c>
      <c r="F22" s="542">
        <v>29.7</v>
      </c>
    </row>
    <row r="23" spans="1:6" ht="24.95" customHeight="1" x14ac:dyDescent="0.2">
      <c r="A23" s="583"/>
      <c r="B23" s="543" t="s">
        <v>83</v>
      </c>
      <c r="C23" s="58">
        <v>20</v>
      </c>
      <c r="D23" s="377">
        <f>COUNTIF(URABA!A:A, "Murindo")-COUNTIFS(URABA!A:A,"Murindo",URABA!C:C,"")</f>
        <v>0</v>
      </c>
      <c r="E23" s="541">
        <v>0</v>
      </c>
      <c r="F23" s="542">
        <v>0</v>
      </c>
    </row>
    <row r="24" spans="1:6" ht="24.95" customHeight="1" x14ac:dyDescent="0.2">
      <c r="A24" s="583"/>
      <c r="B24" s="543" t="s">
        <v>4117</v>
      </c>
      <c r="C24" s="58">
        <v>38</v>
      </c>
      <c r="D24" s="377">
        <f>COUNTIF(URABA!A:A, "Mutatá")-COUNTIFS(URABA!A:A,"Mutatá",URABA!C:C,"")</f>
        <v>14</v>
      </c>
      <c r="E24" s="541">
        <v>2889.6</v>
      </c>
      <c r="F24" s="542">
        <v>70</v>
      </c>
    </row>
    <row r="25" spans="1:6" ht="24.95" customHeight="1" x14ac:dyDescent="0.2">
      <c r="A25" s="583"/>
      <c r="B25" s="543" t="s">
        <v>4119</v>
      </c>
      <c r="C25" s="58">
        <v>105</v>
      </c>
      <c r="D25" s="377">
        <f>COUNTIF(URABA!A:A, "Necoclí")-COUNTIFS(URABA!A:A,"Necoclí",URABA!C:C,"")</f>
        <v>23</v>
      </c>
      <c r="E25" s="541">
        <v>4059.9425366935689</v>
      </c>
      <c r="F25" s="542">
        <v>41.773253798678553</v>
      </c>
    </row>
    <row r="26" spans="1:6" ht="24.95" customHeight="1" x14ac:dyDescent="0.2">
      <c r="A26" s="583"/>
      <c r="B26" s="543" t="s">
        <v>122</v>
      </c>
      <c r="C26" s="58">
        <v>36</v>
      </c>
      <c r="D26" s="377">
        <f>COUNTIF(URABA!A:A, "San Juan De Urabá")-COUNTIFS(URABA!A:A,"San Juan De Urabá",URABA!C:C,"")</f>
        <v>4</v>
      </c>
      <c r="E26" s="541">
        <v>1187.8700999999999</v>
      </c>
      <c r="F26" s="542">
        <v>35.79</v>
      </c>
    </row>
    <row r="27" spans="1:6" ht="24.95" customHeight="1" x14ac:dyDescent="0.2">
      <c r="A27" s="583"/>
      <c r="B27" s="543" t="s">
        <v>123</v>
      </c>
      <c r="C27" s="58">
        <v>59</v>
      </c>
      <c r="D27" s="377">
        <f>COUNTIF(URABA!A:A, "San Pedro de Urabá")-COUNTIFS(URABA!A:A,"San Pedro de Urabá",URABA!C:C,"")</f>
        <v>5</v>
      </c>
      <c r="E27" s="541">
        <v>859.18</v>
      </c>
      <c r="F27" s="542">
        <v>14</v>
      </c>
    </row>
    <row r="28" spans="1:6" ht="24.95" customHeight="1" x14ac:dyDescent="0.2">
      <c r="A28" s="583"/>
      <c r="B28" s="543" t="s">
        <v>124</v>
      </c>
      <c r="C28" s="58">
        <v>29</v>
      </c>
      <c r="D28" s="58">
        <f>COUNTIF(URABA!A:A,"Vigia del Fuerte")-COUNTIFS(URABA!A:A,"Vigia del fuerte",URABA!C:C,"")</f>
        <v>0</v>
      </c>
      <c r="E28" s="541">
        <v>0</v>
      </c>
      <c r="F28" s="542">
        <v>0</v>
      </c>
    </row>
    <row r="29" spans="1:6" ht="24.95" customHeight="1" x14ac:dyDescent="0.2">
      <c r="A29" s="583"/>
      <c r="B29" s="543" t="s">
        <v>125</v>
      </c>
      <c r="C29" s="58">
        <v>219</v>
      </c>
      <c r="D29" s="377">
        <f>COUNTIF(URABA!A:A,"Turbo")-COUNTIFS(URABA!A:A,"Turbo",URABA!C:C,"")</f>
        <v>23</v>
      </c>
      <c r="E29" s="541">
        <v>10647.041685936243</v>
      </c>
      <c r="F29" s="542">
        <v>50.52</v>
      </c>
    </row>
    <row r="30" spans="1:6" ht="24.95" customHeight="1" x14ac:dyDescent="0.2">
      <c r="A30" s="584"/>
      <c r="B30" s="544" t="s">
        <v>114</v>
      </c>
      <c r="C30" s="45">
        <f>SUM(C19:C29)</f>
        <v>679</v>
      </c>
      <c r="D30" s="45">
        <f>SUM(D19:D29)</f>
        <v>121</v>
      </c>
      <c r="E30" s="585">
        <f>SUM(E19:E29)</f>
        <v>28930.460022629813</v>
      </c>
      <c r="F30" s="586"/>
    </row>
    <row r="31" spans="1:6" ht="24.95" customHeight="1" x14ac:dyDescent="0.2">
      <c r="A31" s="583" t="s">
        <v>126</v>
      </c>
      <c r="B31" s="543" t="s">
        <v>127</v>
      </c>
      <c r="C31" s="58">
        <v>46</v>
      </c>
      <c r="D31" s="58">
        <f>COUNTIF(NORTE!A:A,"Angostura")-COUNTIFS(NORTE!A:A,"Angostura",NORTE!C:C,"")</f>
        <v>24</v>
      </c>
      <c r="E31" s="541">
        <v>2269.6952000000001</v>
      </c>
      <c r="F31" s="542">
        <v>67.39</v>
      </c>
    </row>
    <row r="32" spans="1:6" ht="24.95" customHeight="1" x14ac:dyDescent="0.2">
      <c r="A32" s="583"/>
      <c r="B32" s="543" t="s">
        <v>128</v>
      </c>
      <c r="C32" s="58">
        <v>15</v>
      </c>
      <c r="D32" s="58">
        <f>COUNTIF(NORTE!A:A,"Belmira")-COUNTIFS(NORTE!A:A,"Belmira",NORTE!C:C,"")</f>
        <v>9</v>
      </c>
      <c r="E32" s="541">
        <v>773.4</v>
      </c>
      <c r="F32" s="542">
        <v>60</v>
      </c>
    </row>
    <row r="33" spans="1:9" ht="24.95" customHeight="1" x14ac:dyDescent="0.2">
      <c r="A33" s="583"/>
      <c r="B33" s="543" t="s">
        <v>129</v>
      </c>
      <c r="C33" s="58">
        <v>38</v>
      </c>
      <c r="D33" s="58">
        <f>COUNTIF(NORTE!A:A,"Briceño")-COUNTIFS(NORTE!A:A,"Briceño",NORTE!C:C,"")</f>
        <v>12</v>
      </c>
      <c r="E33" s="541">
        <v>771.75</v>
      </c>
      <c r="F33" s="542">
        <v>45</v>
      </c>
    </row>
    <row r="34" spans="1:9" ht="24.95" customHeight="1" x14ac:dyDescent="0.2">
      <c r="A34" s="583"/>
      <c r="B34" s="543" t="s">
        <v>130</v>
      </c>
      <c r="C34" s="58">
        <v>43</v>
      </c>
      <c r="D34" s="58">
        <f>COUNTIF(NORTE!A:A,"Campamento")-COUNTIFS(NORTE!A:A,"Campamento",NORTE!C:C,"")</f>
        <v>17</v>
      </c>
      <c r="E34" s="541">
        <v>835.36</v>
      </c>
      <c r="F34" s="542">
        <v>46</v>
      </c>
    </row>
    <row r="35" spans="1:9" ht="24.95" customHeight="1" x14ac:dyDescent="0.2">
      <c r="A35" s="583"/>
      <c r="B35" s="543" t="s">
        <v>131</v>
      </c>
      <c r="C35" s="58">
        <v>6</v>
      </c>
      <c r="D35" s="377">
        <f>COUNTIF(NORTE!A:A,"Carolina del Príncipe")-COUNTIFS(NORTE!A:A,"Carolina del Príncipe",NORTE!C:C,"")</f>
        <v>7</v>
      </c>
      <c r="E35" s="541">
        <v>207.5185185185185</v>
      </c>
      <c r="F35" s="542">
        <v>48.148148148148145</v>
      </c>
    </row>
    <row r="36" spans="1:9" ht="24.95" customHeight="1" x14ac:dyDescent="0.2">
      <c r="A36" s="583"/>
      <c r="B36" s="543" t="s">
        <v>132</v>
      </c>
      <c r="C36" s="58">
        <v>19</v>
      </c>
      <c r="D36" s="377">
        <f>COUNTIF(NORTE!A:A,"Don Matías")-COUNTIFS(NORTE!A:A,"Don Matías",NORTE!C:C,"")</f>
        <v>5</v>
      </c>
      <c r="E36" s="541">
        <v>1072.08</v>
      </c>
      <c r="F36" s="542">
        <v>36</v>
      </c>
    </row>
    <row r="37" spans="1:9" ht="24.95" customHeight="1" x14ac:dyDescent="0.2">
      <c r="A37" s="583"/>
      <c r="B37" s="543" t="s">
        <v>4120</v>
      </c>
      <c r="C37" s="58">
        <v>11</v>
      </c>
      <c r="D37" s="377">
        <f>COUNTIF(NORTE!A:A,"Entrerríos")-COUNTIFS(NORTE!A:A,"Entrerríos",NORTE!C:C,"")</f>
        <v>11</v>
      </c>
      <c r="E37" s="541">
        <v>1149.49</v>
      </c>
      <c r="F37" s="542">
        <v>71</v>
      </c>
    </row>
    <row r="38" spans="1:9" ht="24.95" customHeight="1" x14ac:dyDescent="0.2">
      <c r="A38" s="583"/>
      <c r="B38" s="543" t="s">
        <v>133</v>
      </c>
      <c r="C38" s="58">
        <v>28</v>
      </c>
      <c r="D38" s="377">
        <f>COUNTIF(NORTE!A:A,"Gómez Plata")-COUNTIFS(NORTE!A:A,"Gómez Plata",NORTE!C:C,"")</f>
        <v>21</v>
      </c>
      <c r="E38" s="541">
        <v>1259.1746031746031</v>
      </c>
      <c r="F38" s="542">
        <v>57.02783528870485</v>
      </c>
    </row>
    <row r="39" spans="1:9" ht="24.95" customHeight="1" x14ac:dyDescent="0.2">
      <c r="A39" s="583"/>
      <c r="B39" s="543" t="s">
        <v>134</v>
      </c>
      <c r="C39" s="58">
        <v>21</v>
      </c>
      <c r="D39" s="377">
        <f>COUNTIF(NORTE!A:A,"Guadalupe")-COUNTIFS(NORTE!A:A,"Guadalupe",NORTE!C:C,"")</f>
        <v>14</v>
      </c>
      <c r="E39" s="541">
        <v>404.99950000000007</v>
      </c>
      <c r="F39" s="542">
        <v>26.35</v>
      </c>
    </row>
    <row r="40" spans="1:9" ht="24.95" customHeight="1" x14ac:dyDescent="0.2">
      <c r="A40" s="583"/>
      <c r="B40" s="543" t="s">
        <v>135</v>
      </c>
      <c r="C40" s="58">
        <v>101</v>
      </c>
      <c r="D40" s="361">
        <f>COUNTIF(NORTE!A:A,"Ituango")-COUNTIFS(NORTE!A:A,"Ituango",NORTE!C:C,"")</f>
        <v>37</v>
      </c>
      <c r="E40" s="541">
        <v>2611.9719999999998</v>
      </c>
      <c r="F40" s="542">
        <v>51.62</v>
      </c>
    </row>
    <row r="41" spans="1:9" ht="24.95" customHeight="1" x14ac:dyDescent="0.2">
      <c r="A41" s="583"/>
      <c r="B41" s="543" t="s">
        <v>136</v>
      </c>
      <c r="C41" s="58">
        <v>33</v>
      </c>
      <c r="D41" s="377">
        <f>COUNTIF(NORTE!A:A,"San Andrés de Cuerquia")-COUNTIFS(NORTE!A:A,"San Andrés de Cuerquia",NORTE!C:C,"")</f>
        <v>18</v>
      </c>
      <c r="E41" s="541">
        <v>519.04399999999998</v>
      </c>
      <c r="F41" s="542">
        <v>35.92</v>
      </c>
    </row>
    <row r="42" spans="1:9" ht="24.95" customHeight="1" x14ac:dyDescent="0.2">
      <c r="A42" s="583"/>
      <c r="B42" s="543" t="s">
        <v>137</v>
      </c>
      <c r="C42" s="58">
        <v>8</v>
      </c>
      <c r="D42" s="377">
        <f>COUNTIF(NORTE!A:A,"San José de la Montaña")-COUNTIFS(NORTE!A:A,"San José de la Montaña",NORTE!C:C,"")</f>
        <v>4</v>
      </c>
      <c r="E42" s="541">
        <v>252.89256198347107</v>
      </c>
      <c r="F42" s="542">
        <v>37.190082644628099</v>
      </c>
    </row>
    <row r="43" spans="1:9" ht="24.95" customHeight="1" x14ac:dyDescent="0.2">
      <c r="A43" s="583"/>
      <c r="B43" s="543" t="s">
        <v>138</v>
      </c>
      <c r="C43" s="58">
        <v>20</v>
      </c>
      <c r="D43" s="361">
        <f>COUNTIF(NORTE!A:A,"San Pedro De Los Milagros")-COUNTIFS(NORTE!A:A,"San Pedro De Los Milagros",NORTE!C:C,"")</f>
        <v>16</v>
      </c>
      <c r="E43" s="541">
        <v>2492.0400999999997</v>
      </c>
      <c r="F43" s="542">
        <v>61.73</v>
      </c>
    </row>
    <row r="44" spans="1:9" ht="24.95" customHeight="1" x14ac:dyDescent="0.2">
      <c r="A44" s="583"/>
      <c r="B44" s="543" t="s">
        <v>139</v>
      </c>
      <c r="C44" s="58">
        <v>73</v>
      </c>
      <c r="D44" s="361">
        <f>COUNTIF(NORTE!A:A,"Santa Rosa De Osos")-COUNTIFS(NORTE!A:A,"Santa Rosa De Osos",NORTE!C:C,"")</f>
        <v>28</v>
      </c>
      <c r="E44" s="541">
        <v>2785.0419999999999</v>
      </c>
      <c r="F44" s="542">
        <v>44.2</v>
      </c>
    </row>
    <row r="45" spans="1:9" ht="24.95" customHeight="1" x14ac:dyDescent="0.2">
      <c r="A45" s="583"/>
      <c r="B45" s="543" t="s">
        <v>140</v>
      </c>
      <c r="C45" s="58">
        <v>20</v>
      </c>
      <c r="D45" s="361">
        <f>COUNTIF(NORTE!A:A,"Toledo")-COUNTIFS(NORTE!A:A,"Toledo",NORTE!C:C,"")</f>
        <v>12</v>
      </c>
      <c r="E45" s="541">
        <v>887.97940000000006</v>
      </c>
      <c r="F45" s="542">
        <v>58.19</v>
      </c>
    </row>
    <row r="46" spans="1:9" ht="24.95" customHeight="1" x14ac:dyDescent="0.2">
      <c r="A46" s="583"/>
      <c r="B46" s="543" t="s">
        <v>141</v>
      </c>
      <c r="C46" s="58">
        <v>36</v>
      </c>
      <c r="D46" s="361">
        <f>COUNTIF(NORTE!A:A,"Valdivia")-COUNTIFS(NORTE!A:A,"Valdivia",NORTE!C:C,"")</f>
        <v>8</v>
      </c>
      <c r="E46" s="541">
        <v>1711.809491945831</v>
      </c>
      <c r="F46" s="542">
        <v>43.32308109460245</v>
      </c>
    </row>
    <row r="47" spans="1:9" ht="24.95" customHeight="1" x14ac:dyDescent="0.2">
      <c r="A47" s="583"/>
      <c r="B47" s="543" t="s">
        <v>142</v>
      </c>
      <c r="C47" s="58">
        <v>52</v>
      </c>
      <c r="D47" s="377">
        <f>COUNTIF(NORTE!A:A,"Yarumal")-COUNTIFS(NORTE!A:A,"Yarumal",NORTE!C:C,"")</f>
        <v>12</v>
      </c>
      <c r="E47" s="541">
        <v>2130</v>
      </c>
      <c r="F47" s="542">
        <v>48.365122615803813</v>
      </c>
    </row>
    <row r="48" spans="1:9" ht="24.95" customHeight="1" x14ac:dyDescent="0.2">
      <c r="A48" s="584"/>
      <c r="B48" s="544" t="s">
        <v>114</v>
      </c>
      <c r="C48" s="45">
        <f>SUM(C31:C47)</f>
        <v>570</v>
      </c>
      <c r="D48" s="45">
        <f>SUM(D31:D47)</f>
        <v>255</v>
      </c>
      <c r="E48" s="585">
        <f>SUM(E31:E47)</f>
        <v>22134.247375622424</v>
      </c>
      <c r="F48" s="586"/>
      <c r="I48" s="343">
        <f>COUNTIF(NORTE!A:A,"Don Matias")-COUNTIFS(NORTE!A:A,"Don Matias",NORTE!C:C,"")</f>
        <v>0</v>
      </c>
    </row>
    <row r="49" spans="1:6" ht="24.95" customHeight="1" x14ac:dyDescent="0.2">
      <c r="A49" s="583" t="s">
        <v>143</v>
      </c>
      <c r="B49" s="543" t="s">
        <v>4121</v>
      </c>
      <c r="C49" s="58">
        <v>12</v>
      </c>
      <c r="D49" s="377">
        <f>COUNTIF(OCCIDENTE!A:A, "Abriaquí")-COUNTIFS(OCCIDENTE!A:A,"Abriaquí",OCCIDENTE!C:C,"")</f>
        <v>7</v>
      </c>
      <c r="E49" s="541">
        <v>424.31089999999995</v>
      </c>
      <c r="F49" s="542">
        <v>80.209999999999994</v>
      </c>
    </row>
    <row r="50" spans="1:6" ht="24.95" customHeight="1" x14ac:dyDescent="0.2">
      <c r="A50" s="583"/>
      <c r="B50" s="543" t="s">
        <v>4122</v>
      </c>
      <c r="C50" s="58">
        <v>17</v>
      </c>
      <c r="D50" s="377">
        <f>COUNTIF(OCCIDENTE!A:A, "Anzá")-COUNTIFS(OCCIDENTE!A:A,"Anzá",OCCIDENTE!C:C,"")</f>
        <v>18</v>
      </c>
      <c r="E50" s="541">
        <v>1406.0814830303032</v>
      </c>
      <c r="F50" s="542">
        <v>65.290000000000006</v>
      </c>
    </row>
    <row r="51" spans="1:6" ht="24.95" customHeight="1" x14ac:dyDescent="0.2">
      <c r="A51" s="583"/>
      <c r="B51" s="543" t="s">
        <v>89</v>
      </c>
      <c r="C51" s="58">
        <v>10</v>
      </c>
      <c r="D51" s="58">
        <f>COUNTIF(OCCIDENTE!A:A, "Armenia")-COUNTIFS(OCCIDENTE!A:A,"Armenia",OCCIDENTE!C:C,"")</f>
        <v>4</v>
      </c>
      <c r="E51" s="541">
        <v>727.99649999999997</v>
      </c>
      <c r="F51" s="542">
        <v>63.03</v>
      </c>
    </row>
    <row r="52" spans="1:6" ht="24.95" customHeight="1" x14ac:dyDescent="0.2">
      <c r="A52" s="583"/>
      <c r="B52" s="543" t="s">
        <v>2806</v>
      </c>
      <c r="C52" s="58">
        <v>36</v>
      </c>
      <c r="D52" s="374">
        <f>COUNTIF(OCCIDENTE!A:A, "Buriticá")-COUNTIFS(OCCIDENTE!A:A,"Buriticá",OCCIDENTE!C:C,"")</f>
        <v>38</v>
      </c>
      <c r="E52" s="541">
        <v>1602.251</v>
      </c>
      <c r="F52" s="542">
        <v>86.05</v>
      </c>
    </row>
    <row r="53" spans="1:6" ht="24.95" customHeight="1" x14ac:dyDescent="0.2">
      <c r="A53" s="583"/>
      <c r="B53" s="543" t="s">
        <v>151</v>
      </c>
      <c r="C53" s="58">
        <v>61</v>
      </c>
      <c r="D53" s="374">
        <f>COUNTIF(OCCIDENTE!A:A, "Caicedo")-COUNTIFS(OCCIDENTE!A:A,"Caicedo",OCCIDENTE!C:C,"")</f>
        <v>16</v>
      </c>
      <c r="E53" s="541">
        <v>1359.9009174311927</v>
      </c>
      <c r="F53" s="542">
        <v>58.165137614678898</v>
      </c>
    </row>
    <row r="54" spans="1:6" ht="24.95" customHeight="1" x14ac:dyDescent="0.2">
      <c r="A54" s="583"/>
      <c r="B54" s="543" t="s">
        <v>234</v>
      </c>
      <c r="C54" s="58">
        <v>98</v>
      </c>
      <c r="D54" s="374">
        <f>COUNTIF(OCCIDENTE!A:A, "Cañasgordas")-COUNTIFS(OCCIDENTE!A:A,"Cañasgordas",OCCIDENTE!C:C,"")</f>
        <v>59</v>
      </c>
      <c r="E54" s="541">
        <v>2429.8946000000001</v>
      </c>
      <c r="F54" s="542">
        <v>61.33</v>
      </c>
    </row>
    <row r="55" spans="1:6" ht="24.95" customHeight="1" x14ac:dyDescent="0.2">
      <c r="A55" s="583"/>
      <c r="B55" s="543" t="s">
        <v>148</v>
      </c>
      <c r="C55" s="58">
        <v>33</v>
      </c>
      <c r="D55" s="377">
        <f>COUNTIF(OCCIDENTE!A:A, "Dabeiba")-COUNTIFS(OCCIDENTE!A:A,"Dabeiba",OCCIDENTE!C:C,"")</f>
        <v>26</v>
      </c>
      <c r="E55" s="541">
        <v>1208.3321777864273</v>
      </c>
      <c r="F55" s="542">
        <v>29.488372093023258</v>
      </c>
    </row>
    <row r="56" spans="1:6" ht="24.95" customHeight="1" x14ac:dyDescent="0.2">
      <c r="A56" s="583"/>
      <c r="B56" s="543" t="s">
        <v>4123</v>
      </c>
      <c r="C56" s="58">
        <v>52</v>
      </c>
      <c r="D56" s="377">
        <f>COUNTIF(OCCIDENTE!A:A, "Ebéjico")-COUNTIFS(OCCIDENTE!A:A,"Ebéjico",OCCIDENTE!C:C,"")</f>
        <v>45</v>
      </c>
      <c r="E56" s="541">
        <v>3242.3911155644623</v>
      </c>
      <c r="F56" s="542">
        <v>83.934535738142955</v>
      </c>
    </row>
    <row r="57" spans="1:6" ht="24.95" customHeight="1" x14ac:dyDescent="0.2">
      <c r="A57" s="583"/>
      <c r="B57" s="543" t="s">
        <v>150</v>
      </c>
      <c r="C57" s="58">
        <v>19</v>
      </c>
      <c r="D57" s="377">
        <f>COUNTIF(OCCIDENTE!A:A, "Frontino")-COUNTIFS(OCCIDENTE!A:A,"Frontino",OCCIDENTE!C:C,"")</f>
        <v>44</v>
      </c>
      <c r="E57" s="541">
        <v>2229</v>
      </c>
      <c r="F57" s="542">
        <v>66.497613365155132</v>
      </c>
    </row>
    <row r="58" spans="1:6" ht="24.95" customHeight="1" x14ac:dyDescent="0.2">
      <c r="A58" s="583"/>
      <c r="B58" s="543" t="s">
        <v>152</v>
      </c>
      <c r="C58" s="58">
        <v>15</v>
      </c>
      <c r="D58" s="58">
        <f>COUNTIF(OCCIDENTE!A:A, "Giraldo")-COUNTIFS(OCCIDENTE!A:A,"Giraldo",OCCIDENTE!C:C,"")</f>
        <v>20</v>
      </c>
      <c r="E58" s="541">
        <v>1206.2001665278935</v>
      </c>
      <c r="F58" s="542">
        <v>80</v>
      </c>
    </row>
    <row r="59" spans="1:6" ht="24.95" customHeight="1" x14ac:dyDescent="0.2">
      <c r="A59" s="583"/>
      <c r="B59" s="543" t="s">
        <v>153</v>
      </c>
      <c r="C59" s="58">
        <v>18</v>
      </c>
      <c r="D59" s="58">
        <f>COUNTIF(OCCIDENTE!A:A, "Heliconia")-COUNTIFS(OCCIDENTE!A:A,"Heliconia",OCCIDENTE!C:C,"")</f>
        <v>12</v>
      </c>
      <c r="E59" s="541">
        <v>1401.6819819819821</v>
      </c>
      <c r="F59" s="542">
        <v>82.792792792792795</v>
      </c>
    </row>
    <row r="60" spans="1:6" ht="24.95" customHeight="1" x14ac:dyDescent="0.2">
      <c r="A60" s="583"/>
      <c r="B60" s="543" t="s">
        <v>154</v>
      </c>
      <c r="C60" s="58">
        <v>37</v>
      </c>
      <c r="D60" s="413">
        <f>COUNTIF(OCCIDENTE!A:A, "Liborina")-COUNTIFS(OCCIDENTE!A:A,"Liborina",OCCIDENTE!C:C,"")</f>
        <v>33</v>
      </c>
      <c r="E60" s="541">
        <v>2581.0290000000005</v>
      </c>
      <c r="F60" s="542">
        <v>89.9</v>
      </c>
    </row>
    <row r="61" spans="1:6" ht="24.95" customHeight="1" x14ac:dyDescent="0.2">
      <c r="A61" s="583"/>
      <c r="B61" s="543" t="s">
        <v>3320</v>
      </c>
      <c r="C61" s="58">
        <v>11</v>
      </c>
      <c r="D61" s="377">
        <f>COUNTIF(OCCIDENTE!A:A, "Olaya")-COUNTIFS(OCCIDENTE!A:A,"Olaya",OCCIDENTE!C:C,"")</f>
        <v>8</v>
      </c>
      <c r="E61" s="541">
        <v>1066.9376</v>
      </c>
      <c r="F61" s="542">
        <v>70.94</v>
      </c>
    </row>
    <row r="62" spans="1:6" ht="24.95" customHeight="1" x14ac:dyDescent="0.2">
      <c r="A62" s="583"/>
      <c r="B62" s="543" t="s">
        <v>156</v>
      </c>
      <c r="C62" s="58">
        <v>36</v>
      </c>
      <c r="D62" s="58">
        <f>COUNTIF(OCCIDENTE!A:A, "Peque")-COUNTIFS(OCCIDENTE!A:A,"Peque",OCCIDENTE!C:C,"")</f>
        <v>32</v>
      </c>
      <c r="E62" s="541">
        <v>1110.4606194690266</v>
      </c>
      <c r="F62" s="542">
        <v>45</v>
      </c>
    </row>
    <row r="63" spans="1:6" ht="24.95" customHeight="1" x14ac:dyDescent="0.2">
      <c r="A63" s="583"/>
      <c r="B63" s="543" t="s">
        <v>157</v>
      </c>
      <c r="C63" s="58">
        <v>32</v>
      </c>
      <c r="D63" s="58">
        <f>COUNTIF(OCCIDENTE!A:A, "Sabanalarga")-COUNTIFS(OCCIDENTE!A:A,"Sabanalarga",OCCIDENTE!C:C,"")</f>
        <v>26</v>
      </c>
      <c r="E63" s="541">
        <v>1490.951</v>
      </c>
      <c r="F63" s="542">
        <v>56.95</v>
      </c>
    </row>
    <row r="64" spans="1:6" ht="24.95" customHeight="1" x14ac:dyDescent="0.2">
      <c r="A64" s="583"/>
      <c r="B64" s="543" t="s">
        <v>158</v>
      </c>
      <c r="C64" s="58">
        <v>37</v>
      </c>
      <c r="D64" s="377">
        <f>COUNTIF(OCCIDENTE!A:A, "San Jerónimo")-COUNTIFS(OCCIDENTE!A:A,"San Jerónimo",OCCIDENTE!C:C,"")</f>
        <v>28</v>
      </c>
      <c r="E64" s="541">
        <v>3782.2250008539063</v>
      </c>
      <c r="F64" s="542">
        <v>78.567199851556012</v>
      </c>
    </row>
    <row r="65" spans="1:6" ht="24.95" customHeight="1" x14ac:dyDescent="0.2">
      <c r="A65" s="583"/>
      <c r="B65" s="543" t="s">
        <v>3455</v>
      </c>
      <c r="C65" s="58">
        <v>42</v>
      </c>
      <c r="D65" s="377">
        <f>COUNTIF(OCCIDENTE!A:A, "Santafe de Antioquia")-COUNTIFS(OCCIDENTE!A:A,"Santafe de Antioquia",OCCIDENTE!C:C,"")</f>
        <v>37</v>
      </c>
      <c r="E65" s="541">
        <v>3791.0563999999999</v>
      </c>
      <c r="F65" s="542">
        <v>78.62</v>
      </c>
    </row>
    <row r="66" spans="1:6" ht="24.95" customHeight="1" x14ac:dyDescent="0.2">
      <c r="A66" s="583"/>
      <c r="B66" s="543" t="s">
        <v>4356</v>
      </c>
      <c r="C66" s="58">
        <v>31</v>
      </c>
      <c r="D66" s="377">
        <f>COUNTIF(OCCIDENTE!A:A, "Sopetrán")-COUNTIFS(OCCIDENTE!A:A,"Sopetrán",OCCIDENTE!C:C,"")</f>
        <v>27</v>
      </c>
      <c r="E66" s="541">
        <v>3649.7309941520466</v>
      </c>
      <c r="F66" s="542">
        <v>79.532163742690059</v>
      </c>
    </row>
    <row r="67" spans="1:6" ht="24.95" customHeight="1" x14ac:dyDescent="0.2">
      <c r="A67" s="584"/>
      <c r="B67" s="543" t="s">
        <v>161</v>
      </c>
      <c r="C67" s="58">
        <v>42</v>
      </c>
      <c r="D67" s="377">
        <f>COUNTIF(OCCIDENTE!A:A, "Uramita")-COUNTIFS(OCCIDENTE!A:A,"Uramita",OCCIDENTE!C:C,"")</f>
        <v>17</v>
      </c>
      <c r="E67" s="541">
        <v>882.05009999999993</v>
      </c>
      <c r="F67" s="542">
        <v>49.47</v>
      </c>
    </row>
    <row r="68" spans="1:6" ht="24.95" customHeight="1" x14ac:dyDescent="0.2">
      <c r="A68" s="584"/>
      <c r="B68" s="544" t="s">
        <v>114</v>
      </c>
      <c r="C68" s="45">
        <f>SUM(C49:C67)</f>
        <v>639</v>
      </c>
      <c r="D68" s="45">
        <f>SUM(D49:D67)</f>
        <v>497</v>
      </c>
      <c r="E68" s="585">
        <f>SUM(E49:E67)</f>
        <v>35592.481556797247</v>
      </c>
      <c r="F68" s="586"/>
    </row>
    <row r="69" spans="1:6" ht="24.95" customHeight="1" x14ac:dyDescent="0.2">
      <c r="A69" s="583" t="s">
        <v>162</v>
      </c>
      <c r="B69" s="543" t="s">
        <v>4124</v>
      </c>
      <c r="C69" s="58">
        <v>21</v>
      </c>
      <c r="D69" s="377">
        <f>COUNTIF(SUROESTE!A:A, "Amagá")-COUNTIFS(SUROESTE!A:A,"Amagá",SUROESTE!C:C,"")</f>
        <v>34</v>
      </c>
      <c r="E69" s="541">
        <v>5010</v>
      </c>
      <c r="F69" s="541">
        <v>100</v>
      </c>
    </row>
    <row r="70" spans="1:6" ht="24.95" customHeight="1" x14ac:dyDescent="0.2">
      <c r="A70" s="583"/>
      <c r="B70" s="543" t="s">
        <v>164</v>
      </c>
      <c r="C70" s="58">
        <v>62</v>
      </c>
      <c r="D70" s="58">
        <f>COUNTIF(SUROESTE!A:A, "Andes")-COUNTIFS(SUROESTE!A:A,"Andes",SUROESTE!C:C,"")</f>
        <v>55</v>
      </c>
      <c r="E70" s="541">
        <v>4373.12</v>
      </c>
      <c r="F70" s="541">
        <v>64</v>
      </c>
    </row>
    <row r="71" spans="1:6" ht="24.95" customHeight="1" x14ac:dyDescent="0.2">
      <c r="A71" s="583"/>
      <c r="B71" s="543" t="s">
        <v>4125</v>
      </c>
      <c r="C71" s="58">
        <v>12</v>
      </c>
      <c r="D71" s="377">
        <f>COUNTIF(SUROESTE!A:A, "Angelópolis")-COUNTIFS(SUROESTE!A:A,"Angelópolis",SUROESTE!C:C,"")</f>
        <v>12</v>
      </c>
      <c r="E71" s="541">
        <v>1071.2</v>
      </c>
      <c r="F71" s="541">
        <v>80</v>
      </c>
    </row>
    <row r="72" spans="1:6" ht="24.95" customHeight="1" x14ac:dyDescent="0.2">
      <c r="A72" s="583"/>
      <c r="B72" s="543" t="s">
        <v>165</v>
      </c>
      <c r="C72" s="58">
        <v>27</v>
      </c>
      <c r="D72" s="58">
        <f>COUNTIF(SUROESTE!A:A, "Betania")-COUNTIFS(SUROESTE!A:A,"Betania",SUROESTE!C:C,"")</f>
        <v>12</v>
      </c>
      <c r="E72" s="541">
        <v>550.46</v>
      </c>
      <c r="F72" s="541">
        <v>34</v>
      </c>
    </row>
    <row r="73" spans="1:6" ht="24.95" customHeight="1" x14ac:dyDescent="0.2">
      <c r="A73" s="583"/>
      <c r="B73" s="543" t="s">
        <v>47</v>
      </c>
      <c r="C73" s="58">
        <v>41</v>
      </c>
      <c r="D73" s="58">
        <f>COUNTIF(SUROESTE!A:A, "Betulia")-COUNTIFS(SUROESTE!A:A,"Betulia",SUROESTE!C:C,"")</f>
        <v>28</v>
      </c>
      <c r="E73" s="541">
        <v>2607.8517000000002</v>
      </c>
      <c r="F73" s="541">
        <v>67.23</v>
      </c>
    </row>
    <row r="74" spans="1:6" ht="24.95" customHeight="1" x14ac:dyDescent="0.2">
      <c r="A74" s="583"/>
      <c r="B74" s="543" t="s">
        <v>166</v>
      </c>
      <c r="C74" s="58">
        <v>23</v>
      </c>
      <c r="D74" s="377">
        <f>COUNTIF(SUROESTE!A:A, "Caramanta")-COUNTIFS(SUROESTE!A:A,"Caramanta",SUROESTE!C:C,"")</f>
        <v>16</v>
      </c>
      <c r="E74" s="541">
        <v>700.68349753694577</v>
      </c>
      <c r="F74" s="541">
        <v>69.581280788177338</v>
      </c>
    </row>
    <row r="75" spans="1:6" ht="24.95" customHeight="1" x14ac:dyDescent="0.2">
      <c r="A75" s="583"/>
      <c r="B75" s="543" t="s">
        <v>167</v>
      </c>
      <c r="C75" s="58">
        <v>18</v>
      </c>
      <c r="D75" s="377">
        <f>COUNTIF(SUROESTE!A:A, "Ciudad Bolívar")-COUNTIFS(SUROESTE!A:A,"Ciudad Bolívar",SUROESTE!C:C,"")</f>
        <v>17</v>
      </c>
      <c r="E75" s="541">
        <v>1749</v>
      </c>
      <c r="F75" s="541">
        <v>53</v>
      </c>
    </row>
    <row r="76" spans="1:6" ht="24.95" customHeight="1" x14ac:dyDescent="0.2">
      <c r="A76" s="583"/>
      <c r="B76" s="543" t="s">
        <v>168</v>
      </c>
      <c r="C76" s="58">
        <v>24</v>
      </c>
      <c r="D76" s="58">
        <f>COUNTIF(SUROESTE!A:A, "Concordia")-COUNTIFS(SUROESTE!A:A,"Concordia",SUROESTE!C:C,"")</f>
        <v>21</v>
      </c>
      <c r="E76" s="541">
        <v>1543.9665</v>
      </c>
      <c r="F76" s="541">
        <v>42.71</v>
      </c>
    </row>
    <row r="77" spans="1:6" ht="24.95" customHeight="1" x14ac:dyDescent="0.2">
      <c r="A77" s="583"/>
      <c r="B77" s="543" t="s">
        <v>169</v>
      </c>
      <c r="C77" s="58">
        <v>36</v>
      </c>
      <c r="D77" s="58">
        <f>COUNTIF(SUROESTE!A:A, "Fredonia")-COUNTIFS(SUROESTE!A:A,"Fredonia",SUROESTE!C:C,"")</f>
        <v>35</v>
      </c>
      <c r="E77" s="541">
        <v>3758.82</v>
      </c>
      <c r="F77" s="541">
        <v>78</v>
      </c>
    </row>
    <row r="78" spans="1:6" ht="24.95" customHeight="1" x14ac:dyDescent="0.2">
      <c r="A78" s="583"/>
      <c r="B78" s="543" t="s">
        <v>170</v>
      </c>
      <c r="C78" s="58">
        <v>11</v>
      </c>
      <c r="D78" s="58">
        <f>COUNTIF(SUROESTE!A:A, "Hispania")-COUNTIFS(SUROESTE!A:A,"Hispania",SUROESTE!C:C,"")</f>
        <v>9</v>
      </c>
      <c r="E78" s="541">
        <v>343</v>
      </c>
      <c r="F78" s="541">
        <v>57.166666666666664</v>
      </c>
    </row>
    <row r="79" spans="1:6" ht="24.95" customHeight="1" x14ac:dyDescent="0.2">
      <c r="A79" s="583"/>
      <c r="B79" s="543" t="s">
        <v>171</v>
      </c>
      <c r="C79" s="58">
        <v>21</v>
      </c>
      <c r="D79" s="377">
        <f>COUNTIF(SUROESTE!A:A, "Jardín")-COUNTIFS(SUROESTE!A:A,"Jardín",SUROESTE!C:C,"")</f>
        <v>23</v>
      </c>
      <c r="E79" s="541">
        <v>1738.120036513008</v>
      </c>
      <c r="F79" s="541">
        <v>69.055225924235515</v>
      </c>
    </row>
    <row r="80" spans="1:6" ht="24.95" customHeight="1" x14ac:dyDescent="0.2">
      <c r="A80" s="583"/>
      <c r="B80" s="543" t="s">
        <v>172</v>
      </c>
      <c r="C80" s="58">
        <v>31</v>
      </c>
      <c r="D80" s="377">
        <f>COUNTIF(SUROESTE!A:A, "Jericó")-COUNTIFS(SUROESTE!A:A,"Jericó",SUROESTE!C:C,"")</f>
        <v>25</v>
      </c>
      <c r="E80" s="541">
        <v>1439.3</v>
      </c>
      <c r="F80" s="541">
        <v>74</v>
      </c>
    </row>
    <row r="81" spans="1:6" ht="24.95" customHeight="1" x14ac:dyDescent="0.2">
      <c r="A81" s="583"/>
      <c r="B81" s="543" t="s">
        <v>173</v>
      </c>
      <c r="C81" s="58">
        <v>3</v>
      </c>
      <c r="D81" s="377">
        <f>COUNTIF(SUROESTE!A:A, "La Pintada")-COUNTIFS(SUROESTE!A:A,"La Pintada",SUROESTE!C:C,"")</f>
        <v>0</v>
      </c>
      <c r="E81" s="541">
        <v>287.00000000000006</v>
      </c>
      <c r="F81" s="541">
        <v>55.728155339805831</v>
      </c>
    </row>
    <row r="82" spans="1:6" ht="24.95" customHeight="1" x14ac:dyDescent="0.2">
      <c r="A82" s="583"/>
      <c r="B82" s="543" t="s">
        <v>174</v>
      </c>
      <c r="C82" s="58">
        <v>24</v>
      </c>
      <c r="D82" s="377">
        <f>COUNTIF(SUROESTE!A:A, "Montebello")-COUNTIFS(SUROESTE!A:A,"Montebello",SUROESTE!C:C,"")</f>
        <v>19</v>
      </c>
      <c r="E82" s="541">
        <v>1202.04</v>
      </c>
      <c r="F82" s="541">
        <v>53</v>
      </c>
    </row>
    <row r="83" spans="1:6" ht="24.95" customHeight="1" x14ac:dyDescent="0.2">
      <c r="A83" s="583"/>
      <c r="B83" s="543" t="s">
        <v>175</v>
      </c>
      <c r="C83" s="58">
        <v>20</v>
      </c>
      <c r="D83" s="58">
        <f>COUNTIF(SUROESTE!A:A, "Pueblorrico")-COUNTIFS(SUROESTE!A:A,"Pueblorrico",SUROESTE!C:C,"")</f>
        <v>6</v>
      </c>
      <c r="E83" s="541">
        <v>265.50359712230215</v>
      </c>
      <c r="F83" s="541">
        <v>21.942446043165468</v>
      </c>
    </row>
    <row r="84" spans="1:6" ht="24.95" customHeight="1" x14ac:dyDescent="0.2">
      <c r="A84" s="583"/>
      <c r="B84" s="543" t="s">
        <v>176</v>
      </c>
      <c r="C84" s="58">
        <v>32</v>
      </c>
      <c r="D84" s="377">
        <f>COUNTIF(SUROESTE!A:A, "Salgar")-COUNTIFS(SUROESTE!A:A,"Salgar",SUROESTE!C:C,"")</f>
        <v>27</v>
      </c>
      <c r="E84" s="541">
        <v>1621.9983</v>
      </c>
      <c r="F84" s="541">
        <v>46.73</v>
      </c>
    </row>
    <row r="85" spans="1:6" ht="24.95" customHeight="1" x14ac:dyDescent="0.2">
      <c r="A85" s="583"/>
      <c r="B85" s="543" t="s">
        <v>177</v>
      </c>
      <c r="C85" s="58">
        <v>42</v>
      </c>
      <c r="D85" s="377">
        <f>COUNTIF(SUROESTE!A:A, "Santa Bárbara")-COUNTIFS(SUROESTE!A:A,"Santa Bárbara",SUROESTE!C:C,"")</f>
        <v>41</v>
      </c>
      <c r="E85" s="541">
        <v>3751.6</v>
      </c>
      <c r="F85" s="541">
        <v>83</v>
      </c>
    </row>
    <row r="86" spans="1:6" ht="24.95" customHeight="1" x14ac:dyDescent="0.2">
      <c r="A86" s="583"/>
      <c r="B86" s="543" t="s">
        <v>178</v>
      </c>
      <c r="C86" s="58">
        <v>37</v>
      </c>
      <c r="D86" s="377">
        <f>COUNTIF(SUROESTE!A:A, "Támesis")-COUNTIFS(SUROESTE!A:A,"Támesis",SUROESTE!C:C,"")</f>
        <v>33</v>
      </c>
      <c r="E86" s="541">
        <v>3058.7702290076331</v>
      </c>
      <c r="F86" s="541">
        <v>76.25954198473282</v>
      </c>
    </row>
    <row r="87" spans="1:6" ht="24.95" customHeight="1" x14ac:dyDescent="0.2">
      <c r="A87" s="583"/>
      <c r="B87" s="543" t="s">
        <v>179</v>
      </c>
      <c r="C87" s="58">
        <v>16</v>
      </c>
      <c r="D87" s="58">
        <f>COUNTIF(SUROESTE!A:A, "Tarso")-COUNTIFS(SUROESTE!A:A,"Tarso",SUROESTE!C:C,"")</f>
        <v>8</v>
      </c>
      <c r="E87" s="541">
        <v>475.72469635627533</v>
      </c>
      <c r="F87" s="541">
        <v>43.724696356275302</v>
      </c>
    </row>
    <row r="88" spans="1:6" ht="24.95" customHeight="1" x14ac:dyDescent="0.2">
      <c r="A88" s="583"/>
      <c r="B88" s="543" t="s">
        <v>180</v>
      </c>
      <c r="C88" s="58">
        <v>18</v>
      </c>
      <c r="D88" s="377">
        <f>COUNTIF(SUROESTE!A:A, "Titiribí")-COUNTIFS(SUROESTE!A:A,"Titiribí",SUROESTE!C:C,"")</f>
        <v>23</v>
      </c>
      <c r="E88" s="541">
        <v>1864.6352999999999</v>
      </c>
      <c r="F88" s="541">
        <v>81.89</v>
      </c>
    </row>
    <row r="89" spans="1:6" ht="24.95" customHeight="1" x14ac:dyDescent="0.2">
      <c r="A89" s="583"/>
      <c r="B89" s="543" t="s">
        <v>181</v>
      </c>
      <c r="C89" s="58">
        <v>55</v>
      </c>
      <c r="D89" s="58">
        <f>COUNTIF(SUROESTE!A:A, "Urrao")-COUNTIFS(SUROESTE!A:A,"Urrao",SUROESTE!C:C,"")</f>
        <v>31</v>
      </c>
      <c r="E89" s="541">
        <v>2028.201743003614</v>
      </c>
      <c r="F89" s="541">
        <v>28</v>
      </c>
    </row>
    <row r="90" spans="1:6" ht="24.95" customHeight="1" x14ac:dyDescent="0.2">
      <c r="A90" s="583"/>
      <c r="B90" s="543" t="s">
        <v>182</v>
      </c>
      <c r="C90" s="58">
        <v>22</v>
      </c>
      <c r="D90" s="377">
        <f>COUNTIF(SUROESTE!A:A, "Valparaíso")-COUNTIFS(SUROESTE!A:A,"Valparaíso",SUROESTE!C:C,"")</f>
        <v>13</v>
      </c>
      <c r="E90" s="541">
        <v>718.2</v>
      </c>
      <c r="F90" s="541">
        <v>70</v>
      </c>
    </row>
    <row r="91" spans="1:6" ht="24.95" customHeight="1" x14ac:dyDescent="0.2">
      <c r="A91" s="583"/>
      <c r="B91" s="543" t="s">
        <v>183</v>
      </c>
      <c r="C91" s="58">
        <v>17</v>
      </c>
      <c r="D91" s="377">
        <f>COUNTIF(SUROESTE!A:A, "Venecia")-COUNTIFS(SUROESTE!A:A,"Venecia",SUROESTE!C:C,"")</f>
        <v>11</v>
      </c>
      <c r="E91" s="541">
        <v>2730.7445109780442</v>
      </c>
      <c r="F91" s="541">
        <v>89.620758483033939</v>
      </c>
    </row>
    <row r="92" spans="1:6" ht="24.95" customHeight="1" x14ac:dyDescent="0.2">
      <c r="A92" s="584"/>
      <c r="B92" s="544" t="s">
        <v>114</v>
      </c>
      <c r="C92" s="45">
        <f>SUM(C69:C91)</f>
        <v>613</v>
      </c>
      <c r="D92" s="45">
        <f>SUM(D69:D91)</f>
        <v>499</v>
      </c>
      <c r="E92" s="585">
        <f>SUM(E69:E91)</f>
        <v>42889.940110517811</v>
      </c>
      <c r="F92" s="586"/>
    </row>
    <row r="93" spans="1:6" ht="24.95" customHeight="1" x14ac:dyDescent="0.2">
      <c r="A93" s="583" t="s">
        <v>184</v>
      </c>
      <c r="B93" s="543" t="s">
        <v>186</v>
      </c>
      <c r="C93" s="58">
        <v>45</v>
      </c>
      <c r="D93" s="377">
        <f>COUNTIF('BAJO CAUCA'!A:A, "Caceres")-COUNTIFS('BAJO CAUCA'!A:A,"Caceres",'BAJO CAUCA'!C:C,"")</f>
        <v>8</v>
      </c>
      <c r="E93" s="538">
        <v>1775.2760168597922</v>
      </c>
      <c r="F93" s="539">
        <v>26.359638972460083</v>
      </c>
    </row>
    <row r="94" spans="1:6" ht="24.95" customHeight="1" x14ac:dyDescent="0.2">
      <c r="A94" s="583"/>
      <c r="B94" s="543" t="s">
        <v>185</v>
      </c>
      <c r="C94" s="58">
        <v>44</v>
      </c>
      <c r="D94" s="377">
        <f>COUNTIF('BAJO CAUCA'!A:A, "Caucasia")-COUNTIFS('BAJO CAUCA'!A:A,"Caucasia",'BAJO CAUCA'!C:C,"")</f>
        <v>20</v>
      </c>
      <c r="E94" s="538">
        <v>1577.2692869205932</v>
      </c>
      <c r="F94" s="539">
        <v>23</v>
      </c>
    </row>
    <row r="95" spans="1:6" ht="24.95" customHeight="1" x14ac:dyDescent="0.2">
      <c r="A95" s="583"/>
      <c r="B95" s="543" t="s">
        <v>187</v>
      </c>
      <c r="C95" s="58">
        <v>53</v>
      </c>
      <c r="D95" s="58">
        <f>COUNTIF('BAJO CAUCA'!A:A, "El Bagre")-COUNTIFS('BAJO CAUCA'!A:A,"El Bagre",'BAJO CAUCA'!C:C,"")</f>
        <v>2</v>
      </c>
      <c r="E95" s="538">
        <v>1215.8046142754145</v>
      </c>
      <c r="F95" s="539">
        <v>27.180966113914923</v>
      </c>
    </row>
    <row r="96" spans="1:6" ht="24.95" customHeight="1" x14ac:dyDescent="0.2">
      <c r="A96" s="583"/>
      <c r="B96" s="543" t="s">
        <v>4127</v>
      </c>
      <c r="C96" s="58">
        <v>52</v>
      </c>
      <c r="D96" s="377">
        <f>COUNTIF('BAJO CAUCA'!A:A, "Nechí")-COUNTIFS('BAJO CAUCA'!A:A,"Nechí",'BAJO CAUCA'!C:C,"")</f>
        <v>5</v>
      </c>
      <c r="E96" s="538">
        <v>375.26942510754787</v>
      </c>
      <c r="F96" s="539">
        <v>12</v>
      </c>
    </row>
    <row r="97" spans="1:6" ht="24.95" customHeight="1" x14ac:dyDescent="0.2">
      <c r="A97" s="583"/>
      <c r="B97" s="543" t="s">
        <v>188</v>
      </c>
      <c r="C97" s="58">
        <v>42</v>
      </c>
      <c r="D97" s="377">
        <f>COUNTIF('BAJO CAUCA'!A:A, "Tarazá")-COUNTIFS('BAJO CAUCA'!A:A,"Tarazá",'BAJO CAUCA'!C:C,"")</f>
        <v>9</v>
      </c>
      <c r="E97" s="538">
        <v>1719.0057000000002</v>
      </c>
      <c r="F97" s="539">
        <v>30.79</v>
      </c>
    </row>
    <row r="98" spans="1:6" ht="24.95" customHeight="1" x14ac:dyDescent="0.2">
      <c r="A98" s="583"/>
      <c r="B98" s="543" t="s">
        <v>189</v>
      </c>
      <c r="C98" s="58">
        <v>66</v>
      </c>
      <c r="D98" s="377">
        <f>COUNTIF('BAJO CAUCA'!A:A, "Zaragoza")-COUNTIFS('BAJO CAUCA'!A:A,"Zaragoza",'BAJO CAUCA'!C:C,"")</f>
        <v>16</v>
      </c>
      <c r="E98" s="538">
        <v>973.00342165736799</v>
      </c>
      <c r="F98" s="539">
        <v>20.640644887568943</v>
      </c>
    </row>
    <row r="99" spans="1:6" ht="24.95" customHeight="1" x14ac:dyDescent="0.2">
      <c r="A99" s="584"/>
      <c r="B99" s="544" t="s">
        <v>114</v>
      </c>
      <c r="C99" s="45">
        <f>SUM(C93:C98)</f>
        <v>302</v>
      </c>
      <c r="D99" s="45">
        <f>SUM(D93:D98)</f>
        <v>60</v>
      </c>
      <c r="E99" s="585">
        <f>SUM(E93:E98)</f>
        <v>7635.6284648207165</v>
      </c>
      <c r="F99" s="586"/>
    </row>
    <row r="100" spans="1:6" ht="24.95" customHeight="1" x14ac:dyDescent="0.2">
      <c r="A100" s="583" t="s">
        <v>190</v>
      </c>
      <c r="B100" s="543" t="s">
        <v>191</v>
      </c>
      <c r="C100" s="58">
        <v>15</v>
      </c>
      <c r="D100" s="377">
        <f>COUNTIF('MAGDALENA MEDIO'!A:A, "Caracolí")-COUNTIFS('MAGDALENA MEDIO'!A:A,"Caracolí",'MAGDALENA MEDIO'!C:C,"")</f>
        <v>9</v>
      </c>
      <c r="E100" s="542">
        <v>361.38252427184466</v>
      </c>
      <c r="F100" s="542">
        <v>49.708737864077669</v>
      </c>
    </row>
    <row r="101" spans="1:6" ht="24.95" customHeight="1" x14ac:dyDescent="0.2">
      <c r="A101" s="583"/>
      <c r="B101" s="543" t="s">
        <v>192</v>
      </c>
      <c r="C101" s="58">
        <v>23</v>
      </c>
      <c r="D101" s="58">
        <f>COUNTIF('MAGDALENA MEDIO'!A:A, "Maceo")-COUNTIFS('MAGDALENA MEDIO'!A:A,"Maceo",'MAGDALENA MEDIO'!C:C,"")</f>
        <v>6</v>
      </c>
      <c r="E101" s="542">
        <v>1087.1039886039885</v>
      </c>
      <c r="F101" s="542">
        <v>52.849002849002844</v>
      </c>
    </row>
    <row r="102" spans="1:6" ht="24.95" customHeight="1" x14ac:dyDescent="0.2">
      <c r="A102" s="583"/>
      <c r="B102" s="543" t="s">
        <v>4128</v>
      </c>
      <c r="C102" s="58">
        <v>21</v>
      </c>
      <c r="D102" s="377">
        <f>COUNTIF('MAGDALENA MEDIO'!A:A, "Puerto Berrío")-COUNTIFS('MAGDALENA MEDIO'!A:A,"Puerto Berrío",'MAGDALENA MEDIO'!C:C,"")</f>
        <v>15</v>
      </c>
      <c r="E102" s="542">
        <v>891.13159999999993</v>
      </c>
      <c r="F102" s="542">
        <v>46.51</v>
      </c>
    </row>
    <row r="103" spans="1:6" ht="24.95" customHeight="1" x14ac:dyDescent="0.2">
      <c r="A103" s="583"/>
      <c r="B103" s="543" t="s">
        <v>194</v>
      </c>
      <c r="C103" s="58">
        <v>25</v>
      </c>
      <c r="D103" s="58">
        <f>COUNTIF('MAGDALENA MEDIO'!A:A, "Puerto Nare")-COUNTIFS('MAGDALENA MEDIO'!A:A,"Puerto Nare",'MAGDALENA MEDIO'!C:C,"")</f>
        <v>7</v>
      </c>
      <c r="E103" s="542">
        <v>2340.1339687038676</v>
      </c>
      <c r="F103" s="542">
        <v>72.66</v>
      </c>
    </row>
    <row r="104" spans="1:6" ht="24.95" customHeight="1" x14ac:dyDescent="0.2">
      <c r="A104" s="583"/>
      <c r="B104" s="543" t="s">
        <v>56</v>
      </c>
      <c r="C104" s="58">
        <v>12</v>
      </c>
      <c r="D104" s="58">
        <f>COUNTIF('MAGDALENA MEDIO'!A:A, "Puerto Triunfo")-COUNTIFS('MAGDALENA MEDIO'!A:A,"Puerto Triunfo",'MAGDALENA MEDIO'!C:C,"")</f>
        <v>11</v>
      </c>
      <c r="E104" s="542">
        <v>3872.8946002992093</v>
      </c>
      <c r="F104" s="542">
        <v>88.23</v>
      </c>
    </row>
    <row r="105" spans="1:6" ht="24.95" customHeight="1" x14ac:dyDescent="0.2">
      <c r="A105" s="583"/>
      <c r="B105" s="543" t="s">
        <v>4129</v>
      </c>
      <c r="C105" s="58">
        <v>60</v>
      </c>
      <c r="D105" s="377">
        <f>COUNTIF('MAGDALENA MEDIO'!A:A, "Yondó")-COUNTIFS('MAGDALENA MEDIO'!A:A,"Yondó",'MAGDALENA MEDIO'!C:C,"")</f>
        <v>21</v>
      </c>
      <c r="E105" s="542">
        <v>1257.2</v>
      </c>
      <c r="F105" s="542">
        <v>40</v>
      </c>
    </row>
    <row r="106" spans="1:6" ht="24.95" customHeight="1" x14ac:dyDescent="0.2">
      <c r="A106" s="584"/>
      <c r="B106" s="544" t="s">
        <v>114</v>
      </c>
      <c r="C106" s="45">
        <f>SUM(C100:C105)</f>
        <v>156</v>
      </c>
      <c r="D106" s="45">
        <f>SUM(D100:D105)</f>
        <v>69</v>
      </c>
      <c r="E106" s="585">
        <f>SUM(E100:E105)</f>
        <v>9809.8466818789111</v>
      </c>
      <c r="F106" s="586"/>
    </row>
    <row r="107" spans="1:6" ht="24.95" customHeight="1" x14ac:dyDescent="0.2">
      <c r="A107" s="583" t="s">
        <v>196</v>
      </c>
      <c r="B107" s="543" t="s">
        <v>197</v>
      </c>
      <c r="C107" s="58">
        <v>52</v>
      </c>
      <c r="D107" s="58">
        <f>COUNTIF(NORDESTE!A:A, "Amalfi")-COUNTIFS(NORDESTE!A:A,"Amalfi",NORDESTE!C:C,"")</f>
        <v>6</v>
      </c>
      <c r="E107" s="541">
        <v>486.96926070038904</v>
      </c>
      <c r="F107" s="541">
        <v>12.879377431906613</v>
      </c>
    </row>
    <row r="108" spans="1:6" ht="24.95" customHeight="1" x14ac:dyDescent="0.2">
      <c r="A108" s="583"/>
      <c r="B108" s="543" t="s">
        <v>4130</v>
      </c>
      <c r="C108" s="58">
        <v>52</v>
      </c>
      <c r="D108" s="377">
        <f>COUNTIF(NORDESTE!A:A, "Anorí")-COUNTIFS(NORDESTE!A:A,"Anorí",NORDESTE!C:C,"")</f>
        <v>4</v>
      </c>
      <c r="E108" s="541">
        <v>943.94880681818177</v>
      </c>
      <c r="F108" s="541">
        <v>35</v>
      </c>
    </row>
    <row r="109" spans="1:6" ht="24.95" customHeight="1" x14ac:dyDescent="0.2">
      <c r="A109" s="583"/>
      <c r="B109" s="543" t="s">
        <v>199</v>
      </c>
      <c r="C109" s="58">
        <v>14</v>
      </c>
      <c r="D109" s="58">
        <f>COUNTIF(NORDESTE!A:A, "Cisneros")-COUNTIFS(NORDESTE!A:A,"Cisneros",NORDESTE!C:C,"")</f>
        <v>3</v>
      </c>
      <c r="E109" s="541">
        <v>213.44</v>
      </c>
      <c r="F109" s="541">
        <v>32</v>
      </c>
    </row>
    <row r="110" spans="1:6" ht="24.95" customHeight="1" x14ac:dyDescent="0.2">
      <c r="A110" s="583"/>
      <c r="B110" s="543" t="s">
        <v>200</v>
      </c>
      <c r="C110" s="58">
        <v>52</v>
      </c>
      <c r="D110" s="58">
        <f>COUNTIF(NORDESTE!A:A, "Remedios")-COUNTIFS(NORDESTE!A:A,"Remedios",NORDESTE!C:C,"")</f>
        <v>7</v>
      </c>
      <c r="E110" s="541">
        <v>2119.0048000000002</v>
      </c>
      <c r="F110" s="541">
        <v>32.56</v>
      </c>
    </row>
    <row r="111" spans="1:6" ht="24.95" customHeight="1" x14ac:dyDescent="0.2">
      <c r="A111" s="583"/>
      <c r="B111" s="543" t="s">
        <v>201</v>
      </c>
      <c r="C111" s="58">
        <v>50</v>
      </c>
      <c r="D111" s="58">
        <f>COUNTIF(NORDESTE!A:A, "San Roque")-COUNTIFS(NORDESTE!A:A,"San Roque",NORDESTE!C:C,"")</f>
        <v>33</v>
      </c>
      <c r="E111" s="541">
        <v>3675.6480626380244</v>
      </c>
      <c r="F111" s="541">
        <v>59.084521180485851</v>
      </c>
    </row>
    <row r="112" spans="1:6" ht="24.95" customHeight="1" x14ac:dyDescent="0.2">
      <c r="A112" s="583"/>
      <c r="B112" s="543" t="s">
        <v>7</v>
      </c>
      <c r="C112" s="58">
        <v>44</v>
      </c>
      <c r="D112" s="58">
        <f>COUNTIF(NORDESTE!A:A, "Santo Domingo")-COUNTIFS(NORDESTE!A:A,"Santo Domingo",NORDESTE!C:C,"")</f>
        <v>17</v>
      </c>
      <c r="E112" s="541">
        <v>1785</v>
      </c>
      <c r="F112" s="541">
        <v>42</v>
      </c>
    </row>
    <row r="113" spans="1:6" ht="24.95" customHeight="1" x14ac:dyDescent="0.2">
      <c r="A113" s="583"/>
      <c r="B113" s="543" t="s">
        <v>202</v>
      </c>
      <c r="C113" s="58">
        <v>22</v>
      </c>
      <c r="D113" s="58">
        <f>COUNTIF(NORDESTE!A:A, "Segovia")-COUNTIFS(NORDESTE!A:A,"Segovia",NORDESTE!C:C,"")</f>
        <v>12</v>
      </c>
      <c r="E113" s="541">
        <v>1642.207573217087</v>
      </c>
      <c r="F113" s="541">
        <v>75.807940904893812</v>
      </c>
    </row>
    <row r="114" spans="1:6" ht="24.95" customHeight="1" x14ac:dyDescent="0.2">
      <c r="A114" s="583"/>
      <c r="B114" s="543" t="s">
        <v>4131</v>
      </c>
      <c r="C114" s="58">
        <v>24</v>
      </c>
      <c r="D114" s="377">
        <f>COUNTIF(NORDESTE!A:A, "Vegachí")-COUNTIFS(NORDESTE!A:A,"Vegachí",NORDESTE!C:C,"")</f>
        <v>4</v>
      </c>
      <c r="E114" s="541">
        <v>953.12</v>
      </c>
      <c r="F114" s="541">
        <v>46</v>
      </c>
    </row>
    <row r="115" spans="1:6" ht="24.95" customHeight="1" x14ac:dyDescent="0.2">
      <c r="A115" s="583"/>
      <c r="B115" s="543" t="s">
        <v>4132</v>
      </c>
      <c r="C115" s="58">
        <v>27</v>
      </c>
      <c r="D115" s="377">
        <f>COUNTIF(NORDESTE!A:A, "Yalí")-COUNTIFS(NORDESTE!A:A,"Yalí",NORDESTE!C:C,"")</f>
        <v>10</v>
      </c>
      <c r="E115" s="541">
        <v>606.5</v>
      </c>
      <c r="F115" s="541">
        <v>50</v>
      </c>
    </row>
    <row r="116" spans="1:6" ht="24.95" customHeight="1" x14ac:dyDescent="0.2">
      <c r="A116" s="583"/>
      <c r="B116" s="543" t="s">
        <v>4133</v>
      </c>
      <c r="C116" s="58">
        <v>74</v>
      </c>
      <c r="D116" s="377">
        <f>COUNTIF(NORDESTE!A:A, "Yolombó")-COUNTIFS(NORDESTE!A:A,"Yolombó",NORDESTE!C:C,"")</f>
        <v>14</v>
      </c>
      <c r="E116" s="541">
        <v>1828.05</v>
      </c>
      <c r="F116" s="541">
        <v>35</v>
      </c>
    </row>
    <row r="117" spans="1:6" ht="24.95" customHeight="1" x14ac:dyDescent="0.2">
      <c r="A117" s="584"/>
      <c r="B117" s="544" t="s">
        <v>114</v>
      </c>
      <c r="C117" s="45">
        <f>SUM(C107:C116)</f>
        <v>411</v>
      </c>
      <c r="D117" s="45">
        <f>SUM(D107:D116)</f>
        <v>110</v>
      </c>
      <c r="E117" s="585">
        <f>SUM(E107:E116)</f>
        <v>14253.888503373682</v>
      </c>
      <c r="F117" s="586"/>
    </row>
    <row r="118" spans="1:6" ht="24.95" customHeight="1" x14ac:dyDescent="0.2">
      <c r="A118" s="583" t="s">
        <v>206</v>
      </c>
      <c r="B118" s="543" t="s">
        <v>207</v>
      </c>
      <c r="C118" s="58">
        <v>64</v>
      </c>
      <c r="D118" s="374">
        <f>COUNTIF(ORIENTE!A:A, "Abejorral")-COUNTIFS(ORIENTE!A:A,"Abejorral",ORIENTE!C:C,"")</f>
        <v>50</v>
      </c>
      <c r="E118" s="541">
        <v>2228.9077580940748</v>
      </c>
      <c r="F118" s="541">
        <v>44.685400122174713</v>
      </c>
    </row>
    <row r="119" spans="1:6" ht="24.95" customHeight="1" x14ac:dyDescent="0.2">
      <c r="A119" s="583"/>
      <c r="B119" s="543" t="s">
        <v>208</v>
      </c>
      <c r="C119" s="58">
        <v>14</v>
      </c>
      <c r="D119" s="58">
        <f>COUNTIF(ORIENTE!A:A, "Alejandría")-COUNTIFS(ORIENTE!A:A,"Alejandría",ORIENTE!C:C,"")</f>
        <v>7</v>
      </c>
      <c r="E119" s="541">
        <v>353.73574144486696</v>
      </c>
      <c r="F119" s="541">
        <v>37.832699619771866</v>
      </c>
    </row>
    <row r="120" spans="1:6" ht="24.95" customHeight="1" x14ac:dyDescent="0.2">
      <c r="A120" s="583"/>
      <c r="B120" s="543" t="s">
        <v>209</v>
      </c>
      <c r="C120" s="58">
        <v>49</v>
      </c>
      <c r="D120" s="58">
        <f>COUNTIF(ORIENTE!A:A, "Argelia")-COUNTIFS(ORIENTE!A:A,"Argelia",ORIENTE!C:C,"")</f>
        <v>19</v>
      </c>
      <c r="E120" s="541">
        <v>891.50355169692182</v>
      </c>
      <c r="F120" s="541">
        <v>47.750591949486974</v>
      </c>
    </row>
    <row r="121" spans="1:6" ht="24.95" customHeight="1" x14ac:dyDescent="0.2">
      <c r="A121" s="583"/>
      <c r="B121" s="543" t="s">
        <v>210</v>
      </c>
      <c r="C121" s="58">
        <v>78</v>
      </c>
      <c r="D121" s="374">
        <f>COUNTIF(ORIENTE!A:A, "Cocorná")-COUNTIFS(ORIENTE!A:A,"Cocorná",ORIENTE!C:C,"")</f>
        <v>18</v>
      </c>
      <c r="E121" s="541">
        <v>1967.1590000000003</v>
      </c>
      <c r="F121" s="541">
        <v>44.81</v>
      </c>
    </row>
    <row r="122" spans="1:6" ht="24.95" customHeight="1" x14ac:dyDescent="0.2">
      <c r="A122" s="583"/>
      <c r="B122" s="543" t="s">
        <v>211</v>
      </c>
      <c r="C122" s="58">
        <v>24</v>
      </c>
      <c r="D122" s="377">
        <f>COUNTIF(ORIENTE!A:A, "Concepción")-COUNTIFS(ORIENTE!A:A,"Concepción",ORIENTE!C:C,"")</f>
        <v>4</v>
      </c>
      <c r="E122" s="541">
        <v>367.08</v>
      </c>
      <c r="F122" s="541">
        <v>28</v>
      </c>
    </row>
    <row r="123" spans="1:6" ht="24.95" customHeight="1" x14ac:dyDescent="0.2">
      <c r="A123" s="583"/>
      <c r="B123" s="543" t="s">
        <v>212</v>
      </c>
      <c r="C123" s="58">
        <v>55</v>
      </c>
      <c r="D123" s="58">
        <f>COUNTIF(ORIENTE!A:A, "Carmen De Viboral")-COUNTIFS(ORIENTE!A:A,"Carmen De Viboral",ORIENTE!C:C,"")</f>
        <v>34</v>
      </c>
      <c r="E123" s="541">
        <v>6253.5043999999998</v>
      </c>
      <c r="F123" s="541">
        <v>97.24</v>
      </c>
    </row>
    <row r="124" spans="1:6" ht="24.95" customHeight="1" x14ac:dyDescent="0.2">
      <c r="A124" s="583"/>
      <c r="B124" s="543" t="s">
        <v>213</v>
      </c>
      <c r="C124" s="58">
        <v>24</v>
      </c>
      <c r="D124" s="58">
        <f>COUNTIF(ORIENTE!A:A, "El Peñol")-COUNTIFS(ORIENTE!A:A,"El Peñol",ORIENTE!C:C,"")</f>
        <v>28</v>
      </c>
      <c r="E124" s="541">
        <v>3794.9908</v>
      </c>
      <c r="F124" s="541">
        <v>83.26</v>
      </c>
    </row>
    <row r="125" spans="1:6" ht="24.95" customHeight="1" x14ac:dyDescent="0.2">
      <c r="A125" s="583"/>
      <c r="B125" s="543" t="s">
        <v>214</v>
      </c>
      <c r="C125" s="58">
        <v>20</v>
      </c>
      <c r="D125" s="377">
        <f>COUNTIF(ORIENTE!A:A, "El Retiro")-COUNTIFS(ORIENTE!A:A,"El Retiro",ORIENTE!C:C,"")</f>
        <v>21</v>
      </c>
      <c r="E125" s="541">
        <v>4143.8708999999999</v>
      </c>
      <c r="F125" s="541">
        <v>86.71</v>
      </c>
    </row>
    <row r="126" spans="1:6" ht="24.95" customHeight="1" x14ac:dyDescent="0.2">
      <c r="A126" s="583"/>
      <c r="B126" s="543" t="s">
        <v>215</v>
      </c>
      <c r="C126" s="58">
        <v>36</v>
      </c>
      <c r="D126" s="377">
        <f>COUNTIF(ORIENTE!A:A, "El Santuario")-COUNTIFS(ORIENTE!A:A,"El Santuario",ORIENTE!C:C,"")</f>
        <v>37</v>
      </c>
      <c r="E126" s="541">
        <v>3415.642780748663</v>
      </c>
      <c r="F126" s="541">
        <v>79.786096256684488</v>
      </c>
    </row>
    <row r="127" spans="1:6" ht="24.95" customHeight="1" x14ac:dyDescent="0.2">
      <c r="A127" s="583"/>
      <c r="B127" s="543" t="s">
        <v>216</v>
      </c>
      <c r="C127" s="58">
        <v>51</v>
      </c>
      <c r="D127" s="58">
        <f>COUNTIF(ORIENTE!A:A, "Granada")-COUNTIFS(ORIENTE!A:A,"Granada",ORIENTE!C:C,"")</f>
        <v>23</v>
      </c>
      <c r="E127" s="541">
        <v>1866.2901069518716</v>
      </c>
      <c r="F127" s="541">
        <v>66.51069518716578</v>
      </c>
    </row>
    <row r="128" spans="1:6" ht="24.95" customHeight="1" x14ac:dyDescent="0.2">
      <c r="A128" s="583"/>
      <c r="B128" s="543" t="s">
        <v>217</v>
      </c>
      <c r="C128" s="58">
        <v>35</v>
      </c>
      <c r="D128" s="58">
        <f>COUNTIF(ORIENTE!A:A, "Guarne")-COUNTIFS(ORIENTE!A:A,"Guarne",ORIENTE!C:C,"")</f>
        <v>79</v>
      </c>
      <c r="E128" s="541">
        <v>10205.36</v>
      </c>
      <c r="F128" s="541">
        <v>88</v>
      </c>
    </row>
    <row r="129" spans="1:6" ht="24.95" customHeight="1" x14ac:dyDescent="0.2">
      <c r="A129" s="583"/>
      <c r="B129" s="543" t="s">
        <v>218</v>
      </c>
      <c r="C129" s="58">
        <v>9</v>
      </c>
      <c r="D129" s="58">
        <f>COUNTIF(ORIENTE!A:A, "Guatapé")-COUNTIFS(ORIENTE!A:A,"Guatapé",ORIENTE!C:C,"")</f>
        <v>4</v>
      </c>
      <c r="E129" s="541">
        <v>960.80540540540528</v>
      </c>
      <c r="F129" s="541">
        <v>77.297297297297291</v>
      </c>
    </row>
    <row r="130" spans="1:6" ht="24.95" customHeight="1" x14ac:dyDescent="0.2">
      <c r="A130" s="583"/>
      <c r="B130" s="543" t="s">
        <v>45</v>
      </c>
      <c r="C130" s="58">
        <v>17</v>
      </c>
      <c r="D130" s="58">
        <f>COUNTIF(ORIENTE!A:A, "La Ceja")-COUNTIFS(ORIENTE!A:A,"La Ceja",ORIENTE!C:C,"")</f>
        <v>18</v>
      </c>
      <c r="E130" s="541">
        <v>2043.2539821217629</v>
      </c>
      <c r="F130" s="541">
        <v>51.260762220816929</v>
      </c>
    </row>
    <row r="131" spans="1:6" ht="24.95" customHeight="1" x14ac:dyDescent="0.2">
      <c r="A131" s="583"/>
      <c r="B131" s="543" t="s">
        <v>219</v>
      </c>
      <c r="C131" s="58">
        <v>26</v>
      </c>
      <c r="D131" s="377">
        <f>COUNTIF(ORIENTE!A:A, "La Unión")-COUNTIFS(ORIENTE!A:A,"LLa Unión",ORIENTE!C:C,"")</f>
        <v>18</v>
      </c>
      <c r="E131" s="541">
        <v>2287.3071778867593</v>
      </c>
      <c r="F131" s="541">
        <v>65.314311190370049</v>
      </c>
    </row>
    <row r="132" spans="1:6" ht="24.95" customHeight="1" x14ac:dyDescent="0.2">
      <c r="A132" s="583"/>
      <c r="B132" s="543" t="s">
        <v>220</v>
      </c>
      <c r="C132" s="58">
        <v>30</v>
      </c>
      <c r="D132" s="58">
        <f>COUNTIF(ORIENTE!A:A, "Marinilla")-COUNTIFS(ORIENTE!A:A,"Marinilla",ORIENTE!C:C,"")</f>
        <v>38</v>
      </c>
      <c r="E132" s="541">
        <v>6754.0731000000005</v>
      </c>
      <c r="F132" s="541">
        <v>99.31</v>
      </c>
    </row>
    <row r="133" spans="1:6" ht="24.95" customHeight="1" x14ac:dyDescent="0.2">
      <c r="A133" s="583"/>
      <c r="B133" s="543" t="s">
        <v>221</v>
      </c>
      <c r="C133" s="58">
        <v>49</v>
      </c>
      <c r="D133" s="377">
        <f>COUNTIF(ORIENTE!A:A, "Nariño")-COUNTIFS(ORIENTE!A:A,"Nariño",ORIENTE!C:C,"")</f>
        <v>11</v>
      </c>
      <c r="E133" s="541">
        <v>532</v>
      </c>
      <c r="F133" s="541">
        <v>25</v>
      </c>
    </row>
    <row r="134" spans="1:6" ht="24.95" customHeight="1" x14ac:dyDescent="0.2">
      <c r="A134" s="583"/>
      <c r="B134" s="543" t="s">
        <v>82</v>
      </c>
      <c r="C134" s="58">
        <v>35</v>
      </c>
      <c r="D134" s="58">
        <f>COUNTIF(ORIENTE!A:A, "Rionegro")-COUNTIFS(ORIENTE!A:A,"Rionegro",ORIENTE!C:C,"")</f>
        <v>21</v>
      </c>
      <c r="E134" s="541">
        <v>14652.518569872238</v>
      </c>
      <c r="F134" s="541">
        <v>96.95949291868871</v>
      </c>
    </row>
    <row r="135" spans="1:6" ht="24.95" customHeight="1" x14ac:dyDescent="0.2">
      <c r="A135" s="583"/>
      <c r="B135" s="543" t="s">
        <v>54</v>
      </c>
      <c r="C135" s="58">
        <v>78</v>
      </c>
      <c r="D135" s="58">
        <f>COUNTIF(ORIENTE!A:A, "San Carlos")-COUNTIFS(ORIENTE!A:A,"San Carlos",ORIENTE!C:C,"")</f>
        <v>15</v>
      </c>
      <c r="E135" s="541">
        <v>1922.4258431531896</v>
      </c>
      <c r="F135" s="541">
        <v>55.465258025193009</v>
      </c>
    </row>
    <row r="136" spans="1:6" ht="24.95" customHeight="1" x14ac:dyDescent="0.2">
      <c r="A136" s="583"/>
      <c r="B136" s="543" t="s">
        <v>222</v>
      </c>
      <c r="C136" s="58">
        <v>42</v>
      </c>
      <c r="D136" s="377">
        <f>COUNTIF(ORIENTE!A:A, "San Francisco")-COUNTIFS(ORIENTE!A:A,"San Francisco",ORIENTE!C:C,"")</f>
        <v>7</v>
      </c>
      <c r="E136" s="541">
        <v>536.5</v>
      </c>
      <c r="F136" s="541">
        <v>50</v>
      </c>
    </row>
    <row r="137" spans="1:6" ht="24.95" customHeight="1" x14ac:dyDescent="0.2">
      <c r="A137" s="583"/>
      <c r="B137" s="543" t="s">
        <v>75</v>
      </c>
      <c r="C137" s="58">
        <v>48</v>
      </c>
      <c r="D137" s="377">
        <f>COUNTIF(ORIENTE!A:A, "San Luis")-COUNTIFS(ORIENTE!A:A,"San Luis",ORIENTE!C:C,"")</f>
        <v>9</v>
      </c>
      <c r="E137" s="541">
        <v>1538.67</v>
      </c>
      <c r="F137" s="541">
        <v>51</v>
      </c>
    </row>
    <row r="138" spans="1:6" ht="24.95" customHeight="1" x14ac:dyDescent="0.2">
      <c r="A138" s="583"/>
      <c r="B138" s="543" t="s">
        <v>97</v>
      </c>
      <c r="C138" s="58">
        <v>56</v>
      </c>
      <c r="D138" s="377">
        <f>COUNTIF(ORIENTE!A:A, "San Rafael")-COUNTIFS(ORIENTE!A:A,"San Rafael",ORIENTE!C:C,"")</f>
        <v>16</v>
      </c>
      <c r="E138" s="541">
        <v>1201.5999999999999</v>
      </c>
      <c r="F138" s="541">
        <v>40</v>
      </c>
    </row>
    <row r="139" spans="1:6" ht="24.95" customHeight="1" x14ac:dyDescent="0.2">
      <c r="A139" s="583"/>
      <c r="B139" s="543" t="s">
        <v>223</v>
      </c>
      <c r="C139" s="58">
        <v>39</v>
      </c>
      <c r="D139" s="58">
        <f>COUNTIF(ORIENTE!A:A, "San Vicente")-COUNTIFS(ORIENTE!A:A,"San Vicente",ORIENTE!C:C,"")</f>
        <v>43</v>
      </c>
      <c r="E139" s="541">
        <v>4961.5137634408593</v>
      </c>
      <c r="F139" s="541">
        <v>84.537634408602145</v>
      </c>
    </row>
    <row r="140" spans="1:6" ht="24.95" customHeight="1" x14ac:dyDescent="0.2">
      <c r="A140" s="583"/>
      <c r="B140" s="543" t="s">
        <v>224</v>
      </c>
      <c r="C140" s="58">
        <v>101</v>
      </c>
      <c r="D140" s="377">
        <f>COUNTIF(ORIENTE!A:A, "Sonsón")-COUNTIFS(ORIENTE!A:A,"Sonsón",ORIENTE!C:C,"")</f>
        <v>17</v>
      </c>
      <c r="E140" s="541">
        <v>2164.1965</v>
      </c>
      <c r="F140" s="541">
        <v>30.65</v>
      </c>
    </row>
    <row r="141" spans="1:6" ht="24.95" customHeight="1" x14ac:dyDescent="0.2">
      <c r="A141" s="584"/>
      <c r="B141" s="544" t="s">
        <v>114</v>
      </c>
      <c r="C141" s="45">
        <f>SUM(C118:C140)</f>
        <v>980</v>
      </c>
      <c r="D141" s="45">
        <f>SUM(D118:D140)</f>
        <v>537</v>
      </c>
      <c r="E141" s="585">
        <f>SUM(E118:E140)</f>
        <v>75042.909380816636</v>
      </c>
      <c r="F141" s="586"/>
    </row>
    <row r="142" spans="1:6" ht="69" customHeight="1" x14ac:dyDescent="0.2">
      <c r="A142" s="583" t="s">
        <v>225</v>
      </c>
      <c r="B142" s="583"/>
      <c r="C142" s="45">
        <f>SUM(C18,C30,C48,C68,C92,C99,C106,C117,C141)</f>
        <v>4572</v>
      </c>
      <c r="D142" s="45">
        <f>SUM(D18,D30,D48,D68,D92,D99,D106,D117,D141)</f>
        <v>2346</v>
      </c>
      <c r="E142" s="585">
        <f>SUM(E141,E117,E106,E99,E92,E68,E48,E30,E18)</f>
        <v>359053.08755811775</v>
      </c>
      <c r="F142" s="586"/>
    </row>
  </sheetData>
  <customSheetViews>
    <customSheetView guid="{45C8AF51-29EC-46A5-AB7F-1F0634E55D82}" scale="55" topLeftCell="A4">
      <pane xSplit="1" ySplit="2" topLeftCell="B127" activePane="bottomRight" state="frozen"/>
      <selection pane="bottomRight" activeCell="D140" sqref="D140"/>
      <pageMargins left="0.7" right="0.7" top="0.75" bottom="0.75" header="0.3" footer="0.3"/>
      <pageSetup orientation="portrait" horizontalDpi="4294967295" verticalDpi="4294967295" r:id="rId1"/>
    </customSheetView>
    <customSheetView guid="{FCC3B493-4306-43B2-9C73-76324485DD47}" scale="60" topLeftCell="A115">
      <selection activeCell="G133" sqref="G133"/>
      <pageMargins left="0.7" right="0.7" top="0.75" bottom="0.75" header="0.3" footer="0.3"/>
      <pageSetup orientation="portrait" horizontalDpi="4294967295" verticalDpi="4294967295" r:id="rId2"/>
    </customSheetView>
    <customSheetView guid="{AEDE1BDB-8710-4CDA-8488-31F49D423ACE}" scale="60" topLeftCell="A43">
      <selection activeCell="L75" sqref="L75"/>
      <pageMargins left="0.7" right="0.7" top="0.75" bottom="0.75" header="0.3" footer="0.3"/>
      <pageSetup orientation="portrait" horizontalDpi="4294967295" verticalDpi="4294967295" r:id="rId3"/>
    </customSheetView>
    <customSheetView guid="{75DD7674-E7DE-4BB1-A36D-76AA33452CB3}" scale="60" topLeftCell="A23">
      <selection activeCell="I113" sqref="I113"/>
      <pageMargins left="0.7" right="0.7" top="0.75" bottom="0.75" header="0.3" footer="0.3"/>
      <pageSetup orientation="portrait" horizontalDpi="4294967295" verticalDpi="4294967295" r:id="rId4"/>
    </customSheetView>
  </customSheetViews>
  <mergeCells count="20">
    <mergeCell ref="A142:B142"/>
    <mergeCell ref="E142:F142"/>
    <mergeCell ref="A100:A106"/>
    <mergeCell ref="E106:F106"/>
    <mergeCell ref="A107:A117"/>
    <mergeCell ref="E117:F117"/>
    <mergeCell ref="A118:A141"/>
    <mergeCell ref="E141:F141"/>
    <mergeCell ref="A49:A68"/>
    <mergeCell ref="E68:F68"/>
    <mergeCell ref="A69:A92"/>
    <mergeCell ref="E92:F92"/>
    <mergeCell ref="A93:A99"/>
    <mergeCell ref="E99:F99"/>
    <mergeCell ref="A8:A18"/>
    <mergeCell ref="E18:F18"/>
    <mergeCell ref="A19:A30"/>
    <mergeCell ref="E30:F30"/>
    <mergeCell ref="A31:A48"/>
    <mergeCell ref="E48:F48"/>
  </mergeCells>
  <pageMargins left="0.7" right="0.7" top="0.75" bottom="0.75" header="0.3" footer="0.3"/>
  <pageSetup orientation="portrait" horizontalDpi="4294967295" verticalDpi="4294967295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P208"/>
  <sheetViews>
    <sheetView tabSelected="1" zoomScale="60" zoomScaleNormal="60" workbookViewId="0">
      <selection activeCell="A8" sqref="A8"/>
    </sheetView>
  </sheetViews>
  <sheetFormatPr baseColWidth="10" defaultRowHeight="12.75" x14ac:dyDescent="0.2"/>
  <cols>
    <col min="1" max="1" width="29.42578125" bestFit="1" customWidth="1"/>
    <col min="2" max="2" width="14.28515625" style="23" customWidth="1"/>
    <col min="3" max="3" width="11.7109375" customWidth="1"/>
    <col min="4" max="4" width="11.7109375" style="23" customWidth="1"/>
    <col min="5" max="5" width="11.7109375" customWidth="1"/>
    <col min="6" max="6" width="11.7109375" style="23" customWidth="1"/>
    <col min="7" max="7" width="11.7109375" customWidth="1"/>
    <col min="8" max="8" width="11.7109375" style="23" customWidth="1"/>
    <col min="9" max="9" width="11.7109375" customWidth="1"/>
    <col min="10" max="10" width="11.7109375" style="23" customWidth="1"/>
    <col min="11" max="11" width="11.7109375" customWidth="1"/>
    <col min="12" max="12" width="11.7109375" style="23" customWidth="1"/>
    <col min="13" max="13" width="11.7109375" customWidth="1"/>
    <col min="14" max="14" width="11.7109375" style="23" customWidth="1"/>
    <col min="15" max="15" width="11.7109375" customWidth="1"/>
  </cols>
  <sheetData>
    <row r="1" spans="1:15" ht="18" x14ac:dyDescent="0.25">
      <c r="A1" s="4"/>
      <c r="C1" s="588" t="s">
        <v>258</v>
      </c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spans="1:15" ht="18" x14ac:dyDescent="0.2">
      <c r="A2" s="4"/>
      <c r="C2" s="560" t="s">
        <v>270</v>
      </c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1:15" ht="20.25" customHeight="1" x14ac:dyDescent="0.2">
      <c r="A3" s="4"/>
      <c r="C3" s="560" t="s">
        <v>4413</v>
      </c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</row>
    <row r="4" spans="1:15" ht="24.75" customHeight="1" x14ac:dyDescent="0.2">
      <c r="A4" s="69"/>
      <c r="B4" s="70"/>
      <c r="C4" s="559" t="s">
        <v>4480</v>
      </c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</row>
    <row r="5" spans="1:15" ht="9.75" customHeight="1" x14ac:dyDescent="0.2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27" customHeight="1" x14ac:dyDescent="0.2">
      <c r="A6" s="587" t="s">
        <v>4353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</row>
    <row r="7" spans="1:15" ht="114.75" customHeight="1" x14ac:dyDescent="0.2">
      <c r="A7" s="441" t="s">
        <v>257</v>
      </c>
      <c r="B7" s="72" t="s">
        <v>256</v>
      </c>
      <c r="C7" s="441" t="s">
        <v>105</v>
      </c>
      <c r="D7" s="444" t="s">
        <v>250</v>
      </c>
      <c r="E7" s="441" t="s">
        <v>105</v>
      </c>
      <c r="F7" s="445" t="s">
        <v>251</v>
      </c>
      <c r="G7" s="441" t="s">
        <v>105</v>
      </c>
      <c r="H7" s="446" t="s">
        <v>252</v>
      </c>
      <c r="I7" s="441" t="s">
        <v>105</v>
      </c>
      <c r="J7" s="447" t="s">
        <v>253</v>
      </c>
      <c r="K7" s="441" t="s">
        <v>105</v>
      </c>
      <c r="L7" s="448" t="s">
        <v>254</v>
      </c>
      <c r="M7" s="441" t="s">
        <v>105</v>
      </c>
      <c r="N7" s="72" t="s">
        <v>255</v>
      </c>
      <c r="O7" s="441" t="s">
        <v>105</v>
      </c>
    </row>
    <row r="8" spans="1:15" ht="15.75" customHeight="1" x14ac:dyDescent="0.2">
      <c r="A8" s="80" t="s">
        <v>249</v>
      </c>
      <c r="B8" s="45">
        <f>'CONSOLIDADO-ACUEDUCTOSRURALES1'!D18</f>
        <v>198</v>
      </c>
      <c r="C8" s="57">
        <f t="shared" ref="C8:C16" si="0">(B8/$B$17)*100</f>
        <v>8.4398976982097178</v>
      </c>
      <c r="D8" s="45">
        <f>COUNTIF('VALLE DE ABURRA'!S:S,"SIN RIESGO")</f>
        <v>71</v>
      </c>
      <c r="E8" s="57">
        <f>(D8/$B$8)*100</f>
        <v>35.858585858585855</v>
      </c>
      <c r="F8" s="45">
        <f>COUNTIF('VALLE DE ABURRA'!S:S,"BAJO")</f>
        <v>25</v>
      </c>
      <c r="G8" s="57">
        <f>(F8/$B$8)*100</f>
        <v>12.626262626262626</v>
      </c>
      <c r="H8" s="45">
        <f>COUNTIF('VALLE DE ABURRA'!S:S,"MEDIO")</f>
        <v>24</v>
      </c>
      <c r="I8" s="57">
        <f>(H8/$B$8)*100</f>
        <v>12.121212121212121</v>
      </c>
      <c r="J8" s="45">
        <f>COUNTIF('VALLE DE ABURRA'!S:S,"ALTO")</f>
        <v>37</v>
      </c>
      <c r="K8" s="57">
        <f>(J8/$B$8)*100</f>
        <v>18.686868686868689</v>
      </c>
      <c r="L8" s="45">
        <f>COUNTIF('VALLE DE ABURRA'!S:S,"INVIABLE SANITARIAMENTE")</f>
        <v>30</v>
      </c>
      <c r="M8" s="57">
        <f>(L8/$B$8)*100</f>
        <v>15.151515151515152</v>
      </c>
      <c r="N8" s="45">
        <f>B8-(D8+F8+H8+J8+L8)</f>
        <v>11</v>
      </c>
      <c r="O8" s="57">
        <f>(N8/$B$8)*100</f>
        <v>5.5555555555555554</v>
      </c>
    </row>
    <row r="9" spans="1:15" ht="15.75" x14ac:dyDescent="0.2">
      <c r="A9" s="46" t="s">
        <v>226</v>
      </c>
      <c r="B9" s="45">
        <f>'CONSOLIDADO-ACUEDUCTOSRURALES1'!D30</f>
        <v>121</v>
      </c>
      <c r="C9" s="57">
        <f t="shared" si="0"/>
        <v>5.1577152600170502</v>
      </c>
      <c r="D9" s="45">
        <f>COUNTIF(URABA!S:S,"SIN RIESGO")</f>
        <v>9</v>
      </c>
      <c r="E9" s="57">
        <f>(D9/$B$9)*100</f>
        <v>7.4380165289256199</v>
      </c>
      <c r="F9" s="45">
        <f>COUNTIF(URABA!S:S,"BAJO")</f>
        <v>2</v>
      </c>
      <c r="G9" s="57">
        <f>(F9/$B$9)*100</f>
        <v>1.6528925619834711</v>
      </c>
      <c r="H9" s="45">
        <f>COUNTIF(URABA!S:S,"MEDIO")</f>
        <v>3</v>
      </c>
      <c r="I9" s="57">
        <f>(H9/$B$9)*100</f>
        <v>2.4793388429752068</v>
      </c>
      <c r="J9" s="45">
        <f>COUNTIF(URABA!S:S,"ALTO")</f>
        <v>31</v>
      </c>
      <c r="K9" s="57">
        <f>(J9/$B$9)*100</f>
        <v>25.619834710743799</v>
      </c>
      <c r="L9" s="45">
        <f>COUNTIF(URABA!S:S,"INVIABLE SANITARIAMENTE")</f>
        <v>39</v>
      </c>
      <c r="M9" s="57">
        <f>(L9/$B$9)*100</f>
        <v>32.231404958677686</v>
      </c>
      <c r="N9" s="360">
        <f>B9-(D9+F9+H9+J9+L9)</f>
        <v>37</v>
      </c>
      <c r="O9" s="57">
        <f>(N9/$B$9)*100</f>
        <v>30.578512396694212</v>
      </c>
    </row>
    <row r="10" spans="1:15" s="33" customFormat="1" ht="15.75" x14ac:dyDescent="0.2">
      <c r="A10" s="46" t="s">
        <v>227</v>
      </c>
      <c r="B10" s="412">
        <f>'CONSOLIDADO-ACUEDUCTOSRURALES1'!D48</f>
        <v>255</v>
      </c>
      <c r="C10" s="57">
        <f t="shared" si="0"/>
        <v>10.869565217391305</v>
      </c>
      <c r="D10" s="412">
        <f>+COUNTIFS(NORTE!S10:S264,"Sin Riesgo")</f>
        <v>33</v>
      </c>
      <c r="E10" s="57">
        <f>(D10/$B$10)*100</f>
        <v>12.941176470588237</v>
      </c>
      <c r="F10" s="412">
        <f>+COUNTIFS(NORTE!S10:S264,"Bajo")</f>
        <v>7</v>
      </c>
      <c r="G10" s="57">
        <f>(F10/$B$10)*100</f>
        <v>2.7450980392156863</v>
      </c>
      <c r="H10" s="412">
        <f>+COUNTIFS(NORTE!S10:S264,"Medio")</f>
        <v>7</v>
      </c>
      <c r="I10" s="57">
        <f>(H10/$B$10)*100</f>
        <v>2.7450980392156863</v>
      </c>
      <c r="J10" s="412">
        <f>+COUNTIFS(NORTE!S10:S264,"Alto")</f>
        <v>52</v>
      </c>
      <c r="K10" s="57">
        <f>(J10/$B$10)*100</f>
        <v>20.392156862745097</v>
      </c>
      <c r="L10" s="412">
        <f>+COUNTIFS(NORTE!S10:S264,"Inviable Sanitariamente")</f>
        <v>76</v>
      </c>
      <c r="M10" s="57">
        <f>(L10/$B$10)*100</f>
        <v>29.803921568627452</v>
      </c>
      <c r="N10" s="412">
        <f>B10-(D10+F10+H10+J10+L10)</f>
        <v>80</v>
      </c>
      <c r="O10" s="57">
        <f>(N10/$B$10)*100</f>
        <v>31.372549019607842</v>
      </c>
    </row>
    <row r="11" spans="1:15" s="28" customFormat="1" ht="15.75" x14ac:dyDescent="0.2">
      <c r="A11" s="416" t="s">
        <v>228</v>
      </c>
      <c r="B11" s="417">
        <f>'CONSOLIDADO-ACUEDUCTOSRURALES1'!D68</f>
        <v>497</v>
      </c>
      <c r="C11" s="418">
        <f t="shared" si="0"/>
        <v>21.184995737425403</v>
      </c>
      <c r="D11" s="417">
        <f>+COUNTIFS(OCCIDENTE!S10:S506,"SIN RIESGO")</f>
        <v>24</v>
      </c>
      <c r="E11" s="418">
        <f>(D11/$B$11)*100</f>
        <v>4.8289738430583498</v>
      </c>
      <c r="F11" s="417">
        <f>+COUNTIFS(OCCIDENTE!S10:S506,"Bajo")</f>
        <v>2</v>
      </c>
      <c r="G11" s="418">
        <f>(F11/$B$11)*100</f>
        <v>0.4024144869215292</v>
      </c>
      <c r="H11" s="417">
        <f>+COUNTIFS(OCCIDENTE!S10:S506,"Medio")</f>
        <v>4</v>
      </c>
      <c r="I11" s="418">
        <f>(H11/$B$11)*100</f>
        <v>0.8048289738430584</v>
      </c>
      <c r="J11" s="417">
        <f>+COUNTIFS(OCCIDENTE!S10:S506,"Alto")</f>
        <v>74</v>
      </c>
      <c r="K11" s="418">
        <f>(J11/$B$11)*100</f>
        <v>14.88933601609658</v>
      </c>
      <c r="L11" s="417">
        <f>+COUNTIFS(OCCIDENTE!S10:S506,"Inviable Sanitariamente")</f>
        <v>241</v>
      </c>
      <c r="M11" s="418">
        <f>(L11/$B$11)*100</f>
        <v>48.490945674044269</v>
      </c>
      <c r="N11" s="417">
        <f t="shared" ref="N11:N16" si="1">B11-(D11+F11+H11+J11+L11)</f>
        <v>152</v>
      </c>
      <c r="O11" s="418">
        <f>(N11/$B$11)*100</f>
        <v>30.583501006036219</v>
      </c>
    </row>
    <row r="12" spans="1:15" s="28" customFormat="1" ht="15.75" x14ac:dyDescent="0.2">
      <c r="A12" s="416" t="s">
        <v>229</v>
      </c>
      <c r="B12" s="417">
        <f>'CONSOLIDADO-ACUEDUCTOSRURALES1'!D92</f>
        <v>499</v>
      </c>
      <c r="C12" s="418">
        <f t="shared" si="0"/>
        <v>21.270247229326515</v>
      </c>
      <c r="D12" s="417">
        <f>COUNTIF(SUROESTE!S:S,"SIN RIESGO")</f>
        <v>56</v>
      </c>
      <c r="E12" s="418">
        <f>(D12/$B$12)*100</f>
        <v>11.22244488977956</v>
      </c>
      <c r="F12" s="417">
        <f>COUNTIF(SUROESTE!S:S,"BAJO")</f>
        <v>4</v>
      </c>
      <c r="G12" s="418">
        <f>(F12/$B$12)*100</f>
        <v>0.80160320641282556</v>
      </c>
      <c r="H12" s="417">
        <f>COUNTIF(SUROESTE!S:S,"MEDIO")</f>
        <v>31</v>
      </c>
      <c r="I12" s="418">
        <f>(H12/$B$12)*100</f>
        <v>6.2124248496993983</v>
      </c>
      <c r="J12" s="417">
        <f>COUNTIF(SUROESTE!S:S,"ALTO")</f>
        <v>119</v>
      </c>
      <c r="K12" s="418">
        <f>(J12/$B$12)*100</f>
        <v>23.847695390781563</v>
      </c>
      <c r="L12" s="417">
        <f>COUNTIF(SUROESTE!S:S,"INVIABLE SANITARIAMENTE")</f>
        <v>212</v>
      </c>
      <c r="M12" s="418">
        <f>(L12/$B$12)*100</f>
        <v>42.484969939879761</v>
      </c>
      <c r="N12" s="417">
        <f t="shared" si="1"/>
        <v>77</v>
      </c>
      <c r="O12" s="418">
        <f>(N12/$B$12)*100</f>
        <v>15.430861723446892</v>
      </c>
    </row>
    <row r="13" spans="1:15" s="28" customFormat="1" ht="15.75" x14ac:dyDescent="0.2">
      <c r="A13" s="416" t="s">
        <v>230</v>
      </c>
      <c r="B13" s="417">
        <f>'CONSOLIDADO-ACUEDUCTOSRURALES1'!D99</f>
        <v>60</v>
      </c>
      <c r="C13" s="418">
        <f t="shared" si="0"/>
        <v>2.5575447570332481</v>
      </c>
      <c r="D13" s="417">
        <f>COUNTIF('BAJO CAUCA'!S:S,"SIN RIESGO")</f>
        <v>0</v>
      </c>
      <c r="E13" s="418">
        <f>(D13/$B$8)*100</f>
        <v>0</v>
      </c>
      <c r="F13" s="417">
        <f>COUNTIF('BAJO CAUCA'!S:S,"BAJO")</f>
        <v>1</v>
      </c>
      <c r="G13" s="418">
        <f>(F13/$B$8)*100</f>
        <v>0.50505050505050508</v>
      </c>
      <c r="H13" s="417">
        <f>COUNTIF('BAJO CAUCA'!S:S,"MEDIO")</f>
        <v>1</v>
      </c>
      <c r="I13" s="418">
        <f>(H13/$B$8)*100</f>
        <v>0.50505050505050508</v>
      </c>
      <c r="J13" s="417">
        <f>COUNTIF('BAJO CAUCA'!S:S,"ALTO")</f>
        <v>3</v>
      </c>
      <c r="K13" s="418">
        <f>(J13/$B$8)*100</f>
        <v>1.5151515151515151</v>
      </c>
      <c r="L13" s="417">
        <f>+COUNTIFS('BAJO CAUCA'!S11:S69,"Inviable sanitariamente")</f>
        <v>38</v>
      </c>
      <c r="M13" s="418">
        <f>(L13/$B$8)*100</f>
        <v>19.19191919191919</v>
      </c>
      <c r="N13" s="417">
        <f t="shared" si="1"/>
        <v>17</v>
      </c>
      <c r="O13" s="418">
        <f>(N13/$B$8)*100</f>
        <v>8.5858585858585847</v>
      </c>
    </row>
    <row r="14" spans="1:15" s="28" customFormat="1" ht="15.75" x14ac:dyDescent="0.2">
      <c r="A14" s="416" t="s">
        <v>231</v>
      </c>
      <c r="B14" s="417">
        <f>'CONSOLIDADO-ACUEDUCTOSRURALES1'!D106</f>
        <v>69</v>
      </c>
      <c r="C14" s="418">
        <f t="shared" si="0"/>
        <v>2.9411764705882351</v>
      </c>
      <c r="D14" s="417">
        <f>COUNTIF('MAGDALENA MEDIO'!S:S,"SIN RIESGO")</f>
        <v>5</v>
      </c>
      <c r="E14" s="418">
        <f>(D14/$B$14)*100</f>
        <v>7.2463768115942031</v>
      </c>
      <c r="F14" s="417">
        <f>COUNTIF('MAGDALENA MEDIO'!S:S,"BAJO")</f>
        <v>7</v>
      </c>
      <c r="G14" s="418">
        <f>(F14/$B$14)*100</f>
        <v>10.144927536231885</v>
      </c>
      <c r="H14" s="417">
        <f>COUNTIF('MAGDALENA MEDIO'!S:S,"MEDIO")</f>
        <v>4</v>
      </c>
      <c r="I14" s="418">
        <f>(H14/$B$14)*100</f>
        <v>5.7971014492753623</v>
      </c>
      <c r="J14" s="417">
        <f>COUNTIF('MAGDALENA MEDIO'!S:S,"ALTO")</f>
        <v>19</v>
      </c>
      <c r="K14" s="418">
        <f>(J14/$B$14)*100</f>
        <v>27.536231884057973</v>
      </c>
      <c r="L14" s="417">
        <f>COUNTIF('MAGDALENA MEDIO'!S:S,"INVIABLE SANITARIAMENTE")</f>
        <v>16</v>
      </c>
      <c r="M14" s="418">
        <f>(L14/$B$14)*100</f>
        <v>23.188405797101449</v>
      </c>
      <c r="N14" s="417">
        <f t="shared" si="1"/>
        <v>18</v>
      </c>
      <c r="O14" s="418">
        <f>(N14/$B$14)*100</f>
        <v>26.086956521739129</v>
      </c>
    </row>
    <row r="15" spans="1:15" s="28" customFormat="1" ht="15.75" x14ac:dyDescent="0.2">
      <c r="A15" s="416" t="s">
        <v>232</v>
      </c>
      <c r="B15" s="417">
        <f>'CONSOLIDADO-ACUEDUCTOSRURALES1'!D117</f>
        <v>110</v>
      </c>
      <c r="C15" s="418">
        <f t="shared" si="0"/>
        <v>4.6888320545609545</v>
      </c>
      <c r="D15" s="417">
        <f>COUNTIF(NORDESTE!S:S,"SIN RIESGO")</f>
        <v>9</v>
      </c>
      <c r="E15" s="418">
        <f>(D15/$B$15)*100</f>
        <v>8.1818181818181817</v>
      </c>
      <c r="F15" s="417">
        <f>COUNTIF(NORDESTE!S:S,"BAJO")</f>
        <v>2</v>
      </c>
      <c r="G15" s="418">
        <f>(F15/$B$15)*100</f>
        <v>1.8181818181818181</v>
      </c>
      <c r="H15" s="417">
        <f>COUNTIF(NORDESTE!S:S,"MEDIO")</f>
        <v>3</v>
      </c>
      <c r="I15" s="418">
        <f>(H15/$B$15)*100</f>
        <v>2.7272727272727271</v>
      </c>
      <c r="J15" s="417">
        <f>COUNTIF(NORDESTE!S:S,"ALTO")</f>
        <v>13</v>
      </c>
      <c r="K15" s="418">
        <f>(J15/$B$15)*100</f>
        <v>11.818181818181818</v>
      </c>
      <c r="L15" s="417">
        <f>COUNTIF(NORDESTE!S:S,"INVIABLE SANITARIAMENTE")</f>
        <v>65</v>
      </c>
      <c r="M15" s="418">
        <f>(L15/$B$15)*100</f>
        <v>59.090909090909093</v>
      </c>
      <c r="N15" s="417">
        <f t="shared" si="1"/>
        <v>18</v>
      </c>
      <c r="O15" s="418">
        <f>(N15/$B$15)*100</f>
        <v>16.363636363636363</v>
      </c>
    </row>
    <row r="16" spans="1:15" s="28" customFormat="1" ht="15.75" x14ac:dyDescent="0.2">
      <c r="A16" s="416" t="s">
        <v>233</v>
      </c>
      <c r="B16" s="417">
        <f>'CONSOLIDADO-ACUEDUCTOSRURALES1'!D141</f>
        <v>537</v>
      </c>
      <c r="C16" s="418">
        <f t="shared" si="0"/>
        <v>22.89002557544757</v>
      </c>
      <c r="D16" s="417">
        <f>COUNTIF(ORIENTE!S:S,"SIN RIESGO")</f>
        <v>162</v>
      </c>
      <c r="E16" s="418">
        <f>(D16/$B$16)*100</f>
        <v>30.16759776536313</v>
      </c>
      <c r="F16" s="417">
        <f>COUNTIF(ORIENTE!S:S,"BAJO")</f>
        <v>59</v>
      </c>
      <c r="G16" s="418">
        <f>(F16/$B$16)*100</f>
        <v>10.986964618249534</v>
      </c>
      <c r="H16" s="417">
        <f>COUNTIF(ORIENTE!S:S,"MEDIO")</f>
        <v>45</v>
      </c>
      <c r="I16" s="418">
        <f>(H16/$B$16)*100</f>
        <v>8.3798882681564244</v>
      </c>
      <c r="J16" s="417">
        <f>COUNTIF(ORIENTE!S:S,"ALTO")</f>
        <v>60</v>
      </c>
      <c r="K16" s="418">
        <f>(J16/$B$16)*100</f>
        <v>11.173184357541899</v>
      </c>
      <c r="L16" s="417">
        <f>COUNTIF(ORIENTE!S:S,"INVIABLE SANITARIAMENTE")</f>
        <v>117</v>
      </c>
      <c r="M16" s="418">
        <f>(L16/$B$16)*100</f>
        <v>21.787709497206702</v>
      </c>
      <c r="N16" s="417">
        <f t="shared" si="1"/>
        <v>94</v>
      </c>
      <c r="O16" s="418">
        <f>(N16/$B$16)*100</f>
        <v>17.504655493482311</v>
      </c>
    </row>
    <row r="17" spans="1:16" ht="24.75" customHeight="1" x14ac:dyDescent="0.2">
      <c r="A17" s="74" t="s">
        <v>225</v>
      </c>
      <c r="B17" s="71">
        <f>SUM(B8:B16)</f>
        <v>2346</v>
      </c>
      <c r="C17" s="73">
        <f>SUM(C8:C16)</f>
        <v>99.999999999999972</v>
      </c>
      <c r="D17" s="71">
        <f>SUM(D8:D16)</f>
        <v>369</v>
      </c>
      <c r="E17" s="73">
        <f>(D17/$B$17)*100</f>
        <v>15.728900255754475</v>
      </c>
      <c r="F17" s="71">
        <f>SUM(F8:F16)</f>
        <v>109</v>
      </c>
      <c r="G17" s="73">
        <f>(F17/$B$17)*100</f>
        <v>4.6462063086104006</v>
      </c>
      <c r="H17" s="71">
        <f>SUM(H8:H16)</f>
        <v>122</v>
      </c>
      <c r="I17" s="73">
        <f>(H17/$B$17)*100</f>
        <v>5.2003410059676041</v>
      </c>
      <c r="J17" s="71">
        <f>SUM(J8:J16)</f>
        <v>408</v>
      </c>
      <c r="K17" s="73">
        <f>(J17/$B$17)*100</f>
        <v>17.391304347826086</v>
      </c>
      <c r="L17" s="71">
        <f>SUM(L8:L16)</f>
        <v>834</v>
      </c>
      <c r="M17" s="73">
        <f>(L17/$B$17)*100</f>
        <v>35.549872122762153</v>
      </c>
      <c r="N17" s="71">
        <f>SUM(N8:N16)</f>
        <v>504</v>
      </c>
      <c r="O17" s="73">
        <f>(N17/$B$17)*100</f>
        <v>21.483375959079286</v>
      </c>
    </row>
    <row r="18" spans="1:16" x14ac:dyDescent="0.2">
      <c r="A18" s="33"/>
      <c r="B18" s="66"/>
      <c r="C18" s="33"/>
      <c r="D18" s="66"/>
      <c r="E18" s="33"/>
      <c r="F18" s="66"/>
      <c r="G18" s="33"/>
      <c r="H18" s="66"/>
      <c r="I18" s="33"/>
      <c r="J18" s="66"/>
      <c r="K18" s="33"/>
      <c r="L18" s="66"/>
      <c r="M18" s="33"/>
      <c r="N18" s="66"/>
      <c r="O18" s="33"/>
    </row>
    <row r="19" spans="1:16" x14ac:dyDescent="0.2">
      <c r="A19" s="33"/>
      <c r="B19" s="66"/>
      <c r="C19" s="33"/>
      <c r="D19" s="66"/>
      <c r="E19" s="33"/>
      <c r="F19" s="66"/>
      <c r="G19" s="33"/>
      <c r="H19" s="66"/>
      <c r="I19" s="33"/>
      <c r="J19" s="66"/>
      <c r="K19" s="33"/>
      <c r="L19" s="66"/>
      <c r="M19" s="33"/>
      <c r="N19" s="66"/>
      <c r="O19" s="33"/>
    </row>
    <row r="20" spans="1:16" x14ac:dyDescent="0.2">
      <c r="A20" s="33"/>
      <c r="B20" s="66"/>
      <c r="C20" s="33"/>
      <c r="D20" s="66"/>
      <c r="E20" s="33"/>
      <c r="F20" s="66"/>
      <c r="G20" s="33"/>
      <c r="H20" s="66"/>
      <c r="I20" s="33"/>
      <c r="J20" s="66"/>
      <c r="K20" s="33"/>
      <c r="L20" s="66"/>
      <c r="M20" s="33"/>
      <c r="N20" s="66"/>
      <c r="O20" s="33"/>
    </row>
    <row r="21" spans="1:16" x14ac:dyDescent="0.2">
      <c r="A21" s="33"/>
      <c r="B21" s="66"/>
      <c r="C21" s="33"/>
      <c r="D21" s="66"/>
      <c r="E21" s="33"/>
      <c r="F21" s="66"/>
      <c r="G21" s="33"/>
      <c r="H21" s="66"/>
      <c r="I21" s="33"/>
      <c r="J21" s="66"/>
      <c r="K21" s="33"/>
      <c r="L21" s="66"/>
      <c r="M21" s="33"/>
      <c r="N21" s="66"/>
      <c r="O21" s="33"/>
    </row>
    <row r="22" spans="1:16" ht="25.5" customHeight="1" x14ac:dyDescent="0.2">
      <c r="A22" s="591" t="s">
        <v>4345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3"/>
      <c r="P22" s="24"/>
    </row>
    <row r="23" spans="1:16" ht="129.75" customHeight="1" x14ac:dyDescent="0.2">
      <c r="A23" s="441" t="s">
        <v>11</v>
      </c>
      <c r="B23" s="72" t="s">
        <v>256</v>
      </c>
      <c r="C23" s="441" t="s">
        <v>105</v>
      </c>
      <c r="D23" s="444" t="s">
        <v>250</v>
      </c>
      <c r="E23" s="441" t="s">
        <v>105</v>
      </c>
      <c r="F23" s="445" t="s">
        <v>251</v>
      </c>
      <c r="G23" s="441" t="s">
        <v>105</v>
      </c>
      <c r="H23" s="446" t="s">
        <v>252</v>
      </c>
      <c r="I23" s="441" t="s">
        <v>105</v>
      </c>
      <c r="J23" s="447" t="s">
        <v>253</v>
      </c>
      <c r="K23" s="441" t="s">
        <v>105</v>
      </c>
      <c r="L23" s="448" t="s">
        <v>254</v>
      </c>
      <c r="M23" s="441" t="s">
        <v>105</v>
      </c>
      <c r="N23" s="72" t="s">
        <v>255</v>
      </c>
      <c r="O23" s="441" t="s">
        <v>105</v>
      </c>
      <c r="P23" s="24"/>
    </row>
    <row r="24" spans="1:16" ht="15.75" x14ac:dyDescent="0.2">
      <c r="A24" s="61" t="s">
        <v>107</v>
      </c>
      <c r="B24" s="45">
        <f>'CONSOLIDADO-ACUEDUCTOSRURALES1'!D8</f>
        <v>28</v>
      </c>
      <c r="C24" s="49">
        <f>(B24/$B$34)*100</f>
        <v>14.14141414141414</v>
      </c>
      <c r="D24" s="410">
        <f>COUNTIFS('VALLE DE ABURRA'!A:A,"Medellín",'VALLE DE ABURRA'!S:S,"SIN RIESGO")</f>
        <v>28</v>
      </c>
      <c r="E24" s="49">
        <f>(D24/$B$24)*100</f>
        <v>100</v>
      </c>
      <c r="F24" s="29">
        <f>COUNTIFS('VALLE DE ABURRA'!A:A,"Medellín",'VALLE DE ABURRA'!S:S,"BAJO")</f>
        <v>0</v>
      </c>
      <c r="G24" s="49">
        <f>(F24/$B$24)*100</f>
        <v>0</v>
      </c>
      <c r="H24" s="29">
        <f>COUNTIFS('VALLE DE ABURRA'!A:A,"Medellín",'VALLE DE ABURRA'!S:S,"MEDIO")</f>
        <v>0</v>
      </c>
      <c r="I24" s="49">
        <f>(H24/$B$24)*100</f>
        <v>0</v>
      </c>
      <c r="J24" s="29">
        <f>COUNTIFS('VALLE DE ABURRA'!A:A,"Medellín",'VALLE DE ABURRA'!S:S,"ALTO")</f>
        <v>0</v>
      </c>
      <c r="K24" s="49">
        <f>(J24/$B$24)*100</f>
        <v>0</v>
      </c>
      <c r="L24" s="29">
        <f>COUNTIFS('VALLE DE ABURRA'!A:A,"Medellín",'VALLE DE ABURRA'!S:S,"INVIABLE SANITARIAMENTE")</f>
        <v>0</v>
      </c>
      <c r="M24" s="49">
        <f>(L24/$B$24)*100</f>
        <v>0</v>
      </c>
      <c r="N24" s="29">
        <f>B24-(D24+F24+H24+J24+L24)</f>
        <v>0</v>
      </c>
      <c r="O24" s="49">
        <f>(N24/$B$24)*100</f>
        <v>0</v>
      </c>
      <c r="P24" s="24"/>
    </row>
    <row r="25" spans="1:16" ht="15.75" x14ac:dyDescent="0.2">
      <c r="A25" s="61" t="s">
        <v>79</v>
      </c>
      <c r="B25" s="29">
        <f>'CONSOLIDADO-ACUEDUCTOSRURALES1'!D9</f>
        <v>45</v>
      </c>
      <c r="C25" s="49">
        <f>(B25/$B$34)*100</f>
        <v>22.727272727272727</v>
      </c>
      <c r="D25" s="29">
        <f>COUNTIFS('VALLE DE ABURRA'!A:A,"Barbosa",'VALLE DE ABURRA'!S:S,"SIN RIESGO")</f>
        <v>3</v>
      </c>
      <c r="E25" s="49">
        <f>(D25/$B$25)*100</f>
        <v>6.666666666666667</v>
      </c>
      <c r="F25" s="29">
        <f>COUNTIFS('VALLE DE ABURRA'!A:A,"Barbosa",'VALLE DE ABURRA'!S:S,"BAJO")</f>
        <v>1</v>
      </c>
      <c r="G25" s="49">
        <f>(F25/$B$25)*100</f>
        <v>2.2222222222222223</v>
      </c>
      <c r="H25" s="29">
        <f>COUNTIFS('VALLE DE ABURRA'!A:A,"Barbosa",'VALLE DE ABURRA'!S:S,"MEDIO")</f>
        <v>4</v>
      </c>
      <c r="I25" s="49">
        <f>(H25/$B$25)*100</f>
        <v>8.8888888888888893</v>
      </c>
      <c r="J25" s="29">
        <f>COUNTIFS('VALLE DE ABURRA'!A:A,"Barbosa",'VALLE DE ABURRA'!S:S,"ALTO")</f>
        <v>13</v>
      </c>
      <c r="K25" s="49">
        <f>(J25/$B$25)*100</f>
        <v>28.888888888888886</v>
      </c>
      <c r="L25" s="29">
        <f>COUNTIFS('VALLE DE ABURRA'!A:A,"Barbosa",'VALLE DE ABURRA'!S:S,"INVIABLE SANITARIAMENTE")</f>
        <v>20</v>
      </c>
      <c r="M25" s="49">
        <f>(L25/$B$25)*100</f>
        <v>44.444444444444443</v>
      </c>
      <c r="N25" s="362">
        <f>B25-(D25+F25+H25+J25+L25)</f>
        <v>4</v>
      </c>
      <c r="O25" s="49">
        <f>(N25/$B$25)*100</f>
        <v>8.8888888888888893</v>
      </c>
      <c r="P25" s="24"/>
    </row>
    <row r="26" spans="1:16" ht="15.75" x14ac:dyDescent="0.2">
      <c r="A26" s="61" t="s">
        <v>80</v>
      </c>
      <c r="B26" s="29">
        <f>'CONSOLIDADO-ACUEDUCTOSRURALES1'!D10</f>
        <v>16</v>
      </c>
      <c r="C26" s="49">
        <f>(B26/$B$34)*100</f>
        <v>8.0808080808080813</v>
      </c>
      <c r="D26" s="29">
        <f>COUNTIFS('VALLE DE ABURRA'!A:A,"Bello",'VALLE DE ABURRA'!S:S,"SIN RIESGO")</f>
        <v>3</v>
      </c>
      <c r="E26" s="49">
        <f>(D26/$B$26)*100</f>
        <v>18.75</v>
      </c>
      <c r="F26" s="29">
        <f>COUNTIFS('VALLE DE ABURRA'!A:A,"Bello",'VALLE DE ABURRA'!S:S,"BAJO")</f>
        <v>0</v>
      </c>
      <c r="G26" s="49">
        <f>(F26/$B$26)*100</f>
        <v>0</v>
      </c>
      <c r="H26" s="29">
        <f>COUNTIFS('VALLE DE ABURRA'!A:A,"Bello",'VALLE DE ABURRA'!S:S,"MEDIO")</f>
        <v>3</v>
      </c>
      <c r="I26" s="49">
        <f>(H26/$B$26)*100</f>
        <v>18.75</v>
      </c>
      <c r="J26" s="29">
        <f>COUNTIFS('VALLE DE ABURRA'!A:A,"Bello",'VALLE DE ABURRA'!S:S,"ALTO")</f>
        <v>3</v>
      </c>
      <c r="K26" s="49">
        <f>(J26/$B$26)*100</f>
        <v>18.75</v>
      </c>
      <c r="L26" s="29">
        <f>COUNTIFS('VALLE DE ABURRA'!A:A,"Bello",'VALLE DE ABURRA'!S:S,"INVIABLE SANITARIAMENTE")</f>
        <v>0</v>
      </c>
      <c r="M26" s="49">
        <f>(L26/$B$26)*100</f>
        <v>0</v>
      </c>
      <c r="N26" s="362">
        <f t="shared" ref="N26:N33" si="2">B26-(D26+F26+H26+J26+L26)</f>
        <v>7</v>
      </c>
      <c r="O26" s="49">
        <f>(N26/$B$26)*100</f>
        <v>43.75</v>
      </c>
      <c r="P26" s="24"/>
    </row>
    <row r="27" spans="1:16" ht="15.75" x14ac:dyDescent="0.2">
      <c r="A27" s="61" t="s">
        <v>108</v>
      </c>
      <c r="B27" s="29">
        <f>'CONSOLIDADO-ACUEDUCTOSRURALES1'!D11</f>
        <v>19</v>
      </c>
      <c r="C27" s="49">
        <f>(B27/$B$34)*100</f>
        <v>9.5959595959595951</v>
      </c>
      <c r="D27" s="29">
        <f>COUNTIFS('VALLE DE ABURRA'!A:A,"Caldas",'VALLE DE ABURRA'!S:S,"SIN RIESGO")</f>
        <v>1</v>
      </c>
      <c r="E27" s="49">
        <f>(D27/$B$27)*100</f>
        <v>5.2631578947368416</v>
      </c>
      <c r="F27" s="29">
        <f>COUNTIFS('VALLE DE ABURRA'!A:A,"Caldas",'VALLE DE ABURRA'!S:S,"BAJO")</f>
        <v>2</v>
      </c>
      <c r="G27" s="49">
        <f>(F27/$B$27)*100</f>
        <v>10.526315789473683</v>
      </c>
      <c r="H27" s="29">
        <f>COUNTIFS('VALLE DE ABURRA'!A:A,"Caldas",'VALLE DE ABURRA'!S:S,"MEDIO")</f>
        <v>1</v>
      </c>
      <c r="I27" s="49">
        <f>(H27/$B$27)*100</f>
        <v>5.2631578947368416</v>
      </c>
      <c r="J27" s="29">
        <f>COUNTIFS('VALLE DE ABURRA'!A:A,"Caldas",'VALLE DE ABURRA'!S:S,"ALTO")</f>
        <v>5</v>
      </c>
      <c r="K27" s="49">
        <f>(J27/$B$27)*100</f>
        <v>26.315789473684209</v>
      </c>
      <c r="L27" s="29">
        <f>COUNTIFS('VALLE DE ABURRA'!A:A,"Caldas",'VALLE DE ABURRA'!S:S,"INVIABLE SANITARIAMENTE")</f>
        <v>10</v>
      </c>
      <c r="M27" s="49">
        <f>(L27/$B$27)*100</f>
        <v>52.631578947368418</v>
      </c>
      <c r="N27" s="362">
        <f t="shared" si="2"/>
        <v>0</v>
      </c>
      <c r="O27" s="49">
        <f>(N27/$B$27)*100</f>
        <v>0</v>
      </c>
      <c r="P27" s="24"/>
    </row>
    <row r="28" spans="1:16" ht="15.75" x14ac:dyDescent="0.2">
      <c r="A28" s="61" t="s">
        <v>109</v>
      </c>
      <c r="B28" s="29">
        <f>'CONSOLIDADO-ACUEDUCTOSRURALES1'!D12</f>
        <v>19</v>
      </c>
      <c r="C28" s="49">
        <f>(B28/$B$34)*100</f>
        <v>9.5959595959595951</v>
      </c>
      <c r="D28" s="29">
        <f>COUNTIFS('VALLE DE ABURRA'!A:A,"Copacabana",'VALLE DE ABURRA'!S:S,"SIN RIESGO")</f>
        <v>17</v>
      </c>
      <c r="E28" s="49">
        <f>(D28/$B$28)*100</f>
        <v>89.473684210526315</v>
      </c>
      <c r="F28" s="29">
        <f>COUNTIFS('VALLE DE ABURRA'!A:A,"Copacabana",'VALLE DE ABURRA'!S:S,"BAJO")</f>
        <v>2</v>
      </c>
      <c r="G28" s="49">
        <f>(F28/$B$28)*100</f>
        <v>10.526315789473683</v>
      </c>
      <c r="H28" s="29">
        <f>COUNTIFS('VALLE DE ABURRA'!A:A,"Copacabana",'VALLE DE ABURRA'!S:S,"MEDIO")</f>
        <v>0</v>
      </c>
      <c r="I28" s="49">
        <f>(H28/$B$28)*100</f>
        <v>0</v>
      </c>
      <c r="J28" s="29">
        <f>COUNTIFS('VALLE DE ABURRA'!A:A,"Copacabana",'VALLE DE ABURRA'!S:S,"ALTO")</f>
        <v>0</v>
      </c>
      <c r="K28" s="49">
        <f>(J28/$B$28)*100</f>
        <v>0</v>
      </c>
      <c r="L28" s="29">
        <f>COUNTIFS('VALLE DE ABURRA'!A:A,"Copacabana",'VALLE DE ABURRA'!S:S,"INVIABLE SANITARIAMENTE")</f>
        <v>0</v>
      </c>
      <c r="M28" s="49">
        <f>(L28/$B$28)*100</f>
        <v>0</v>
      </c>
      <c r="N28" s="362">
        <f t="shared" si="2"/>
        <v>0</v>
      </c>
      <c r="O28" s="49">
        <f>(N28/$B$28)*100</f>
        <v>0</v>
      </c>
      <c r="P28" s="24"/>
    </row>
    <row r="29" spans="1:16" ht="15.75" x14ac:dyDescent="0.2">
      <c r="A29" s="61" t="s">
        <v>81</v>
      </c>
      <c r="B29" s="29">
        <f>'CONSOLIDADO-ACUEDUCTOSRURALES1'!D13</f>
        <v>31</v>
      </c>
      <c r="C29" s="49">
        <f t="shared" ref="C29:C33" si="3">(B29/$B$34)*100</f>
        <v>15.656565656565657</v>
      </c>
      <c r="D29" s="29">
        <f>COUNTIFS('VALLE DE ABURRA'!A:A,"Girardota",'VALLE DE ABURRA'!S:S,"SIN RIESGO")</f>
        <v>2</v>
      </c>
      <c r="E29" s="49">
        <f>(D29/$B$29)*100</f>
        <v>6.4516129032258061</v>
      </c>
      <c r="F29" s="29">
        <f>COUNTIFS('VALLE DE ABURRA'!A:A,"Girardota",'VALLE DE ABURRA'!S:S,"BAJO")</f>
        <v>9</v>
      </c>
      <c r="G29" s="49">
        <f>(F29/$B$29)*100</f>
        <v>29.032258064516132</v>
      </c>
      <c r="H29" s="29">
        <f>COUNTIFS('VALLE DE ABURRA'!A:A,"Girardota",'VALLE DE ABURRA'!S:S,"MEDIO")</f>
        <v>10</v>
      </c>
      <c r="I29" s="49">
        <f>(H29/$B$29)*100</f>
        <v>32.258064516129032</v>
      </c>
      <c r="J29" s="29">
        <f>COUNTIFS('VALLE DE ABURRA'!A:A,"Girardota",'VALLE DE ABURRA'!S:S,"ALTO")</f>
        <v>10</v>
      </c>
      <c r="K29" s="49">
        <f>(J29/$B$29)*100</f>
        <v>32.258064516129032</v>
      </c>
      <c r="L29" s="29">
        <f>COUNTIFS('VALLE DE ABURRA'!A:A,"Girardota",'VALLE DE ABURRA'!S:S,"INVIABLE SANITARIAMENTE")</f>
        <v>0</v>
      </c>
      <c r="M29" s="49">
        <f>(L29/$B$29)*100</f>
        <v>0</v>
      </c>
      <c r="N29" s="362">
        <f t="shared" si="2"/>
        <v>0</v>
      </c>
      <c r="O29" s="49">
        <f>(N29/$B$29)*100</f>
        <v>0</v>
      </c>
      <c r="P29" s="24"/>
    </row>
    <row r="30" spans="1:16" ht="15.75" x14ac:dyDescent="0.2">
      <c r="A30" s="61" t="s">
        <v>110</v>
      </c>
      <c r="B30" s="29">
        <f>'CONSOLIDADO-ACUEDUCTOSRURALES1'!D14</f>
        <v>7</v>
      </c>
      <c r="C30" s="49">
        <f t="shared" si="3"/>
        <v>3.535353535353535</v>
      </c>
      <c r="D30" s="29">
        <f>COUNTIFS('VALLE DE ABURRA'!A:A,"Itagui",'VALLE DE ABURRA'!S:S,"SIN RIESGO")</f>
        <v>2</v>
      </c>
      <c r="E30" s="49">
        <f>(D30/$B$30)*100</f>
        <v>28.571428571428569</v>
      </c>
      <c r="F30" s="29">
        <f>COUNTIFS('VALLE DE ABURRA'!A:A,"Itagui",'VALLE DE ABURRA'!S:S,"BAJO")</f>
        <v>5</v>
      </c>
      <c r="G30" s="49">
        <f>(F30/$B$30)*100</f>
        <v>71.428571428571431</v>
      </c>
      <c r="H30" s="29">
        <f>COUNTIFS('VALLE DE ABURRA'!A:A,"Itagui",'VALLE DE ABURRA'!S:S,"MEDIO")</f>
        <v>0</v>
      </c>
      <c r="I30" s="49">
        <f>(H30/$B$30)*100</f>
        <v>0</v>
      </c>
      <c r="J30" s="29">
        <f>COUNTIFS('VALLE DE ABURRA'!A:A,"Itagui",'VALLE DE ABURRA'!S:S,"ALTO")</f>
        <v>0</v>
      </c>
      <c r="K30" s="49">
        <f>(J30/$B$30)*100</f>
        <v>0</v>
      </c>
      <c r="L30" s="29">
        <f>COUNTIFS('VALLE DE ABURRA'!A:A,"Itagui",'VALLE DE ABURRA'!S:S,"INVIABLE SANITARIAMENTE")</f>
        <v>0</v>
      </c>
      <c r="M30" s="49">
        <f>(L30/$B$30)*100</f>
        <v>0</v>
      </c>
      <c r="N30" s="362">
        <f t="shared" si="2"/>
        <v>0</v>
      </c>
      <c r="O30" s="49">
        <f>(N30/$B$30)*100</f>
        <v>0</v>
      </c>
      <c r="P30" s="24"/>
    </row>
    <row r="31" spans="1:16" ht="15.75" x14ac:dyDescent="0.2">
      <c r="A31" s="61" t="s">
        <v>111</v>
      </c>
      <c r="B31" s="29">
        <f>'CONSOLIDADO-ACUEDUCTOSRURALES1'!D15</f>
        <v>15</v>
      </c>
      <c r="C31" s="49">
        <f t="shared" si="3"/>
        <v>7.5757575757575761</v>
      </c>
      <c r="D31" s="29">
        <f>COUNTIFS('VALLE DE ABURRA'!A:A,"Envigado",'VALLE DE ABURRA'!S:S,"SIN RIESGO")</f>
        <v>6</v>
      </c>
      <c r="E31" s="49">
        <f>(D31/$B$31)*100</f>
        <v>40</v>
      </c>
      <c r="F31" s="29">
        <f>COUNTIFS('VALLE DE ABURRA'!A:A,"Envigado",'VALLE DE ABURRA'!S:S,"BAJO")</f>
        <v>4</v>
      </c>
      <c r="G31" s="49">
        <f>(F31/$B$31)*100</f>
        <v>26.666666666666668</v>
      </c>
      <c r="H31" s="29">
        <f>COUNTIFS('VALLE DE ABURRA'!A:A,"Envigado",'VALLE DE ABURRA'!S:S,"MEDIO")</f>
        <v>1</v>
      </c>
      <c r="I31" s="49">
        <f>(H31/$B$31)*100</f>
        <v>6.666666666666667</v>
      </c>
      <c r="J31" s="29">
        <f>COUNTIFS('VALLE DE ABURRA'!A:A,"Envigado",'VALLE DE ABURRA'!S:S,"ALTO")</f>
        <v>4</v>
      </c>
      <c r="K31" s="49">
        <f>(J31/$B$31)*100</f>
        <v>26.666666666666668</v>
      </c>
      <c r="L31" s="29">
        <f>COUNTIFS('VALLE DE ABURRA'!A:A,"Envigado",'VALLE DE ABURRA'!S:S,"INVIABLE SANITARIAMENTE")</f>
        <v>0</v>
      </c>
      <c r="M31" s="49">
        <f>(L31/$B$31)*100</f>
        <v>0</v>
      </c>
      <c r="N31" s="362">
        <f t="shared" si="2"/>
        <v>0</v>
      </c>
      <c r="O31" s="49">
        <f>(N31/$B$31)*100</f>
        <v>0</v>
      </c>
      <c r="P31" s="24"/>
    </row>
    <row r="32" spans="1:16" ht="15.75" x14ac:dyDescent="0.2">
      <c r="A32" s="61" t="s">
        <v>112</v>
      </c>
      <c r="B32" s="29">
        <f>'CONSOLIDADO-ACUEDUCTOSRURALES1'!D16</f>
        <v>7</v>
      </c>
      <c r="C32" s="49">
        <f t="shared" si="3"/>
        <v>3.535353535353535</v>
      </c>
      <c r="D32" s="29">
        <f>COUNTIFS('VALLE DE ABURRA'!A:A,"Sabaneta",'VALLE DE ABURRA'!S:S,"SIN RIESGO")</f>
        <v>6</v>
      </c>
      <c r="E32" s="49">
        <f>(D32/$B$32)*100</f>
        <v>85.714285714285708</v>
      </c>
      <c r="F32" s="29">
        <f>COUNTIFS('VALLE DE ABURRA'!A:A,"Sabaneta",'VALLE DE ABURRA'!S:S,"BAJO")</f>
        <v>1</v>
      </c>
      <c r="G32" s="49">
        <f>(F32/$B$32)*100</f>
        <v>14.285714285714285</v>
      </c>
      <c r="H32" s="29">
        <f>COUNTIFS('VALLE DE ABURRA'!A:A,"sabaneta",'VALLE DE ABURRA'!S:S,"MEDIO")</f>
        <v>0</v>
      </c>
      <c r="I32" s="49">
        <f>(H32/$B$32)*100</f>
        <v>0</v>
      </c>
      <c r="J32" s="29">
        <f>COUNTIFS('VALLE DE ABURRA'!A:A,"Sabaneta",'VALLE DE ABURRA'!S:S,"ALTO")</f>
        <v>0</v>
      </c>
      <c r="K32" s="49">
        <f>(J32/$B$32)*100</f>
        <v>0</v>
      </c>
      <c r="L32" s="29">
        <f>COUNTIFS('VALLE DE ABURRA'!A:A,"Sabaneta",'VALLE DE ABURRA'!S:S,"INVIABLE SANITARIAMENTE")</f>
        <v>0</v>
      </c>
      <c r="M32" s="49">
        <f>(L32/$B$32)*100</f>
        <v>0</v>
      </c>
      <c r="N32" s="362">
        <f t="shared" si="2"/>
        <v>0</v>
      </c>
      <c r="O32" s="49">
        <f>(N32/$B$32)*100</f>
        <v>0</v>
      </c>
      <c r="P32" s="24"/>
    </row>
    <row r="33" spans="1:16" ht="15.75" x14ac:dyDescent="0.2">
      <c r="A33" s="61" t="s">
        <v>113</v>
      </c>
      <c r="B33" s="29">
        <f>'CONSOLIDADO-ACUEDUCTOSRURALES1'!D17</f>
        <v>11</v>
      </c>
      <c r="C33" s="49">
        <f t="shared" si="3"/>
        <v>5.5555555555555554</v>
      </c>
      <c r="D33" s="29">
        <f>COUNTIFS('VALLE DE ABURRA'!A:A,"La Estrella",'VALLE DE ABURRA'!S:S,"SIN RIESGO")</f>
        <v>3</v>
      </c>
      <c r="E33" s="49">
        <f>(D33/$B$33)*100</f>
        <v>27.27272727272727</v>
      </c>
      <c r="F33" s="29">
        <f>COUNTIFS('VALLE DE ABURRA'!A:A,"La Estrella",'VALLE DE ABURRA'!S:S,"BAJO")</f>
        <v>1</v>
      </c>
      <c r="G33" s="49">
        <f>(F33/$B$33)*100</f>
        <v>9.0909090909090917</v>
      </c>
      <c r="H33" s="29">
        <f>COUNTIFS('VALLE DE ABURRA'!A:A,"La Estrella",'VALLE DE ABURRA'!S:S,"MEDIO")</f>
        <v>5</v>
      </c>
      <c r="I33" s="49">
        <f>(H33/$B$33)*100</f>
        <v>45.454545454545453</v>
      </c>
      <c r="J33" s="29">
        <f>COUNTIFS('VALLE DE ABURRA'!A:A,"La Estrella",'VALLE DE ABURRA'!S:S,"ALTO")</f>
        <v>2</v>
      </c>
      <c r="K33" s="49">
        <f>(J33/$B$33)*100</f>
        <v>18.181818181818183</v>
      </c>
      <c r="L33" s="29">
        <f>COUNTIFS('VALLE DE ABURRA'!A:A,"La Estrella",'VALLE DE ABURRA'!S:S,"INVIABLE SANITARIAMENTE")</f>
        <v>0</v>
      </c>
      <c r="M33" s="49">
        <f>(L33/$B$33)*100</f>
        <v>0</v>
      </c>
      <c r="N33" s="362">
        <f t="shared" si="2"/>
        <v>0</v>
      </c>
      <c r="O33" s="49">
        <f>(N33/$B$33)*100</f>
        <v>0</v>
      </c>
      <c r="P33" s="24"/>
    </row>
    <row r="34" spans="1:16" s="23" customFormat="1" ht="27.75" customHeight="1" x14ac:dyDescent="0.2">
      <c r="A34" s="77" t="s">
        <v>225</v>
      </c>
      <c r="B34" s="78">
        <f>SUM(B24:B33)</f>
        <v>198</v>
      </c>
      <c r="C34" s="79">
        <f>SUM(C24:C33)</f>
        <v>100.00000000000001</v>
      </c>
      <c r="D34" s="78">
        <f>SUM(D24:D33)</f>
        <v>71</v>
      </c>
      <c r="E34" s="79">
        <f>(D34/$B$34)*100</f>
        <v>35.858585858585855</v>
      </c>
      <c r="F34" s="78">
        <f>SUM(F24:F33)</f>
        <v>25</v>
      </c>
      <c r="G34" s="79">
        <f>(F34/$B$34)*100</f>
        <v>12.626262626262626</v>
      </c>
      <c r="H34" s="78">
        <f>SUM(H24:H33)</f>
        <v>24</v>
      </c>
      <c r="I34" s="79">
        <f>(H34/$B$34)*100</f>
        <v>12.121212121212121</v>
      </c>
      <c r="J34" s="78">
        <f>SUM(J24:J33)</f>
        <v>37</v>
      </c>
      <c r="K34" s="79">
        <f>(J34/$B$34)*100</f>
        <v>18.686868686868689</v>
      </c>
      <c r="L34" s="78">
        <f>SUM(L24:L33)</f>
        <v>30</v>
      </c>
      <c r="M34" s="79">
        <f>(L34/$B$34)*100</f>
        <v>15.151515151515152</v>
      </c>
      <c r="N34" s="78">
        <f>SUM(N24:N33)</f>
        <v>11</v>
      </c>
      <c r="O34" s="79">
        <f>(N34/$B$34)*100</f>
        <v>5.5555555555555554</v>
      </c>
      <c r="P34" s="25"/>
    </row>
    <row r="35" spans="1:16" x14ac:dyDescent="0.2">
      <c r="A35" s="33"/>
      <c r="B35" s="66"/>
      <c r="C35" s="33"/>
      <c r="D35" s="66"/>
      <c r="E35" s="33"/>
      <c r="F35" s="66"/>
      <c r="G35" s="33"/>
      <c r="H35" s="66"/>
      <c r="I35" s="33"/>
      <c r="J35" s="66"/>
      <c r="K35" s="33"/>
      <c r="L35" s="66"/>
      <c r="M35" s="33"/>
      <c r="N35" s="66"/>
      <c r="O35" s="33"/>
      <c r="P35" s="4"/>
    </row>
    <row r="36" spans="1:16" x14ac:dyDescent="0.2">
      <c r="A36" s="33"/>
      <c r="B36" s="66"/>
      <c r="C36" s="33"/>
      <c r="D36" s="66"/>
      <c r="E36" s="33"/>
      <c r="F36" s="66"/>
      <c r="G36" s="33"/>
      <c r="H36" s="66"/>
      <c r="I36" s="33"/>
      <c r="J36" s="66"/>
      <c r="K36" s="33"/>
      <c r="L36" s="66"/>
      <c r="M36" s="33"/>
      <c r="N36" s="66"/>
      <c r="O36" s="33"/>
      <c r="P36" s="4"/>
    </row>
    <row r="37" spans="1:16" ht="21.75" customHeight="1" x14ac:dyDescent="0.2">
      <c r="A37" s="591" t="s">
        <v>4346</v>
      </c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3"/>
      <c r="P37" s="24"/>
    </row>
    <row r="38" spans="1:16" ht="120" customHeight="1" x14ac:dyDescent="0.2">
      <c r="A38" s="441" t="s">
        <v>11</v>
      </c>
      <c r="B38" s="72" t="s">
        <v>256</v>
      </c>
      <c r="C38" s="441" t="s">
        <v>105</v>
      </c>
      <c r="D38" s="444" t="s">
        <v>250</v>
      </c>
      <c r="E38" s="441" t="s">
        <v>105</v>
      </c>
      <c r="F38" s="445" t="s">
        <v>251</v>
      </c>
      <c r="G38" s="441" t="s">
        <v>105</v>
      </c>
      <c r="H38" s="446" t="s">
        <v>252</v>
      </c>
      <c r="I38" s="441" t="s">
        <v>105</v>
      </c>
      <c r="J38" s="447" t="s">
        <v>253</v>
      </c>
      <c r="K38" s="441" t="s">
        <v>105</v>
      </c>
      <c r="L38" s="448" t="s">
        <v>254</v>
      </c>
      <c r="M38" s="441" t="s">
        <v>105</v>
      </c>
      <c r="N38" s="72" t="s">
        <v>255</v>
      </c>
      <c r="O38" s="441" t="s">
        <v>105</v>
      </c>
      <c r="P38" s="24"/>
    </row>
    <row r="39" spans="1:16" ht="15.75" x14ac:dyDescent="0.2">
      <c r="A39" s="61" t="s">
        <v>116</v>
      </c>
      <c r="B39" s="45">
        <f>'CONSOLIDADO-ACUEDUCTOSRURALES1'!D19</f>
        <v>9</v>
      </c>
      <c r="C39" s="49">
        <f>(B39/$B$50)*100</f>
        <v>7.4380165289256199</v>
      </c>
      <c r="D39" s="45">
        <f>COUNTIFS(URABA!A:A,"Apartadó",URABA!S:S,"SIN RIESGO")</f>
        <v>1</v>
      </c>
      <c r="E39" s="49">
        <f>(D39/$B$39)*100</f>
        <v>11.111111111111111</v>
      </c>
      <c r="F39" s="45">
        <f>COUNTIFS(URABA!A:A,"Apartadó",URABA!S:S,"BAJO")</f>
        <v>1</v>
      </c>
      <c r="G39" s="49">
        <f>(F39/$B$39)*100</f>
        <v>11.111111111111111</v>
      </c>
      <c r="H39" s="45">
        <f>COUNTIFS(URABA!A:A,"Apartadó",URABA!S:S,"MEDIO")</f>
        <v>2</v>
      </c>
      <c r="I39" s="49">
        <f>(H39/$B$39)*100</f>
        <v>22.222222222222221</v>
      </c>
      <c r="J39" s="45">
        <f>COUNTIFS(URABA!A:A,"Apartadó",URABA!S:S,"ALTO")</f>
        <v>4</v>
      </c>
      <c r="K39" s="49">
        <f>(J39/$B$39)*100</f>
        <v>44.444444444444443</v>
      </c>
      <c r="L39" s="45">
        <f>COUNTIFS(URABA!A:A,"Apartadó",URABA!S:S,"INVIABLE SANITARIAMENTE")</f>
        <v>0</v>
      </c>
      <c r="M39" s="49">
        <f>(L39/$B$39)*100</f>
        <v>0</v>
      </c>
      <c r="N39" s="45">
        <f>B39-(D39+F39+H39+J39+L39)</f>
        <v>1</v>
      </c>
      <c r="O39" s="49">
        <f>(N39/$B$39)*100</f>
        <v>11.111111111111111</v>
      </c>
      <c r="P39" s="24"/>
    </row>
    <row r="40" spans="1:16" ht="15.75" x14ac:dyDescent="0.2">
      <c r="A40" s="61" t="s">
        <v>117</v>
      </c>
      <c r="B40" s="45">
        <f>'CONSOLIDADO-ACUEDUCTOSRURALES1'!D20</f>
        <v>24</v>
      </c>
      <c r="C40" s="49">
        <f>(B40/$B$50)*100</f>
        <v>19.834710743801654</v>
      </c>
      <c r="D40" s="45">
        <f>COUNTIFS(URABA!A:A,"Arboletes",URABA!S:S,"SIN RIESGO")</f>
        <v>0</v>
      </c>
      <c r="E40" s="49">
        <f>(D40/$B$40)*100</f>
        <v>0</v>
      </c>
      <c r="F40" s="45">
        <f>COUNTIFS(URABA!A:A,"Arboletes",URABA!S:S,"BAJO")</f>
        <v>0</v>
      </c>
      <c r="G40" s="49">
        <f>(F40/$B$40)*100</f>
        <v>0</v>
      </c>
      <c r="H40" s="45">
        <f>COUNTIFS(URABA!A:A,"Arboletes",URABA!S:S,"MEDIO")</f>
        <v>0</v>
      </c>
      <c r="I40" s="49">
        <f>(H40/$B$40)*100</f>
        <v>0</v>
      </c>
      <c r="J40" s="45">
        <f>COUNTIFS(URABA!A:A,"Arboletes",URABA!S:S,"ALTO")</f>
        <v>0</v>
      </c>
      <c r="K40" s="49">
        <f>(J40/$B$40)*100</f>
        <v>0</v>
      </c>
      <c r="L40" s="45">
        <f>COUNTIFS(URABA!A:A,"Arboletes",URABA!S:S,"INVIABLE SANITARIAMENTE")</f>
        <v>9</v>
      </c>
      <c r="M40" s="49">
        <f>(L40/$B$40)*100</f>
        <v>37.5</v>
      </c>
      <c r="N40" s="360">
        <f t="shared" ref="N40:N49" si="4">B40-(D40+F40+H40+J40+L40)</f>
        <v>15</v>
      </c>
      <c r="O40" s="49">
        <f>(N40/$B$40)*100</f>
        <v>62.5</v>
      </c>
      <c r="P40" s="24"/>
    </row>
    <row r="41" spans="1:16" ht="15.75" x14ac:dyDescent="0.2">
      <c r="A41" s="61" t="s">
        <v>118</v>
      </c>
      <c r="B41" s="45">
        <f>'CONSOLIDADO-ACUEDUCTOSRURALES1'!D21</f>
        <v>15</v>
      </c>
      <c r="C41" s="49">
        <f t="shared" ref="C41:C49" si="5">(B41/$B$50)*100</f>
        <v>12.396694214876034</v>
      </c>
      <c r="D41" s="45">
        <f>COUNTIFS(URABA!A:A,"Carepa",URABA!S:S,"SIN RIESGO")</f>
        <v>0</v>
      </c>
      <c r="E41" s="49">
        <f>(D41/$B$41)*100</f>
        <v>0</v>
      </c>
      <c r="F41" s="45">
        <f>COUNTIFS(URABA!A:A,"Carepa",URABA!S:S,"BAJO")</f>
        <v>1</v>
      </c>
      <c r="G41" s="49">
        <f>(F41/$B$41)*100</f>
        <v>6.666666666666667</v>
      </c>
      <c r="H41" s="45">
        <f>COUNTIFS(URABA!A:A,"Carepa",URABA!S:S,"MEDIO")</f>
        <v>0</v>
      </c>
      <c r="I41" s="49">
        <f>(H41/$B$41)*100</f>
        <v>0</v>
      </c>
      <c r="J41" s="45">
        <f>COUNTIFS(URABA!A:A,"Carepa",URABA!S:S,"ALTO")</f>
        <v>1</v>
      </c>
      <c r="K41" s="49">
        <f>(J41/$B$41)*100</f>
        <v>6.666666666666667</v>
      </c>
      <c r="L41" s="45">
        <f>COUNTIFS(URABA!A:A,"Carepa",URABA!S:S,"INVIABLE SANITARIAMENTE")</f>
        <v>12</v>
      </c>
      <c r="M41" s="49">
        <f>(L41/$B$41)*100</f>
        <v>80</v>
      </c>
      <c r="N41" s="360">
        <f t="shared" si="4"/>
        <v>1</v>
      </c>
      <c r="O41" s="49">
        <f>(N41/$B$41)*100</f>
        <v>6.666666666666667</v>
      </c>
      <c r="P41" s="24"/>
    </row>
    <row r="42" spans="1:16" ht="15.75" x14ac:dyDescent="0.2">
      <c r="A42" s="61" t="s">
        <v>119</v>
      </c>
      <c r="B42" s="45">
        <f>'CONSOLIDADO-ACUEDUCTOSRURALES1'!D22</f>
        <v>4</v>
      </c>
      <c r="C42" s="49">
        <f t="shared" si="5"/>
        <v>3.3057851239669422</v>
      </c>
      <c r="D42" s="45">
        <f>COUNTIFS(URABA!A:A,"Chigorodó",URABA!S:S,"SIN RIESGO")</f>
        <v>0</v>
      </c>
      <c r="E42" s="49">
        <f>(D42/$B$42)*100</f>
        <v>0</v>
      </c>
      <c r="F42" s="45">
        <f>COUNTIFS(URABA!A:A,"Chigorodó",URABA!S:S,"BAJO")</f>
        <v>0</v>
      </c>
      <c r="G42" s="49">
        <f>(F42/$B$42)*100</f>
        <v>0</v>
      </c>
      <c r="H42" s="45">
        <f>COUNTIFS(URABA!A:A,"Chigorodó",URABA!S:S,"MEDIO")</f>
        <v>1</v>
      </c>
      <c r="I42" s="49">
        <f>(H42/$B$42)*100</f>
        <v>25</v>
      </c>
      <c r="J42" s="45">
        <f>COUNTIFS(URABA!A:A,"Chigorodó",URABA!S:S,"ALTO")</f>
        <v>3</v>
      </c>
      <c r="K42" s="49">
        <f>(J42/$B$42)*100</f>
        <v>75</v>
      </c>
      <c r="L42" s="45">
        <f>COUNTIFS(URABA!A:A,"Chigorodó",URABA!S:S,"INVIABLE SANITARIAMENTE")</f>
        <v>0</v>
      </c>
      <c r="M42" s="49">
        <f>(L42/$B$42)*100</f>
        <v>0</v>
      </c>
      <c r="N42" s="360">
        <f t="shared" si="4"/>
        <v>0</v>
      </c>
      <c r="O42" s="49">
        <f>(N42/$B$42)*100</f>
        <v>0</v>
      </c>
      <c r="P42" s="24"/>
    </row>
    <row r="43" spans="1:16" ht="15.75" x14ac:dyDescent="0.2">
      <c r="A43" s="61" t="s">
        <v>83</v>
      </c>
      <c r="B43" s="45">
        <f>'CONSOLIDADO-ACUEDUCTOSRURALES1'!D23</f>
        <v>0</v>
      </c>
      <c r="C43" s="49">
        <f t="shared" si="5"/>
        <v>0</v>
      </c>
      <c r="D43" s="45">
        <f>COUNTIFS(URABA!A:A,"Murindo",URABA!S:S,"SIN RIESGO")</f>
        <v>0</v>
      </c>
      <c r="E43" s="49">
        <v>0</v>
      </c>
      <c r="F43" s="45">
        <f>COUNTIFS(URABA!A:A,"Murindo",URABA!S:S,"BAJO")</f>
        <v>0</v>
      </c>
      <c r="G43" s="49">
        <v>0</v>
      </c>
      <c r="H43" s="45">
        <f>COUNTIFS(URABA!A:A,"Murindo",URABA!S:S,"MEDIO")</f>
        <v>0</v>
      </c>
      <c r="I43" s="49">
        <v>0</v>
      </c>
      <c r="J43" s="45">
        <f>COUNTIFS(URABA!A:A,"Murindo",URABA!S:S,"ALTO")</f>
        <v>0</v>
      </c>
      <c r="K43" s="49">
        <v>0</v>
      </c>
      <c r="L43" s="45">
        <f>COUNTIFS(URABA!A:A,"Murindo",URABA!S:S,"INVIABLE SANITARIAMENTE")</f>
        <v>0</v>
      </c>
      <c r="M43" s="49">
        <v>0</v>
      </c>
      <c r="N43" s="360">
        <f t="shared" si="4"/>
        <v>0</v>
      </c>
      <c r="O43" s="49">
        <v>0</v>
      </c>
      <c r="P43" s="24"/>
    </row>
    <row r="44" spans="1:16" ht="15.75" x14ac:dyDescent="0.2">
      <c r="A44" s="61" t="s">
        <v>120</v>
      </c>
      <c r="B44" s="45">
        <f>'CONSOLIDADO-ACUEDUCTOSRURALES1'!D24</f>
        <v>14</v>
      </c>
      <c r="C44" s="49">
        <f t="shared" si="5"/>
        <v>11.570247933884298</v>
      </c>
      <c r="D44" s="45">
        <f>COUNTIFS(URABA!A:A,"Mutatá",URABA!S:S,"SIN RIESGO")</f>
        <v>1</v>
      </c>
      <c r="E44" s="49">
        <f>(D44/$B$44)*100</f>
        <v>7.1428571428571423</v>
      </c>
      <c r="F44" s="45">
        <f>COUNTIFS(URABA!A:A,"Mutatá",URABA!S:S,"BAJO")</f>
        <v>0</v>
      </c>
      <c r="G44" s="49">
        <f>(F44/$B$44)*100</f>
        <v>0</v>
      </c>
      <c r="H44" s="45">
        <f>COUNTIFS(URABA!A:A,"Mutatá",URABA!S:S,"MEDIO")</f>
        <v>0</v>
      </c>
      <c r="I44" s="49">
        <f>(H44/$B$44)*100</f>
        <v>0</v>
      </c>
      <c r="J44" s="45">
        <f>COUNTIFS(URABA!A:A,"Mutatá",URABA!S:S,"ALTO")</f>
        <v>5</v>
      </c>
      <c r="K44" s="49">
        <f>(J44/$B$44)*100</f>
        <v>35.714285714285715</v>
      </c>
      <c r="L44" s="45">
        <f>COUNTIFS(URABA!A:A,"Mutatá",URABA!S:S,"INVIABLE SANITARIAMENTE")</f>
        <v>4</v>
      </c>
      <c r="M44" s="49">
        <f>(L44/$B$44)*100</f>
        <v>28.571428571428569</v>
      </c>
      <c r="N44" s="360">
        <f t="shared" si="4"/>
        <v>4</v>
      </c>
      <c r="O44" s="49">
        <f>(N44/$B$44)*100</f>
        <v>28.571428571428569</v>
      </c>
      <c r="P44" s="24"/>
    </row>
    <row r="45" spans="1:16" ht="15.75" x14ac:dyDescent="0.2">
      <c r="A45" s="61" t="s">
        <v>121</v>
      </c>
      <c r="B45" s="45">
        <f>'CONSOLIDADO-ACUEDUCTOSRURALES1'!D25</f>
        <v>23</v>
      </c>
      <c r="C45" s="49">
        <f t="shared" si="5"/>
        <v>19.008264462809919</v>
      </c>
      <c r="D45" s="45">
        <f>COUNTIFS(URABA!A:A,"Necoclí",URABA!S:S,"SIN RIESGO")</f>
        <v>4</v>
      </c>
      <c r="E45" s="49">
        <f>(D45/$B$45)*100</f>
        <v>17.391304347826086</v>
      </c>
      <c r="F45" s="45">
        <f>COUNTIFS(URABA!A:A,"Necoclí",URABA!S:S,"BAJO")</f>
        <v>0</v>
      </c>
      <c r="G45" s="49">
        <f>(F45/$B$45)*100</f>
        <v>0</v>
      </c>
      <c r="H45" s="45">
        <f>COUNTIFS(URABA!A:A,"Necoclí",URABA!S:S,"MEDIO")</f>
        <v>0</v>
      </c>
      <c r="I45" s="49">
        <f>(H45/$B$45)*100</f>
        <v>0</v>
      </c>
      <c r="J45" s="45">
        <f>COUNTIFS(URABA!A:A,"Necoclí",URABA!S:S,"ALTO")</f>
        <v>14</v>
      </c>
      <c r="K45" s="49">
        <f>(J45/$B$45)*100</f>
        <v>60.869565217391312</v>
      </c>
      <c r="L45" s="45">
        <f>COUNTIFS(URABA!A:A,"Necoclí",URABA!S:S,"INVIABLE SANITARIAMENTE")</f>
        <v>0</v>
      </c>
      <c r="M45" s="49">
        <f>(L45/$B$45)*100</f>
        <v>0</v>
      </c>
      <c r="N45" s="360">
        <f t="shared" si="4"/>
        <v>5</v>
      </c>
      <c r="O45" s="49">
        <f>(N45/$B$45)*100</f>
        <v>21.739130434782609</v>
      </c>
      <c r="P45" s="24"/>
    </row>
    <row r="46" spans="1:16" ht="15.75" x14ac:dyDescent="0.2">
      <c r="A46" s="61" t="s">
        <v>122</v>
      </c>
      <c r="B46" s="45">
        <f>'CONSOLIDADO-ACUEDUCTOSRURALES1'!D26</f>
        <v>4</v>
      </c>
      <c r="C46" s="49">
        <f t="shared" si="5"/>
        <v>3.3057851239669422</v>
      </c>
      <c r="D46" s="45">
        <f>COUNTIFS(URABA!A:A,"San Juan De Urabá",URABA!S:S,"SIN RIESGO")</f>
        <v>0</v>
      </c>
      <c r="E46" s="49">
        <f>(D46/$B$46)*100</f>
        <v>0</v>
      </c>
      <c r="F46" s="45">
        <f>COUNTIFS(URABA!A:A,"San Juan De Urabá",URABA!S:S,"BAJO")</f>
        <v>0</v>
      </c>
      <c r="G46" s="49">
        <f>(F46/$B$46)*100</f>
        <v>0</v>
      </c>
      <c r="H46" s="45">
        <f>COUNTIFS(URABA!A:A,"San Juan De Urabá",URABA!S:S,"MEDIO")</f>
        <v>0</v>
      </c>
      <c r="I46" s="49">
        <f>(H46/$B$46)*100</f>
        <v>0</v>
      </c>
      <c r="J46" s="45">
        <f>COUNTIFS(URABA!A:A,"San Juan De Urabá",URABA!S:S,"ALTO")</f>
        <v>0</v>
      </c>
      <c r="K46" s="49">
        <f>(J46/$B$46)*100</f>
        <v>0</v>
      </c>
      <c r="L46" s="45">
        <f>COUNTIFS(URABA!A:A,"San Juan De Urabá",URABA!S:S,"INVIABLE SANITARIAMENTE")</f>
        <v>4</v>
      </c>
      <c r="M46" s="49">
        <f>(L46/$B$46)*100</f>
        <v>100</v>
      </c>
      <c r="N46" s="360">
        <f t="shared" si="4"/>
        <v>0</v>
      </c>
      <c r="O46" s="49">
        <f>(N46/$B$46)*100</f>
        <v>0</v>
      </c>
      <c r="P46" s="24"/>
    </row>
    <row r="47" spans="1:16" ht="15.75" x14ac:dyDescent="0.2">
      <c r="A47" s="61" t="s">
        <v>123</v>
      </c>
      <c r="B47" s="45">
        <f>'CONSOLIDADO-ACUEDUCTOSRURALES1'!D27</f>
        <v>5</v>
      </c>
      <c r="C47" s="49">
        <f t="shared" si="5"/>
        <v>4.1322314049586781</v>
      </c>
      <c r="D47" s="45">
        <f>COUNTIFS(URABA!A:A,"San Pedro de Urabá",URABA!S:S,"SIN RIESGO")</f>
        <v>0</v>
      </c>
      <c r="E47" s="49">
        <f>(D47/$B$47)*100</f>
        <v>0</v>
      </c>
      <c r="F47" s="45">
        <f>COUNTIFS(URABA!A:A,"San Pedro de Urabá",URABA!S:S,"BAJO")</f>
        <v>0</v>
      </c>
      <c r="G47" s="49">
        <f>(F47/$B$47)*100</f>
        <v>0</v>
      </c>
      <c r="H47" s="45">
        <f>COUNTIFS(URABA!A:A,"San Pedro de Urabá",URABA!S:S,"MEDIO")</f>
        <v>0</v>
      </c>
      <c r="I47" s="49">
        <f>(H47/$B$47)*100</f>
        <v>0</v>
      </c>
      <c r="J47" s="45">
        <f>COUNTIFS(URABA!A:A,"San Pedro De Uraba",URABA!S:S,"ALTO")</f>
        <v>0</v>
      </c>
      <c r="K47" s="49">
        <f>(J47/$B$47)*100</f>
        <v>0</v>
      </c>
      <c r="L47" s="45">
        <f>COUNTIFS(URABA!A:A,"San Pedro de Urabá",URABA!S:S,"INVIABLE SANITARIAMENTE")</f>
        <v>4</v>
      </c>
      <c r="M47" s="49">
        <f>(L47/$B$47)*100</f>
        <v>80</v>
      </c>
      <c r="N47" s="360">
        <f t="shared" si="4"/>
        <v>1</v>
      </c>
      <c r="O47" s="49">
        <f>(N47/$B$47)*100</f>
        <v>20</v>
      </c>
      <c r="P47" s="24"/>
    </row>
    <row r="48" spans="1:16" ht="15.75" x14ac:dyDescent="0.2">
      <c r="A48" s="61" t="s">
        <v>124</v>
      </c>
      <c r="B48" s="45">
        <f>'CONSOLIDADO-ACUEDUCTOSRURALES1'!D28</f>
        <v>0</v>
      </c>
      <c r="C48" s="49">
        <f t="shared" si="5"/>
        <v>0</v>
      </c>
      <c r="D48" s="45">
        <f>COUNTIFS(URABA!A:A,"Vigia Del Fuerte",URABA!S:S,"SIN RIESGO")</f>
        <v>0</v>
      </c>
      <c r="E48" s="49">
        <v>0</v>
      </c>
      <c r="F48" s="45">
        <f>COUNTIFS(URABA!A:A,"Vigia Del Fuerte",URABA!S:S,"BAJO")</f>
        <v>0</v>
      </c>
      <c r="G48" s="49">
        <v>0</v>
      </c>
      <c r="H48" s="45">
        <f>COUNTIFS(URABA!A:A,"Vigia Del Fuerte",URABA!S:S,"MEDIO")</f>
        <v>0</v>
      </c>
      <c r="I48" s="49">
        <v>0</v>
      </c>
      <c r="J48" s="45">
        <f>COUNTIFS(URABA!A:A,"Vigia Del Fuerte",URABA!S:S,"ALTO")</f>
        <v>0</v>
      </c>
      <c r="K48" s="49">
        <v>0</v>
      </c>
      <c r="L48" s="45">
        <f>COUNTIFS(URABA!A:A,"Vigia Del Fuerte",URABA!S:S,"INVIABLE SANITARIAMENTE")</f>
        <v>0</v>
      </c>
      <c r="M48" s="49">
        <v>0</v>
      </c>
      <c r="N48" s="360">
        <f t="shared" si="4"/>
        <v>0</v>
      </c>
      <c r="O48" s="49">
        <v>0</v>
      </c>
      <c r="P48" s="24"/>
    </row>
    <row r="49" spans="1:16" ht="15.75" x14ac:dyDescent="0.2">
      <c r="A49" s="61" t="s">
        <v>125</v>
      </c>
      <c r="B49" s="45">
        <f>'CONSOLIDADO-ACUEDUCTOSRURALES1'!D29</f>
        <v>23</v>
      </c>
      <c r="C49" s="49">
        <f t="shared" si="5"/>
        <v>19.008264462809919</v>
      </c>
      <c r="D49" s="45">
        <f>COUNTIFS(URABA!A:A,"Turbo",URABA!S:S,"SIN RIESGO")</f>
        <v>3</v>
      </c>
      <c r="E49" s="49">
        <f>(D49/$B$49)*100</f>
        <v>13.043478260869565</v>
      </c>
      <c r="F49" s="45">
        <f>COUNTIFS(URABA!A:A,"Turbo",URABA!S:S,"BAJO")</f>
        <v>0</v>
      </c>
      <c r="G49" s="49">
        <f>(F49/$B$49)*100</f>
        <v>0</v>
      </c>
      <c r="H49" s="45">
        <f>COUNTIFS(URABA!A:A,"Turbo",URABA!S:S,"MEDIO")</f>
        <v>0</v>
      </c>
      <c r="I49" s="49">
        <f>(H49/$B$49)*100</f>
        <v>0</v>
      </c>
      <c r="J49" s="45">
        <f>COUNTIFS(URABA!A:A,"Turbo",URABA!S:S,"ALTO")</f>
        <v>4</v>
      </c>
      <c r="K49" s="49">
        <f>(J49/$B$49)*100</f>
        <v>17.391304347826086</v>
      </c>
      <c r="L49" s="45">
        <f>COUNTIFS(URABA!A:A,"Turbo",URABA!S:S,"INVIABLE SANITARIAMENTE")</f>
        <v>6</v>
      </c>
      <c r="M49" s="49">
        <f>(L49/$B$49)*100</f>
        <v>26.086956521739129</v>
      </c>
      <c r="N49" s="360">
        <f t="shared" si="4"/>
        <v>10</v>
      </c>
      <c r="O49" s="49">
        <f>(N49/$B$49)*100</f>
        <v>43.478260869565219</v>
      </c>
      <c r="P49" s="24"/>
    </row>
    <row r="50" spans="1:16" s="23" customFormat="1" ht="24.75" customHeight="1" x14ac:dyDescent="0.2">
      <c r="A50" s="77" t="s">
        <v>225</v>
      </c>
      <c r="B50" s="78">
        <f>SUM(B39:B49)</f>
        <v>121</v>
      </c>
      <c r="C50" s="79">
        <f>SUM(C39:C49)</f>
        <v>100</v>
      </c>
      <c r="D50" s="78">
        <f>SUM(D39:D49)</f>
        <v>9</v>
      </c>
      <c r="E50" s="79">
        <f>(D50/$B$50)*100</f>
        <v>7.4380165289256199</v>
      </c>
      <c r="F50" s="78">
        <f>SUM(F39:F49)</f>
        <v>2</v>
      </c>
      <c r="G50" s="79">
        <f>(F50/$B$50)*100</f>
        <v>1.6528925619834711</v>
      </c>
      <c r="H50" s="78">
        <f>SUM(H39:H49)</f>
        <v>3</v>
      </c>
      <c r="I50" s="79">
        <f>(H50/$B$50)*100</f>
        <v>2.4793388429752068</v>
      </c>
      <c r="J50" s="78">
        <f>SUM(J39:J49)</f>
        <v>31</v>
      </c>
      <c r="K50" s="79">
        <f>(J50/$B$50)*100</f>
        <v>25.619834710743799</v>
      </c>
      <c r="L50" s="78">
        <f>SUM(L39:L49)</f>
        <v>39</v>
      </c>
      <c r="M50" s="79">
        <f>(L50/$B$50)*100</f>
        <v>32.231404958677686</v>
      </c>
      <c r="N50" s="78">
        <f>SUM(N39:N49)</f>
        <v>37</v>
      </c>
      <c r="O50" s="79">
        <f>(N50/$B$50)*100</f>
        <v>30.578512396694212</v>
      </c>
      <c r="P50" s="26"/>
    </row>
    <row r="51" spans="1:16" x14ac:dyDescent="0.2">
      <c r="A51" s="33"/>
      <c r="B51" s="66"/>
      <c r="C51" s="33"/>
      <c r="D51" s="66"/>
      <c r="E51" s="33"/>
      <c r="F51" s="66"/>
      <c r="G51" s="33"/>
      <c r="H51" s="66"/>
      <c r="I51" s="33"/>
      <c r="J51" s="66"/>
      <c r="K51" s="33"/>
      <c r="L51" s="66"/>
      <c r="M51" s="33"/>
      <c r="N51" s="66"/>
      <c r="O51" s="33"/>
      <c r="P51" s="4"/>
    </row>
    <row r="52" spans="1:16" x14ac:dyDescent="0.2">
      <c r="A52" s="33"/>
      <c r="B52" s="66"/>
      <c r="C52" s="33"/>
      <c r="D52" s="66"/>
      <c r="E52" s="33"/>
      <c r="F52" s="66"/>
      <c r="G52" s="33"/>
      <c r="H52" s="66"/>
      <c r="I52" s="33"/>
      <c r="J52" s="66"/>
      <c r="K52" s="33"/>
      <c r="L52" s="66"/>
      <c r="M52" s="33"/>
      <c r="N52" s="66"/>
      <c r="O52" s="33"/>
      <c r="P52" s="4"/>
    </row>
    <row r="53" spans="1:16" x14ac:dyDescent="0.2">
      <c r="A53" s="33"/>
      <c r="B53" s="66"/>
      <c r="C53" s="33"/>
      <c r="D53" s="66"/>
      <c r="E53" s="33"/>
      <c r="F53" s="66"/>
      <c r="G53" s="33"/>
      <c r="H53" s="66"/>
      <c r="I53" s="33"/>
      <c r="J53" s="66"/>
      <c r="K53" s="33"/>
      <c r="L53" s="66"/>
      <c r="M53" s="33"/>
      <c r="N53" s="66"/>
      <c r="O53" s="33"/>
      <c r="P53" s="4"/>
    </row>
    <row r="54" spans="1:16" ht="21.75" customHeight="1" x14ac:dyDescent="0.2">
      <c r="A54" s="591" t="s">
        <v>4347</v>
      </c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5"/>
      <c r="P54" s="24"/>
    </row>
    <row r="55" spans="1:16" ht="120.75" customHeight="1" x14ac:dyDescent="0.2">
      <c r="A55" s="441" t="s">
        <v>11</v>
      </c>
      <c r="B55" s="72" t="s">
        <v>256</v>
      </c>
      <c r="C55" s="441" t="s">
        <v>105</v>
      </c>
      <c r="D55" s="444" t="s">
        <v>250</v>
      </c>
      <c r="E55" s="441" t="s">
        <v>105</v>
      </c>
      <c r="F55" s="445" t="s">
        <v>251</v>
      </c>
      <c r="G55" s="441" t="s">
        <v>105</v>
      </c>
      <c r="H55" s="446" t="s">
        <v>252</v>
      </c>
      <c r="I55" s="441" t="s">
        <v>105</v>
      </c>
      <c r="J55" s="447" t="s">
        <v>253</v>
      </c>
      <c r="K55" s="441" t="s">
        <v>105</v>
      </c>
      <c r="L55" s="448" t="s">
        <v>254</v>
      </c>
      <c r="M55" s="441" t="s">
        <v>105</v>
      </c>
      <c r="N55" s="72" t="s">
        <v>255</v>
      </c>
      <c r="O55" s="441" t="s">
        <v>105</v>
      </c>
      <c r="P55" s="24"/>
    </row>
    <row r="56" spans="1:16" ht="15.75" x14ac:dyDescent="0.2">
      <c r="A56" s="62" t="s">
        <v>127</v>
      </c>
      <c r="B56" s="45">
        <f>'CONSOLIDADO-ACUEDUCTOSRURALES1'!D31</f>
        <v>24</v>
      </c>
      <c r="C56" s="49">
        <f>(B56/$B$73)*100</f>
        <v>9.4117647058823533</v>
      </c>
      <c r="D56" s="45">
        <f>COUNTIFS(NORTE!A:A,"Angostura",NORTE!S:S,"SIN RIESGO")</f>
        <v>0</v>
      </c>
      <c r="E56" s="49">
        <f>(D56/$B$56)*100</f>
        <v>0</v>
      </c>
      <c r="F56" s="411">
        <f>COUNTIFS(NORTE!A:A,"Angostura",NORTE!S:S,"BAJO")</f>
        <v>0</v>
      </c>
      <c r="G56" s="49">
        <f>(F56/$B$56)*100</f>
        <v>0</v>
      </c>
      <c r="H56" s="45">
        <f>COUNTIFS(NORTE!A:A,"Angostura",NORTE!S:S,"MEDIO")</f>
        <v>1</v>
      </c>
      <c r="I56" s="49">
        <f>(H56/$B$56)*100</f>
        <v>4.1666666666666661</v>
      </c>
      <c r="J56" s="373">
        <f>COUNTIFS(NORTE!A:A,"Angostura",NORTE!S:S,"ALTO")</f>
        <v>0</v>
      </c>
      <c r="K56" s="49">
        <f>(J56/$B$56)*100</f>
        <v>0</v>
      </c>
      <c r="L56" s="373">
        <f>COUNTIFS(NORTE!A:A,"Angostura",NORTE!S:S,"INVIABLE SANITARIAMENTE")</f>
        <v>6</v>
      </c>
      <c r="M56" s="49">
        <f>(L56/$B$56)*100</f>
        <v>25</v>
      </c>
      <c r="N56" s="45">
        <f>B56-(D56+F56+H56+J56+L56)</f>
        <v>17</v>
      </c>
      <c r="O56" s="49">
        <f>(N56/$B$56)*100</f>
        <v>70.833333333333343</v>
      </c>
      <c r="P56" s="24"/>
    </row>
    <row r="57" spans="1:16" ht="15.75" x14ac:dyDescent="0.2">
      <c r="A57" s="62" t="s">
        <v>128</v>
      </c>
      <c r="B57" s="45">
        <f>'CONSOLIDADO-ACUEDUCTOSRURALES1'!D32</f>
        <v>9</v>
      </c>
      <c r="C57" s="49">
        <f>(B57/$B$73)*100</f>
        <v>3.5294117647058822</v>
      </c>
      <c r="D57" s="360">
        <f>COUNTIFS(NORTE!A:A,"Belmira",NORTE!S:S,"SIN RIESGO")</f>
        <v>2</v>
      </c>
      <c r="E57" s="49">
        <f>(D57/$B$57)*100</f>
        <v>22.222222222222221</v>
      </c>
      <c r="F57" s="373">
        <f>COUNTIFS(NORTE!A:A,"Belmira",NORTE!S:S,"BAJO")</f>
        <v>0</v>
      </c>
      <c r="G57" s="49">
        <f>(F57/$B$57)*100</f>
        <v>0</v>
      </c>
      <c r="H57" s="409">
        <f>COUNTIFS(NORTE!A:A,"Belmira",NORTE!S:S,"MEDIO")</f>
        <v>0</v>
      </c>
      <c r="I57" s="49">
        <f>(H57/$B$57)*100</f>
        <v>0</v>
      </c>
      <c r="J57" s="373">
        <f>COUNTIFS(NORTE!A:A,"Belmira",NORTE!S:S,"ALTO")</f>
        <v>0</v>
      </c>
      <c r="K57" s="49">
        <f>(J57/$B$57)*100</f>
        <v>0</v>
      </c>
      <c r="L57" s="373">
        <f>COUNTIFS(NORTE!A:A,"Belmira",NORTE!S:S,"INVIABLE SANITARIAMENTE")</f>
        <v>7</v>
      </c>
      <c r="M57" s="49">
        <f>(L57/$B$57)*100</f>
        <v>77.777777777777786</v>
      </c>
      <c r="N57" s="360">
        <f t="shared" ref="N57:N72" si="6">B57-(D57+F57+H57+J57+L57)</f>
        <v>0</v>
      </c>
      <c r="O57" s="49">
        <f>(N57/$B$57)*100</f>
        <v>0</v>
      </c>
      <c r="P57" s="24"/>
    </row>
    <row r="58" spans="1:16" ht="15.75" x14ac:dyDescent="0.2">
      <c r="A58" s="62" t="s">
        <v>129</v>
      </c>
      <c r="B58" s="45">
        <f>'CONSOLIDADO-ACUEDUCTOSRURALES1'!D33</f>
        <v>12</v>
      </c>
      <c r="C58" s="49">
        <f t="shared" ref="C58:C72" si="7">(B58/$B$73)*100</f>
        <v>4.7058823529411766</v>
      </c>
      <c r="D58" s="360">
        <f>COUNTIFS(NORTE!A:A,"Briceño",NORTE!S:S,"SIN RIESGO")</f>
        <v>0</v>
      </c>
      <c r="E58" s="49">
        <f>(D58/$B$58)*100</f>
        <v>0</v>
      </c>
      <c r="F58" s="373">
        <f>COUNTIFS(NORTE!C:C,"Briceño",NORTE!U:U, "BAJO")</f>
        <v>0</v>
      </c>
      <c r="G58" s="49">
        <f>(F58/$B$58)*100</f>
        <v>0</v>
      </c>
      <c r="H58" s="409">
        <f>COUNTIFS(NORTE!A:A,"Briceño",NORTE!S:S,"MEDIO")</f>
        <v>0</v>
      </c>
      <c r="I58" s="49">
        <f>(H58/$B$58)*100</f>
        <v>0</v>
      </c>
      <c r="J58" s="373">
        <f>COUNTIFS(NORTE!A:A,"Briceño",NORTE!S:S,"ALTO")</f>
        <v>6</v>
      </c>
      <c r="K58" s="49">
        <f>(J58/$B$58)*100</f>
        <v>50</v>
      </c>
      <c r="L58" s="373">
        <f>COUNTIFS(NORTE!A:A,"Briceño",NORTE!S:S,"INVIABLE SANITARIAMENTE")</f>
        <v>6</v>
      </c>
      <c r="M58" s="49">
        <f>(L58/$B$58)*100</f>
        <v>50</v>
      </c>
      <c r="N58" s="360">
        <f t="shared" si="6"/>
        <v>0</v>
      </c>
      <c r="O58" s="49">
        <f>(N58/$B$58)*100</f>
        <v>0</v>
      </c>
      <c r="P58" s="24"/>
    </row>
    <row r="59" spans="1:16" ht="15.75" x14ac:dyDescent="0.2">
      <c r="A59" s="62" t="s">
        <v>130</v>
      </c>
      <c r="B59" s="45">
        <f>'CONSOLIDADO-ACUEDUCTOSRURALES1'!D34</f>
        <v>17</v>
      </c>
      <c r="C59" s="49">
        <f t="shared" si="7"/>
        <v>6.666666666666667</v>
      </c>
      <c r="D59" s="360">
        <f>COUNTIFS(NORTE!A:A,"Campamento",NORTE!S:S,"SIN RIESGO")</f>
        <v>0</v>
      </c>
      <c r="E59" s="49">
        <f>(D59/$B$59)*100</f>
        <v>0</v>
      </c>
      <c r="F59" s="373">
        <f>COUNTIFS(NORTE!A:A,"Campamento",NORTE!S:S, "BAJO")</f>
        <v>0</v>
      </c>
      <c r="G59" s="49">
        <f>(F59/$B$59)*100</f>
        <v>0</v>
      </c>
      <c r="H59" s="409">
        <f>COUNTIFS(NORTE!A:A,"Campamento",NORTE!S:S,"MEDIO")</f>
        <v>0</v>
      </c>
      <c r="I59" s="49">
        <f>(H59/$B$59)*100</f>
        <v>0</v>
      </c>
      <c r="J59" s="376">
        <f>COUNTIFS(NORTE!A:A,"Campamento",NORTE!S:S,"ALTO")</f>
        <v>0</v>
      </c>
      <c r="K59" s="49">
        <f>(J59/$B$59)*100</f>
        <v>0</v>
      </c>
      <c r="L59" s="376">
        <f>COUNTIFS(NORTE!A:A,"Campamento",NORTE!S:S,"INVIABLE SANITARIAMENTE")</f>
        <v>0</v>
      </c>
      <c r="M59" s="49">
        <f>(L59/$B$59)*100</f>
        <v>0</v>
      </c>
      <c r="N59" s="360">
        <f t="shared" si="6"/>
        <v>17</v>
      </c>
      <c r="O59" s="49">
        <f>(N59/$B$59)*100</f>
        <v>100</v>
      </c>
      <c r="P59" s="24"/>
    </row>
    <row r="60" spans="1:16" ht="15.75" x14ac:dyDescent="0.2">
      <c r="A60" s="62" t="s">
        <v>131</v>
      </c>
      <c r="B60" s="45">
        <f>'CONSOLIDADO-ACUEDUCTOSRURALES1'!D35</f>
        <v>7</v>
      </c>
      <c r="C60" s="49">
        <f t="shared" si="7"/>
        <v>2.7450980392156863</v>
      </c>
      <c r="D60" s="360">
        <f>COUNTIFS(NORTE!A:A,"Carolina del Príncipe",NORTE!S:S,"SIN RIESGO")</f>
        <v>2</v>
      </c>
      <c r="E60" s="49">
        <f>(D60/$B$60)*100</f>
        <v>28.571428571428569</v>
      </c>
      <c r="F60" s="412">
        <f>COUNTIFS(NORTE!A:A,"Carolina del Príncipe",NORTE!S:S, "BAJO")</f>
        <v>1</v>
      </c>
      <c r="G60" s="49">
        <f>(F60/$B$60)*100</f>
        <v>14.285714285714285</v>
      </c>
      <c r="H60" s="409">
        <f>COUNTIFS(NORTE!A:A,"Carolina del Príncipe",NORTE!S:S,"MEDIO")</f>
        <v>0</v>
      </c>
      <c r="I60" s="49">
        <f>(H60/$B$60)*100</f>
        <v>0</v>
      </c>
      <c r="J60" s="376">
        <f>COUNTIFS(NORTE!A:A,"Carolina del Príncipe",NORTE!S:S,"ALTO")</f>
        <v>1</v>
      </c>
      <c r="K60" s="49">
        <f>(J60/$B$60)*100</f>
        <v>14.285714285714285</v>
      </c>
      <c r="L60" s="376">
        <f>COUNTIFS(NORTE!A:A,"Carolina del Príncipe",NORTE!S:S,"INVIABLE SANITARIAMENTE")</f>
        <v>3</v>
      </c>
      <c r="M60" s="49">
        <f>(L60/$B$60)*100</f>
        <v>42.857142857142854</v>
      </c>
      <c r="N60" s="360">
        <f t="shared" si="6"/>
        <v>0</v>
      </c>
      <c r="O60" s="49">
        <f>(N60/$B$60)*100</f>
        <v>0</v>
      </c>
      <c r="P60" s="24"/>
    </row>
    <row r="61" spans="1:16" ht="15.75" x14ac:dyDescent="0.2">
      <c r="A61" s="62" t="s">
        <v>132</v>
      </c>
      <c r="B61" s="45">
        <f>'CONSOLIDADO-ACUEDUCTOSRURALES1'!D36</f>
        <v>5</v>
      </c>
      <c r="C61" s="49">
        <f t="shared" si="7"/>
        <v>1.9607843137254901</v>
      </c>
      <c r="D61" s="360">
        <f>COUNTIFS(NORTE!A:A,"Don Matías",NORTE!S:S, "SIN RIESGO")</f>
        <v>3</v>
      </c>
      <c r="E61" s="49">
        <f>(D61/$B$61)*100</f>
        <v>60</v>
      </c>
      <c r="F61" s="412">
        <f>COUNTIFS(NORTE!A:A,"Don Matías",NORTE!S:S, "BAJO")</f>
        <v>0</v>
      </c>
      <c r="G61" s="49">
        <f>(F61/$B$61)*100</f>
        <v>0</v>
      </c>
      <c r="H61" s="409">
        <f>COUNTIFS(NORTE!A:A,"Don Matías",NORTE!S:S,"MEDIO")</f>
        <v>0</v>
      </c>
      <c r="I61" s="49">
        <f>(H61/$B$61)*100</f>
        <v>0</v>
      </c>
      <c r="J61" s="376">
        <f>COUNTIFS(NORTE!A:A,"Don Matías",NORTE!S:S,"ALTO")</f>
        <v>0</v>
      </c>
      <c r="K61" s="49">
        <f>(J61/$B$61)*100</f>
        <v>0</v>
      </c>
      <c r="L61" s="376">
        <f>COUNTIFS(NORTE!A:A,"Don Matías",NORTE!S:S,"INVIABLE SANITARIAMENTE")</f>
        <v>2</v>
      </c>
      <c r="M61" s="49">
        <f>(L61/$B$61)*100</f>
        <v>40</v>
      </c>
      <c r="N61" s="360">
        <f t="shared" si="6"/>
        <v>0</v>
      </c>
      <c r="O61" s="49">
        <f>(N61/$B$61)*100</f>
        <v>0</v>
      </c>
      <c r="P61" s="24"/>
    </row>
    <row r="62" spans="1:16" ht="15.75" x14ac:dyDescent="0.2">
      <c r="A62" s="62" t="s">
        <v>4120</v>
      </c>
      <c r="B62" s="45">
        <f>'CONSOLIDADO-ACUEDUCTOSRURALES1'!D37</f>
        <v>11</v>
      </c>
      <c r="C62" s="49">
        <f t="shared" si="7"/>
        <v>4.3137254901960782</v>
      </c>
      <c r="D62" s="372">
        <f>COUNTIFS(NORTE!A:A,"Entrerríos",NORTE!S:S, "SIN RIESGO")</f>
        <v>4</v>
      </c>
      <c r="E62" s="49">
        <f>(D62/$B$62)*100</f>
        <v>36.363636363636367</v>
      </c>
      <c r="F62" s="412">
        <f>COUNTIFS(NORTE!A:A,"Entrerríos",NORTE!S:S,"BAJO")</f>
        <v>2</v>
      </c>
      <c r="G62" s="49">
        <f>(F62/$B$62)*100</f>
        <v>18.181818181818183</v>
      </c>
      <c r="H62" s="409">
        <f>COUNTIFS(NORTE!A:A,"Entrerríos",NORTE!S:S,"MEDIO")</f>
        <v>2</v>
      </c>
      <c r="I62" s="49">
        <f>(H62/$B$62)*100</f>
        <v>18.181818181818183</v>
      </c>
      <c r="J62" s="376">
        <f>COUNTIFS(NORTE!A:A,"Entrerríos",NORTE!S:S,"ALTO")</f>
        <v>3</v>
      </c>
      <c r="K62" s="49">
        <f>(J62/$B$62)*100</f>
        <v>27.27272727272727</v>
      </c>
      <c r="L62" s="376">
        <f>COUNTIFS(NORTE!A:A,"Entrerríos",NORTE!S:S,"INVIABLE SANITARIAMENTE")</f>
        <v>0</v>
      </c>
      <c r="M62" s="49">
        <f>(L62/$B$62)*100</f>
        <v>0</v>
      </c>
      <c r="N62" s="360">
        <f t="shared" si="6"/>
        <v>0</v>
      </c>
      <c r="O62" s="49">
        <f>(N62/$B$62)*100</f>
        <v>0</v>
      </c>
      <c r="P62" s="24"/>
    </row>
    <row r="63" spans="1:16" ht="15.75" x14ac:dyDescent="0.2">
      <c r="A63" s="62" t="s">
        <v>133</v>
      </c>
      <c r="B63" s="45">
        <f>'CONSOLIDADO-ACUEDUCTOSRURALES1'!D38</f>
        <v>21</v>
      </c>
      <c r="C63" s="49">
        <f t="shared" si="7"/>
        <v>8.235294117647058</v>
      </c>
      <c r="D63" s="372">
        <f>COUNTIFS(NORTE!A:A,"Gómez Plata",NORTE!S:S, "SIN RIESGO")</f>
        <v>0</v>
      </c>
      <c r="E63" s="49">
        <f>(D63/$B$63)*100</f>
        <v>0</v>
      </c>
      <c r="F63" s="412">
        <f>COUNTIFS(NORTE!A:A,"Gómez Plata",NORTE!S:S, "BAJO")</f>
        <v>1</v>
      </c>
      <c r="G63" s="49">
        <f>(F63/$B$63)*100</f>
        <v>4.7619047619047619</v>
      </c>
      <c r="H63" s="409">
        <f>COUNTIFS(NORTE!A:A,"Gómez Plata",NORTE!S:S,"MEDIO")</f>
        <v>0</v>
      </c>
      <c r="I63" s="49">
        <f>(H63/$B$63)*100</f>
        <v>0</v>
      </c>
      <c r="J63" s="376">
        <f>COUNTIFS(NORTE!A:A,"Gómez Plata",NORTE!S:S,"ALTO")</f>
        <v>5</v>
      </c>
      <c r="K63" s="49">
        <f>(J63/$B$63)*100</f>
        <v>23.809523809523807</v>
      </c>
      <c r="L63" s="376">
        <f>COUNTIFS(NORTE!A:A,"Gómez Plata",NORTE!S:S,"INVIABLE SANITARIAMENTE")</f>
        <v>8</v>
      </c>
      <c r="M63" s="49">
        <f>(L63/$B$63)*100</f>
        <v>38.095238095238095</v>
      </c>
      <c r="N63" s="360">
        <f t="shared" si="6"/>
        <v>7</v>
      </c>
      <c r="O63" s="49">
        <f>(N63/$B$63)*100</f>
        <v>33.333333333333329</v>
      </c>
      <c r="P63" s="24"/>
    </row>
    <row r="64" spans="1:16" ht="15.75" x14ac:dyDescent="0.2">
      <c r="A64" s="62" t="s">
        <v>134</v>
      </c>
      <c r="B64" s="45">
        <f>'CONSOLIDADO-ACUEDUCTOSRURALES1'!D39</f>
        <v>14</v>
      </c>
      <c r="C64" s="49">
        <f t="shared" si="7"/>
        <v>5.4901960784313726</v>
      </c>
      <c r="D64" s="372">
        <f>COUNTIFS(NORTE!A:A,"Guadalupe",NORTE!S:S, "SIN RIESGO")</f>
        <v>6</v>
      </c>
      <c r="E64" s="49">
        <f>(D64/$B$64)*100</f>
        <v>42.857142857142854</v>
      </c>
      <c r="F64" s="412">
        <f>COUNTIFS(NORTE!A:A,"Guadalupe",NORTE!S:S, "BAJO")</f>
        <v>0</v>
      </c>
      <c r="G64" s="49">
        <f>(F64/$B$64)*100</f>
        <v>0</v>
      </c>
      <c r="H64" s="409">
        <f>COUNTIFS(NORTE!A:A,"Guadalupe",NORTE!S:S,"MEDIO")</f>
        <v>0</v>
      </c>
      <c r="I64" s="49">
        <f>(H64/$B$64)*100</f>
        <v>0</v>
      </c>
      <c r="J64" s="376">
        <f>COUNTIFS(NORTE!A:A,"Guadalupe",NORTE!S:S,"ALTO")</f>
        <v>1</v>
      </c>
      <c r="K64" s="49">
        <f>(J64/$B$64)*100</f>
        <v>7.1428571428571423</v>
      </c>
      <c r="L64" s="376">
        <f>COUNTIFS(NORTE!A:A,"Guadalupe",NORTE!S:S,"INVIABLE SANITARIAMENTE")</f>
        <v>7</v>
      </c>
      <c r="M64" s="49">
        <f>(L64/$B$64)*100</f>
        <v>50</v>
      </c>
      <c r="N64" s="360">
        <f t="shared" si="6"/>
        <v>0</v>
      </c>
      <c r="O64" s="49">
        <f>(N64/$B$64)*100</f>
        <v>0</v>
      </c>
      <c r="P64" s="24"/>
    </row>
    <row r="65" spans="1:16" ht="15.75" x14ac:dyDescent="0.2">
      <c r="A65" s="62" t="s">
        <v>135</v>
      </c>
      <c r="B65" s="45">
        <f>'CONSOLIDADO-ACUEDUCTOSRURALES1'!D40</f>
        <v>37</v>
      </c>
      <c r="C65" s="49">
        <f t="shared" si="7"/>
        <v>14.509803921568629</v>
      </c>
      <c r="D65" s="372">
        <f>COUNTIFS(NORTE!A:A,"Ituango",NORTE!S:S, "SIN RIESGO")</f>
        <v>0</v>
      </c>
      <c r="E65" s="49">
        <f>(D65/$B$65)*100</f>
        <v>0</v>
      </c>
      <c r="F65" s="412">
        <f>COUNTIFS(NORTE!A:A,"Ituango",NORTE!S:S, "BAJO")</f>
        <v>0</v>
      </c>
      <c r="G65" s="49">
        <f>(F65/$B$65)*100</f>
        <v>0</v>
      </c>
      <c r="H65" s="409">
        <f>COUNTIFS(NORTE!A:A,"Ituango",NORTE!S:S,"MEDIO")</f>
        <v>0</v>
      </c>
      <c r="I65" s="49">
        <f>(H65/$B$65)*100</f>
        <v>0</v>
      </c>
      <c r="J65" s="376">
        <f>COUNTIFS(NORTE!A:A,"Ituango",NORTE!S:S,"ALTO")</f>
        <v>0</v>
      </c>
      <c r="K65" s="49">
        <f>(J65/$B$65)*100</f>
        <v>0</v>
      </c>
      <c r="L65" s="376">
        <f>COUNTIFS(NORTE!A:A,"Ituango",NORTE!S:S,"INVIABLE SANITARIAMENTE")</f>
        <v>13</v>
      </c>
      <c r="M65" s="49">
        <f>(L65/$B$65)*100</f>
        <v>35.135135135135137</v>
      </c>
      <c r="N65" s="360">
        <f t="shared" si="6"/>
        <v>24</v>
      </c>
      <c r="O65" s="49">
        <f>(N65/$B$65)*100</f>
        <v>64.86486486486487</v>
      </c>
      <c r="P65" s="24"/>
    </row>
    <row r="66" spans="1:16" ht="15.75" x14ac:dyDescent="0.2">
      <c r="A66" s="62" t="s">
        <v>136</v>
      </c>
      <c r="B66" s="45">
        <f>'CONSOLIDADO-ACUEDUCTOSRURALES1'!D41</f>
        <v>18</v>
      </c>
      <c r="C66" s="49">
        <f t="shared" si="7"/>
        <v>7.0588235294117645</v>
      </c>
      <c r="D66" s="372">
        <f>COUNTIFS(NORTE!A:A,"San Andrés de Cuerquia",NORTE!S:S, "SIN RIESGO")</f>
        <v>0</v>
      </c>
      <c r="E66" s="49">
        <f>(D66/$B$66)*100</f>
        <v>0</v>
      </c>
      <c r="F66" s="412">
        <f>COUNTIFS(NORTE!A:A,"San Andrés de Cuerquia",NORTE!S:S, "BAJO")</f>
        <v>0</v>
      </c>
      <c r="G66" s="49">
        <f>(F66/$B$66)*100</f>
        <v>0</v>
      </c>
      <c r="H66" s="409">
        <f>COUNTIFS(NORTE!A:A,"San Andrés de Cuerquia",NORTE!S:S,"MEDIO")</f>
        <v>1</v>
      </c>
      <c r="I66" s="49">
        <f>(H66/$B$66)*100</f>
        <v>5.5555555555555554</v>
      </c>
      <c r="J66" s="376">
        <f>COUNTIFS(NORTE!A:A,"San Andrés de Cuerquia",NORTE!S:S,"ALTO")</f>
        <v>6</v>
      </c>
      <c r="K66" s="49">
        <f>(J66/$B$66)*100</f>
        <v>33.333333333333329</v>
      </c>
      <c r="L66" s="376">
        <f>COUNTIFS(NORTE!A:A,"San Andrés de Cuerquia",NORTE!S:S,"INVIABLE SANITARIAMENTE")</f>
        <v>1</v>
      </c>
      <c r="M66" s="49">
        <f>(L66/$B$66)*100</f>
        <v>5.5555555555555554</v>
      </c>
      <c r="N66" s="360">
        <f t="shared" si="6"/>
        <v>10</v>
      </c>
      <c r="O66" s="49">
        <f>(N66/$B$66)*100</f>
        <v>55.555555555555557</v>
      </c>
      <c r="P66" s="24"/>
    </row>
    <row r="67" spans="1:16" ht="15.75" x14ac:dyDescent="0.2">
      <c r="A67" s="62" t="s">
        <v>137</v>
      </c>
      <c r="B67" s="45">
        <f>'CONSOLIDADO-ACUEDUCTOSRURALES1'!D42</f>
        <v>4</v>
      </c>
      <c r="C67" s="49">
        <f t="shared" si="7"/>
        <v>1.5686274509803921</v>
      </c>
      <c r="D67" s="372">
        <f>COUNTIFS(NORTE!A:A,"San Jose De La Montaña",NORTE!S:S, "SIN RIESGO")</f>
        <v>0</v>
      </c>
      <c r="E67" s="49">
        <f>(D67/$B$67)*100</f>
        <v>0</v>
      </c>
      <c r="F67" s="412">
        <f>COUNTIFS(NORTE!A:A,"San José de la Montaña",NORTE!S:S, "BAJO")</f>
        <v>0</v>
      </c>
      <c r="G67" s="49">
        <f>(F67/$B$67)*100</f>
        <v>0</v>
      </c>
      <c r="H67" s="409">
        <f>COUNTIFS(NORTE!A:A,"San José de la Montaña",NORTE!S:S,"MEDIO")</f>
        <v>1</v>
      </c>
      <c r="I67" s="49">
        <f>(H67/$B$67)*100</f>
        <v>25</v>
      </c>
      <c r="J67" s="376">
        <f>COUNTIFS(NORTE!A:A,"San José de la Montaña",NORTE!S:S,"ALTO")</f>
        <v>3</v>
      </c>
      <c r="K67" s="49">
        <f>(J67/$B$67)*100</f>
        <v>75</v>
      </c>
      <c r="L67" s="376">
        <f>COUNTIFS(NORTE!A:A,"San José de la Montaña",NORTE!S:S,"INVIABLE SANITARIAMENTE")</f>
        <v>0</v>
      </c>
      <c r="M67" s="49">
        <f>(L67/$B$67)*100</f>
        <v>0</v>
      </c>
      <c r="N67" s="360">
        <f t="shared" si="6"/>
        <v>0</v>
      </c>
      <c r="O67" s="49">
        <f>(N67/$B$67)*100</f>
        <v>0</v>
      </c>
      <c r="P67" s="24"/>
    </row>
    <row r="68" spans="1:16" ht="15.75" x14ac:dyDescent="0.2">
      <c r="A68" s="62" t="s">
        <v>138</v>
      </c>
      <c r="B68" s="45">
        <f>'CONSOLIDADO-ACUEDUCTOSRURALES1'!D43</f>
        <v>16</v>
      </c>
      <c r="C68" s="49">
        <f t="shared" si="7"/>
        <v>6.2745098039215685</v>
      </c>
      <c r="D68" s="372">
        <f>COUNTIFS(NORTE!A:A,"San Pedro De Los Milagros",NORTE!S:S, "SIN RIESGO")</f>
        <v>6</v>
      </c>
      <c r="E68" s="49">
        <f>(D68/$B$68)*100</f>
        <v>37.5</v>
      </c>
      <c r="F68" s="412">
        <f>COUNTIFS(NORTE!A:A,"San Pedro de los Milagros",NORTE!S:S, "BAJO")</f>
        <v>1</v>
      </c>
      <c r="G68" s="49">
        <f>(F68/$B$68)*100</f>
        <v>6.25</v>
      </c>
      <c r="H68" s="409">
        <f>COUNTIFS(NORTE!A:A,"San Pedro de los Milagros",NORTE!S:S,"MEDIO")</f>
        <v>0</v>
      </c>
      <c r="I68" s="49">
        <f>(H68/$B$68)*100</f>
        <v>0</v>
      </c>
      <c r="J68" s="376">
        <f>COUNTIFS(NORTE!A:A,"San Pedro de los Milagros",NORTE!S:S,"ALTO")</f>
        <v>1</v>
      </c>
      <c r="K68" s="49">
        <f>(J68/$B$68)*100</f>
        <v>6.25</v>
      </c>
      <c r="L68" s="376">
        <f>COUNTIFS(NORTE!A:A,"San Pedro de los Milagros",NORTE!S:S,"INVIABLE SANITARIAMENTE")</f>
        <v>8</v>
      </c>
      <c r="M68" s="49">
        <f>(L68/$B$68)*100</f>
        <v>50</v>
      </c>
      <c r="N68" s="360">
        <f t="shared" si="6"/>
        <v>0</v>
      </c>
      <c r="O68" s="49">
        <f>(N68/$B$68)*100</f>
        <v>0</v>
      </c>
      <c r="P68" s="24"/>
    </row>
    <row r="69" spans="1:16" ht="15.75" x14ac:dyDescent="0.2">
      <c r="A69" s="62" t="s">
        <v>139</v>
      </c>
      <c r="B69" s="45">
        <f>'CONSOLIDADO-ACUEDUCTOSRURALES1'!D44</f>
        <v>28</v>
      </c>
      <c r="C69" s="49">
        <f t="shared" si="7"/>
        <v>10.980392156862745</v>
      </c>
      <c r="D69" s="372">
        <f>COUNTIFS(NORTE!A:A,"Santa Rosa De Osos",NORTE!S:S, "SIN RIESGO")</f>
        <v>6</v>
      </c>
      <c r="E69" s="49">
        <f>(D69/$B$69)*100</f>
        <v>21.428571428571427</v>
      </c>
      <c r="F69" s="412">
        <f>COUNTIFS(NORTE!A:A,"Santa Rosa de Osos",NORTE!S:S, "BAJO")</f>
        <v>2</v>
      </c>
      <c r="G69" s="49">
        <f>(F69/$B$69)*100</f>
        <v>7.1428571428571423</v>
      </c>
      <c r="H69" s="409">
        <f>COUNTIFS(NORTE!A:A,"Santa Rosa de Osos",NORTE!S:S,"MEDIO")</f>
        <v>1</v>
      </c>
      <c r="I69" s="49">
        <f>(H69/$B$69)*100</f>
        <v>3.5714285714285712</v>
      </c>
      <c r="J69" s="376">
        <f>COUNTIFS(NORTE!A:A,"Santa Rosa de Osos",NORTE!S:S,"ALTO")</f>
        <v>19</v>
      </c>
      <c r="K69" s="49">
        <f>(J69/$B$69)*100</f>
        <v>67.857142857142861</v>
      </c>
      <c r="L69" s="376">
        <f>COUNTIFS(NORTE!A:A,"Santa Rosa de Osos",NORTE!S:S,"INVIABLE SANITARIAMENTE")</f>
        <v>0</v>
      </c>
      <c r="M69" s="49">
        <f>(L69/$B$69)*100</f>
        <v>0</v>
      </c>
      <c r="N69" s="360">
        <f t="shared" si="6"/>
        <v>0</v>
      </c>
      <c r="O69" s="49">
        <f>(N69/$B$69)*100</f>
        <v>0</v>
      </c>
      <c r="P69" s="24"/>
    </row>
    <row r="70" spans="1:16" ht="15.75" x14ac:dyDescent="0.2">
      <c r="A70" s="62" t="s">
        <v>140</v>
      </c>
      <c r="B70" s="45">
        <f>'CONSOLIDADO-ACUEDUCTOSRURALES1'!D45</f>
        <v>12</v>
      </c>
      <c r="C70" s="49">
        <f t="shared" si="7"/>
        <v>4.7058823529411766</v>
      </c>
      <c r="D70" s="372">
        <f>COUNTIFS(NORTE!A:A,"Toledo",NORTE!S:S, "SIN RIESGO")</f>
        <v>3</v>
      </c>
      <c r="E70" s="49">
        <f>(D70/$B$70)*100</f>
        <v>25</v>
      </c>
      <c r="F70" s="412">
        <f>COUNTIFS(NORTE!A:A,"Toledo",NORTE!S:S, "BAJO")</f>
        <v>0</v>
      </c>
      <c r="G70" s="49">
        <f>(F70/$B$70)*100</f>
        <v>0</v>
      </c>
      <c r="H70" s="409">
        <f>COUNTIFS(NORTE!A:A,"Toledo",NORTE!S:S,"MEDIO")</f>
        <v>0</v>
      </c>
      <c r="I70" s="49">
        <f>(H70/$B$70)*100</f>
        <v>0</v>
      </c>
      <c r="J70" s="376">
        <f>COUNTIFS(NORTE!A:A,"Toledo",NORTE!S:S,"ALTO")</f>
        <v>0</v>
      </c>
      <c r="K70" s="49">
        <f>(J70/$B$70)*100</f>
        <v>0</v>
      </c>
      <c r="L70" s="376">
        <f>COUNTIFS(NORTE!A:A,"Toledo",NORTE!S:S,"INVIABLE SANITARIAMENTE")</f>
        <v>7</v>
      </c>
      <c r="M70" s="49">
        <f>(L70/$B$70)*100</f>
        <v>58.333333333333336</v>
      </c>
      <c r="N70" s="360">
        <f t="shared" si="6"/>
        <v>2</v>
      </c>
      <c r="O70" s="49">
        <f>(N70/$B$70)*100</f>
        <v>16.666666666666664</v>
      </c>
      <c r="P70" s="24"/>
    </row>
    <row r="71" spans="1:16" ht="15.75" x14ac:dyDescent="0.2">
      <c r="A71" s="62" t="s">
        <v>141</v>
      </c>
      <c r="B71" s="45">
        <f>'CONSOLIDADO-ACUEDUCTOSRURALES1'!D46</f>
        <v>8</v>
      </c>
      <c r="C71" s="49">
        <f t="shared" si="7"/>
        <v>3.1372549019607843</v>
      </c>
      <c r="D71" s="372">
        <f>COUNTIFS(NORTE!A:A,"Valdivia",NORTE!S:S, "SIN RIESGO")</f>
        <v>1</v>
      </c>
      <c r="E71" s="49">
        <f>(D71/$B$71)*100</f>
        <v>12.5</v>
      </c>
      <c r="F71" s="412">
        <f>COUNTIFS(NORTE!A:A,"Valdivia",NORTE!S:S, "BAJO")</f>
        <v>0</v>
      </c>
      <c r="G71" s="49">
        <f>(F71/$B$71)*100</f>
        <v>0</v>
      </c>
      <c r="H71" s="409">
        <f>COUNTIFS(NORTE!A:A,"Valdivia",NORTE!S:S,"MEDIO")</f>
        <v>0</v>
      </c>
      <c r="I71" s="49">
        <f>(H71/$B$71)*100</f>
        <v>0</v>
      </c>
      <c r="J71" s="376">
        <f>COUNTIFS(NORTE!A:A,"Valdivia",NORTE!S:S,"ALTO")</f>
        <v>7</v>
      </c>
      <c r="K71" s="49">
        <f>(J71/$B$71)*100</f>
        <v>87.5</v>
      </c>
      <c r="L71" s="376">
        <f>COUNTIFS(NORTE!A:A,"Valdivia",NORTE!S:S,"INVIABLE SANITARIAMENTE")</f>
        <v>0</v>
      </c>
      <c r="M71" s="49">
        <f>(L71/$B$71)*100</f>
        <v>0</v>
      </c>
      <c r="N71" s="360">
        <f t="shared" si="6"/>
        <v>0</v>
      </c>
      <c r="O71" s="49">
        <f>(N71/$B$71)*100</f>
        <v>0</v>
      </c>
      <c r="P71" s="24"/>
    </row>
    <row r="72" spans="1:16" ht="20.25" customHeight="1" x14ac:dyDescent="0.2">
      <c r="A72" s="62" t="s">
        <v>142</v>
      </c>
      <c r="B72" s="45">
        <f>'CONSOLIDADO-ACUEDUCTOSRURALES1'!D47</f>
        <v>12</v>
      </c>
      <c r="C72" s="49">
        <f t="shared" si="7"/>
        <v>4.7058823529411766</v>
      </c>
      <c r="D72" s="372">
        <f>COUNTIFS(NORTE!A:A,"Yarumal",NORTE!S:S, "SIN RIESGO")</f>
        <v>0</v>
      </c>
      <c r="E72" s="49">
        <f>(D72/$B$72)*100</f>
        <v>0</v>
      </c>
      <c r="F72" s="412">
        <f>COUNTIFS(NORTE!A:A,"Yarumal",NORTE!S:S, "BAJO")</f>
        <v>0</v>
      </c>
      <c r="G72" s="49">
        <f>(F72/$B$72)*100</f>
        <v>0</v>
      </c>
      <c r="H72" s="376">
        <f>COUNTIFS(NORTE!A:A,"Yarumal",NORTE!S:S,"MEDIO")</f>
        <v>1</v>
      </c>
      <c r="I72" s="49">
        <f>(H72/$B$72)*100</f>
        <v>8.3333333333333321</v>
      </c>
      <c r="J72" s="376">
        <f>COUNTIFS(NORTE!A:A,"Yarumal",NORTE!S:S,"ALTO")</f>
        <v>0</v>
      </c>
      <c r="K72" s="49">
        <f>(J72/$B$72)*100</f>
        <v>0</v>
      </c>
      <c r="L72" s="376">
        <f>COUNTIFS(NORTE!A:A,"Yarumal",NORTE!S:S,"INVIABLE SANITARIAMENTE")</f>
        <v>8</v>
      </c>
      <c r="M72" s="49">
        <f>(L72/$B$72)*100</f>
        <v>66.666666666666657</v>
      </c>
      <c r="N72" s="360">
        <f t="shared" si="6"/>
        <v>3</v>
      </c>
      <c r="O72" s="49">
        <f>(N72/$B$72)*100</f>
        <v>25</v>
      </c>
      <c r="P72" s="24"/>
    </row>
    <row r="73" spans="1:16" ht="28.5" customHeight="1" x14ac:dyDescent="0.2">
      <c r="A73" s="29" t="s">
        <v>225</v>
      </c>
      <c r="B73" s="29">
        <f>SUM(B56:B72)</f>
        <v>255</v>
      </c>
      <c r="C73" s="75">
        <f>SUM(C56:C72)</f>
        <v>100.00000000000001</v>
      </c>
      <c r="D73" s="415">
        <f>SUM(D56:D72)</f>
        <v>33</v>
      </c>
      <c r="E73" s="75">
        <f>(D73/$B$73)*100</f>
        <v>12.941176470588237</v>
      </c>
      <c r="F73" s="362">
        <f>SUM(F56:F72)</f>
        <v>7</v>
      </c>
      <c r="G73" s="75">
        <f>(F73/$B$73)*100</f>
        <v>2.7450980392156863</v>
      </c>
      <c r="H73" s="29">
        <f>SUM(H56:H72)</f>
        <v>7</v>
      </c>
      <c r="I73" s="75">
        <f>(H73/$B$73)*100</f>
        <v>2.7450980392156863</v>
      </c>
      <c r="J73" s="29">
        <f>SUM(J56:J72)</f>
        <v>52</v>
      </c>
      <c r="K73" s="75">
        <f>(J73/$B$73)*100</f>
        <v>20.392156862745097</v>
      </c>
      <c r="L73" s="362">
        <f>SUM(L56:L72)</f>
        <v>76</v>
      </c>
      <c r="M73" s="75">
        <f>(L73/$B$73)*100</f>
        <v>29.803921568627452</v>
      </c>
      <c r="N73" s="362">
        <f>SUM(N56:N72)</f>
        <v>80</v>
      </c>
      <c r="O73" s="75">
        <f>(N73/$B$73)*100</f>
        <v>31.372549019607842</v>
      </c>
      <c r="P73" s="24"/>
    </row>
    <row r="74" spans="1:16" x14ac:dyDescent="0.2">
      <c r="A74" s="33"/>
      <c r="B74" s="66"/>
      <c r="C74" s="33"/>
      <c r="D74" s="66"/>
      <c r="E74" s="33"/>
      <c r="F74" s="66"/>
      <c r="G74" s="33"/>
      <c r="H74" s="66"/>
      <c r="I74" s="33"/>
      <c r="J74" s="66"/>
      <c r="K74" s="33"/>
      <c r="L74" s="26"/>
      <c r="M74" s="33"/>
      <c r="N74" s="66"/>
      <c r="O74" s="33"/>
      <c r="P74" s="4"/>
    </row>
    <row r="75" spans="1:16" x14ac:dyDescent="0.2">
      <c r="A75" s="33"/>
      <c r="B75" s="66"/>
      <c r="C75" s="33"/>
      <c r="D75" s="66"/>
      <c r="E75" s="33"/>
      <c r="F75" s="66"/>
      <c r="G75" s="33"/>
      <c r="H75" s="66"/>
      <c r="I75" s="33"/>
      <c r="J75" s="66"/>
      <c r="K75" s="33"/>
      <c r="L75" s="66"/>
      <c r="M75" s="33"/>
      <c r="N75" s="66"/>
      <c r="O75" s="33"/>
      <c r="P75" s="4"/>
    </row>
    <row r="76" spans="1:16" x14ac:dyDescent="0.2">
      <c r="A76" s="33"/>
      <c r="B76" s="66"/>
      <c r="C76" s="33"/>
      <c r="D76" s="66"/>
      <c r="E76" s="33"/>
      <c r="F76" s="66"/>
      <c r="G76" s="33"/>
      <c r="H76" s="66"/>
      <c r="I76" s="33"/>
      <c r="J76" s="66"/>
      <c r="K76" s="33"/>
      <c r="L76" s="66"/>
      <c r="M76" s="33"/>
      <c r="N76" s="66"/>
      <c r="O76" s="33"/>
      <c r="P76" s="4"/>
    </row>
    <row r="77" spans="1:16" ht="24.75" customHeight="1" x14ac:dyDescent="0.2">
      <c r="A77" s="591" t="s">
        <v>4348</v>
      </c>
      <c r="B77" s="594"/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5"/>
      <c r="P77" s="24"/>
    </row>
    <row r="78" spans="1:16" ht="130.5" customHeight="1" x14ac:dyDescent="0.2">
      <c r="A78" s="441" t="s">
        <v>11</v>
      </c>
      <c r="B78" s="72" t="s">
        <v>256</v>
      </c>
      <c r="C78" s="441" t="s">
        <v>105</v>
      </c>
      <c r="D78" s="444" t="s">
        <v>250</v>
      </c>
      <c r="E78" s="441" t="s">
        <v>105</v>
      </c>
      <c r="F78" s="445" t="s">
        <v>251</v>
      </c>
      <c r="G78" s="441" t="s">
        <v>105</v>
      </c>
      <c r="H78" s="446" t="s">
        <v>252</v>
      </c>
      <c r="I78" s="441" t="s">
        <v>105</v>
      </c>
      <c r="J78" s="447" t="s">
        <v>253</v>
      </c>
      <c r="K78" s="441" t="s">
        <v>105</v>
      </c>
      <c r="L78" s="448" t="s">
        <v>254</v>
      </c>
      <c r="M78" s="441" t="s">
        <v>105</v>
      </c>
      <c r="N78" s="72" t="s">
        <v>255</v>
      </c>
      <c r="O78" s="441" t="s">
        <v>105</v>
      </c>
      <c r="P78" s="24"/>
    </row>
    <row r="79" spans="1:16" ht="15.75" x14ac:dyDescent="0.2">
      <c r="A79" s="61" t="s">
        <v>144</v>
      </c>
      <c r="B79" s="29">
        <f>'CONSOLIDADO-ACUEDUCTOSRURALES1'!D49</f>
        <v>7</v>
      </c>
      <c r="C79" s="49">
        <f t="shared" ref="C79:C97" si="8">(B79/$B$98)*100</f>
        <v>1.4084507042253522</v>
      </c>
      <c r="D79" s="414">
        <f>COUNTIFS(OCCIDENTE!A:A,"Abriaquí",OCCIDENTE!S:S,"SIN RIESGO")</f>
        <v>0</v>
      </c>
      <c r="E79" s="49">
        <f>(D79/$B$79)*100</f>
        <v>0</v>
      </c>
      <c r="F79" s="29">
        <f>+COUNTIFS(OCCIDENTE!S10:S506,"Abriaquí",OCCIDENTE!S10:S506,"BAJO")</f>
        <v>0</v>
      </c>
      <c r="G79" s="49">
        <f>(F79/$B$79)*100</f>
        <v>0</v>
      </c>
      <c r="H79" s="29">
        <f>+COUNTIFS(OCCIDENTE!S10:S506,"Abriaquí",OCCIDENTE!S10:S506,"MEDIO")</f>
        <v>0</v>
      </c>
      <c r="I79" s="49">
        <f>(H79/$B$79)*100</f>
        <v>0</v>
      </c>
      <c r="J79" s="414">
        <f>COUNTIFS(OCCIDENTE!A:A,"Abriaquí",OCCIDENTE!S:S,"ALTO")</f>
        <v>0</v>
      </c>
      <c r="K79" s="49">
        <f>(J79/$B$79)*100</f>
        <v>0</v>
      </c>
      <c r="L79" s="414">
        <f>COUNTIFS(OCCIDENTE!A:A,"Abriaquí",OCCIDENTE!S:S,"INVIABLE SANITARIAMENTE")</f>
        <v>7</v>
      </c>
      <c r="M79" s="49">
        <f>(L79/$B$79)*100</f>
        <v>100</v>
      </c>
      <c r="N79" s="29">
        <f t="shared" ref="N79:N97" si="9">B79-(D79+F79+H79+J79+L79)</f>
        <v>0</v>
      </c>
      <c r="O79" s="49">
        <f>(N79/$B$79)*100</f>
        <v>0</v>
      </c>
      <c r="P79" s="24"/>
    </row>
    <row r="80" spans="1:16" ht="15.75" x14ac:dyDescent="0.2">
      <c r="A80" s="61" t="s">
        <v>145</v>
      </c>
      <c r="B80" s="29">
        <f>'CONSOLIDADO-ACUEDUCTOSRURALES1'!D50</f>
        <v>18</v>
      </c>
      <c r="C80" s="49">
        <f t="shared" si="8"/>
        <v>3.6217303822937628</v>
      </c>
      <c r="D80" s="29">
        <f>COUNTIFS(OCCIDENTE!A:A,"Anzá",OCCIDENTE!S:S,"SIN RIESGO")</f>
        <v>0</v>
      </c>
      <c r="E80" s="49">
        <f>(D80/$B$80)*100</f>
        <v>0</v>
      </c>
      <c r="F80" s="29">
        <f>COUNTIFS(OCCIDENTE!A:A,"Anzá",OCCIDENTE!S:S,"BAJO")</f>
        <v>0</v>
      </c>
      <c r="G80" s="49">
        <f>(F80/$B$80)*100</f>
        <v>0</v>
      </c>
      <c r="H80" s="29">
        <f>COUNTIFS(OCCIDENTE!A:A,"Anzá",OCCIDENTE!S:S,"MEDIO")</f>
        <v>0</v>
      </c>
      <c r="I80" s="49">
        <f>(H80/$B$80)*100</f>
        <v>0</v>
      </c>
      <c r="J80" s="29">
        <f>COUNTIFS(OCCIDENTE!A:A,"Anzá",OCCIDENTE!S:S,"ALTO")</f>
        <v>2</v>
      </c>
      <c r="K80" s="49">
        <f>(J80/$B$80)*100</f>
        <v>11.111111111111111</v>
      </c>
      <c r="L80" s="29">
        <f>COUNTIFS(OCCIDENTE!A:A,"Anzá",OCCIDENTE!S:S,"INVIABLE SANITARIAMENTE")</f>
        <v>16</v>
      </c>
      <c r="M80" s="49">
        <f>(L80/$B$80)*100</f>
        <v>88.888888888888886</v>
      </c>
      <c r="N80" s="362">
        <f t="shared" si="9"/>
        <v>0</v>
      </c>
      <c r="O80" s="49">
        <f>(N80/$B$80)*100</f>
        <v>0</v>
      </c>
      <c r="P80" s="24"/>
    </row>
    <row r="81" spans="1:16" ht="15.75" x14ac:dyDescent="0.2">
      <c r="A81" s="61" t="s">
        <v>89</v>
      </c>
      <c r="B81" s="375">
        <f>'CONSOLIDADO-ACUEDUCTOSRURALES1'!D51</f>
        <v>4</v>
      </c>
      <c r="C81" s="49">
        <f t="shared" si="8"/>
        <v>0.8048289738430584</v>
      </c>
      <c r="D81" s="29">
        <f>COUNTIFS(OCCIDENTE!A:A,"Armenia",OCCIDENTE!S:S,"SIN RIESGO")</f>
        <v>0</v>
      </c>
      <c r="E81" s="49">
        <f>(D81/$B$81)*100</f>
        <v>0</v>
      </c>
      <c r="F81" s="29">
        <f>COUNTIFS(OCCIDENTE!A:A,"Armenia",OCCIDENTE!S:S,"BAJO")</f>
        <v>0</v>
      </c>
      <c r="G81" s="49">
        <f>(F81/$B$81)*100</f>
        <v>0</v>
      </c>
      <c r="H81" s="29">
        <f>COUNTIFS(OCCIDENTE!A:A,"Armenia",OCCIDENTE!S:S,"MEDIO")</f>
        <v>0</v>
      </c>
      <c r="I81" s="49">
        <f>(H81/$B$81)*100</f>
        <v>0</v>
      </c>
      <c r="J81" s="29">
        <f>COUNTIFS(OCCIDENTE!A:A,"Armenia",OCCIDENTE!S:S,"ALTO")</f>
        <v>1</v>
      </c>
      <c r="K81" s="49">
        <f>(J81/$B$81)*100</f>
        <v>25</v>
      </c>
      <c r="L81" s="29">
        <f>COUNTIFS(OCCIDENTE!A:A,"Armenia",OCCIDENTE!S:S,"INVIABLE SANITARIAMENTE")</f>
        <v>3</v>
      </c>
      <c r="M81" s="49">
        <f>(L81/$B$81)*100</f>
        <v>75</v>
      </c>
      <c r="N81" s="362">
        <f t="shared" si="9"/>
        <v>0</v>
      </c>
      <c r="O81" s="49">
        <f>(N81/$B$81)*100</f>
        <v>0</v>
      </c>
      <c r="P81" s="24"/>
    </row>
    <row r="82" spans="1:16" ht="15.75" x14ac:dyDescent="0.2">
      <c r="A82" s="61" t="s">
        <v>146</v>
      </c>
      <c r="B82" s="375">
        <f>'CONSOLIDADO-ACUEDUCTOSRURALES1'!D52</f>
        <v>38</v>
      </c>
      <c r="C82" s="49">
        <f t="shared" si="8"/>
        <v>7.6458752515090547</v>
      </c>
      <c r="D82" s="29">
        <f>COUNTIFS(OCCIDENTE!A:A,"Buriticá",OCCIDENTE!S:S,"SIN RIESGO")</f>
        <v>0</v>
      </c>
      <c r="E82" s="49">
        <f>(D82/$B$82)*100</f>
        <v>0</v>
      </c>
      <c r="F82" s="29">
        <f>COUNTIFS(OCCIDENTE!A:A,"Buriticá",OCCIDENTE!S:S,"BAJO")</f>
        <v>0</v>
      </c>
      <c r="G82" s="49">
        <f>(F82/$B$82)*100</f>
        <v>0</v>
      </c>
      <c r="H82" s="29">
        <f>COUNTIFS(OCCIDENTE!A:A,"Buriticá",OCCIDENTE!S:S,"MEDIO")</f>
        <v>0</v>
      </c>
      <c r="I82" s="49">
        <f>(H82/$B$82)*100</f>
        <v>0</v>
      </c>
      <c r="J82" s="29">
        <f>COUNTIFS(OCCIDENTE!A:A,"Buriticá",OCCIDENTE!S:S,"ALTO")</f>
        <v>6</v>
      </c>
      <c r="K82" s="49">
        <f>(J82/$B$82)*100</f>
        <v>15.789473684210526</v>
      </c>
      <c r="L82" s="29">
        <f>COUNTIFS(OCCIDENTE!A:A,"Buriticá",OCCIDENTE!S:S,"INVIABLE SANITARIAMENTE")</f>
        <v>20</v>
      </c>
      <c r="M82" s="49">
        <f>(L82/$B$82)*100</f>
        <v>52.631578947368418</v>
      </c>
      <c r="N82" s="362">
        <f t="shared" si="9"/>
        <v>12</v>
      </c>
      <c r="O82" s="49">
        <f>(N82/$B$82)*100</f>
        <v>31.578947368421051</v>
      </c>
      <c r="P82" s="24"/>
    </row>
    <row r="83" spans="1:16" ht="15.75" x14ac:dyDescent="0.2">
      <c r="A83" s="61" t="s">
        <v>151</v>
      </c>
      <c r="B83" s="375">
        <f>'CONSOLIDADO-ACUEDUCTOSRURALES1'!D53</f>
        <v>16</v>
      </c>
      <c r="C83" s="49">
        <f t="shared" si="8"/>
        <v>3.2193158953722336</v>
      </c>
      <c r="D83" s="29">
        <f>COUNTIFS(SUROESTE!A:A,"Caicedo",SUROESTE!S:S,"SIN RIESGO")</f>
        <v>0</v>
      </c>
      <c r="E83" s="49">
        <f>(D83/$B$87)*100</f>
        <v>0</v>
      </c>
      <c r="F83" s="29">
        <f>COUNTIFS(SUROESTE!A:A,"Caicedo",SUROESTE!S:S,"BAJO")</f>
        <v>0</v>
      </c>
      <c r="G83" s="49">
        <f>(F83/$B$87)*100</f>
        <v>0</v>
      </c>
      <c r="H83" s="29">
        <f>COUNTIFS(OCCIDENTE!A:A,"Caicedo",OCCIDENTE!S:S,"MEDIO")</f>
        <v>0</v>
      </c>
      <c r="I83" s="49">
        <f>(H83/$B$87)*100</f>
        <v>0</v>
      </c>
      <c r="J83" s="29">
        <f>COUNTIFS(OCCIDENTE!A:A,"Caicedo",OCCIDENTE!S:S,"ALTO")</f>
        <v>10</v>
      </c>
      <c r="K83" s="49">
        <f>(J83/$B$87)*100</f>
        <v>22.727272727272727</v>
      </c>
      <c r="L83" s="29">
        <f>COUNTIFS(OCCIDENTE!A:A,"Caicedo",OCCIDENTE!S:S,"INVIABLE SANITARIAMENTE")</f>
        <v>0</v>
      </c>
      <c r="M83" s="49">
        <f>(L83/$B$87)*100</f>
        <v>0</v>
      </c>
      <c r="N83" s="362">
        <f t="shared" si="9"/>
        <v>6</v>
      </c>
      <c r="O83" s="49">
        <f>(N83/$B$87)*100</f>
        <v>13.636363636363635</v>
      </c>
      <c r="P83" s="24"/>
    </row>
    <row r="84" spans="1:16" ht="15.75" x14ac:dyDescent="0.2">
      <c r="A84" s="61" t="s">
        <v>147</v>
      </c>
      <c r="B84" s="375">
        <f>'CONSOLIDADO-ACUEDUCTOSRURALES1'!D54</f>
        <v>59</v>
      </c>
      <c r="C84" s="49">
        <f t="shared" si="8"/>
        <v>11.87122736418511</v>
      </c>
      <c r="D84" s="29">
        <f>COUNTIFS(OCCIDENTE!A:A,"Cañasgordas",OCCIDENTE!S:S,"SIN RIESGO")</f>
        <v>0</v>
      </c>
      <c r="E84" s="49">
        <f>(D84/$B$83)*100</f>
        <v>0</v>
      </c>
      <c r="F84" s="29">
        <f>COUNTIFS(OCCIDENTE!A:A,"Cañasgordas",OCCIDENTE!S:S,"BAJO")</f>
        <v>0</v>
      </c>
      <c r="G84" s="49">
        <f>(F84/$B$83)*100</f>
        <v>0</v>
      </c>
      <c r="H84" s="29">
        <f>COUNTIFS(OCCIDENTE!A:A,"Cañasgordas",OCCIDENTE!S:S,"MEDIO")</f>
        <v>0</v>
      </c>
      <c r="I84" s="49">
        <f>(H84/$B$83)*100</f>
        <v>0</v>
      </c>
      <c r="J84" s="29">
        <f>COUNTIFS(OCCIDENTE!A:A,"Cañasgordas",OCCIDENTE!S:S,"ALTO")</f>
        <v>1</v>
      </c>
      <c r="K84" s="49">
        <f>(J84/$B$83)*100</f>
        <v>6.25</v>
      </c>
      <c r="L84" s="29">
        <f>COUNTIFS(OCCIDENTE!A:A,"Cañasgordas",OCCIDENTE!S:S,"INVIABLE SANITARIAMENTE")</f>
        <v>35</v>
      </c>
      <c r="M84" s="49">
        <f>(L84/$B$83)*100</f>
        <v>218.75</v>
      </c>
      <c r="N84" s="362">
        <f t="shared" si="9"/>
        <v>23</v>
      </c>
      <c r="O84" s="49">
        <f>(N84/$B$83)*100</f>
        <v>143.75</v>
      </c>
      <c r="P84" s="24"/>
    </row>
    <row r="85" spans="1:16" ht="15.75" x14ac:dyDescent="0.2">
      <c r="A85" s="61" t="s">
        <v>148</v>
      </c>
      <c r="B85" s="375">
        <f>'CONSOLIDADO-ACUEDUCTOSRURALES1'!D55</f>
        <v>26</v>
      </c>
      <c r="C85" s="49">
        <f t="shared" si="8"/>
        <v>5.2313883299798798</v>
      </c>
      <c r="D85" s="29">
        <f>COUNTIFS(OCCIDENTE!A:A,"Dabeiba",OCCIDENTE!S:S,"SIN RIESGO")</f>
        <v>0</v>
      </c>
      <c r="E85" s="49">
        <f>(D85/$B$84)*100</f>
        <v>0</v>
      </c>
      <c r="F85" s="29">
        <f>COUNTIFS(OCCIDENTE!A:A,"Dabeiba",OCCIDENTE!S:S,"BAJO")</f>
        <v>0</v>
      </c>
      <c r="G85" s="49">
        <f>(F85/$B$84)*100</f>
        <v>0</v>
      </c>
      <c r="H85" s="29">
        <f>COUNTIFS(OCCIDENTE!A:A,"Dabeiba",OCCIDENTE!S:S,"MEDIO")</f>
        <v>0</v>
      </c>
      <c r="I85" s="49">
        <f>(H85/$B$84)*100</f>
        <v>0</v>
      </c>
      <c r="J85" s="29">
        <f>COUNTIFS(OCCIDENTE!A:A,"Dabeiba",OCCIDENTE!S:S,"ALTO")</f>
        <v>0</v>
      </c>
      <c r="K85" s="49">
        <f>(J85/$B$84)*100</f>
        <v>0</v>
      </c>
      <c r="L85" s="29">
        <f>COUNTIFS(OCCIDENTE!A:A,"Dabeiba",OCCIDENTE!S:S,"INVIABLE SANITARIAMENTE")</f>
        <v>26</v>
      </c>
      <c r="M85" s="49">
        <f>(L85/$B$84)*100</f>
        <v>44.067796610169488</v>
      </c>
      <c r="N85" s="362">
        <f t="shared" si="9"/>
        <v>0</v>
      </c>
      <c r="O85" s="49">
        <f>(N85/$B$84)*100</f>
        <v>0</v>
      </c>
      <c r="P85" s="24"/>
    </row>
    <row r="86" spans="1:16" ht="15.75" x14ac:dyDescent="0.2">
      <c r="A86" s="61" t="s">
        <v>149</v>
      </c>
      <c r="B86" s="375">
        <f>'CONSOLIDADO-ACUEDUCTOSRURALES1'!D56</f>
        <v>45</v>
      </c>
      <c r="C86" s="49">
        <f t="shared" si="8"/>
        <v>9.0543259557344058</v>
      </c>
      <c r="D86" s="29">
        <f>COUNTIFS(OCCIDENTE!A:A,"Ebéjico",OCCIDENTE!S:S,"SIN RIESGO")</f>
        <v>8</v>
      </c>
      <c r="E86" s="49">
        <f>(D86/$B$85)*100</f>
        <v>30.76923076923077</v>
      </c>
      <c r="F86" s="29">
        <f>COUNTIFS(OCCIDENTE!A:A,"Ebéjico",OCCIDENTE!S:S,"BAJO")</f>
        <v>0</v>
      </c>
      <c r="G86" s="49">
        <f>(F86/$B$85)*100</f>
        <v>0</v>
      </c>
      <c r="H86" s="29">
        <f>COUNTIFS(OCCIDENTE!A:A,"Ebéjico",OCCIDENTE!S:S,"MEDIO")</f>
        <v>0</v>
      </c>
      <c r="I86" s="49">
        <f>(H86/$B$85)*100</f>
        <v>0</v>
      </c>
      <c r="J86" s="29">
        <f>COUNTIFS(OCCIDENTE!A:A,"Ebéjico",OCCIDENTE!S:S,"ALTO")</f>
        <v>0</v>
      </c>
      <c r="K86" s="49" t="s">
        <v>4357</v>
      </c>
      <c r="L86" s="29">
        <f>COUNTIFS(OCCIDENTE!A:A,"Ebéjico",OCCIDENTE!S:S,"INVIABLE SANITARIAMENTE")</f>
        <v>7</v>
      </c>
      <c r="M86" s="49">
        <f>(L86/$B$85)*100</f>
        <v>26.923076923076923</v>
      </c>
      <c r="N86" s="362">
        <f t="shared" si="9"/>
        <v>30</v>
      </c>
      <c r="O86" s="49">
        <f>(N86/$B$85)*100</f>
        <v>115.38461538461537</v>
      </c>
      <c r="P86" s="24"/>
    </row>
    <row r="87" spans="1:16" ht="15.75" x14ac:dyDescent="0.2">
      <c r="A87" s="61" t="s">
        <v>150</v>
      </c>
      <c r="B87" s="375">
        <f>'CONSOLIDADO-ACUEDUCTOSRURALES1'!D57</f>
        <v>44</v>
      </c>
      <c r="C87" s="49">
        <f t="shared" si="8"/>
        <v>8.8531187122736412</v>
      </c>
      <c r="D87" s="29">
        <f>COUNTIFS(OCCIDENTE!A:A,"Frontino",OCCIDENTE!S:S,"SIN RIESGO")</f>
        <v>1</v>
      </c>
      <c r="E87" s="49">
        <f>(D87/$B$86)*100</f>
        <v>2.2222222222222223</v>
      </c>
      <c r="F87" s="29">
        <f>COUNTIFS(OCCIDENTE!A:A,"Frontino",OCCIDENTE!S:S,"BAJO")</f>
        <v>0</v>
      </c>
      <c r="G87" s="49">
        <f>(F87/$B$86)*100</f>
        <v>0</v>
      </c>
      <c r="H87" s="29">
        <f>COUNTIFS(OCCIDENTE!A:A,"Frontino",OCCIDENTE!S:S,"MEDIO")</f>
        <v>0</v>
      </c>
      <c r="I87" s="49">
        <f>(H87/$B$86)*100</f>
        <v>0</v>
      </c>
      <c r="J87" s="29">
        <f>COUNTIFS(OCCIDENTE!A:A,"Frontino",OCCIDENTE!S:S,"ALTO")</f>
        <v>2</v>
      </c>
      <c r="K87" s="49">
        <f>(J87/$B$86)*100</f>
        <v>4.4444444444444446</v>
      </c>
      <c r="L87" s="29">
        <f>COUNTIFS(OCCIDENTE!A:A,"Frontino",OCCIDENTE!S:S,"INVIABLE SANITARIAMENTE")</f>
        <v>3</v>
      </c>
      <c r="M87" s="49">
        <f>(L87/$B$86)*100</f>
        <v>6.666666666666667</v>
      </c>
      <c r="N87" s="362">
        <f t="shared" si="9"/>
        <v>38</v>
      </c>
      <c r="O87" s="49">
        <f>(N87/$B$86)*100</f>
        <v>84.444444444444443</v>
      </c>
      <c r="P87" s="24"/>
    </row>
    <row r="88" spans="1:16" ht="15.75" x14ac:dyDescent="0.2">
      <c r="A88" s="61" t="s">
        <v>152</v>
      </c>
      <c r="B88" s="375">
        <f>'CONSOLIDADO-ACUEDUCTOSRURALES1'!D58</f>
        <v>20</v>
      </c>
      <c r="C88" s="49">
        <f t="shared" si="8"/>
        <v>4.0241448692152915</v>
      </c>
      <c r="D88" s="29">
        <f>COUNTIFS(OCCIDENTE!A:A,"Giraldo",OCCIDENTE!S:S,"SIN RIESGO")</f>
        <v>0</v>
      </c>
      <c r="E88" s="49">
        <f>(D88/$B$88)*100</f>
        <v>0</v>
      </c>
      <c r="F88" s="29">
        <f>COUNTIFS(OCCIDENTE!A:A,"Giraldo",OCCIDENTE!S:S,"BAJO")</f>
        <v>0</v>
      </c>
      <c r="G88" s="49">
        <f>(F88/$B$88)*100</f>
        <v>0</v>
      </c>
      <c r="H88" s="29">
        <f>COUNTIFS(OCCIDENTE!A:A,"Giraldo",OCCIDENTE!S:S,"MEDIO")</f>
        <v>0</v>
      </c>
      <c r="I88" s="49">
        <f>(H88/$B$88)*100</f>
        <v>0</v>
      </c>
      <c r="J88" s="29">
        <f>COUNTIFS(OCCIDENTE!A:A,"Giraldo",OCCIDENTE!S:S,"ALTO")</f>
        <v>0</v>
      </c>
      <c r="K88" s="49">
        <f>(J88/$B$88)*100</f>
        <v>0</v>
      </c>
      <c r="L88" s="29">
        <f>COUNTIFS(OCCIDENTE!A:A,"Giraldo",OCCIDENTE!S:S,"INVIABLE SANITARIAMENTE")</f>
        <v>20</v>
      </c>
      <c r="M88" s="49">
        <f>(L88/$B$88)*100</f>
        <v>100</v>
      </c>
      <c r="N88" s="362">
        <f t="shared" si="9"/>
        <v>0</v>
      </c>
      <c r="O88" s="49">
        <f>(N88/$B$88)*100</f>
        <v>0</v>
      </c>
      <c r="P88" s="24"/>
    </row>
    <row r="89" spans="1:16" ht="15.75" x14ac:dyDescent="0.2">
      <c r="A89" s="61" t="s">
        <v>153</v>
      </c>
      <c r="B89" s="375">
        <f>'CONSOLIDADO-ACUEDUCTOSRURALES1'!D59</f>
        <v>12</v>
      </c>
      <c r="C89" s="49">
        <f t="shared" si="8"/>
        <v>2.4144869215291749</v>
      </c>
      <c r="D89" s="29">
        <f>COUNTIFS(OCCIDENTE!A:A,"Heliconia",OCCIDENTE!S:S,"SIN RIESGO")</f>
        <v>1</v>
      </c>
      <c r="E89" s="49">
        <f>(D89/$B$89)*100</f>
        <v>8.3333333333333321</v>
      </c>
      <c r="F89" s="29">
        <f>COUNTIFS(OCCIDENTE!A:A,"Heliconia",OCCIDENTE!S:S,"BAJO")</f>
        <v>0</v>
      </c>
      <c r="G89" s="49">
        <f>(F89/$B$89)*100</f>
        <v>0</v>
      </c>
      <c r="H89" s="29">
        <f>COUNTIFS(OCCIDENTE!A:A,"Heliconia",OCCIDENTE!S:S,"MEDIO")</f>
        <v>0</v>
      </c>
      <c r="I89" s="49">
        <f>(H89/$B$89)*100</f>
        <v>0</v>
      </c>
      <c r="J89" s="29">
        <f>COUNTIFS(OCCIDENTE!A:A,"Heliconia",OCCIDENTE!S:S,"ALTO")</f>
        <v>1</v>
      </c>
      <c r="K89" s="49">
        <f>(J89/$B$89)*100</f>
        <v>8.3333333333333321</v>
      </c>
      <c r="L89" s="29">
        <f>COUNTIFS(OCCIDENTE!A:A,"Heliconia",OCCIDENTE!S:S,"INVIABLE SANITARIAMENTE")</f>
        <v>4</v>
      </c>
      <c r="M89" s="49">
        <f>(L89/$B$89)*100</f>
        <v>33.333333333333329</v>
      </c>
      <c r="N89" s="362">
        <f t="shared" si="9"/>
        <v>6</v>
      </c>
      <c r="O89" s="49">
        <f>(N89/$B$89)*100</f>
        <v>50</v>
      </c>
      <c r="P89" s="24"/>
    </row>
    <row r="90" spans="1:16" ht="15.75" x14ac:dyDescent="0.2">
      <c r="A90" s="61" t="s">
        <v>154</v>
      </c>
      <c r="B90" s="375">
        <f>'CONSOLIDADO-ACUEDUCTOSRURALES1'!D60</f>
        <v>33</v>
      </c>
      <c r="C90" s="49">
        <f t="shared" si="8"/>
        <v>6.6398390342052318</v>
      </c>
      <c r="D90" s="29">
        <f>COUNTIFS(OCCIDENTE!A:A,"Liborina",OCCIDENTE!S:S,"SIN RIESGO")</f>
        <v>1</v>
      </c>
      <c r="E90" s="49">
        <f>(D90/$B$90)*100</f>
        <v>3.0303030303030303</v>
      </c>
      <c r="F90" s="378">
        <f>COUNTIFS(OCCIDENTE!A:A,"liborina",OCCIDENTE!S:S,"BAJO")</f>
        <v>0</v>
      </c>
      <c r="G90" s="49">
        <f>(F90/$B$90)*100</f>
        <v>0</v>
      </c>
      <c r="H90" s="29">
        <f>COUNTIFS(OCCIDENTE!A:A,"Liborina",OCCIDENTE!S:S,"MEDIO")</f>
        <v>0</v>
      </c>
      <c r="I90" s="49">
        <f>(H90/$B$90)*100</f>
        <v>0</v>
      </c>
      <c r="J90" s="29">
        <f>COUNTIFS(OCCIDENTE!A:A,"Liborina",OCCIDENTE!S:S,"ALTO")</f>
        <v>16</v>
      </c>
      <c r="K90" s="49">
        <f>(J90/$B$90)*100</f>
        <v>48.484848484848484</v>
      </c>
      <c r="L90" s="29">
        <f>COUNTIFS(OCCIDENTE!A:A,"Liborina",OCCIDENTE!S:S,"INVIABLE SANITARIAMENTE")</f>
        <v>16</v>
      </c>
      <c r="M90" s="49">
        <f>(L90/$B$90)*100</f>
        <v>48.484848484848484</v>
      </c>
      <c r="N90" s="362">
        <f t="shared" si="9"/>
        <v>0</v>
      </c>
      <c r="O90" s="49">
        <f>(N90/$B$90)*100</f>
        <v>0</v>
      </c>
      <c r="P90" s="24"/>
    </row>
    <row r="91" spans="1:16" ht="15.75" x14ac:dyDescent="0.2">
      <c r="A91" s="61" t="s">
        <v>155</v>
      </c>
      <c r="B91" s="375">
        <f>'CONSOLIDADO-ACUEDUCTOSRURALES1'!D61</f>
        <v>8</v>
      </c>
      <c r="C91" s="49">
        <f t="shared" si="8"/>
        <v>1.6096579476861168</v>
      </c>
      <c r="D91" s="29">
        <f>COUNTIFS(OCCIDENTE!A:A,"Olaya",OCCIDENTE!S:S,"SIN RIESGO")</f>
        <v>0</v>
      </c>
      <c r="E91" s="49">
        <f>(D91/$B$91)*100</f>
        <v>0</v>
      </c>
      <c r="F91" s="378">
        <f>COUNTIFS(OCCIDENTE!A:A,"Olaya",OCCIDENTE!S:S,"BAJO")</f>
        <v>1</v>
      </c>
      <c r="G91" s="49">
        <f>(F91/$B$91)*100</f>
        <v>12.5</v>
      </c>
      <c r="H91" s="29">
        <f>COUNTIFS(OCCIDENTE!A:A,"Olaya",OCCIDENTE!S:S,"MEDIO")</f>
        <v>0</v>
      </c>
      <c r="I91" s="49">
        <f>(H91/$B$91)*100</f>
        <v>0</v>
      </c>
      <c r="J91" s="29">
        <f>COUNTIFS(OCCIDENTE!A:A,"Olaya",OCCIDENTE!S:S,"ALTO")</f>
        <v>6</v>
      </c>
      <c r="K91" s="49">
        <f>(J91/$B$91)*100</f>
        <v>75</v>
      </c>
      <c r="L91" s="29">
        <f>COUNTIFS(OCCIDENTE!A:A,"Olaya",OCCIDENTE!S:S,"INVIABLE SANITARIAMENTE")</f>
        <v>1</v>
      </c>
      <c r="M91" s="49">
        <f>(L91/$B$91)*100</f>
        <v>12.5</v>
      </c>
      <c r="N91" s="362">
        <f t="shared" si="9"/>
        <v>0</v>
      </c>
      <c r="O91" s="49">
        <f>(N91/$B$91)*100</f>
        <v>0</v>
      </c>
      <c r="P91" s="24"/>
    </row>
    <row r="92" spans="1:16" ht="15.75" x14ac:dyDescent="0.2">
      <c r="A92" s="61" t="s">
        <v>156</v>
      </c>
      <c r="B92" s="375">
        <f>'CONSOLIDADO-ACUEDUCTOSRURALES1'!D62</f>
        <v>32</v>
      </c>
      <c r="C92" s="49">
        <f t="shared" si="8"/>
        <v>6.4386317907444672</v>
      </c>
      <c r="D92" s="29">
        <f>COUNTIFS(OCCIDENTE!A:A,"Peque",OCCIDENTE!S:S,"SIN RIESGO")</f>
        <v>0</v>
      </c>
      <c r="E92" s="49">
        <f>(D92/$B$92)*100</f>
        <v>0</v>
      </c>
      <c r="F92" s="29">
        <f>COUNTIFS(OCCIDENTE!A:A,"Peque",OCCIDENTE!S:S,"BAJO")</f>
        <v>0</v>
      </c>
      <c r="G92" s="49">
        <f>(F92/$B$92)*100</f>
        <v>0</v>
      </c>
      <c r="H92" s="29">
        <f>COUNTIFS(OCCIDENTE!A:A,"Peque",OCCIDENTE!S:S,"MEDIO")</f>
        <v>0</v>
      </c>
      <c r="I92" s="49">
        <f>(H92/$B$92)*100</f>
        <v>0</v>
      </c>
      <c r="J92" s="29">
        <f>COUNTIFS(OCCIDENTE!A:A,"Peque",OCCIDENTE!S:S,"ALTO")</f>
        <v>0</v>
      </c>
      <c r="K92" s="49">
        <f>(J92/$B$92)*100</f>
        <v>0</v>
      </c>
      <c r="L92" s="29">
        <f>COUNTIFS(OCCIDENTE!A:A,"Peque",OCCIDENTE!S:S,"INVIABLE SANITARIAMENTE")</f>
        <v>0</v>
      </c>
      <c r="M92" s="49">
        <f>(L92/$B$92)*100</f>
        <v>0</v>
      </c>
      <c r="N92" s="362">
        <f t="shared" si="9"/>
        <v>32</v>
      </c>
      <c r="O92" s="49">
        <f>(N92/$B$92)*100</f>
        <v>100</v>
      </c>
      <c r="P92" s="24"/>
    </row>
    <row r="93" spans="1:16" ht="15.75" x14ac:dyDescent="0.2">
      <c r="A93" s="61" t="s">
        <v>157</v>
      </c>
      <c r="B93" s="375">
        <f>'CONSOLIDADO-ACUEDUCTOSRURALES1'!D63</f>
        <v>26</v>
      </c>
      <c r="C93" s="49">
        <f t="shared" si="8"/>
        <v>5.2313883299798798</v>
      </c>
      <c r="D93" s="29">
        <f>COUNTIFS(OCCIDENTE!A:A,"Sabanalarga",OCCIDENTE!S:S,"SIN RIESGO")</f>
        <v>0</v>
      </c>
      <c r="E93" s="49">
        <f>(D93/$B$93)*100</f>
        <v>0</v>
      </c>
      <c r="F93" s="29">
        <f>COUNTIFS(OCCIDENTE!A:A,"Sabanalarga",OCCIDENTE!S:S,"BAJO")</f>
        <v>0</v>
      </c>
      <c r="G93" s="49">
        <f>(F93/$B$93)*100</f>
        <v>0</v>
      </c>
      <c r="H93" s="29">
        <f>COUNTIFS(OCCIDENTE!A:A,"Sabanalarga",OCCIDENTE!S:S,"MEDIO")</f>
        <v>0</v>
      </c>
      <c r="I93" s="49">
        <f>(H93/$B$93)*100</f>
        <v>0</v>
      </c>
      <c r="J93" s="29">
        <f>COUNTIFS(OCCIDENTE!A:A,"Sabanalarga",OCCIDENTE!S:S,"ALTO")</f>
        <v>0</v>
      </c>
      <c r="K93" s="49">
        <f>(J93/$B$93)*100</f>
        <v>0</v>
      </c>
      <c r="L93" s="29">
        <f>COUNTIFS(OCCIDENTE!A:A,"Sabanalarga",OCCIDENTE!S:S,"INVIABLE SANITARIAMENTE")</f>
        <v>23</v>
      </c>
      <c r="M93" s="49">
        <f>(L93/$B$93)*100</f>
        <v>88.461538461538453</v>
      </c>
      <c r="N93" s="362">
        <f t="shared" si="9"/>
        <v>3</v>
      </c>
      <c r="O93" s="49">
        <f>(N93/$B$93)*100</f>
        <v>11.538461538461538</v>
      </c>
      <c r="P93" s="24"/>
    </row>
    <row r="94" spans="1:16" ht="15.75" x14ac:dyDescent="0.2">
      <c r="A94" s="61" t="s">
        <v>158</v>
      </c>
      <c r="B94" s="375">
        <f>'CONSOLIDADO-ACUEDUCTOSRURALES1'!D64</f>
        <v>28</v>
      </c>
      <c r="C94" s="49">
        <f t="shared" si="8"/>
        <v>5.6338028169014089</v>
      </c>
      <c r="D94" s="29">
        <f>COUNTIFS(OCCIDENTE!A:A,"San Jerónimo",OCCIDENTE!S:S,"SIN RIESGO")</f>
        <v>2</v>
      </c>
      <c r="E94" s="49">
        <f>(D94/$B$94)*100</f>
        <v>7.1428571428571423</v>
      </c>
      <c r="F94" s="29">
        <f>COUNTIFS(OCCIDENTE!A:A,"San Jerónimo",OCCIDENTE!S:S,"BAJO")</f>
        <v>0</v>
      </c>
      <c r="G94" s="49">
        <f>(F94/$B$94)*100</f>
        <v>0</v>
      </c>
      <c r="H94" s="29">
        <f>COUNTIFS(OCCIDENTE!A:A,"San Jerónimo",OCCIDENTE!S:S,"MEDIO")</f>
        <v>2</v>
      </c>
      <c r="I94" s="49">
        <f>(H94/$B$94)*100</f>
        <v>7.1428571428571423</v>
      </c>
      <c r="J94" s="29">
        <f>COUNTIFS(OCCIDENTE!A:A,"San Jerónimo",OCCIDENTE!S:S,"ALTO")</f>
        <v>22</v>
      </c>
      <c r="K94" s="49">
        <f>(J94/$B$94)*100</f>
        <v>78.571428571428569</v>
      </c>
      <c r="L94" s="29">
        <f>COUNTIFS(OCCIDENTE!A:A,"San Jerónimo",OCCIDENTE!S:S,"INVIABLE SANITARIAMENTE")</f>
        <v>2</v>
      </c>
      <c r="M94" s="49">
        <f>(L94/$B$94)*100</f>
        <v>7.1428571428571423</v>
      </c>
      <c r="N94" s="362">
        <f t="shared" si="9"/>
        <v>0</v>
      </c>
      <c r="O94" s="49">
        <f>(N94/$B$94)*100</f>
        <v>0</v>
      </c>
      <c r="P94" s="24"/>
    </row>
    <row r="95" spans="1:16" ht="15.75" x14ac:dyDescent="0.2">
      <c r="A95" s="61" t="s">
        <v>159</v>
      </c>
      <c r="B95" s="375">
        <f>'CONSOLIDADO-ACUEDUCTOSRURALES1'!D65</f>
        <v>37</v>
      </c>
      <c r="C95" s="49">
        <f t="shared" si="8"/>
        <v>7.4446680080482901</v>
      </c>
      <c r="D95" s="29">
        <f>COUNTIFS(OCCIDENTE!A:A,"Santafe de Antioquia",OCCIDENTE!S:S,"SIN RIESGO")</f>
        <v>6</v>
      </c>
      <c r="E95" s="49">
        <f>(D95/$B$95)*100</f>
        <v>16.216216216216218</v>
      </c>
      <c r="F95" s="29">
        <f>COUNTIFS(OCCIDENTE!A:A,"Santafe de Antioquia",OCCIDENTE!S:S,"BAJO")</f>
        <v>0</v>
      </c>
      <c r="G95" s="49">
        <f>(F95/$B$95)*100</f>
        <v>0</v>
      </c>
      <c r="H95" s="29">
        <f>COUNTIFS(OCCIDENTE!A:A,"Santafe de Antioquia",OCCIDENTE!S:S,"MEDIO")</f>
        <v>0</v>
      </c>
      <c r="I95" s="49">
        <f>(H95/$B$95)*100</f>
        <v>0</v>
      </c>
      <c r="J95" s="29">
        <f>COUNTIFS(OCCIDENTE!A:A,"Santafe de Antioquia",OCCIDENTE!S:S,"ALTO")</f>
        <v>0</v>
      </c>
      <c r="K95" s="49">
        <f>(J95/$B$95)*100</f>
        <v>0</v>
      </c>
      <c r="L95" s="29">
        <f>COUNTIFS(OCCIDENTE!A:A,"Santafe de Antioquia",OCCIDENTE!S:S,"INVIABLE SANITARIAMENTE")</f>
        <v>31</v>
      </c>
      <c r="M95" s="49">
        <f>(L95/$B$95)*100</f>
        <v>83.78378378378379</v>
      </c>
      <c r="N95" s="362">
        <f t="shared" si="9"/>
        <v>0</v>
      </c>
      <c r="O95" s="49">
        <f>(N95/$B$95)*100</f>
        <v>0</v>
      </c>
      <c r="P95" s="24"/>
    </row>
    <row r="96" spans="1:16" ht="15.75" x14ac:dyDescent="0.2">
      <c r="A96" s="61" t="s">
        <v>160</v>
      </c>
      <c r="B96" s="375">
        <f>'CONSOLIDADO-ACUEDUCTOSRURALES1'!D66</f>
        <v>27</v>
      </c>
      <c r="C96" s="49">
        <f t="shared" si="8"/>
        <v>5.4325955734406444</v>
      </c>
      <c r="D96" s="45">
        <f>COUNTIFS(OCCIDENTE!A:A,"Sopetrán",OCCIDENTE!S:S,"SIN RIESGO")</f>
        <v>5</v>
      </c>
      <c r="E96" s="49">
        <f>(D96/$B$96)*100</f>
        <v>18.518518518518519</v>
      </c>
      <c r="F96" s="45">
        <f>COUNTIFS(OCCIDENTE!A:A,"Sopetrán",OCCIDENTE!S:S,"BAJO")</f>
        <v>1</v>
      </c>
      <c r="G96" s="49">
        <f>(F96/$B$96)*100</f>
        <v>3.7037037037037033</v>
      </c>
      <c r="H96" s="29">
        <f>COUNTIFS(OCCIDENTE!A:A,"Sopetrán",OCCIDENTE!S:S,"MEDIO")</f>
        <v>2</v>
      </c>
      <c r="I96" s="49">
        <f>(H96/$B$96)*100</f>
        <v>7.4074074074074066</v>
      </c>
      <c r="J96" s="29">
        <f>COUNTIFS(OCCIDENTE!A:A,"Sopetrán",OCCIDENTE!S:S,"ALTO")</f>
        <v>7</v>
      </c>
      <c r="K96" s="49">
        <f>(J96/$B$96)*100</f>
        <v>25.925925925925924</v>
      </c>
      <c r="L96" s="29">
        <f>COUNTIFS(OCCIDENTE!A:A,"Sopetrán",OCCIDENTE!S:S,"INVIABLE SANITARIAMENTE")</f>
        <v>11</v>
      </c>
      <c r="M96" s="49">
        <f>(L96/$B$96)*100</f>
        <v>40.74074074074074</v>
      </c>
      <c r="N96" s="362">
        <f t="shared" si="9"/>
        <v>1</v>
      </c>
      <c r="O96" s="49">
        <f>(N96/$B$96)*100</f>
        <v>3.7037037037037033</v>
      </c>
      <c r="P96" s="24"/>
    </row>
    <row r="97" spans="1:16" s="28" customFormat="1" ht="15.75" x14ac:dyDescent="0.2">
      <c r="A97" s="61" t="s">
        <v>161</v>
      </c>
      <c r="B97" s="375">
        <f>'CONSOLIDADO-ACUEDUCTOSRURALES1'!D67</f>
        <v>17</v>
      </c>
      <c r="C97" s="49">
        <f t="shared" si="8"/>
        <v>3.4205231388329982</v>
      </c>
      <c r="D97" s="29">
        <f>COUNTIFS(OCCIDENTE!A:A,"Uramita",OCCIDENTE!S:S,"SIN RIESGO")</f>
        <v>0</v>
      </c>
      <c r="E97" s="49">
        <f>(D97/$B$97)*100</f>
        <v>0</v>
      </c>
      <c r="F97" s="29">
        <f>COUNTIFS(OCCIDENTE!C:C,"Uramita",OCCIDENTE!U:U,"SIN RIESGO")</f>
        <v>0</v>
      </c>
      <c r="G97" s="49">
        <f>(F97/$B$97)*100</f>
        <v>0</v>
      </c>
      <c r="H97" s="29">
        <f>COUNTIFS(OCCIDENTE!A:A,"Uramita",OCCIDENTE!S:S,"MEDIO")</f>
        <v>0</v>
      </c>
      <c r="I97" s="49">
        <f>(H97/$B$97)*100</f>
        <v>0</v>
      </c>
      <c r="J97" s="29">
        <f>COUNTIFS(OCCIDENTE!A:A,"Uramita",OCCIDENTE!S:S,"ALTO")</f>
        <v>0</v>
      </c>
      <c r="K97" s="49">
        <f>(J97/$B$97)*100</f>
        <v>0</v>
      </c>
      <c r="L97" s="29">
        <f>COUNTIFS(OCCIDENTE!A:A,"Uramita",OCCIDENTE!S:S,"INVIABLE SANITARIAMENTE")</f>
        <v>16</v>
      </c>
      <c r="M97" s="49">
        <f>(L97/$B$97)*100</f>
        <v>94.117647058823522</v>
      </c>
      <c r="N97" s="362">
        <f t="shared" si="9"/>
        <v>1</v>
      </c>
      <c r="O97" s="49">
        <f>(N97/$B$97)*100</f>
        <v>5.8823529411764701</v>
      </c>
      <c r="P97" s="27"/>
    </row>
    <row r="98" spans="1:16" s="23" customFormat="1" ht="28.5" customHeight="1" x14ac:dyDescent="0.2">
      <c r="A98" s="77" t="s">
        <v>225</v>
      </c>
      <c r="B98" s="78">
        <f>SUM(B79:B97)</f>
        <v>497</v>
      </c>
      <c r="C98" s="79">
        <f>SUM(C79:C97)</f>
        <v>100.00000000000003</v>
      </c>
      <c r="D98" s="78">
        <f>SUM(D79:D97)</f>
        <v>24</v>
      </c>
      <c r="E98" s="79">
        <f>(D98/$B$98)*100</f>
        <v>4.8289738430583498</v>
      </c>
      <c r="F98" s="78">
        <f>SUM(F79:F97)</f>
        <v>2</v>
      </c>
      <c r="G98" s="79">
        <f>(F98/$B$98)*100</f>
        <v>0.4024144869215292</v>
      </c>
      <c r="H98" s="78">
        <f>SUM(H79:H97)</f>
        <v>4</v>
      </c>
      <c r="I98" s="79">
        <f>(H98/$B$98)*100</f>
        <v>0.8048289738430584</v>
      </c>
      <c r="J98" s="78">
        <f>SUM(J79:J97)</f>
        <v>74</v>
      </c>
      <c r="K98" s="79">
        <f>(J98/$B$98)*100</f>
        <v>14.88933601609658</v>
      </c>
      <c r="L98" s="78">
        <f>SUM(L79:L97)</f>
        <v>241</v>
      </c>
      <c r="M98" s="79">
        <f>(L98/$B$98)*100</f>
        <v>48.490945674044269</v>
      </c>
      <c r="N98" s="78">
        <f>SUM(N79:N97)</f>
        <v>152</v>
      </c>
      <c r="O98" s="79">
        <f>(N98/$B$98)*100</f>
        <v>30.583501006036219</v>
      </c>
      <c r="P98" s="26"/>
    </row>
    <row r="99" spans="1:16" x14ac:dyDescent="0.2">
      <c r="A99" s="33"/>
      <c r="B99" s="66"/>
      <c r="C99" s="33"/>
      <c r="D99" s="66"/>
      <c r="E99" s="33"/>
      <c r="F99" s="66"/>
      <c r="G99" s="33"/>
      <c r="H99" s="66"/>
      <c r="I99" s="33"/>
      <c r="J99" s="66"/>
      <c r="K99" s="33"/>
      <c r="L99" s="66"/>
      <c r="M99" s="33"/>
      <c r="N99" s="66"/>
      <c r="O99" s="33"/>
      <c r="P99" s="4"/>
    </row>
    <row r="100" spans="1:16" x14ac:dyDescent="0.2">
      <c r="A100" s="33"/>
      <c r="B100" s="66"/>
      <c r="C100" s="33"/>
      <c r="D100" s="66"/>
      <c r="E100" s="33"/>
      <c r="F100" s="66"/>
      <c r="G100" s="33"/>
      <c r="H100" s="66"/>
      <c r="I100" s="33"/>
      <c r="J100" s="66"/>
      <c r="K100" s="33"/>
      <c r="L100" s="66"/>
      <c r="M100" s="33"/>
      <c r="N100" s="66"/>
      <c r="O100" s="33"/>
      <c r="P100" s="4"/>
    </row>
    <row r="101" spans="1:16" ht="23.25" customHeight="1" x14ac:dyDescent="0.2">
      <c r="A101" s="590" t="s">
        <v>4349</v>
      </c>
      <c r="B101" s="590"/>
      <c r="C101" s="590"/>
      <c r="D101" s="590"/>
      <c r="E101" s="590"/>
      <c r="F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24"/>
    </row>
    <row r="102" spans="1:16" ht="132.75" customHeight="1" x14ac:dyDescent="0.2">
      <c r="A102" s="441" t="s">
        <v>11</v>
      </c>
      <c r="B102" s="72" t="s">
        <v>256</v>
      </c>
      <c r="C102" s="441" t="s">
        <v>105</v>
      </c>
      <c r="D102" s="444" t="s">
        <v>250</v>
      </c>
      <c r="E102" s="441" t="s">
        <v>105</v>
      </c>
      <c r="F102" s="445" t="s">
        <v>251</v>
      </c>
      <c r="G102" s="441" t="s">
        <v>105</v>
      </c>
      <c r="H102" s="446" t="s">
        <v>252</v>
      </c>
      <c r="I102" s="441" t="s">
        <v>105</v>
      </c>
      <c r="J102" s="447" t="s">
        <v>253</v>
      </c>
      <c r="K102" s="441" t="s">
        <v>105</v>
      </c>
      <c r="L102" s="448" t="s">
        <v>254</v>
      </c>
      <c r="M102" s="441" t="s">
        <v>105</v>
      </c>
      <c r="N102" s="72" t="s">
        <v>255</v>
      </c>
      <c r="O102" s="441" t="s">
        <v>105</v>
      </c>
      <c r="P102" s="24"/>
    </row>
    <row r="103" spans="1:16" ht="15.75" x14ac:dyDescent="0.2">
      <c r="A103" s="61" t="s">
        <v>163</v>
      </c>
      <c r="B103" s="45">
        <f>'CONSOLIDADO-ACUEDUCTOSRURALES1'!D69</f>
        <v>34</v>
      </c>
      <c r="C103" s="49">
        <f>(B103/$B$126)*100</f>
        <v>6.8136272545090177</v>
      </c>
      <c r="D103" s="29">
        <f>COUNTIFS(SUROESTE!A:A,"Amagá",SUROESTE!S:S,"SIN RIESGO")</f>
        <v>0</v>
      </c>
      <c r="E103" s="49">
        <f>(D103/$B$103)*100</f>
        <v>0</v>
      </c>
      <c r="F103" s="29">
        <f>COUNTIFS(SUROESTE!A:A,"Amagá",SUROESTE!S:S,"BAJO")</f>
        <v>0</v>
      </c>
      <c r="G103" s="49">
        <f>(F103/$B$103)*100</f>
        <v>0</v>
      </c>
      <c r="H103" s="29">
        <f>COUNTIFS(SUROESTE!A:A,"Amagá",SUROESTE!S:S,"MEDIO")</f>
        <v>2</v>
      </c>
      <c r="I103" s="49">
        <f>(H103/$B$103)*100</f>
        <v>5.8823529411764701</v>
      </c>
      <c r="J103" s="29">
        <f>COUNTIFS(SUROESTE!A:A,"Amagá",SUROESTE!S:S,"ALTO")</f>
        <v>14</v>
      </c>
      <c r="K103" s="49">
        <f>(J103/$B$103)*100</f>
        <v>41.17647058823529</v>
      </c>
      <c r="L103" s="29">
        <f>COUNTIFS(SUROESTE!A:A,"Amagá",SUROESTE!S:S,"INVIABLE SANITARIAMENTE")</f>
        <v>18</v>
      </c>
      <c r="M103" s="49">
        <f>(L103/$B$103)*100</f>
        <v>52.941176470588239</v>
      </c>
      <c r="N103" s="29">
        <f>B103-(D103+F103+H103+J103+L103)</f>
        <v>0</v>
      </c>
      <c r="O103" s="49">
        <f>(N103/$B$103)*100</f>
        <v>0</v>
      </c>
      <c r="P103" s="24"/>
    </row>
    <row r="104" spans="1:16" ht="15.75" x14ac:dyDescent="0.2">
      <c r="A104" s="61" t="s">
        <v>164</v>
      </c>
      <c r="B104" s="45">
        <f>'CONSOLIDADO-ACUEDUCTOSRURALES1'!D70</f>
        <v>55</v>
      </c>
      <c r="C104" s="49">
        <f t="shared" ref="C104:C125" si="10">(B104/$B$126)*100</f>
        <v>11.022044088176353</v>
      </c>
      <c r="D104" s="29">
        <f>COUNTIFS(SUROESTE!A:A,"Andes",SUROESTE!S:S,"SIN RIESGO")</f>
        <v>0</v>
      </c>
      <c r="E104" s="49">
        <f>(D104/$B$104)*100</f>
        <v>0</v>
      </c>
      <c r="F104" s="29">
        <f>COUNTIFS(SUROESTE!A:A,"Andes",SUROESTE!S:S,"BAJO")</f>
        <v>0</v>
      </c>
      <c r="G104" s="49">
        <f>(F104/$B$104)*100</f>
        <v>0</v>
      </c>
      <c r="H104" s="29">
        <f>COUNTIFS(SUROESTE!A:A,"Andes",SUROESTE!S:S,"MEDIO")</f>
        <v>3</v>
      </c>
      <c r="I104" s="49">
        <f>(H104/$B$104)*100</f>
        <v>5.4545454545454541</v>
      </c>
      <c r="J104" s="29">
        <f>COUNTIFS(SUROESTE!A:A,"Andes",SUROESTE!S:S,"ALTO")</f>
        <v>19</v>
      </c>
      <c r="K104" s="49">
        <f>(J104/$B$104)*100</f>
        <v>34.545454545454547</v>
      </c>
      <c r="L104" s="29">
        <f>COUNTIFS(SUROESTE!A:A,"Andes",SUROESTE!S:S,"INVIABLE SANITARIAMENTE")</f>
        <v>21</v>
      </c>
      <c r="M104" s="49">
        <f>(L104/$B$104)*100</f>
        <v>38.181818181818187</v>
      </c>
      <c r="N104" s="362">
        <f t="shared" ref="N104:N125" si="11">B104-(D104+F104+H104+J104+L104)</f>
        <v>12</v>
      </c>
      <c r="O104" s="49">
        <f>(N104/$B$104)*100</f>
        <v>21.818181818181817</v>
      </c>
      <c r="P104" s="24"/>
    </row>
    <row r="105" spans="1:16" ht="15.75" x14ac:dyDescent="0.2">
      <c r="A105" s="61" t="s">
        <v>4125</v>
      </c>
      <c r="B105" s="45">
        <f>'CONSOLIDADO-ACUEDUCTOSRURALES1'!D71</f>
        <v>12</v>
      </c>
      <c r="C105" s="49">
        <f t="shared" si="10"/>
        <v>2.4048096192384771</v>
      </c>
      <c r="D105" s="29">
        <f>COUNTIFS(SUROESTE!A:A,"Angelópolis",SUROESTE!S:S,"SIN RIESGO")</f>
        <v>1</v>
      </c>
      <c r="E105" s="49">
        <f>(D105/$B$105)*100</f>
        <v>8.3333333333333321</v>
      </c>
      <c r="F105" s="29">
        <f>COUNTIFS(SUROESTE!A:A,"Angelópolis",SUROESTE!S:S,"BAJO")</f>
        <v>0</v>
      </c>
      <c r="G105" s="49">
        <f>(F105/$B$105)*100</f>
        <v>0</v>
      </c>
      <c r="H105" s="29">
        <f>COUNTIFS(SUROESTE!A:A,"Angelópolis",SUROESTE!S:S,"MEDIO")</f>
        <v>0</v>
      </c>
      <c r="I105" s="49">
        <f>(H105/$B$105)*100</f>
        <v>0</v>
      </c>
      <c r="J105" s="29">
        <f>COUNTIFS(SUROESTE!A:A,"Angelópolis",SUROESTE!S:S,"ALTO")</f>
        <v>0</v>
      </c>
      <c r="K105" s="49">
        <f>(J105/$B$105)*100</f>
        <v>0</v>
      </c>
      <c r="L105" s="29">
        <f>COUNTIFS(SUROESTE!A:A,"Angelópolis",SUROESTE!S:S,"INVIABLE SANITARIAMENTE")</f>
        <v>11</v>
      </c>
      <c r="M105" s="49">
        <f>(L105/$B$105)*100</f>
        <v>91.666666666666657</v>
      </c>
      <c r="N105" s="362">
        <f t="shared" si="11"/>
        <v>0</v>
      </c>
      <c r="O105" s="49">
        <f>(N105/$B$105)*100</f>
        <v>0</v>
      </c>
      <c r="P105" s="24"/>
    </row>
    <row r="106" spans="1:16" ht="15.75" x14ac:dyDescent="0.2">
      <c r="A106" s="61" t="s">
        <v>165</v>
      </c>
      <c r="B106" s="45">
        <f>'CONSOLIDADO-ACUEDUCTOSRURALES1'!D72</f>
        <v>12</v>
      </c>
      <c r="C106" s="49">
        <f t="shared" si="10"/>
        <v>2.4048096192384771</v>
      </c>
      <c r="D106" s="29">
        <f>COUNTIFS(SUROESTE!A:A,"Betania",SUROESTE!S:S,"SIN RIESGO")</f>
        <v>5</v>
      </c>
      <c r="E106" s="49">
        <f>(D106/$B$106)*100</f>
        <v>41.666666666666671</v>
      </c>
      <c r="F106" s="29">
        <f>COUNTIFS(SUROESTE!A:A,"Betania",SUROESTE!S:S,"BAJO")</f>
        <v>0</v>
      </c>
      <c r="G106" s="49">
        <f>(F106/$B$106)*100</f>
        <v>0</v>
      </c>
      <c r="H106" s="29">
        <f>COUNTIFS(SUROESTE!A:A,"Betania",SUROESTE!S:S,"MEDIO")</f>
        <v>3</v>
      </c>
      <c r="I106" s="49">
        <f>(H106/$B$106)*100</f>
        <v>25</v>
      </c>
      <c r="J106" s="29">
        <f>COUNTIFS(SUROESTE!A:A,"Betania",SUROESTE!S:S,"ALTO")</f>
        <v>0</v>
      </c>
      <c r="K106" s="49">
        <f>(J106/$B$106)*100</f>
        <v>0</v>
      </c>
      <c r="L106" s="29">
        <f>COUNTIFS(SUROESTE!A:A,"Betania",SUROESTE!S:S,"INVIABLE SANITARIAMENTE")</f>
        <v>0</v>
      </c>
      <c r="M106" s="49">
        <f>(L106/$B$106)*100</f>
        <v>0</v>
      </c>
      <c r="N106" s="362">
        <f t="shared" si="11"/>
        <v>4</v>
      </c>
      <c r="O106" s="49">
        <f>(N106/$B$106)*100</f>
        <v>33.333333333333329</v>
      </c>
      <c r="P106" s="24"/>
    </row>
    <row r="107" spans="1:16" ht="15.75" x14ac:dyDescent="0.2">
      <c r="A107" s="61" t="s">
        <v>47</v>
      </c>
      <c r="B107" s="45">
        <f>'CONSOLIDADO-ACUEDUCTOSRURALES1'!D73</f>
        <v>28</v>
      </c>
      <c r="C107" s="49">
        <f t="shared" si="10"/>
        <v>5.6112224448897798</v>
      </c>
      <c r="D107" s="29">
        <f>COUNTIFS(SUROESTE!A:A,"Betulia",SUROESTE!S:S,"SIN RIESGO")</f>
        <v>2</v>
      </c>
      <c r="E107" s="49">
        <f>(D107/$B$107)*100</f>
        <v>7.1428571428571423</v>
      </c>
      <c r="F107" s="29">
        <f>COUNTIFS(SUROESTE!A:A,"Betulia",SUROESTE!S:S,"BAJO")</f>
        <v>1</v>
      </c>
      <c r="G107" s="49">
        <f>(F107/$B$107)*100</f>
        <v>3.5714285714285712</v>
      </c>
      <c r="H107" s="29">
        <f>COUNTIFS(SUROESTE!A:A,"Betulia",SUROESTE!S:S,"MEDIO")</f>
        <v>0</v>
      </c>
      <c r="I107" s="49">
        <f>(H107/$B$107)*100</f>
        <v>0</v>
      </c>
      <c r="J107" s="29">
        <f>COUNTIFS(SUROESTE!A:A,"Betulia",SUROESTE!S:S,"ALTO")</f>
        <v>21</v>
      </c>
      <c r="K107" s="49">
        <f>(J107/$B$107)*100</f>
        <v>75</v>
      </c>
      <c r="L107" s="29">
        <f>COUNTIFS(SUROESTE!A:A,"Betulia",SUROESTE!S:S,"INVIABLE SANITARIAMENTE")</f>
        <v>0</v>
      </c>
      <c r="M107" s="49">
        <f>(L107/$B$107)*100</f>
        <v>0</v>
      </c>
      <c r="N107" s="362">
        <f t="shared" si="11"/>
        <v>4</v>
      </c>
      <c r="O107" s="49">
        <f>(N107/$B$107)*100</f>
        <v>14.285714285714285</v>
      </c>
      <c r="P107" s="24"/>
    </row>
    <row r="108" spans="1:16" ht="15.75" x14ac:dyDescent="0.2">
      <c r="A108" s="61" t="s">
        <v>166</v>
      </c>
      <c r="B108" s="45">
        <f>'CONSOLIDADO-ACUEDUCTOSRURALES1'!D74</f>
        <v>16</v>
      </c>
      <c r="C108" s="49">
        <f t="shared" si="10"/>
        <v>3.2064128256513023</v>
      </c>
      <c r="D108" s="29">
        <f>COUNTIFS(SUROESTE!A:A,"Caramanta",SUROESTE!S:S,"SIN RIESGO")</f>
        <v>0</v>
      </c>
      <c r="E108" s="49">
        <f>(D108/$B$108)*100</f>
        <v>0</v>
      </c>
      <c r="F108" s="29">
        <f>COUNTIFS(SUROESTE!A:A,"Caramanta",SUROESTE!S:S,"BAJO")</f>
        <v>0</v>
      </c>
      <c r="G108" s="49">
        <f>(F108/$B$108)*100</f>
        <v>0</v>
      </c>
      <c r="H108" s="29">
        <f>COUNTIFS(SUROESTE!A:A,"Caramanta",SUROESTE!S:S,"MEDIO")</f>
        <v>0</v>
      </c>
      <c r="I108" s="49">
        <f>(H108/$B$108)*100</f>
        <v>0</v>
      </c>
      <c r="J108" s="29">
        <f>COUNTIFS(SUROESTE!A:A,"Caramanta",SUROESTE!S:S,"ALTO")</f>
        <v>0</v>
      </c>
      <c r="K108" s="49">
        <f>(J108/$B$108)*100</f>
        <v>0</v>
      </c>
      <c r="L108" s="29">
        <f>COUNTIFS(SUROESTE!A:A,"Caramanta",SUROESTE!S:S,"INVIABLE SANITARIAMENTE")</f>
        <v>13</v>
      </c>
      <c r="M108" s="49">
        <f>(L108/$B$108)*100</f>
        <v>81.25</v>
      </c>
      <c r="N108" s="362">
        <f t="shared" si="11"/>
        <v>3</v>
      </c>
      <c r="O108" s="49">
        <f>(N108/$B$108)*100</f>
        <v>18.75</v>
      </c>
      <c r="P108" s="24"/>
    </row>
    <row r="109" spans="1:16" ht="15.75" x14ac:dyDescent="0.2">
      <c r="A109" s="61" t="s">
        <v>167</v>
      </c>
      <c r="B109" s="45">
        <f>'CONSOLIDADO-ACUEDUCTOSRURALES1'!D75</f>
        <v>17</v>
      </c>
      <c r="C109" s="49">
        <f t="shared" si="10"/>
        <v>3.4068136272545089</v>
      </c>
      <c r="D109" s="29">
        <f>COUNTIFS(SUROESTE!A:A,"Ciudad Bolívar",SUROESTE!S:S,"SIN RIESGO")</f>
        <v>4</v>
      </c>
      <c r="E109" s="49">
        <f>(D109/$B$109)*100</f>
        <v>23.52941176470588</v>
      </c>
      <c r="F109" s="29">
        <f>COUNTIFS(SUROESTE!A:A,"Ciudad Bolívar",SUROESTE!S:S,"BAJO")</f>
        <v>0</v>
      </c>
      <c r="G109" s="49">
        <f>(F109/$B$109)*100</f>
        <v>0</v>
      </c>
      <c r="H109" s="29">
        <f>COUNTIFS(SUROESTE!A:A,"Ciudad Bolívar",SUROESTE!S:S,"MEDIO")</f>
        <v>0</v>
      </c>
      <c r="I109" s="49">
        <f>(H109/$B$109)*100</f>
        <v>0</v>
      </c>
      <c r="J109" s="29">
        <f>COUNTIFS(SUROESTE!A:A,"Ciudad Bolívar",SUROESTE!S:S,"ALTO")</f>
        <v>2</v>
      </c>
      <c r="K109" s="49">
        <f>(J109/$B$109)*100</f>
        <v>11.76470588235294</v>
      </c>
      <c r="L109" s="29">
        <f>COUNTIFS(SUROESTE!A:A,"Ciudad Bolívar",SUROESTE!S:S,"INVIABLE SANITARIAMENTE")</f>
        <v>8</v>
      </c>
      <c r="M109" s="49">
        <f>(L109/$B$109)*100</f>
        <v>47.058823529411761</v>
      </c>
      <c r="N109" s="362">
        <f t="shared" si="11"/>
        <v>3</v>
      </c>
      <c r="O109" s="49">
        <f>(N109/$B$109)*100</f>
        <v>17.647058823529413</v>
      </c>
      <c r="P109" s="24"/>
    </row>
    <row r="110" spans="1:16" ht="15.75" x14ac:dyDescent="0.2">
      <c r="A110" s="61" t="s">
        <v>168</v>
      </c>
      <c r="B110" s="45">
        <f>'CONSOLIDADO-ACUEDUCTOSRURALES1'!D76</f>
        <v>21</v>
      </c>
      <c r="C110" s="49">
        <f t="shared" si="10"/>
        <v>4.2084168336673349</v>
      </c>
      <c r="D110" s="29">
        <f>COUNTIFS(SUROESTE!A:A,"Concordia",SUROESTE!S:S,"SIN RIESGO")</f>
        <v>4</v>
      </c>
      <c r="E110" s="49">
        <f>(D110/$B$110)*100</f>
        <v>19.047619047619047</v>
      </c>
      <c r="F110" s="29">
        <f>COUNTIFS(SUROESTE!A:A,"Concordia",SUROESTE!S:S,"BAJO")</f>
        <v>1</v>
      </c>
      <c r="G110" s="49">
        <f>(F110/$B$110)*100</f>
        <v>4.7619047619047619</v>
      </c>
      <c r="H110" s="29">
        <f>COUNTIFS(SUROESTE!A:A,"Concordia",SUROESTE!S:S,"MEDIO")</f>
        <v>1</v>
      </c>
      <c r="I110" s="49">
        <f>(H110/$B$110)*100</f>
        <v>4.7619047619047619</v>
      </c>
      <c r="J110" s="29">
        <f>COUNTIFS(SUROESTE!A:A,"Concordia",SUROESTE!S:S,"ALTO")</f>
        <v>7</v>
      </c>
      <c r="K110" s="49">
        <f>(J110/$B$110)*100</f>
        <v>33.333333333333329</v>
      </c>
      <c r="L110" s="29">
        <f>COUNTIFS(SUROESTE!A:A,"Concordia",SUROESTE!S:S,"INVIABLE SANITARIAMENTE")</f>
        <v>8</v>
      </c>
      <c r="M110" s="49">
        <f>(L110/$B$110)*100</f>
        <v>38.095238095238095</v>
      </c>
      <c r="N110" s="362">
        <f t="shared" si="11"/>
        <v>0</v>
      </c>
      <c r="O110" s="49">
        <f>(N110/$B$110)*100</f>
        <v>0</v>
      </c>
      <c r="P110" s="24"/>
    </row>
    <row r="111" spans="1:16" ht="15.75" x14ac:dyDescent="0.2">
      <c r="A111" s="61" t="s">
        <v>169</v>
      </c>
      <c r="B111" s="45">
        <f>'CONSOLIDADO-ACUEDUCTOSRURALES1'!D77</f>
        <v>35</v>
      </c>
      <c r="C111" s="49">
        <f t="shared" si="10"/>
        <v>7.0140280561122248</v>
      </c>
      <c r="D111" s="29">
        <f>COUNTIFS(SUROESTE!A:A,"Fredonia",SUROESTE!S:S,"SIN RIESGO")</f>
        <v>8</v>
      </c>
      <c r="E111" s="49">
        <f>(D111/$B$111)*100</f>
        <v>22.857142857142858</v>
      </c>
      <c r="F111" s="29">
        <f>COUNTIFS(SUROESTE!A:A,"Fredonia",SUROESTE!S:S,"BAJO")</f>
        <v>0</v>
      </c>
      <c r="G111" s="49">
        <f>(F111/$B$111)*100</f>
        <v>0</v>
      </c>
      <c r="H111" s="29">
        <f>COUNTIFS(SUROESTE!A:A,"Fredonia",SUROESTE!S:S,"MEDIO")</f>
        <v>8</v>
      </c>
      <c r="I111" s="49">
        <f>(H111/$B$111)*100</f>
        <v>22.857142857142858</v>
      </c>
      <c r="J111" s="29">
        <f>COUNTIFS(SUROESTE!A:A,"Fredonia",SUROESTE!S:S,"ALTO")</f>
        <v>1</v>
      </c>
      <c r="K111" s="49">
        <f>(J111/$B$111)*100</f>
        <v>2.8571428571428572</v>
      </c>
      <c r="L111" s="29">
        <f>COUNTIFS(SUROESTE!A:A,"Fredonia",SUROESTE!S:S,"INVIABLE SANITARIAMENTE")</f>
        <v>11</v>
      </c>
      <c r="M111" s="49">
        <f>(L111/$B$111)*100</f>
        <v>31.428571428571427</v>
      </c>
      <c r="N111" s="362">
        <f t="shared" si="11"/>
        <v>7</v>
      </c>
      <c r="O111" s="49">
        <f>(N111/$B$111)*100</f>
        <v>20</v>
      </c>
      <c r="P111" s="24"/>
    </row>
    <row r="112" spans="1:16" ht="15.75" x14ac:dyDescent="0.2">
      <c r="A112" s="61" t="s">
        <v>170</v>
      </c>
      <c r="B112" s="45">
        <f>'CONSOLIDADO-ACUEDUCTOSRURALES1'!D78</f>
        <v>9</v>
      </c>
      <c r="C112" s="49">
        <f t="shared" si="10"/>
        <v>1.8036072144288577</v>
      </c>
      <c r="D112" s="29">
        <f>COUNTIFS(SUROESTE!A:A,"Hispania",SUROESTE!S:S,"SIN RIESGO")</f>
        <v>0</v>
      </c>
      <c r="E112" s="49">
        <f>(D112/$B$112)*100</f>
        <v>0</v>
      </c>
      <c r="F112" s="29">
        <f>COUNTIFS(SUROESTE!A:A,"Hispania",SUROESTE!S:S,"BAJO")</f>
        <v>0</v>
      </c>
      <c r="G112" s="49">
        <f>(F112/$B$112)*100</f>
        <v>0</v>
      </c>
      <c r="H112" s="29">
        <f>COUNTIFS(SUROESTE!A:A,"Hispania",SUROESTE!S:S,"MEDIO")</f>
        <v>5</v>
      </c>
      <c r="I112" s="49">
        <f>(H112/$B$112)*100</f>
        <v>55.555555555555557</v>
      </c>
      <c r="J112" s="29">
        <f>COUNTIFS(SUROESTE!A:A,"Hispania",SUROESTE!S:S,"ALTO")</f>
        <v>4</v>
      </c>
      <c r="K112" s="49">
        <f>(J112/$B$112)*100</f>
        <v>44.444444444444443</v>
      </c>
      <c r="L112" s="29">
        <f>COUNTIFS(SUROESTE!A:A,"Hispania",SUROESTE!S:S,"INVIABLE SANITARIAMENTE")</f>
        <v>0</v>
      </c>
      <c r="M112" s="49">
        <f>(L112/$B$112)*100</f>
        <v>0</v>
      </c>
      <c r="N112" s="362">
        <f t="shared" si="11"/>
        <v>0</v>
      </c>
      <c r="O112" s="49">
        <f>(N112/$B$112)*100</f>
        <v>0</v>
      </c>
      <c r="P112" s="24"/>
    </row>
    <row r="113" spans="1:16" ht="15.75" x14ac:dyDescent="0.2">
      <c r="A113" s="61" t="s">
        <v>171</v>
      </c>
      <c r="B113" s="45">
        <f>'CONSOLIDADO-ACUEDUCTOSRURALES1'!D79</f>
        <v>23</v>
      </c>
      <c r="C113" s="49">
        <f t="shared" si="10"/>
        <v>4.6092184368737472</v>
      </c>
      <c r="D113" s="29">
        <f>COUNTIFS(SUROESTE!A:A,"Jardín",SUROESTE!S:S,"SIN RIESGO")</f>
        <v>0</v>
      </c>
      <c r="E113" s="49">
        <f>(D113/$B$113)*100</f>
        <v>0</v>
      </c>
      <c r="F113" s="29">
        <f>COUNTIFS(SUROESTE!A:A,"Jardín",SUROESTE!S:S,"BAJO")</f>
        <v>0</v>
      </c>
      <c r="G113" s="49">
        <f>(F113/$B$113)*100</f>
        <v>0</v>
      </c>
      <c r="H113" s="29">
        <f>COUNTIFS(SUROESTE!A:A,"Jardín",SUROESTE!S:S,"MEDIO")</f>
        <v>1</v>
      </c>
      <c r="I113" s="49">
        <f>(H113/$B$113)*100</f>
        <v>4.3478260869565215</v>
      </c>
      <c r="J113" s="29">
        <f>COUNTIFS(SUROESTE!A:A,"Jardín",SUROESTE!S:S,"ALTO")</f>
        <v>0</v>
      </c>
      <c r="K113" s="49">
        <f>(J113/$B$113)*100</f>
        <v>0</v>
      </c>
      <c r="L113" s="29">
        <f>COUNTIFS(SUROESTE!A:A,"Jardín",SUROESTE!S:S,"INVIABLE SANITARIAMENTE")</f>
        <v>22</v>
      </c>
      <c r="M113" s="49">
        <f>(L113/$B$113)*100</f>
        <v>95.652173913043484</v>
      </c>
      <c r="N113" s="414">
        <f t="shared" si="11"/>
        <v>0</v>
      </c>
      <c r="O113" s="49">
        <f>(N113/$B$113)*100</f>
        <v>0</v>
      </c>
      <c r="P113" s="24"/>
    </row>
    <row r="114" spans="1:16" ht="15.75" x14ac:dyDescent="0.2">
      <c r="A114" s="61" t="s">
        <v>172</v>
      </c>
      <c r="B114" s="45">
        <f>'CONSOLIDADO-ACUEDUCTOSRURALES1'!D80</f>
        <v>25</v>
      </c>
      <c r="C114" s="49">
        <f t="shared" si="10"/>
        <v>5.0100200400801604</v>
      </c>
      <c r="D114" s="29">
        <f>COUNTIFS(SUROESTE!A:A,"Jericó",SUROESTE!S:S,"SIN RIESGO")</f>
        <v>2</v>
      </c>
      <c r="E114" s="49">
        <f>(D114/$B$114)*100</f>
        <v>8</v>
      </c>
      <c r="F114" s="29">
        <f>COUNTIFS(SUROESTE!A:A,"Jericó",SUROESTE!S:S,"BAJO")</f>
        <v>1</v>
      </c>
      <c r="G114" s="49">
        <f>(F114/$B$114)*100</f>
        <v>4</v>
      </c>
      <c r="H114" s="29">
        <f>COUNTIFS(SUROESTE!A:A,"Jericó",SUROESTE!S:S,"MEDIO")</f>
        <v>1</v>
      </c>
      <c r="I114" s="49">
        <f>(H114/$B$114)*100</f>
        <v>4</v>
      </c>
      <c r="J114" s="29">
        <f>COUNTIFS(SUROESTE!A:A,"Jericó",SUROESTE!S:S,"ALTO")</f>
        <v>3</v>
      </c>
      <c r="K114" s="49">
        <f>(J114/$B$114)*100</f>
        <v>12</v>
      </c>
      <c r="L114" s="29">
        <f>COUNTIFS(SUROESTE!A:A,"Jericó",SUROESTE!S:S,"INVIABLE SANITARIAMENTE")</f>
        <v>18</v>
      </c>
      <c r="M114" s="49">
        <f>(L114/$B$114)*100</f>
        <v>72</v>
      </c>
      <c r="N114" s="362">
        <f t="shared" si="11"/>
        <v>0</v>
      </c>
      <c r="O114" s="49">
        <f>(N114/$B$114)*100</f>
        <v>0</v>
      </c>
      <c r="P114" s="24"/>
    </row>
    <row r="115" spans="1:16" ht="15.75" x14ac:dyDescent="0.2">
      <c r="A115" s="61" t="s">
        <v>173</v>
      </c>
      <c r="B115" s="45">
        <f>'CONSOLIDADO-ACUEDUCTOSRURALES1'!D81</f>
        <v>0</v>
      </c>
      <c r="C115" s="49">
        <f t="shared" si="10"/>
        <v>0</v>
      </c>
      <c r="D115" s="29">
        <f>COUNTIFS(SUROESTE!A:A,"La Pintada",SUROESTE!S:S,"SIN RIESGO")</f>
        <v>0</v>
      </c>
      <c r="E115" s="49">
        <v>0</v>
      </c>
      <c r="F115" s="29">
        <f>COUNTIFS(SUROESTE!A:A,"La Pintada",SUROESTE!S:S,"BAJO")</f>
        <v>0</v>
      </c>
      <c r="G115" s="49">
        <v>0</v>
      </c>
      <c r="H115" s="29">
        <f>COUNTIFS(SUROESTE!A:A,"La Pintada",SUROESTE!S:S,"MEDIO")</f>
        <v>0</v>
      </c>
      <c r="I115" s="49">
        <v>0</v>
      </c>
      <c r="J115" s="29">
        <f>COUNTIFS(SUROESTE!A:A,"La Pintada",SUROESTE!S:S,"ALTO")</f>
        <v>0</v>
      </c>
      <c r="K115" s="49">
        <v>0</v>
      </c>
      <c r="L115" s="29">
        <f>COUNTIFS(SUROESTE!A:A,"La Pintada",SUROESTE!S:S,"INVIABLE SANITARIAMENTE")</f>
        <v>0</v>
      </c>
      <c r="M115" s="49">
        <v>0</v>
      </c>
      <c r="N115" s="362">
        <f t="shared" si="11"/>
        <v>0</v>
      </c>
      <c r="O115" s="49">
        <v>0</v>
      </c>
      <c r="P115" s="24"/>
    </row>
    <row r="116" spans="1:16" ht="15.75" x14ac:dyDescent="0.2">
      <c r="A116" s="61" t="s">
        <v>174</v>
      </c>
      <c r="B116" s="45">
        <f>'CONSOLIDADO-ACUEDUCTOSRURALES1'!D82</f>
        <v>19</v>
      </c>
      <c r="C116" s="49">
        <f t="shared" si="10"/>
        <v>3.8076152304609221</v>
      </c>
      <c r="D116" s="29">
        <f>COUNTIFS(SUROESTE!A:A,"Montebello",SUROESTE!S:S,"SIN RIESGO")</f>
        <v>0</v>
      </c>
      <c r="E116" s="49">
        <f>(D116/$B$116)*100</f>
        <v>0</v>
      </c>
      <c r="F116" s="29">
        <f>COUNTIFS(SUROESTE!A:A,"Montebello",SUROESTE!S:S,"BAJO")</f>
        <v>0</v>
      </c>
      <c r="G116" s="49">
        <f>(F116/$B$116)*100</f>
        <v>0</v>
      </c>
      <c r="H116" s="29">
        <f>COUNTIFS(SUROESTE!A:A,"Montebello",SUROESTE!S:S,"MEDIO")</f>
        <v>2</v>
      </c>
      <c r="I116" s="49">
        <f>(H116/$B$116)*100</f>
        <v>10.526315789473683</v>
      </c>
      <c r="J116" s="29">
        <f>COUNTIFS(SUROESTE!A:A,"Montebello",SUROESTE!S:S,"ALTO")</f>
        <v>0</v>
      </c>
      <c r="K116" s="49">
        <f>(J116/$B$116)*100</f>
        <v>0</v>
      </c>
      <c r="L116" s="29">
        <f>COUNTIFS(SUROESTE!A:A,"Montebello",SUROESTE!S:S,"INVIABLE SANITARIAMENTE")</f>
        <v>16</v>
      </c>
      <c r="M116" s="49">
        <f>(L116/$B$116)*100</f>
        <v>84.210526315789465</v>
      </c>
      <c r="N116" s="362">
        <f t="shared" si="11"/>
        <v>1</v>
      </c>
      <c r="O116" s="49">
        <f>(N116/$B$116)*100</f>
        <v>5.2631578947368416</v>
      </c>
      <c r="P116" s="24"/>
    </row>
    <row r="117" spans="1:16" ht="15.75" x14ac:dyDescent="0.2">
      <c r="A117" s="61" t="s">
        <v>175</v>
      </c>
      <c r="B117" s="45">
        <f>'CONSOLIDADO-ACUEDUCTOSRURALES1'!D83</f>
        <v>6</v>
      </c>
      <c r="C117" s="49">
        <f t="shared" si="10"/>
        <v>1.2024048096192386</v>
      </c>
      <c r="D117" s="29">
        <f>COUNTIFS(SUROESTE!A:A,"Pueblorrico",SUROESTE!S:S,"SIN RIESGO")</f>
        <v>0</v>
      </c>
      <c r="E117" s="49">
        <f>(D117/$B$117)*100</f>
        <v>0</v>
      </c>
      <c r="F117" s="29">
        <f>COUNTIFS(SUROESTE!A:A,"Pueblorrico",SUROESTE!S:S,"BAJO")</f>
        <v>0</v>
      </c>
      <c r="G117" s="49">
        <f>(F117/$B$117)*100</f>
        <v>0</v>
      </c>
      <c r="H117" s="29">
        <f>COUNTIFS(SUROESTE!A:A,"Pueblorrico",SUROESTE!S:S,"MEDIO")</f>
        <v>0</v>
      </c>
      <c r="I117" s="49">
        <f>(H117/$B$117)*100</f>
        <v>0</v>
      </c>
      <c r="J117" s="29">
        <f>COUNTIFS(SUROESTE!A:A,"Pueblorrico",SUROESTE!S:S,"ALTO")</f>
        <v>0</v>
      </c>
      <c r="K117" s="49">
        <f>(J117/$B$117)*100</f>
        <v>0</v>
      </c>
      <c r="L117" s="29">
        <f>COUNTIFS(SUROESTE!A:A,"Pueblorrico",SUROESTE!S:S,"INVIABLE SANITARIAMENTE")</f>
        <v>6</v>
      </c>
      <c r="M117" s="49">
        <f>(L117/$B$117)*100</f>
        <v>100</v>
      </c>
      <c r="N117" s="362">
        <f t="shared" si="11"/>
        <v>0</v>
      </c>
      <c r="O117" s="49">
        <f>(N117/$B$117)*100</f>
        <v>0</v>
      </c>
      <c r="P117" s="24"/>
    </row>
    <row r="118" spans="1:16" ht="15.75" x14ac:dyDescent="0.2">
      <c r="A118" s="61" t="s">
        <v>176</v>
      </c>
      <c r="B118" s="45">
        <f>'CONSOLIDADO-ACUEDUCTOSRURALES1'!D84</f>
        <v>27</v>
      </c>
      <c r="C118" s="49">
        <f t="shared" si="10"/>
        <v>5.4108216432865728</v>
      </c>
      <c r="D118" s="29">
        <f>COUNTIFS(SUROESTE!A:A,"Salgar",SUROESTE!S:S,"SIN RIESGO")</f>
        <v>3</v>
      </c>
      <c r="E118" s="49">
        <f>(D118/$B$118)*100</f>
        <v>11.111111111111111</v>
      </c>
      <c r="F118" s="29">
        <f>COUNTIFS(SUROESTE!A:A,"Salgar",SUROESTE!S:S,"BAJO")</f>
        <v>0</v>
      </c>
      <c r="G118" s="49">
        <f>(F118/$B$118)*100</f>
        <v>0</v>
      </c>
      <c r="H118" s="29">
        <f>COUNTIFS(SUROESTE!A:A,"Salgar",SUROESTE!S:S,"MEDIO")</f>
        <v>1</v>
      </c>
      <c r="I118" s="49">
        <f>(H118/$B$118)*100</f>
        <v>3.7037037037037033</v>
      </c>
      <c r="J118" s="29">
        <f>COUNTIFS(SUROESTE!A:A,"Salgar",SUROESTE!S:S,"ALTO")</f>
        <v>15</v>
      </c>
      <c r="K118" s="49">
        <f>(J118/$B$118)*100</f>
        <v>55.555555555555557</v>
      </c>
      <c r="L118" s="29">
        <f>COUNTIFS(SUROESTE!A:A,"Salgar",SUROESTE!S:S,"INVIABLE SANITARIAMENTE")</f>
        <v>0</v>
      </c>
      <c r="M118" s="49">
        <f>(L118/$B$118)*100</f>
        <v>0</v>
      </c>
      <c r="N118" s="362">
        <f t="shared" si="11"/>
        <v>8</v>
      </c>
      <c r="O118" s="49">
        <f>(N118/$B$118)*100</f>
        <v>29.629629629629626</v>
      </c>
      <c r="P118" s="24"/>
    </row>
    <row r="119" spans="1:16" ht="15.75" x14ac:dyDescent="0.2">
      <c r="A119" s="61" t="s">
        <v>177</v>
      </c>
      <c r="B119" s="45">
        <f>'CONSOLIDADO-ACUEDUCTOSRURALES1'!D85</f>
        <v>41</v>
      </c>
      <c r="C119" s="49">
        <f t="shared" si="10"/>
        <v>8.2164328657314627</v>
      </c>
      <c r="D119" s="29">
        <f>COUNTIFS(SUROESTE!A:A,"Santa Bárbara",SUROESTE!S:S,"SIN RIESGO")</f>
        <v>16</v>
      </c>
      <c r="E119" s="49">
        <f>(D119/$B$119)*100</f>
        <v>39.024390243902438</v>
      </c>
      <c r="F119" s="29">
        <f>COUNTIFS(SUROESTE!A:A,"Santa Bárbara",SUROESTE!S:S,"BAJO")</f>
        <v>0</v>
      </c>
      <c r="G119" s="49">
        <f>(F119/$B$119)*100</f>
        <v>0</v>
      </c>
      <c r="H119" s="29">
        <f>COUNTIFS(SUROESTE!A:A,"Santa Bárbara",SUROESTE!S:S,"MEDIO")</f>
        <v>0</v>
      </c>
      <c r="I119" s="49">
        <f>(H119/$B$119)*100</f>
        <v>0</v>
      </c>
      <c r="J119" s="29">
        <f>COUNTIFS(SUROESTE!A:A,"Santa Bárbara",SUROESTE!S:S,"ALTO")</f>
        <v>2</v>
      </c>
      <c r="K119" s="49">
        <f>(J119/$B$119)*100</f>
        <v>4.8780487804878048</v>
      </c>
      <c r="L119" s="29">
        <f>COUNTIFS(SUROESTE!A:A,"Santa Bárbara",SUROESTE!S:S,"INVIABLE SANITARIAMENTE")</f>
        <v>19</v>
      </c>
      <c r="M119" s="49">
        <f>(L119/$B$119)*100</f>
        <v>46.341463414634148</v>
      </c>
      <c r="N119" s="362">
        <f t="shared" si="11"/>
        <v>4</v>
      </c>
      <c r="O119" s="49">
        <f>(N119/$B$119)*100</f>
        <v>9.7560975609756095</v>
      </c>
      <c r="P119" s="24"/>
    </row>
    <row r="120" spans="1:16" ht="15.75" x14ac:dyDescent="0.2">
      <c r="A120" s="61" t="s">
        <v>178</v>
      </c>
      <c r="B120" s="45">
        <f>'CONSOLIDADO-ACUEDUCTOSRURALES1'!D86</f>
        <v>33</v>
      </c>
      <c r="C120" s="49">
        <f t="shared" si="10"/>
        <v>6.6132264529058116</v>
      </c>
      <c r="D120" s="29">
        <f>COUNTIFS(SUROESTE!A:A,"Támesis",SUROESTE!S:S,"SIN RIESGO")</f>
        <v>7</v>
      </c>
      <c r="E120" s="49">
        <f>(D120/$B$120)*100</f>
        <v>21.212121212121211</v>
      </c>
      <c r="F120" s="29">
        <f>COUNTIFS(SUROESTE!A:A,"Támesis",SUROESTE!S:S,"BAJO")</f>
        <v>0</v>
      </c>
      <c r="G120" s="49">
        <f>(F120/$B$120)*100</f>
        <v>0</v>
      </c>
      <c r="H120" s="29">
        <f>COUNTIFS(SUROESTE!A:A,"Támesis",SUROESTE!S:S,"MEDIO")</f>
        <v>0</v>
      </c>
      <c r="I120" s="49">
        <f>(H120/$B$120)*100</f>
        <v>0</v>
      </c>
      <c r="J120" s="29">
        <f>COUNTIFS(SUROESTE!A:A,"Támesis",SUROESTE!S:S,"ALTO")</f>
        <v>13</v>
      </c>
      <c r="K120" s="49">
        <f>(J120/$B$120)*100</f>
        <v>39.393939393939391</v>
      </c>
      <c r="L120" s="29">
        <f>COUNTIFS(SUROESTE!A:A,"Támesis",SUROESTE!S:S,"INVIABLE SANITARIAMENTE")</f>
        <v>11</v>
      </c>
      <c r="M120" s="49">
        <f>(L120/$B$120)*100</f>
        <v>33.333333333333329</v>
      </c>
      <c r="N120" s="362">
        <f t="shared" si="11"/>
        <v>2</v>
      </c>
      <c r="O120" s="49">
        <f>(N120/$B$120)*100</f>
        <v>6.0606060606060606</v>
      </c>
      <c r="P120" s="24"/>
    </row>
    <row r="121" spans="1:16" ht="15.75" x14ac:dyDescent="0.2">
      <c r="A121" s="61" t="s">
        <v>179</v>
      </c>
      <c r="B121" s="45">
        <f>'CONSOLIDADO-ACUEDUCTOSRURALES1'!D87</f>
        <v>8</v>
      </c>
      <c r="C121" s="49">
        <f t="shared" si="10"/>
        <v>1.6032064128256511</v>
      </c>
      <c r="D121" s="29">
        <f>COUNTIFS(SUROESTE!A:A,"Tarso",SUROESTE!S:S,"SIN RIESGO")</f>
        <v>1</v>
      </c>
      <c r="E121" s="49">
        <f>(D121/$B$121)*100</f>
        <v>12.5</v>
      </c>
      <c r="F121" s="29">
        <f>COUNTIFS(SUROESTE!A:A,"Tarso",SUROESTE!S:S,"BAJO")</f>
        <v>0</v>
      </c>
      <c r="G121" s="49">
        <f>(F121/$B$121)*100</f>
        <v>0</v>
      </c>
      <c r="H121" s="29">
        <f>COUNTIFS(SUROESTE!A:A,"Tarso",SUROESTE!S:S,"MEDIO")</f>
        <v>0</v>
      </c>
      <c r="I121" s="49">
        <f>(H121/$B$121)*100</f>
        <v>0</v>
      </c>
      <c r="J121" s="29">
        <f>COUNTIFS(SUROESTE!A:A,"Tarso",SUROESTE!S:S,"ALTO")</f>
        <v>1</v>
      </c>
      <c r="K121" s="49">
        <f>(J121/$B$121)*100</f>
        <v>12.5</v>
      </c>
      <c r="L121" s="29">
        <f>COUNTIFS(SUROESTE!A:A,"Tarso",SUROESTE!S:S,"INVIABLE SANITARIAMENTE")</f>
        <v>2</v>
      </c>
      <c r="M121" s="49">
        <f>(L121/$B$121)*100</f>
        <v>25</v>
      </c>
      <c r="N121" s="362">
        <f t="shared" si="11"/>
        <v>4</v>
      </c>
      <c r="O121" s="49">
        <f>(N121/$B$121)*100</f>
        <v>50</v>
      </c>
      <c r="P121" s="24"/>
    </row>
    <row r="122" spans="1:16" ht="15.75" x14ac:dyDescent="0.2">
      <c r="A122" s="61" t="s">
        <v>180</v>
      </c>
      <c r="B122" s="45">
        <f>'CONSOLIDADO-ACUEDUCTOSRURALES1'!D88</f>
        <v>23</v>
      </c>
      <c r="C122" s="49">
        <f t="shared" si="10"/>
        <v>4.6092184368737472</v>
      </c>
      <c r="D122" s="29">
        <f>COUNTIFS(SUROESTE!A:A,"Titiribí",SUROESTE!S:S,"SIN RIESGO")</f>
        <v>0</v>
      </c>
      <c r="E122" s="49">
        <f>(D122/$B$122)*100</f>
        <v>0</v>
      </c>
      <c r="F122" s="29">
        <f>COUNTIFS(SUROESTE!A:A,"Titiribí",SUROESTE!S:S,"BAJO")</f>
        <v>1</v>
      </c>
      <c r="G122" s="49">
        <f>(F122/$B$122)*100</f>
        <v>4.3478260869565215</v>
      </c>
      <c r="H122" s="29">
        <f>COUNTIFS(SUROESTE!A:A,"Titiribí",SUROESTE!S:S,"MEDIO")</f>
        <v>1</v>
      </c>
      <c r="I122" s="49">
        <f>(H122/$B$122)*100</f>
        <v>4.3478260869565215</v>
      </c>
      <c r="J122" s="29">
        <f>COUNTIFS(SUROESTE!A:A,"Titiribí",SUROESTE!S:S,"ALTO")</f>
        <v>1</v>
      </c>
      <c r="K122" s="49">
        <f>(J122/$B$122)*100</f>
        <v>4.3478260869565215</v>
      </c>
      <c r="L122" s="29">
        <f>COUNTIFS(SUROESTE!A:A,"Titiribí",SUROESTE!S:S,"INVIABLE SANITARIAMENTE")</f>
        <v>20</v>
      </c>
      <c r="M122" s="49">
        <f>(L122/$B$122)*100</f>
        <v>86.956521739130437</v>
      </c>
      <c r="N122" s="362">
        <f t="shared" si="11"/>
        <v>0</v>
      </c>
      <c r="O122" s="49">
        <f>(N122/$B$122)*100</f>
        <v>0</v>
      </c>
      <c r="P122" s="24"/>
    </row>
    <row r="123" spans="1:16" ht="15.75" x14ac:dyDescent="0.2">
      <c r="A123" s="61" t="s">
        <v>181</v>
      </c>
      <c r="B123" s="45">
        <f>'CONSOLIDADO-ACUEDUCTOSRURALES1'!D89</f>
        <v>31</v>
      </c>
      <c r="C123" s="49">
        <f t="shared" si="10"/>
        <v>6.2124248496993983</v>
      </c>
      <c r="D123" s="29">
        <f>COUNTIFS(SUROESTE!A:A,"Urrao",SUROESTE!S:S,"SIN RIESGO")</f>
        <v>0</v>
      </c>
      <c r="E123" s="49">
        <f>(D123/$B$123)*100</f>
        <v>0</v>
      </c>
      <c r="F123" s="29">
        <f>COUNTIFS(SUROESTE!A:A,"Urrao",SUROESTE!S:S,"BAJO")</f>
        <v>0</v>
      </c>
      <c r="G123" s="49">
        <f>(F123/$B$123)*100</f>
        <v>0</v>
      </c>
      <c r="H123" s="29">
        <f>COUNTIFS(SUROESTE!A:A,"Urrao",SUROESTE!S:S,"MEDIO")</f>
        <v>1</v>
      </c>
      <c r="I123" s="49">
        <f>(H123/$B$123)*100</f>
        <v>3.225806451612903</v>
      </c>
      <c r="J123" s="29">
        <f>COUNTIFS(SUROESTE!A:A,"Urrao",SUROESTE!S:S,"ALTO")</f>
        <v>0</v>
      </c>
      <c r="K123" s="49">
        <f>(J123/$B$123)*100</f>
        <v>0</v>
      </c>
      <c r="L123" s="29">
        <f>COUNTIFS(SUROESTE!A:A,"Urrao",SUROESTE!S:S,"INVIABLE SANITARIAMENTE")</f>
        <v>8</v>
      </c>
      <c r="M123" s="49">
        <f>(L123/$B$123)*100</f>
        <v>25.806451612903224</v>
      </c>
      <c r="N123" s="362">
        <f t="shared" si="11"/>
        <v>22</v>
      </c>
      <c r="O123" s="49">
        <f>(N123/$B$123)*100</f>
        <v>70.967741935483872</v>
      </c>
      <c r="P123" s="24"/>
    </row>
    <row r="124" spans="1:16" ht="15.75" x14ac:dyDescent="0.2">
      <c r="A124" s="61" t="s">
        <v>182</v>
      </c>
      <c r="B124" s="45">
        <f>'CONSOLIDADO-ACUEDUCTOSRURALES1'!D90</f>
        <v>13</v>
      </c>
      <c r="C124" s="49">
        <f t="shared" si="10"/>
        <v>2.6052104208416833</v>
      </c>
      <c r="D124" s="29">
        <f>COUNTIFS(SUROESTE!A:A,"Valparaíso",SUROESTE!S:S,"SIN RIESGO")</f>
        <v>0</v>
      </c>
      <c r="E124" s="49">
        <f>(D124/$B$124)*100</f>
        <v>0</v>
      </c>
      <c r="F124" s="29">
        <f>COUNTIFS(SUROESTE!A:A,"Valparaíso",SUROESTE!S:S,"BAJO")</f>
        <v>0</v>
      </c>
      <c r="G124" s="49">
        <f>(F124/$B$124)*100</f>
        <v>0</v>
      </c>
      <c r="H124" s="29">
        <f>COUNTIFS(SUROESTE!A:A,"Valparaíso",SUROESTE!S:S,"MEDIO")</f>
        <v>0</v>
      </c>
      <c r="I124" s="49">
        <f>(H124/$B$124)*100</f>
        <v>0</v>
      </c>
      <c r="J124" s="29">
        <f>COUNTIFS(SUROESTE!A:A,"Valparaíso",SUROESTE!S:S,"ALTO")</f>
        <v>13</v>
      </c>
      <c r="K124" s="49">
        <f>(J124/$B$124)*100</f>
        <v>100</v>
      </c>
      <c r="L124" s="29">
        <f>COUNTIFS(SUROESTE!A:A,"Valparaíso",SUROESTE!S:S,"INVIABLE SANITARIAMENTE")</f>
        <v>0</v>
      </c>
      <c r="M124" s="49">
        <f>(L124/$B$124)*100</f>
        <v>0</v>
      </c>
      <c r="N124" s="362">
        <f t="shared" si="11"/>
        <v>0</v>
      </c>
      <c r="O124" s="49">
        <f>(N124/$B$124)*100</f>
        <v>0</v>
      </c>
      <c r="P124" s="24"/>
    </row>
    <row r="125" spans="1:16" ht="15.75" x14ac:dyDescent="0.2">
      <c r="A125" s="61" t="s">
        <v>183</v>
      </c>
      <c r="B125" s="45">
        <f>'CONSOLIDADO-ACUEDUCTOSRURALES1'!D91</f>
        <v>11</v>
      </c>
      <c r="C125" s="49">
        <f t="shared" si="10"/>
        <v>2.2044088176352705</v>
      </c>
      <c r="D125" s="29">
        <f>COUNTIFS(SUROESTE!A:A,"Venecia",SUROESTE!S:S,"SIN RIESGO")</f>
        <v>3</v>
      </c>
      <c r="E125" s="49">
        <f>(D125/$B$125)*100</f>
        <v>27.27272727272727</v>
      </c>
      <c r="F125" s="29">
        <f>COUNTIFS(SUROESTE!A:A,"Venecia",SUROESTE!S:S,"BAJO")</f>
        <v>0</v>
      </c>
      <c r="G125" s="49">
        <f>(F125/$B$125)*100</f>
        <v>0</v>
      </c>
      <c r="H125" s="29">
        <f>COUNTIFS(SUROESTE!A:A,"Venecia",SUROESTE!S:S,"MEDIO")</f>
        <v>2</v>
      </c>
      <c r="I125" s="49">
        <f>(H125/$B$125)*100</f>
        <v>18.181818181818183</v>
      </c>
      <c r="J125" s="29">
        <f>COUNTIFS(SUROESTE!A:A,"Venecia",SUROESTE!S:S,"ALTO")</f>
        <v>3</v>
      </c>
      <c r="K125" s="49">
        <f>(J125/$B$125)*100</f>
        <v>27.27272727272727</v>
      </c>
      <c r="L125" s="29">
        <f>COUNTIFS(SUROESTE!A:A,"Venecia",SUROESTE!S:S,"INVIABLE SANITARIAMENTE")</f>
        <v>0</v>
      </c>
      <c r="M125" s="49">
        <f>(L125/$B$125)*100</f>
        <v>0</v>
      </c>
      <c r="N125" s="362">
        <f t="shared" si="11"/>
        <v>3</v>
      </c>
      <c r="O125" s="49">
        <f>(N125/$B$125)*100</f>
        <v>27.27272727272727</v>
      </c>
      <c r="P125" s="24"/>
    </row>
    <row r="126" spans="1:16" ht="34.5" customHeight="1" x14ac:dyDescent="0.2">
      <c r="A126" s="77" t="s">
        <v>225</v>
      </c>
      <c r="B126" s="71">
        <f>SUM(B103:B125)</f>
        <v>499</v>
      </c>
      <c r="C126" s="79">
        <f>SUM(C103:C125)</f>
        <v>100</v>
      </c>
      <c r="D126" s="78">
        <f>SUM(D103:D125)</f>
        <v>56</v>
      </c>
      <c r="E126" s="79">
        <f>(D126/$B$126)*100</f>
        <v>11.22244488977956</v>
      </c>
      <c r="F126" s="78">
        <f>SUM(F103:F125)</f>
        <v>4</v>
      </c>
      <c r="G126" s="79">
        <f>(F126/$B$126)*100</f>
        <v>0.80160320641282556</v>
      </c>
      <c r="H126" s="78">
        <f>SUM(H103:H125)</f>
        <v>31</v>
      </c>
      <c r="I126" s="79">
        <f>(H126/$B$126)*100</f>
        <v>6.2124248496993983</v>
      </c>
      <c r="J126" s="78">
        <f>SUM(J103:J125)</f>
        <v>119</v>
      </c>
      <c r="K126" s="79">
        <f>(J126/$B$126)*100</f>
        <v>23.847695390781563</v>
      </c>
      <c r="L126" s="78">
        <f>SUM(L103:L125)</f>
        <v>212</v>
      </c>
      <c r="M126" s="79">
        <f>(L126/$B$126)*100</f>
        <v>42.484969939879761</v>
      </c>
      <c r="N126" s="78">
        <f>SUM(N103:N125)</f>
        <v>77</v>
      </c>
      <c r="O126" s="79">
        <v>40.299999999999997</v>
      </c>
      <c r="P126" s="24"/>
    </row>
    <row r="127" spans="1:16" x14ac:dyDescent="0.2">
      <c r="A127" s="33"/>
      <c r="B127" s="66"/>
      <c r="C127" s="33"/>
      <c r="D127" s="66"/>
      <c r="E127" s="33"/>
      <c r="F127" s="66"/>
      <c r="G127" s="33"/>
      <c r="H127" s="66"/>
      <c r="I127" s="33"/>
      <c r="J127" s="66"/>
      <c r="K127" s="33"/>
      <c r="L127" s="66"/>
      <c r="M127" s="33"/>
      <c r="N127" s="66"/>
      <c r="O127" s="33"/>
      <c r="P127" s="4"/>
    </row>
    <row r="128" spans="1:16" x14ac:dyDescent="0.2">
      <c r="A128" s="33"/>
      <c r="B128" s="66"/>
      <c r="C128" s="33"/>
      <c r="D128" s="66"/>
      <c r="E128" s="33"/>
      <c r="F128" s="66"/>
      <c r="G128" s="33"/>
      <c r="H128" s="66"/>
      <c r="I128" s="33"/>
      <c r="J128" s="66"/>
      <c r="K128" s="33"/>
      <c r="L128" s="66"/>
      <c r="M128" s="33"/>
      <c r="N128" s="66"/>
      <c r="O128" s="33"/>
      <c r="P128" s="4"/>
    </row>
    <row r="129" spans="1:16" x14ac:dyDescent="0.2">
      <c r="A129" s="33"/>
      <c r="B129" s="66"/>
      <c r="C129" s="33"/>
      <c r="D129" s="66"/>
      <c r="E129" s="33"/>
      <c r="F129" s="66"/>
      <c r="G129" s="33"/>
      <c r="H129" s="66"/>
      <c r="I129" s="33"/>
      <c r="J129" s="66"/>
      <c r="K129" s="33"/>
      <c r="L129" s="66"/>
      <c r="M129" s="33"/>
      <c r="N129" s="66"/>
      <c r="O129" s="33"/>
      <c r="P129" s="4"/>
    </row>
    <row r="130" spans="1:16" ht="23.25" customHeight="1" x14ac:dyDescent="0.2">
      <c r="A130" s="589" t="s">
        <v>4354</v>
      </c>
      <c r="B130" s="589"/>
      <c r="C130" s="589"/>
      <c r="D130" s="589"/>
      <c r="E130" s="589"/>
      <c r="F130" s="589"/>
      <c r="G130" s="589"/>
      <c r="H130" s="589"/>
      <c r="I130" s="589"/>
      <c r="J130" s="589"/>
      <c r="K130" s="589"/>
      <c r="L130" s="589"/>
      <c r="M130" s="589"/>
      <c r="N130" s="589"/>
      <c r="O130" s="589"/>
      <c r="P130" s="24"/>
    </row>
    <row r="131" spans="1:16" ht="129.75" customHeight="1" x14ac:dyDescent="0.2">
      <c r="A131" s="441" t="s">
        <v>11</v>
      </c>
      <c r="B131" s="72" t="s">
        <v>256</v>
      </c>
      <c r="C131" s="441" t="s">
        <v>105</v>
      </c>
      <c r="D131" s="444" t="s">
        <v>250</v>
      </c>
      <c r="E131" s="441" t="s">
        <v>105</v>
      </c>
      <c r="F131" s="445" t="s">
        <v>251</v>
      </c>
      <c r="G131" s="441" t="s">
        <v>105</v>
      </c>
      <c r="H131" s="446" t="s">
        <v>252</v>
      </c>
      <c r="I131" s="441" t="s">
        <v>105</v>
      </c>
      <c r="J131" s="447" t="s">
        <v>253</v>
      </c>
      <c r="K131" s="441" t="s">
        <v>105</v>
      </c>
      <c r="L131" s="448" t="s">
        <v>254</v>
      </c>
      <c r="M131" s="441" t="s">
        <v>105</v>
      </c>
      <c r="N131" s="72" t="s">
        <v>255</v>
      </c>
      <c r="O131" s="441" t="s">
        <v>105</v>
      </c>
      <c r="P131" s="24"/>
    </row>
    <row r="132" spans="1:16" ht="15.75" x14ac:dyDescent="0.2">
      <c r="A132" s="61" t="s">
        <v>185</v>
      </c>
      <c r="B132" s="45">
        <f>+'CONSOLIDADO-ACUEDUCTOSRURALES1'!D94</f>
        <v>20</v>
      </c>
      <c r="C132" s="49">
        <f>(B132/$B$138)*100</f>
        <v>33.333333333333329</v>
      </c>
      <c r="D132" s="29">
        <f>COUNTIFS('BAJO CAUCA'!A:A,"Caucasia",'BAJO CAUCA'!S:S,"SIN RIESGO")</f>
        <v>0</v>
      </c>
      <c r="E132" s="49">
        <f>(D132/$B$132)*100</f>
        <v>0</v>
      </c>
      <c r="F132" s="29">
        <f>COUNTIFS('BAJO CAUCA'!A:A,"Caucasia",'BAJO CAUCA'!S:S,"BAJO")</f>
        <v>0</v>
      </c>
      <c r="G132" s="49">
        <f>(F132/$B$132)*100</f>
        <v>0</v>
      </c>
      <c r="H132" s="29">
        <f>COUNTIFS('BAJO CAUCA'!A:A,"Caucasia",'BAJO CAUCA'!S:S,"MEDIO")</f>
        <v>0</v>
      </c>
      <c r="I132" s="49">
        <f>(H132/$B$132)*100</f>
        <v>0</v>
      </c>
      <c r="J132" s="29">
        <f>COUNTIFS('BAJO CAUCA'!A:A,"Caucasia",'BAJO CAUCA'!S:S,"ALTO")</f>
        <v>0</v>
      </c>
      <c r="K132" s="49">
        <f>(J132/$B$132)*100</f>
        <v>0</v>
      </c>
      <c r="L132" s="29">
        <f>COUNTIFS('BAJO CAUCA'!A:A,"Caucasia",'BAJO CAUCA'!S:S,"INVIABLE SANITARIAMENTE")</f>
        <v>19</v>
      </c>
      <c r="M132" s="49">
        <f>(L132/$B$132)*100</f>
        <v>95</v>
      </c>
      <c r="N132" s="362">
        <f>B132-(D132+F132+H132+J132+L132)</f>
        <v>1</v>
      </c>
      <c r="O132" s="49">
        <f>(N132/$B$132)*100</f>
        <v>5</v>
      </c>
      <c r="P132" s="24"/>
    </row>
    <row r="133" spans="1:16" ht="15.75" x14ac:dyDescent="0.2">
      <c r="A133" s="61" t="s">
        <v>186</v>
      </c>
      <c r="B133" s="45">
        <f>+'CONSOLIDADO-ACUEDUCTOSRURALES1'!D93</f>
        <v>8</v>
      </c>
      <c r="C133" s="49">
        <f t="shared" ref="C133:C137" si="12">(B133/$B$138)*100</f>
        <v>13.333333333333334</v>
      </c>
      <c r="D133" s="29">
        <f>COUNTIFS('BAJO CAUCA'!A:A,"Caceres",'BAJO CAUCA'!S:S,"SIN RIESGO")</f>
        <v>0</v>
      </c>
      <c r="E133" s="49">
        <f>(D133/$B$133)*100</f>
        <v>0</v>
      </c>
      <c r="F133" s="29">
        <f>COUNTIFS('BAJO CAUCA'!A:A,"Caceres",'BAJO CAUCA'!S:S,"BAJO")</f>
        <v>1</v>
      </c>
      <c r="G133" s="49">
        <f>(F133/$B$133)*100</f>
        <v>12.5</v>
      </c>
      <c r="H133" s="29">
        <f>COUNTIFS('BAJO CAUCA'!A:A,"Caceres",'BAJO CAUCA'!S:S,"MEDIO")</f>
        <v>1</v>
      </c>
      <c r="I133" s="49">
        <f>(H133/$B$133)*100</f>
        <v>12.5</v>
      </c>
      <c r="J133" s="29">
        <f>COUNTIFS('BAJO CAUCA'!A:A,"Caceres",'BAJO CAUCA'!S:S,"ALTO")</f>
        <v>1</v>
      </c>
      <c r="K133" s="49">
        <f>(J133/$B$133)*100</f>
        <v>12.5</v>
      </c>
      <c r="L133" s="29">
        <f>COUNTIFS('BAJO CAUCA'!A:A,"Caceres",'BAJO CAUCA'!S:S,"INVIABLE SANITARIAMENTE")</f>
        <v>4</v>
      </c>
      <c r="M133" s="49">
        <f>(L133/$B$133)*100</f>
        <v>50</v>
      </c>
      <c r="N133" s="362">
        <f t="shared" ref="N133:N137" si="13">B133-(D133+F133+H133+J133+L133)</f>
        <v>1</v>
      </c>
      <c r="O133" s="49">
        <f>(N133/$B$133)*100</f>
        <v>12.5</v>
      </c>
      <c r="P133" s="24"/>
    </row>
    <row r="134" spans="1:16" ht="15.75" x14ac:dyDescent="0.2">
      <c r="A134" s="61" t="s">
        <v>187</v>
      </c>
      <c r="B134" s="45">
        <f>'CONSOLIDADO-ACUEDUCTOSRURALES1'!D95</f>
        <v>2</v>
      </c>
      <c r="C134" s="49">
        <f t="shared" si="12"/>
        <v>3.3333333333333335</v>
      </c>
      <c r="D134" s="29">
        <f>COUNTIFS('BAJO CAUCA'!A:A,"El Bagre",'BAJO CAUCA'!S:S,"SIN RIESGO")</f>
        <v>0</v>
      </c>
      <c r="E134" s="49">
        <f>(D134/$B$134)*100</f>
        <v>0</v>
      </c>
      <c r="F134" s="29">
        <f>COUNTIFS('BAJO CAUCA'!A:A,"El Bagre",'BAJO CAUCA'!S:S,"BAJO")</f>
        <v>0</v>
      </c>
      <c r="G134" s="49">
        <f>(F134/$B$134)*100</f>
        <v>0</v>
      </c>
      <c r="H134" s="29">
        <f>COUNTIFS('BAJO CAUCA'!A:A,"El Bagre",'BAJO CAUCA'!S:S,"MEDIO")</f>
        <v>0</v>
      </c>
      <c r="I134" s="49">
        <f>(H134/$B$134)*100</f>
        <v>0</v>
      </c>
      <c r="J134" s="29">
        <f>COUNTIFS('BAJO CAUCA'!A:A,"El Bagre",'BAJO CAUCA'!S:S,"ALTO")</f>
        <v>0</v>
      </c>
      <c r="K134" s="49">
        <f>(J134/$B$134)*100</f>
        <v>0</v>
      </c>
      <c r="L134" s="29">
        <f>COUNTIFS('BAJO CAUCA'!A:A,"El Bagre",'BAJO CAUCA'!S:S,"INVIABLE SANITARIAMENTE")</f>
        <v>2</v>
      </c>
      <c r="M134" s="49">
        <f>(L134/$B$134)*100</f>
        <v>100</v>
      </c>
      <c r="N134" s="362">
        <f t="shared" si="13"/>
        <v>0</v>
      </c>
      <c r="O134" s="49">
        <f>(N134/$B$134)*100</f>
        <v>0</v>
      </c>
      <c r="P134" s="24"/>
    </row>
    <row r="135" spans="1:16" ht="15.75" x14ac:dyDescent="0.2">
      <c r="A135" s="61" t="s">
        <v>15</v>
      </c>
      <c r="B135" s="45">
        <f>'CONSOLIDADO-ACUEDUCTOSRURALES1'!D96</f>
        <v>5</v>
      </c>
      <c r="C135" s="49">
        <f t="shared" si="12"/>
        <v>8.3333333333333321</v>
      </c>
      <c r="D135" s="29">
        <f>COUNTIFS('BAJO CAUCA'!A:A,"Nechí",'BAJO CAUCA'!S:S,"SIN RIESGO")</f>
        <v>0</v>
      </c>
      <c r="E135" s="49">
        <f>(D135/$B$135)*100</f>
        <v>0</v>
      </c>
      <c r="F135" s="29">
        <f>COUNTIFS('BAJO CAUCA'!A:A,"Nechí",'BAJO CAUCA'!S:S,"BAJO")</f>
        <v>0</v>
      </c>
      <c r="G135" s="49">
        <f>(F135/$B$135)*100</f>
        <v>0</v>
      </c>
      <c r="H135" s="29">
        <f>COUNTIFS('BAJO CAUCA'!A:A,"Nechí",'BAJO CAUCA'!S:S,"MEDIO")</f>
        <v>0</v>
      </c>
      <c r="I135" s="49">
        <f>(H135/$B$135)*100</f>
        <v>0</v>
      </c>
      <c r="J135" s="29">
        <f>COUNTIFS('BAJO CAUCA'!A:A,"Nechí",'BAJO CAUCA'!S:S,"ALTO")</f>
        <v>0</v>
      </c>
      <c r="K135" s="49">
        <f>(J135/$B$135)*100</f>
        <v>0</v>
      </c>
      <c r="L135" s="29">
        <f>COUNTIFS('BAJO CAUCA'!A:A,"Nechí",'BAJO CAUCA'!S:S,"INVIABLE SANITARIAMENTE")</f>
        <v>2</v>
      </c>
      <c r="M135" s="49">
        <f>(L135/$B$135)*100</f>
        <v>40</v>
      </c>
      <c r="N135" s="362">
        <f t="shared" si="13"/>
        <v>3</v>
      </c>
      <c r="O135" s="49">
        <f>(N135/$B$135)*100</f>
        <v>60</v>
      </c>
      <c r="P135" s="24"/>
    </row>
    <row r="136" spans="1:16" ht="15.75" x14ac:dyDescent="0.2">
      <c r="A136" s="61" t="s">
        <v>188</v>
      </c>
      <c r="B136" s="45">
        <f>'CONSOLIDADO-ACUEDUCTOSRURALES1'!D97</f>
        <v>9</v>
      </c>
      <c r="C136" s="49">
        <f t="shared" si="12"/>
        <v>15</v>
      </c>
      <c r="D136" s="29">
        <f>COUNTIFS('BAJO CAUCA'!A:A,"Tarazá",'BAJO CAUCA'!S:S,"SIN RIESGO")</f>
        <v>0</v>
      </c>
      <c r="E136" s="49">
        <f>(D136/$B$136)*100</f>
        <v>0</v>
      </c>
      <c r="F136" s="29">
        <f>COUNTIFS('BAJO CAUCA'!A:A,"Tarazá",'BAJO CAUCA'!S:S,"BAJO")</f>
        <v>0</v>
      </c>
      <c r="G136" s="49">
        <f>(F136/$B$136)*100</f>
        <v>0</v>
      </c>
      <c r="H136" s="29">
        <f>COUNTIFS('BAJO CAUCA'!A:A,"Tarazá",'BAJO CAUCA'!S:S,"MEDIO")</f>
        <v>0</v>
      </c>
      <c r="I136" s="49">
        <f>(H136/$B$136)*100</f>
        <v>0</v>
      </c>
      <c r="J136" s="29">
        <f>COUNTIFS('BAJO CAUCA'!A:A,"Tarazá",'BAJO CAUCA'!S:S,"ALTO")</f>
        <v>1</v>
      </c>
      <c r="K136" s="49">
        <f>(J136/$B$136)*100</f>
        <v>11.111111111111111</v>
      </c>
      <c r="L136" s="29">
        <f>COUNTIFS('BAJO CAUCA'!A:A,"Tarazá",'BAJO CAUCA'!S:S,"INVIABLE SANITARIAMENTE")</f>
        <v>8</v>
      </c>
      <c r="M136" s="49">
        <f>(L136/$B$136)*100</f>
        <v>88.888888888888886</v>
      </c>
      <c r="N136" s="362">
        <f t="shared" si="13"/>
        <v>0</v>
      </c>
      <c r="O136" s="49">
        <f>(N136/$B$136)*100</f>
        <v>0</v>
      </c>
      <c r="P136" s="24"/>
    </row>
    <row r="137" spans="1:16" ht="15.75" x14ac:dyDescent="0.2">
      <c r="A137" s="61" t="s">
        <v>189</v>
      </c>
      <c r="B137" s="45">
        <f>'CONSOLIDADO-ACUEDUCTOSRURALES1'!D98</f>
        <v>16</v>
      </c>
      <c r="C137" s="49">
        <f t="shared" si="12"/>
        <v>26.666666666666668</v>
      </c>
      <c r="D137" s="29">
        <f>COUNTIFS('BAJO CAUCA'!A:A,"Zaragoza",'BAJO CAUCA'!S:S,"SIN RIESGO")</f>
        <v>0</v>
      </c>
      <c r="E137" s="49">
        <f>(D137/$B$137)*100</f>
        <v>0</v>
      </c>
      <c r="F137" s="29">
        <f>COUNTIFS('BAJO CAUCA'!A:A,"Zaragoza",'BAJO CAUCA'!S:S,"BAJO")</f>
        <v>0</v>
      </c>
      <c r="G137" s="49">
        <f>(F137/$B$137)*100</f>
        <v>0</v>
      </c>
      <c r="H137" s="29">
        <f>COUNTIFS('BAJO CAUCA'!A:A,"Zaragoza",'BAJO CAUCA'!S:S,"MEDIO")</f>
        <v>0</v>
      </c>
      <c r="I137" s="49">
        <f>(H137/$B$137)*100</f>
        <v>0</v>
      </c>
      <c r="J137" s="29">
        <f>COUNTIFS('BAJO CAUCA'!A:A,"Zaragoza",'BAJO CAUCA'!S:S,"ALTO")</f>
        <v>1</v>
      </c>
      <c r="K137" s="49">
        <f>(J137/$B$137)*100</f>
        <v>6.25</v>
      </c>
      <c r="L137" s="29">
        <f>COUNTIFS('BAJO CAUCA'!A:A,"Zaragoza",'BAJO CAUCA'!S:S,"INVIABLE SANITARIAMENTE")</f>
        <v>3</v>
      </c>
      <c r="M137" s="49">
        <f>(L137/$B$137)*100</f>
        <v>18.75</v>
      </c>
      <c r="N137" s="362">
        <f t="shared" si="13"/>
        <v>12</v>
      </c>
      <c r="O137" s="49">
        <f>(N137/$B$137)*100</f>
        <v>75</v>
      </c>
      <c r="P137" s="24"/>
    </row>
    <row r="138" spans="1:16" ht="22.5" customHeight="1" x14ac:dyDescent="0.2">
      <c r="A138" s="77" t="s">
        <v>225</v>
      </c>
      <c r="B138" s="71">
        <f>SUM(B132:B137)</f>
        <v>60</v>
      </c>
      <c r="C138" s="79">
        <f>SUM(C132:C137)</f>
        <v>100</v>
      </c>
      <c r="D138" s="78">
        <f>SUM(D132:D137)</f>
        <v>0</v>
      </c>
      <c r="E138" s="79">
        <f>(D138/$B$138)*100</f>
        <v>0</v>
      </c>
      <c r="F138" s="78">
        <f>SUM(F132:F137)</f>
        <v>1</v>
      </c>
      <c r="G138" s="79">
        <f>(F138/$B$138)*100</f>
        <v>1.6666666666666667</v>
      </c>
      <c r="H138" s="78">
        <f>SUM(H132:H137)</f>
        <v>1</v>
      </c>
      <c r="I138" s="79">
        <f>(H138/$B$138)*100</f>
        <v>1.6666666666666667</v>
      </c>
      <c r="J138" s="78">
        <f>SUM(J132:J137)</f>
        <v>3</v>
      </c>
      <c r="K138" s="79">
        <f>(J138/$B$138)*100</f>
        <v>5</v>
      </c>
      <c r="L138" s="78">
        <f>SUM(L132:L137)</f>
        <v>38</v>
      </c>
      <c r="M138" s="79">
        <f>(L138/$B$138)*100</f>
        <v>63.333333333333329</v>
      </c>
      <c r="N138" s="78">
        <f>SUM(N132:N137)</f>
        <v>17</v>
      </c>
      <c r="O138" s="79">
        <f>(N138/$B$138)*100</f>
        <v>28.333333333333332</v>
      </c>
      <c r="P138" s="24"/>
    </row>
    <row r="139" spans="1:16" x14ac:dyDescent="0.2">
      <c r="A139" s="33"/>
      <c r="B139" s="66"/>
      <c r="C139" s="33"/>
      <c r="D139" s="66"/>
      <c r="E139" s="33"/>
      <c r="F139" s="66"/>
      <c r="G139" s="33"/>
      <c r="H139" s="66"/>
      <c r="I139" s="33"/>
      <c r="J139" s="66"/>
      <c r="K139" s="33"/>
      <c r="L139" s="66"/>
      <c r="M139" s="33"/>
      <c r="N139" s="66"/>
      <c r="O139" s="33"/>
    </row>
    <row r="140" spans="1:16" x14ac:dyDescent="0.2">
      <c r="A140" s="33"/>
      <c r="B140" s="66"/>
      <c r="C140" s="33"/>
      <c r="D140" s="66"/>
      <c r="E140" s="33"/>
      <c r="F140" s="66"/>
      <c r="G140" s="33"/>
      <c r="H140" s="66"/>
      <c r="I140" s="33"/>
      <c r="J140" s="66"/>
      <c r="K140" s="33"/>
      <c r="L140" s="66"/>
      <c r="M140" s="33"/>
      <c r="N140" s="66"/>
      <c r="O140" s="33"/>
    </row>
    <row r="141" spans="1:16" ht="23.25" customHeight="1" x14ac:dyDescent="0.2">
      <c r="A141" s="589" t="s">
        <v>4350</v>
      </c>
      <c r="B141" s="589"/>
      <c r="C141" s="589"/>
      <c r="D141" s="589"/>
      <c r="E141" s="589"/>
      <c r="F141" s="589"/>
      <c r="G141" s="589"/>
      <c r="H141" s="589"/>
      <c r="I141" s="589"/>
      <c r="J141" s="589"/>
      <c r="K141" s="589"/>
      <c r="L141" s="589"/>
      <c r="M141" s="589"/>
      <c r="N141" s="589"/>
      <c r="O141" s="589"/>
    </row>
    <row r="142" spans="1:16" ht="129" customHeight="1" x14ac:dyDescent="0.2">
      <c r="A142" s="441" t="s">
        <v>11</v>
      </c>
      <c r="B142" s="72" t="s">
        <v>256</v>
      </c>
      <c r="C142" s="441" t="s">
        <v>105</v>
      </c>
      <c r="D142" s="444" t="s">
        <v>250</v>
      </c>
      <c r="E142" s="441" t="s">
        <v>105</v>
      </c>
      <c r="F142" s="445" t="s">
        <v>251</v>
      </c>
      <c r="G142" s="441" t="s">
        <v>105</v>
      </c>
      <c r="H142" s="446" t="s">
        <v>252</v>
      </c>
      <c r="I142" s="441" t="s">
        <v>105</v>
      </c>
      <c r="J142" s="447" t="s">
        <v>253</v>
      </c>
      <c r="K142" s="441" t="s">
        <v>105</v>
      </c>
      <c r="L142" s="448" t="s">
        <v>254</v>
      </c>
      <c r="M142" s="441" t="s">
        <v>105</v>
      </c>
      <c r="N142" s="72" t="s">
        <v>255</v>
      </c>
      <c r="O142" s="441" t="s">
        <v>105</v>
      </c>
    </row>
    <row r="143" spans="1:16" ht="15.75" x14ac:dyDescent="0.2">
      <c r="A143" s="61" t="s">
        <v>191</v>
      </c>
      <c r="B143" s="45">
        <f>'CONSOLIDADO-ACUEDUCTOSRURALES1'!D100</f>
        <v>9</v>
      </c>
      <c r="C143" s="49">
        <f>(B143/$B$149)*100</f>
        <v>13.043478260869565</v>
      </c>
      <c r="D143" s="29">
        <f>COUNTIFS('MAGDALENA MEDIO'!A:A,"Caracolí",'MAGDALENA MEDIO'!S:S,"SIN RIESGO")</f>
        <v>0</v>
      </c>
      <c r="E143" s="49">
        <f>(D143/$B$143)*100</f>
        <v>0</v>
      </c>
      <c r="F143" s="29">
        <f>COUNTIFS('MAGDALENA MEDIO'!$A:$A,"Caracolí",'MAGDALENA MEDIO'!$S:$S,"BAJO")</f>
        <v>0</v>
      </c>
      <c r="G143" s="49">
        <f>(F143/$B$143)*100</f>
        <v>0</v>
      </c>
      <c r="H143" s="29">
        <f>COUNTIFS('MAGDALENA MEDIO'!$A:$A,"Caracolí",'MAGDALENA MEDIO'!$S:$S,"MEDIO")</f>
        <v>0</v>
      </c>
      <c r="I143" s="49">
        <f>(H143/$B$143)*100</f>
        <v>0</v>
      </c>
      <c r="J143" s="29">
        <f>COUNTIFS('MAGDALENA MEDIO'!$A:$A,"Caracolí",'MAGDALENA MEDIO'!$S:$S,"ALTO")</f>
        <v>0</v>
      </c>
      <c r="K143" s="49">
        <f>(J143/$B$143)*100</f>
        <v>0</v>
      </c>
      <c r="L143" s="29">
        <f>COUNTIFS('MAGDALENA MEDIO'!$A:$A,"Caracolí",'MAGDALENA MEDIO'!$S:$S,"INVIABLE SANITARIAMENTE")</f>
        <v>0</v>
      </c>
      <c r="M143" s="49">
        <f>(L143/$B$143)*100</f>
        <v>0</v>
      </c>
      <c r="N143" s="362">
        <f>B143-(D143+F143+H143+J143+L143)</f>
        <v>9</v>
      </c>
      <c r="O143" s="49">
        <f>(N143/$B$143)*100</f>
        <v>100</v>
      </c>
    </row>
    <row r="144" spans="1:16" ht="15.75" x14ac:dyDescent="0.2">
      <c r="A144" s="61" t="s">
        <v>192</v>
      </c>
      <c r="B144" s="45">
        <f>'CONSOLIDADO-ACUEDUCTOSRURALES1'!D101</f>
        <v>6</v>
      </c>
      <c r="C144" s="49">
        <f t="shared" ref="C144:C148" si="14">(B144/$B$149)*100</f>
        <v>8.695652173913043</v>
      </c>
      <c r="D144" s="29">
        <f>COUNTIFS('MAGDALENA MEDIO'!A:A,"Maceo",'MAGDALENA MEDIO'!S:S,"SIN RIESGO")</f>
        <v>0</v>
      </c>
      <c r="E144" s="49">
        <f>(D144/$B$144)*100</f>
        <v>0</v>
      </c>
      <c r="F144" s="29">
        <f>COUNTIFS('MAGDALENA MEDIO'!$A:$A,"Maceo",'MAGDALENA MEDIO'!$S:$S,"BAJO")</f>
        <v>0</v>
      </c>
      <c r="G144" s="49">
        <f>(F144/$B$144)*100</f>
        <v>0</v>
      </c>
      <c r="H144" s="29">
        <f>COUNTIFS('MAGDALENA MEDIO'!$A:$A,"Maceo",'MAGDALENA MEDIO'!$S:$S,"MEDIO")</f>
        <v>0</v>
      </c>
      <c r="I144" s="49">
        <f>(H144/$B$144)*100</f>
        <v>0</v>
      </c>
      <c r="J144" s="29">
        <f>COUNTIFS('MAGDALENA MEDIO'!$A:$A,"Maceo",'MAGDALENA MEDIO'!$S:$S,"ALTO")</f>
        <v>0</v>
      </c>
      <c r="K144" s="49">
        <f>(J144/$B$144)*100</f>
        <v>0</v>
      </c>
      <c r="L144" s="29">
        <f>COUNTIFS('MAGDALENA MEDIO'!$A:$A,"Maceo",'MAGDALENA MEDIO'!$S:$S,"INVIABLE SANITARIAMENTE")</f>
        <v>0</v>
      </c>
      <c r="M144" s="49">
        <f>(L144/$B$144)*100</f>
        <v>0</v>
      </c>
      <c r="N144" s="362">
        <f t="shared" ref="N144:N148" si="15">B144-(D144+F144+H144+J144+L144)</f>
        <v>6</v>
      </c>
      <c r="O144" s="49">
        <f>(N144/$B$144)*100</f>
        <v>100</v>
      </c>
    </row>
    <row r="145" spans="1:16" ht="15.75" x14ac:dyDescent="0.2">
      <c r="A145" s="61" t="s">
        <v>193</v>
      </c>
      <c r="B145" s="45">
        <f>'CONSOLIDADO-ACUEDUCTOSRURALES1'!D102</f>
        <v>15</v>
      </c>
      <c r="C145" s="49">
        <f t="shared" si="14"/>
        <v>21.739130434782609</v>
      </c>
      <c r="D145" s="29">
        <f>COUNTIFS('MAGDALENA MEDIO'!A:A,"Puerto Berrío",'MAGDALENA MEDIO'!S:S,"SIN RIESGO")</f>
        <v>0</v>
      </c>
      <c r="E145" s="49">
        <f>(D145/$B$145)*100</f>
        <v>0</v>
      </c>
      <c r="F145" s="29">
        <f>COUNTIFS('MAGDALENA MEDIO'!$A:$A,"Puerto Berrío",'MAGDALENA MEDIO'!$S:$S,"BAJO")</f>
        <v>0</v>
      </c>
      <c r="G145" s="49">
        <f>(F145/$B$145)*100</f>
        <v>0</v>
      </c>
      <c r="H145" s="29">
        <f>COUNTIFS('MAGDALENA MEDIO'!$A:$A,"Puerto Berrío",'MAGDALENA MEDIO'!$S:$S,"MEDIO")</f>
        <v>1</v>
      </c>
      <c r="I145" s="49">
        <f>(H145/$B$145)*100</f>
        <v>6.666666666666667</v>
      </c>
      <c r="J145" s="29">
        <f>COUNTIFS('MAGDALENA MEDIO'!$A:$A,"Puerto Berrío",'MAGDALENA MEDIO'!$S:$S,"ALTO")</f>
        <v>13</v>
      </c>
      <c r="K145" s="49">
        <f>(J145/$B$145)*100</f>
        <v>86.666666666666671</v>
      </c>
      <c r="L145" s="29">
        <f>COUNTIFS('MAGDALENA MEDIO'!$A:$A,"Puerto Berrío",'MAGDALENA MEDIO'!$S:$S,"INVIABLE SANITARIAMENTE")</f>
        <v>0</v>
      </c>
      <c r="M145" s="49">
        <f>(L145/$B$145)*100</f>
        <v>0</v>
      </c>
      <c r="N145" s="362">
        <f t="shared" si="15"/>
        <v>1</v>
      </c>
      <c r="O145" s="49">
        <f>(N145/$B$145)*100</f>
        <v>6.666666666666667</v>
      </c>
    </row>
    <row r="146" spans="1:16" ht="15.75" x14ac:dyDescent="0.2">
      <c r="A146" s="61" t="s">
        <v>194</v>
      </c>
      <c r="B146" s="45">
        <f>'CONSOLIDADO-ACUEDUCTOSRURALES1'!D103</f>
        <v>7</v>
      </c>
      <c r="C146" s="49">
        <f t="shared" si="14"/>
        <v>10.144927536231885</v>
      </c>
      <c r="D146" s="29">
        <f>COUNTIFS('MAGDALENA MEDIO'!A:A,"Puerto Nare",'MAGDALENA MEDIO'!S:S,"SIN RIESGO")</f>
        <v>3</v>
      </c>
      <c r="E146" s="49">
        <f>(D146/$B$146)*100</f>
        <v>42.857142857142854</v>
      </c>
      <c r="F146" s="29">
        <f>COUNTIFS('MAGDALENA MEDIO'!$A:$A,"Puerto Nare",'MAGDALENA MEDIO'!$S:$S,"BAJO")</f>
        <v>1</v>
      </c>
      <c r="G146" s="49">
        <f>(F146/$B$146)*100</f>
        <v>14.285714285714285</v>
      </c>
      <c r="H146" s="29">
        <f>COUNTIFS('MAGDALENA MEDIO'!$A:$A,"Puerto Nare",'MAGDALENA MEDIO'!$S:$S,"MEDIO")</f>
        <v>1</v>
      </c>
      <c r="I146" s="49">
        <f>(H146/$B$146)*100</f>
        <v>14.285714285714285</v>
      </c>
      <c r="J146" s="29">
        <f>COUNTIFS('MAGDALENA MEDIO'!$A:$A,"Puerto Nare",'MAGDALENA MEDIO'!$S:$S,"ALTO")</f>
        <v>0</v>
      </c>
      <c r="K146" s="49">
        <f>(J146/$B$146)*100</f>
        <v>0</v>
      </c>
      <c r="L146" s="29">
        <f>COUNTIFS('MAGDALENA MEDIO'!$A:$A,"Puerto Nare",'MAGDALENA MEDIO'!$S:$S,"INVIABLE SANITARIAMENTE")</f>
        <v>2</v>
      </c>
      <c r="M146" s="49">
        <f>(L146/$B$146)*100</f>
        <v>28.571428571428569</v>
      </c>
      <c r="N146" s="362">
        <f t="shared" si="15"/>
        <v>0</v>
      </c>
      <c r="O146" s="49">
        <f>(N146/$B$146)*100</f>
        <v>0</v>
      </c>
    </row>
    <row r="147" spans="1:16" ht="15.75" x14ac:dyDescent="0.2">
      <c r="A147" s="61" t="s">
        <v>56</v>
      </c>
      <c r="B147" s="45">
        <f>'CONSOLIDADO-ACUEDUCTOSRURALES1'!D104</f>
        <v>11</v>
      </c>
      <c r="C147" s="49">
        <f t="shared" si="14"/>
        <v>15.942028985507244</v>
      </c>
      <c r="D147" s="29">
        <f>COUNTIFS('MAGDALENA MEDIO'!A:A,"Puerto Triunfo",'MAGDALENA MEDIO'!S:S,"SIN RIESGO")</f>
        <v>2</v>
      </c>
      <c r="E147" s="49">
        <f>(D147/$B$147)*100</f>
        <v>18.181818181818183</v>
      </c>
      <c r="F147" s="29">
        <f>COUNTIFS('MAGDALENA MEDIO'!$A:$A,"Puerto Triunfo",'MAGDALENA MEDIO'!$S:$S,"BAJO")</f>
        <v>2</v>
      </c>
      <c r="G147" s="49">
        <f>(F147/$B$147)*100</f>
        <v>18.181818181818183</v>
      </c>
      <c r="H147" s="29">
        <f>COUNTIFS('MAGDALENA MEDIO'!$A:$A,"Puerto Truinfo",'MAGDALENA MEDIO'!$S:$S,"MEDIO")</f>
        <v>0</v>
      </c>
      <c r="I147" s="49">
        <f>(H147/$B$147)*100</f>
        <v>0</v>
      </c>
      <c r="J147" s="29">
        <f>COUNTIFS('MAGDALENA MEDIO'!$A:$A,"Puerto Triunfo",'MAGDALENA MEDIO'!$S:$S,"ALTO")</f>
        <v>3</v>
      </c>
      <c r="K147" s="49">
        <f>(J147/$B$147)*100</f>
        <v>27.27272727272727</v>
      </c>
      <c r="L147" s="29">
        <f>COUNTIFS('MAGDALENA MEDIO'!$A:$A,"Puerto Triunfo",'MAGDALENA MEDIO'!$S:$S,"INVIABLE SANITARIAMENTE")</f>
        <v>2</v>
      </c>
      <c r="M147" s="49">
        <f>(L147/$B$147)*100</f>
        <v>18.181818181818183</v>
      </c>
      <c r="N147" s="362">
        <f t="shared" si="15"/>
        <v>2</v>
      </c>
      <c r="O147" s="49">
        <f>(N147/$B$147)*100</f>
        <v>18.181818181818183</v>
      </c>
    </row>
    <row r="148" spans="1:16" ht="15.75" x14ac:dyDescent="0.2">
      <c r="A148" s="61" t="s">
        <v>195</v>
      </c>
      <c r="B148" s="45">
        <f>'CONSOLIDADO-ACUEDUCTOSRURALES1'!D105</f>
        <v>21</v>
      </c>
      <c r="C148" s="49">
        <f t="shared" si="14"/>
        <v>30.434782608695656</v>
      </c>
      <c r="D148" s="29">
        <f>COUNTIFS('MAGDALENA MEDIO'!A:A,"Yondó",'MAGDALENA MEDIO'!S:S,"SIN RIESGO")</f>
        <v>0</v>
      </c>
      <c r="E148" s="49">
        <f>(D148/$B$148)*100</f>
        <v>0</v>
      </c>
      <c r="F148" s="29">
        <f>COUNTIFS('MAGDALENA MEDIO'!$A:$A,"Yondó",'MAGDALENA MEDIO'!$S:$S,"BAJO")</f>
        <v>4</v>
      </c>
      <c r="G148" s="49">
        <f>(F148/$B$148)*100</f>
        <v>19.047619047619047</v>
      </c>
      <c r="H148" s="29">
        <f>COUNTIFS('MAGDALENA MEDIO'!$A:$A,"Yondó",'MAGDALENA MEDIO'!$S:$S,"MEDIO")</f>
        <v>2</v>
      </c>
      <c r="I148" s="49">
        <f>(H148/$B$148)*100</f>
        <v>9.5238095238095237</v>
      </c>
      <c r="J148" s="29">
        <f>COUNTIFS('MAGDALENA MEDIO'!$A:$A,"Yondó",'MAGDALENA MEDIO'!$S:$S,"ALTO")</f>
        <v>3</v>
      </c>
      <c r="K148" s="49">
        <f>(J148/$B$148)*100</f>
        <v>14.285714285714285</v>
      </c>
      <c r="L148" s="29">
        <f>COUNTIFS('MAGDALENA MEDIO'!$A:$A,"Yondó",'MAGDALENA MEDIO'!$S:$S,"INVIABLE SANITARIAMENTE")</f>
        <v>12</v>
      </c>
      <c r="M148" s="49">
        <f>(L148/$B$148)*100</f>
        <v>57.142857142857139</v>
      </c>
      <c r="N148" s="362">
        <f t="shared" si="15"/>
        <v>0</v>
      </c>
      <c r="O148" s="49">
        <f>(N148/$B$148)*100</f>
        <v>0</v>
      </c>
    </row>
    <row r="149" spans="1:16" ht="23.25" customHeight="1" x14ac:dyDescent="0.2">
      <c r="A149" s="77" t="s">
        <v>225</v>
      </c>
      <c r="B149" s="71">
        <f>SUM(B143:B148)</f>
        <v>69</v>
      </c>
      <c r="C149" s="79">
        <f>SUM(C143:C148)</f>
        <v>100</v>
      </c>
      <c r="D149" s="78">
        <f>SUM(D143:D148)</f>
        <v>5</v>
      </c>
      <c r="E149" s="79">
        <f>(D149/$B$149)*100</f>
        <v>7.2463768115942031</v>
      </c>
      <c r="F149" s="78">
        <f>SUM(F143:F148)</f>
        <v>7</v>
      </c>
      <c r="G149" s="79">
        <f>(F149/$B$149)*100</f>
        <v>10.144927536231885</v>
      </c>
      <c r="H149" s="78">
        <f>SUM(H143:H148)</f>
        <v>4</v>
      </c>
      <c r="I149" s="79">
        <f>(H149/$B$149)*100</f>
        <v>5.7971014492753623</v>
      </c>
      <c r="J149" s="78">
        <f>SUM(J143:J148)</f>
        <v>19</v>
      </c>
      <c r="K149" s="79">
        <f>(J149/$B$149)*100</f>
        <v>27.536231884057973</v>
      </c>
      <c r="L149" s="78">
        <f>SUM(L143:L148)</f>
        <v>16</v>
      </c>
      <c r="M149" s="79">
        <f>(L149/$B$149)*100</f>
        <v>23.188405797101449</v>
      </c>
      <c r="N149" s="78">
        <f>SUM(N143:N148)</f>
        <v>18</v>
      </c>
      <c r="O149" s="79">
        <f>(N149/$B$149)*100</f>
        <v>26.086956521739129</v>
      </c>
      <c r="P149" s="23"/>
    </row>
    <row r="150" spans="1:16" x14ac:dyDescent="0.2">
      <c r="A150" s="33"/>
      <c r="B150" s="66"/>
      <c r="C150" s="33"/>
      <c r="D150" s="66"/>
      <c r="E150" s="33"/>
      <c r="F150" s="66"/>
      <c r="G150" s="33"/>
      <c r="H150" s="66"/>
      <c r="I150" s="33"/>
      <c r="J150" s="66"/>
      <c r="K150" s="33"/>
      <c r="L150" s="66"/>
      <c r="M150" s="33"/>
      <c r="N150" s="66"/>
      <c r="O150" s="33"/>
    </row>
    <row r="151" spans="1:16" x14ac:dyDescent="0.2">
      <c r="A151" s="33"/>
      <c r="B151" s="66"/>
      <c r="C151" s="33"/>
      <c r="D151" s="66"/>
      <c r="E151" s="33"/>
      <c r="F151" s="66"/>
      <c r="G151" s="33"/>
      <c r="H151" s="66"/>
      <c r="I151" s="33"/>
      <c r="J151" s="66"/>
      <c r="K151" s="33"/>
      <c r="L151" s="66"/>
      <c r="M151" s="33"/>
      <c r="N151" s="66"/>
      <c r="O151" s="33"/>
    </row>
    <row r="152" spans="1:16" x14ac:dyDescent="0.2">
      <c r="A152" s="33"/>
      <c r="B152" s="66"/>
      <c r="C152" s="33"/>
      <c r="D152" s="66"/>
      <c r="E152" s="33"/>
      <c r="F152" s="66"/>
      <c r="G152" s="33"/>
      <c r="H152" s="66"/>
      <c r="I152" s="33"/>
      <c r="J152" s="66"/>
      <c r="K152" s="33"/>
      <c r="L152" s="66"/>
      <c r="M152" s="33"/>
      <c r="N152" s="66"/>
      <c r="O152" s="33"/>
    </row>
    <row r="153" spans="1:16" ht="24" customHeight="1" x14ac:dyDescent="0.2">
      <c r="A153" s="590" t="s">
        <v>4351</v>
      </c>
      <c r="B153" s="590"/>
      <c r="C153" s="590"/>
      <c r="D153" s="590"/>
      <c r="E153" s="590"/>
      <c r="F153" s="590"/>
      <c r="G153" s="590"/>
      <c r="H153" s="590"/>
      <c r="I153" s="590"/>
      <c r="J153" s="590"/>
      <c r="K153" s="590"/>
      <c r="L153" s="590"/>
      <c r="M153" s="590"/>
      <c r="N153" s="590"/>
      <c r="O153" s="590"/>
    </row>
    <row r="154" spans="1:16" ht="135" customHeight="1" x14ac:dyDescent="0.2">
      <c r="A154" s="441" t="s">
        <v>11</v>
      </c>
      <c r="B154" s="72" t="s">
        <v>256</v>
      </c>
      <c r="C154" s="441" t="s">
        <v>105</v>
      </c>
      <c r="D154" s="444" t="s">
        <v>250</v>
      </c>
      <c r="E154" s="441" t="s">
        <v>105</v>
      </c>
      <c r="F154" s="445" t="s">
        <v>251</v>
      </c>
      <c r="G154" s="441" t="s">
        <v>105</v>
      </c>
      <c r="H154" s="446" t="s">
        <v>252</v>
      </c>
      <c r="I154" s="441" t="s">
        <v>105</v>
      </c>
      <c r="J154" s="447" t="s">
        <v>253</v>
      </c>
      <c r="K154" s="441" t="s">
        <v>105</v>
      </c>
      <c r="L154" s="448" t="s">
        <v>254</v>
      </c>
      <c r="M154" s="441" t="s">
        <v>105</v>
      </c>
      <c r="N154" s="72" t="s">
        <v>255</v>
      </c>
      <c r="O154" s="441" t="s">
        <v>105</v>
      </c>
    </row>
    <row r="155" spans="1:16" ht="15.75" x14ac:dyDescent="0.2">
      <c r="A155" s="61" t="s">
        <v>197</v>
      </c>
      <c r="B155" s="29">
        <f>'CONSOLIDADO-ACUEDUCTOSRURALES1'!D107</f>
        <v>6</v>
      </c>
      <c r="C155" s="49">
        <f>(B155/$B$165)*100</f>
        <v>5.4545454545454541</v>
      </c>
      <c r="D155" s="29">
        <f>COUNTIFS(NORDESTE!$A:$A,"Amalfi",NORDESTE!$S:$S,"SIN RIESGO")</f>
        <v>1</v>
      </c>
      <c r="E155" s="49">
        <f>(D155/$B$155)*100</f>
        <v>16.666666666666664</v>
      </c>
      <c r="F155" s="29">
        <f>COUNTIFS(NORDESTE!$A:$A,"Amalfi",NORDESTE!$S:$S,"BAJO")</f>
        <v>0</v>
      </c>
      <c r="G155" s="49">
        <f>(F155/$B$155)*100</f>
        <v>0</v>
      </c>
      <c r="H155" s="29">
        <f>COUNTIFS(NORDESTE!$A:$A,"Amalfi",NORDESTE!$S:$S,"MEDIO")</f>
        <v>1</v>
      </c>
      <c r="I155" s="49">
        <f>(H155/$B$155)*100</f>
        <v>16.666666666666664</v>
      </c>
      <c r="J155" s="29">
        <f>COUNTIFS(NORDESTE!$A:$A,"Amalfi",NORDESTE!$S:$S,"ALTO")</f>
        <v>2</v>
      </c>
      <c r="K155" s="49">
        <f>(J155/$B$155)*100</f>
        <v>33.333333333333329</v>
      </c>
      <c r="L155" s="29">
        <f>COUNTIFS(NORDESTE!$A:$A,"Amalfi",NORDESTE!$S:$S,"INVIABLE SANITARIAMENTE")</f>
        <v>2</v>
      </c>
      <c r="M155" s="49">
        <f>(L155/$B$155)*100</f>
        <v>33.333333333333329</v>
      </c>
      <c r="N155" s="29">
        <f>B155-(L155+J155+H155+F155+D155)</f>
        <v>0</v>
      </c>
      <c r="O155" s="49">
        <f>(N155/$B$155)*100</f>
        <v>0</v>
      </c>
    </row>
    <row r="156" spans="1:16" ht="15.75" x14ac:dyDescent="0.2">
      <c r="A156" s="61" t="s">
        <v>198</v>
      </c>
      <c r="B156" s="29">
        <f>'CONSOLIDADO-ACUEDUCTOSRURALES1'!D108</f>
        <v>4</v>
      </c>
      <c r="C156" s="49">
        <f t="shared" ref="C156:C164" si="16">(B156/$B$165)*100</f>
        <v>3.6363636363636362</v>
      </c>
      <c r="D156" s="29">
        <f>COUNTIFS(NORDESTE!$A:$A,"Anorí",NORDESTE!$S:$S,"SIN RIESGO")</f>
        <v>1</v>
      </c>
      <c r="E156" s="49">
        <f>(D156/$B$156)*100</f>
        <v>25</v>
      </c>
      <c r="F156" s="29">
        <f>COUNTIFS(NORDESTE!$A:$A,"Anorí",NORDESTE!$S:$S,"BAJO")</f>
        <v>0</v>
      </c>
      <c r="G156" s="49">
        <f>(F156/$B$156)*100</f>
        <v>0</v>
      </c>
      <c r="H156" s="29">
        <f>COUNTIFS(NORDESTE!$A:$A,"Anorí",NORDESTE!$S:$S,"MEDIO")</f>
        <v>0</v>
      </c>
      <c r="I156" s="49">
        <f>(H156/$B$156)*100</f>
        <v>0</v>
      </c>
      <c r="J156" s="29">
        <f>COUNTIFS(NORDESTE!$A:$A,"Anorí",NORDESTE!$S:$S,"ALTO")</f>
        <v>0</v>
      </c>
      <c r="K156" s="49">
        <f>(J156/$B$156)*100</f>
        <v>0</v>
      </c>
      <c r="L156" s="29">
        <f>COUNTIFS(NORDESTE!$A:$A,"Anorí",NORDESTE!$S:$S,"INVIABLE SANITARIAMENTE")</f>
        <v>0</v>
      </c>
      <c r="M156" s="49">
        <f>(L156/$B$156)*100</f>
        <v>0</v>
      </c>
      <c r="N156" s="29">
        <f>B156-(L156+J156+H156+F156+D156)</f>
        <v>3</v>
      </c>
      <c r="O156" s="49">
        <f>(N156/$B$156)*100</f>
        <v>75</v>
      </c>
    </row>
    <row r="157" spans="1:16" ht="15.75" x14ac:dyDescent="0.2">
      <c r="A157" s="61" t="s">
        <v>199</v>
      </c>
      <c r="B157" s="29">
        <f>'CONSOLIDADO-ACUEDUCTOSRURALES1'!D109</f>
        <v>3</v>
      </c>
      <c r="C157" s="49">
        <f t="shared" si="16"/>
        <v>2.7272727272727271</v>
      </c>
      <c r="D157" s="29">
        <f>COUNTIFS(NORDESTE!$A:$A,"Cisneros",NORDESTE!$S:$S,"SIN RIESGO")</f>
        <v>0</v>
      </c>
      <c r="E157" s="49">
        <f>(D157/$B$157)*100</f>
        <v>0</v>
      </c>
      <c r="F157" s="29">
        <f>COUNTIFS(NORDESTE!$A:$A,"Cisneros",NORDESTE!$S:$S,"BAJO")</f>
        <v>0</v>
      </c>
      <c r="G157" s="49">
        <f>(F157/$B$157)*100</f>
        <v>0</v>
      </c>
      <c r="H157" s="29">
        <f>COUNTIFS(NORDESTE!$A:$A,"Cisneros",NORDESTE!$S:$S,"MEDIO")</f>
        <v>0</v>
      </c>
      <c r="I157" s="49">
        <f>(H157/$B$157)*100</f>
        <v>0</v>
      </c>
      <c r="J157" s="29">
        <f>COUNTIFS(NORDESTE!$A:$A,"Cisneros",NORDESTE!$S:$S,"ALTO")</f>
        <v>0</v>
      </c>
      <c r="K157" s="49">
        <f>(J157/$B$157)*100</f>
        <v>0</v>
      </c>
      <c r="L157" s="29">
        <f>COUNTIFS(NORDESTE!$A:$A,"Cisneros",NORDESTE!$S:$S,"INVIABLE SANITARIAMENTE")</f>
        <v>3</v>
      </c>
      <c r="M157" s="49">
        <f>(L157/$B$157)*100</f>
        <v>100</v>
      </c>
      <c r="N157" s="362">
        <f t="shared" ref="N157:N164" si="17">B157-(L157+J157+H157+F157+D157)</f>
        <v>0</v>
      </c>
      <c r="O157" s="49">
        <f>(N157/$B$157)*100</f>
        <v>0</v>
      </c>
    </row>
    <row r="158" spans="1:16" ht="15.75" x14ac:dyDescent="0.2">
      <c r="A158" s="61" t="s">
        <v>200</v>
      </c>
      <c r="B158" s="29">
        <f>'CONSOLIDADO-ACUEDUCTOSRURALES1'!D110</f>
        <v>7</v>
      </c>
      <c r="C158" s="49">
        <f t="shared" si="16"/>
        <v>6.3636363636363633</v>
      </c>
      <c r="D158" s="29">
        <f>COUNTIFS(NORDESTE!$A:$A,"Remedios",NORDESTE!$S:$S,"SIN RIESGO")</f>
        <v>0</v>
      </c>
      <c r="E158" s="49">
        <f>(D158/$B$158)*100</f>
        <v>0</v>
      </c>
      <c r="F158" s="29">
        <f>COUNTIFS(NORDESTE!$A:$A,"Remedios",NORDESTE!$S:$S,"BAJO")</f>
        <v>0</v>
      </c>
      <c r="G158" s="49">
        <f>(F158/$B$158)*100</f>
        <v>0</v>
      </c>
      <c r="H158" s="29">
        <f>COUNTIFS(NORDESTE!$A:$A,"Remedios",NORDESTE!$S:$S,"MEDIO")</f>
        <v>0</v>
      </c>
      <c r="I158" s="49">
        <f>(H158/$B$158)*100</f>
        <v>0</v>
      </c>
      <c r="J158" s="29">
        <f>COUNTIFS(NORDESTE!$A:$A,"Remedios",NORDESTE!$S:$S,"ALTO")</f>
        <v>0</v>
      </c>
      <c r="K158" s="49">
        <f>(J158/$B$158)*100</f>
        <v>0</v>
      </c>
      <c r="L158" s="29">
        <f>COUNTIFS(NORDESTE!$A:$A,"Remedios",NORDESTE!$S:$S,"INVIABLE SANITARIAMENTE")</f>
        <v>3</v>
      </c>
      <c r="M158" s="49">
        <f>(L158/$B$158)*100</f>
        <v>42.857142857142854</v>
      </c>
      <c r="N158" s="362">
        <f t="shared" si="17"/>
        <v>4</v>
      </c>
      <c r="O158" s="49">
        <f>(N158/$B$158)*100</f>
        <v>57.142857142857139</v>
      </c>
    </row>
    <row r="159" spans="1:16" ht="15.75" x14ac:dyDescent="0.2">
      <c r="A159" s="61" t="s">
        <v>201</v>
      </c>
      <c r="B159" s="29">
        <f>'CONSOLIDADO-ACUEDUCTOSRURALES1'!D111</f>
        <v>33</v>
      </c>
      <c r="C159" s="49">
        <f t="shared" si="16"/>
        <v>30</v>
      </c>
      <c r="D159" s="29">
        <f>COUNTIFS(NORDESTE!$A:$A,"San Roque",NORDESTE!$S:$S,"SIN RIESGO")</f>
        <v>0</v>
      </c>
      <c r="E159" s="49">
        <f>(D159/$B$159)*100</f>
        <v>0</v>
      </c>
      <c r="F159" s="29">
        <f>COUNTIFS(NORDESTE!$A:$A,"San Roque",NORDESTE!$S:$S,"BAJO")</f>
        <v>0</v>
      </c>
      <c r="G159" s="49">
        <f>(F159/$B$159)*100</f>
        <v>0</v>
      </c>
      <c r="H159" s="29">
        <f>COUNTIFS(NORDESTE!$A:$A,"San Roque",NORDESTE!$S:$S,"MEDIO")</f>
        <v>0</v>
      </c>
      <c r="I159" s="49">
        <f>(H159/$B$159)*100</f>
        <v>0</v>
      </c>
      <c r="J159" s="29">
        <f>COUNTIFS(NORDESTE!$A:$A,"San Roque",NORDESTE!$S:$S,"ALTO")</f>
        <v>0</v>
      </c>
      <c r="K159" s="49">
        <f>(J159/$B$159)*100</f>
        <v>0</v>
      </c>
      <c r="L159" s="29">
        <f>COUNTIFS(NORDESTE!$A:$A,"San Roque",NORDESTE!$S:$S,"INVIABLE SANITARIAMENTE")</f>
        <v>29</v>
      </c>
      <c r="M159" s="49">
        <f>(L159/$B$159)*100</f>
        <v>87.878787878787875</v>
      </c>
      <c r="N159" s="362">
        <f t="shared" si="17"/>
        <v>4</v>
      </c>
      <c r="O159" s="49">
        <f>(N159/$B$159)*100</f>
        <v>12.121212121212121</v>
      </c>
    </row>
    <row r="160" spans="1:16" ht="15.75" x14ac:dyDescent="0.2">
      <c r="A160" s="61" t="s">
        <v>7</v>
      </c>
      <c r="B160" s="29">
        <f>'CONSOLIDADO-ACUEDUCTOSRURALES1'!D112</f>
        <v>17</v>
      </c>
      <c r="C160" s="49">
        <f t="shared" si="16"/>
        <v>15.454545454545453</v>
      </c>
      <c r="D160" s="29">
        <f>COUNTIFS(NORDESTE!$A:$A,"Santo Domingo",NORDESTE!$S:$S,"SIN RIESGO")</f>
        <v>2</v>
      </c>
      <c r="E160" s="49">
        <f>(D160/$B$160)*100</f>
        <v>11.76470588235294</v>
      </c>
      <c r="F160" s="29">
        <f>COUNTIFS(NORDESTE!$A:$A,"Santo Domingo",NORDESTE!$S:$S,"BAJO")</f>
        <v>1</v>
      </c>
      <c r="G160" s="49">
        <f>(F160/$B$160)*100</f>
        <v>5.8823529411764701</v>
      </c>
      <c r="H160" s="29">
        <f>COUNTIFS(NORDESTE!$A:$A,"Santo Domingo",NORDESTE!$S:$S,"MEDIO")</f>
        <v>1</v>
      </c>
      <c r="I160" s="49">
        <f>(H160/$B$160)*100</f>
        <v>5.8823529411764701</v>
      </c>
      <c r="J160" s="29">
        <f>COUNTIFS(NORDESTE!$A:$A,"Santo Domingo",NORDESTE!$S:$S,"ALTO")</f>
        <v>4</v>
      </c>
      <c r="K160" s="49">
        <f>(J160/$B$160)*100</f>
        <v>23.52941176470588</v>
      </c>
      <c r="L160" s="29">
        <f>COUNTIFS(NORDESTE!$A:$A,"Santo Domingo",NORDESTE!$S:$S,"INVIABLE SANITARIAMENTE")</f>
        <v>8</v>
      </c>
      <c r="M160" s="49">
        <f>(L160/$B$160)*100</f>
        <v>47.058823529411761</v>
      </c>
      <c r="N160" s="362">
        <f t="shared" si="17"/>
        <v>1</v>
      </c>
      <c r="O160" s="49">
        <f>(N160/$B$160)*100</f>
        <v>5.8823529411764701</v>
      </c>
    </row>
    <row r="161" spans="1:16" ht="15.75" x14ac:dyDescent="0.2">
      <c r="A161" s="61" t="s">
        <v>202</v>
      </c>
      <c r="B161" s="29">
        <f>'CONSOLIDADO-ACUEDUCTOSRURALES1'!D113</f>
        <v>12</v>
      </c>
      <c r="C161" s="49">
        <f t="shared" si="16"/>
        <v>10.909090909090908</v>
      </c>
      <c r="D161" s="29">
        <f>COUNTIFS(NORDESTE!$A:$A,"Segovia",NORDESTE!$S:$S,"SIN RIESGO")</f>
        <v>1</v>
      </c>
      <c r="E161" s="49">
        <f>(D161/$B$161)*100</f>
        <v>8.3333333333333321</v>
      </c>
      <c r="F161" s="29">
        <f>COUNTIFS(NORDESTE!$A:$A,"Segovia",NORDESTE!$S:$S,"BAJO")</f>
        <v>1</v>
      </c>
      <c r="G161" s="49">
        <f>(F161/$B$161)*100</f>
        <v>8.3333333333333321</v>
      </c>
      <c r="H161" s="29">
        <f>COUNTIFS(NORDESTE!$A:$A,"Segovia",NORDESTE!$S:$S,"MEDIO")</f>
        <v>0</v>
      </c>
      <c r="I161" s="49">
        <f>(H161/$B$161)*100</f>
        <v>0</v>
      </c>
      <c r="J161" s="29">
        <f>COUNTIFS(NORDESTE!$A:$A,"Segovia",NORDESTE!$S:$S,"ALTO")</f>
        <v>2</v>
      </c>
      <c r="K161" s="49">
        <f>(J161/$B$161)*100</f>
        <v>16.666666666666664</v>
      </c>
      <c r="L161" s="29">
        <f>COUNTIFS(NORDESTE!$A:$A,"Segovia",NORDESTE!$S:$S,"INVIABLE SANITARIAMENTE")</f>
        <v>4</v>
      </c>
      <c r="M161" s="49">
        <f>(L161/$B$161)*100</f>
        <v>33.333333333333329</v>
      </c>
      <c r="N161" s="362">
        <f t="shared" si="17"/>
        <v>4</v>
      </c>
      <c r="O161" s="49">
        <f>(N161/$B$161)*100</f>
        <v>33.333333333333329</v>
      </c>
    </row>
    <row r="162" spans="1:16" ht="15.75" x14ac:dyDescent="0.2">
      <c r="A162" s="61" t="s">
        <v>203</v>
      </c>
      <c r="B162" s="29">
        <f>'CONSOLIDADO-ACUEDUCTOSRURALES1'!D114</f>
        <v>4</v>
      </c>
      <c r="C162" s="49">
        <f t="shared" si="16"/>
        <v>3.6363636363636362</v>
      </c>
      <c r="D162" s="29">
        <f>COUNTIFS(NORDESTE!$A:$A,"Vegachí",NORDESTE!$S:$S,"SIN RIESGO")</f>
        <v>1</v>
      </c>
      <c r="E162" s="49">
        <f>(D162/$B$162)*100</f>
        <v>25</v>
      </c>
      <c r="F162" s="29">
        <f>COUNTIFS(NORDESTE!$A:$A,"Vegachí",NORDESTE!$S:$S,"BAJO")</f>
        <v>0</v>
      </c>
      <c r="G162" s="49">
        <f>(F162/$B$162)*100</f>
        <v>0</v>
      </c>
      <c r="H162" s="29">
        <f>COUNTIFS(NORDESTE!$A:$A,"Vegachí",NORDESTE!$S:$S,"MEDIO")</f>
        <v>0</v>
      </c>
      <c r="I162" s="49">
        <f>(H162/$B$162)*100</f>
        <v>0</v>
      </c>
      <c r="J162" s="29">
        <f>COUNTIFS(NORDESTE!$A:$A,"Vegachí",NORDESTE!$S:$S,"ALTO")</f>
        <v>2</v>
      </c>
      <c r="K162" s="49">
        <f>(J162/$B$162)*100</f>
        <v>50</v>
      </c>
      <c r="L162" s="29">
        <f>COUNTIFS(NORDESTE!$A:$A,"Vegachí",NORDESTE!$S:$S,"INVIABLE SANITARIAMENTE")</f>
        <v>1</v>
      </c>
      <c r="M162" s="49">
        <f>(L162/$B$162)*100</f>
        <v>25</v>
      </c>
      <c r="N162" s="362">
        <f t="shared" si="17"/>
        <v>0</v>
      </c>
      <c r="O162" s="49">
        <f>(N162/$B$162)*100</f>
        <v>0</v>
      </c>
    </row>
    <row r="163" spans="1:16" ht="15.75" x14ac:dyDescent="0.2">
      <c r="A163" s="61" t="s">
        <v>204</v>
      </c>
      <c r="B163" s="29">
        <f>'CONSOLIDADO-ACUEDUCTOSRURALES1'!D115</f>
        <v>10</v>
      </c>
      <c r="C163" s="49">
        <f t="shared" si="16"/>
        <v>9.0909090909090917</v>
      </c>
      <c r="D163" s="29">
        <f>COUNTIFS(NORDESTE!$A:$A,"Yalí",NORDESTE!$S:$S,"SIN RIESGO")</f>
        <v>1</v>
      </c>
      <c r="E163" s="49">
        <f>(D163/$B$163)*100</f>
        <v>10</v>
      </c>
      <c r="F163" s="29">
        <f>COUNTIFS(NORDESTE!$A:$A,"Yalí",NORDESTE!$S:$S,"BAJO")</f>
        <v>0</v>
      </c>
      <c r="G163" s="49">
        <f>(F163/$B$163)*100</f>
        <v>0</v>
      </c>
      <c r="H163" s="29">
        <f>COUNTIFS(NORDESTE!$A:$A,"Yalí",NORDESTE!$S:$S,"MEDIO")</f>
        <v>0</v>
      </c>
      <c r="I163" s="49">
        <f>(H163/$B$163)*100</f>
        <v>0</v>
      </c>
      <c r="J163" s="29">
        <f>COUNTIFS(NORDESTE!$A:$A,"Yalí",NORDESTE!$S:$S,"ALTO")</f>
        <v>0</v>
      </c>
      <c r="K163" s="49">
        <f>(J163/$B$163)*100</f>
        <v>0</v>
      </c>
      <c r="L163" s="29">
        <f>COUNTIFS(NORDESTE!$A:$A,"Yalí",NORDESTE!$S:$S,"INVIABLE SANITARIAMENTE")</f>
        <v>9</v>
      </c>
      <c r="M163" s="49">
        <f>(L163/$B$163)*100</f>
        <v>90</v>
      </c>
      <c r="N163" s="362">
        <f t="shared" si="17"/>
        <v>0</v>
      </c>
      <c r="O163" s="49">
        <f>(N163/$B$163)*100</f>
        <v>0</v>
      </c>
    </row>
    <row r="164" spans="1:16" ht="15.75" x14ac:dyDescent="0.2">
      <c r="A164" s="61" t="s">
        <v>205</v>
      </c>
      <c r="B164" s="29">
        <f>'CONSOLIDADO-ACUEDUCTOSRURALES1'!D116</f>
        <v>14</v>
      </c>
      <c r="C164" s="49">
        <f t="shared" si="16"/>
        <v>12.727272727272727</v>
      </c>
      <c r="D164" s="29">
        <f>COUNTIFS(NORDESTE!$A:$A,"Yolombó",NORDESTE!$S:$S,"SIN RIESGO")</f>
        <v>2</v>
      </c>
      <c r="E164" s="49">
        <f>(D164/$B$164)*100</f>
        <v>14.285714285714285</v>
      </c>
      <c r="F164" s="29">
        <f>COUNTIFS(NORDESTE!$A:$A,"Yolombó",NORDESTE!$S:$S,"BAJO")</f>
        <v>0</v>
      </c>
      <c r="G164" s="49">
        <f>(F164/$B$164)*100</f>
        <v>0</v>
      </c>
      <c r="H164" s="29">
        <f>COUNTIFS(NORDESTE!$A:$A,"Yolombó",NORDESTE!$S:$S,"MEDIO")</f>
        <v>1</v>
      </c>
      <c r="I164" s="49">
        <f>(H164/$B$164)*100</f>
        <v>7.1428571428571423</v>
      </c>
      <c r="J164" s="29">
        <f>COUNTIFS(NORDESTE!$A:$A,"Yolombó",NORDESTE!$S:$S,"ALTO")</f>
        <v>3</v>
      </c>
      <c r="K164" s="49">
        <f>(J164/$B$164)*100</f>
        <v>21.428571428571427</v>
      </c>
      <c r="L164" s="29">
        <f>COUNTIFS(NORDESTE!$A:$A,"Yolombó",NORDESTE!$S:$S,"INVIABLE SANITARIAMENTE")</f>
        <v>6</v>
      </c>
      <c r="M164" s="49">
        <f>(L164/$B$164)*100</f>
        <v>42.857142857142854</v>
      </c>
      <c r="N164" s="362">
        <f t="shared" si="17"/>
        <v>2</v>
      </c>
      <c r="O164" s="49">
        <f>(N164/$B$164)*100</f>
        <v>14.285714285714285</v>
      </c>
    </row>
    <row r="165" spans="1:16" ht="27.75" customHeight="1" x14ac:dyDescent="0.2">
      <c r="A165" s="77" t="s">
        <v>225</v>
      </c>
      <c r="B165" s="78">
        <f>SUM(B155:B164)</f>
        <v>110</v>
      </c>
      <c r="C165" s="79">
        <f>SUM(C155:C164)</f>
        <v>100</v>
      </c>
      <c r="D165" s="78">
        <f>SUM(D155:D164)</f>
        <v>9</v>
      </c>
      <c r="E165" s="79">
        <f>(D165/$B$165)*100</f>
        <v>8.1818181818181817</v>
      </c>
      <c r="F165" s="78">
        <f>SUM(F155:F164)</f>
        <v>2</v>
      </c>
      <c r="G165" s="79">
        <f>(F165/$B$165)*100</f>
        <v>1.8181818181818181</v>
      </c>
      <c r="H165" s="78">
        <f>SUM(H155:H164)</f>
        <v>3</v>
      </c>
      <c r="I165" s="79">
        <f>(H165/$B$165)*100</f>
        <v>2.7272727272727271</v>
      </c>
      <c r="J165" s="78">
        <f>SUM(J155:J164)</f>
        <v>13</v>
      </c>
      <c r="K165" s="79">
        <f>(J165/$B$165)*100</f>
        <v>11.818181818181818</v>
      </c>
      <c r="L165" s="78">
        <f>SUM(L155:L164)</f>
        <v>65</v>
      </c>
      <c r="M165" s="79">
        <f>(L165/$B$165)*100</f>
        <v>59.090909090909093</v>
      </c>
      <c r="N165" s="78">
        <f>SUM(N155:N164)</f>
        <v>18</v>
      </c>
      <c r="O165" s="79">
        <f>(N165/$B$165)*100</f>
        <v>16.363636363636363</v>
      </c>
      <c r="P165" s="23"/>
    </row>
    <row r="166" spans="1:16" ht="15.75" x14ac:dyDescent="0.25">
      <c r="A166" s="67"/>
      <c r="B166" s="68"/>
      <c r="C166" s="67"/>
      <c r="D166" s="68"/>
      <c r="E166" s="67"/>
      <c r="F166" s="68"/>
      <c r="G166" s="67"/>
      <c r="H166" s="68"/>
      <c r="I166" s="67"/>
      <c r="J166" s="68"/>
      <c r="K166" s="67"/>
      <c r="L166" s="68"/>
      <c r="M166" s="67"/>
      <c r="N166" s="68"/>
      <c r="O166" s="67"/>
    </row>
    <row r="167" spans="1:16" x14ac:dyDescent="0.2">
      <c r="A167" s="33"/>
      <c r="B167" s="66"/>
      <c r="C167" s="33"/>
      <c r="D167" s="66"/>
      <c r="E167" s="33"/>
      <c r="F167" s="66"/>
      <c r="G167" s="33"/>
      <c r="H167" s="66"/>
      <c r="I167" s="33"/>
      <c r="J167" s="66"/>
      <c r="K167" s="33"/>
      <c r="L167" s="66"/>
      <c r="M167" s="33"/>
      <c r="N167" s="66"/>
      <c r="O167" s="33"/>
    </row>
    <row r="168" spans="1:16" x14ac:dyDescent="0.2">
      <c r="A168" s="33"/>
      <c r="B168" s="66"/>
      <c r="C168" s="33"/>
      <c r="D168" s="66"/>
      <c r="E168" s="33"/>
      <c r="F168" s="66"/>
      <c r="G168" s="33"/>
      <c r="H168" s="66"/>
      <c r="I168" s="33"/>
      <c r="J168" s="66"/>
      <c r="K168" s="33"/>
      <c r="L168" s="66"/>
      <c r="M168" s="33"/>
      <c r="N168" s="66"/>
      <c r="O168" s="33"/>
    </row>
    <row r="169" spans="1:16" ht="23.25" customHeight="1" x14ac:dyDescent="0.2">
      <c r="A169" s="590" t="s">
        <v>4352</v>
      </c>
      <c r="B169" s="590"/>
      <c r="C169" s="590"/>
      <c r="D169" s="590"/>
      <c r="E169" s="590"/>
      <c r="F169" s="590"/>
      <c r="G169" s="590"/>
      <c r="H169" s="590"/>
      <c r="I169" s="590"/>
      <c r="J169" s="590"/>
      <c r="K169" s="590"/>
      <c r="L169" s="590"/>
      <c r="M169" s="590"/>
      <c r="N169" s="590"/>
      <c r="O169" s="590"/>
    </row>
    <row r="170" spans="1:16" ht="136.5" customHeight="1" x14ac:dyDescent="0.2">
      <c r="A170" s="441" t="s">
        <v>11</v>
      </c>
      <c r="B170" s="72" t="s">
        <v>256</v>
      </c>
      <c r="C170" s="441" t="s">
        <v>105</v>
      </c>
      <c r="D170" s="444" t="s">
        <v>250</v>
      </c>
      <c r="E170" s="441" t="s">
        <v>105</v>
      </c>
      <c r="F170" s="445" t="s">
        <v>251</v>
      </c>
      <c r="G170" s="441" t="s">
        <v>105</v>
      </c>
      <c r="H170" s="446" t="s">
        <v>252</v>
      </c>
      <c r="I170" s="441" t="s">
        <v>105</v>
      </c>
      <c r="J170" s="447" t="s">
        <v>253</v>
      </c>
      <c r="K170" s="441" t="s">
        <v>105</v>
      </c>
      <c r="L170" s="448" t="s">
        <v>254</v>
      </c>
      <c r="M170" s="441" t="s">
        <v>105</v>
      </c>
      <c r="N170" s="72" t="s">
        <v>255</v>
      </c>
      <c r="O170" s="441" t="s">
        <v>105</v>
      </c>
    </row>
    <row r="171" spans="1:16" ht="15.75" x14ac:dyDescent="0.2">
      <c r="A171" s="61" t="s">
        <v>207</v>
      </c>
      <c r="B171" s="29">
        <f>'CONSOLIDADO-ACUEDUCTOSRURALES1'!D118</f>
        <v>50</v>
      </c>
      <c r="C171" s="49">
        <f>(B171/$B$194)*100</f>
        <v>9.3109869646182499</v>
      </c>
      <c r="D171" s="29">
        <f>COUNTIFS(ORIENTE!$A:$A,"Abejorral",ORIENTE!S:S,"SIN RIESGO")</f>
        <v>1</v>
      </c>
      <c r="E171" s="49">
        <f>(D171/$B$171)*100</f>
        <v>2</v>
      </c>
      <c r="F171" s="29">
        <f>COUNTIFS(ORIENTE!$A:$A,"Abejorral",ORIENTE!S:S,"BAJO")</f>
        <v>0</v>
      </c>
      <c r="G171" s="49">
        <f>(F171/$B$171)*100</f>
        <v>0</v>
      </c>
      <c r="H171" s="375">
        <f>COUNTIFS(ORIENTE!$A:$A,"Abejorral",ORIENTE!S:S,"MEDIO")</f>
        <v>1</v>
      </c>
      <c r="I171" s="49">
        <f>(H171/$B$171)*100</f>
        <v>2</v>
      </c>
      <c r="J171" s="375">
        <f>COUNTIFS(ORIENTE!$A:$A,"Abejorral",ORIENTE!S:S,"Alto")</f>
        <v>0</v>
      </c>
      <c r="K171" s="49">
        <f>(J171/$B$171)*100</f>
        <v>0</v>
      </c>
      <c r="L171" s="375">
        <f>COUNTIFS(ORIENTE!$A:$A,"Abejorral",ORIENTE!$S:$S,"INVIABLE SANITARIAMENTE")</f>
        <v>18</v>
      </c>
      <c r="M171" s="49">
        <f>(L171/$B$171)*100</f>
        <v>36</v>
      </c>
      <c r="N171" s="29">
        <f>B171-(D171+F171+H171+J171+L171)</f>
        <v>30</v>
      </c>
      <c r="O171" s="49">
        <f>(N171/$B$171)*100</f>
        <v>60</v>
      </c>
    </row>
    <row r="172" spans="1:16" ht="15.75" x14ac:dyDescent="0.2">
      <c r="A172" s="61" t="s">
        <v>208</v>
      </c>
      <c r="B172" s="29">
        <f>'CONSOLIDADO-ACUEDUCTOSRURALES1'!D119</f>
        <v>7</v>
      </c>
      <c r="C172" s="49">
        <f t="shared" ref="C172:C193" si="18">(B172/$B$194)*100</f>
        <v>1.3035381750465549</v>
      </c>
      <c r="D172" s="29">
        <f>COUNTIFS(ORIENTE!$A:$A,"Alejandría",ORIENTE!S:S,"SIN RIESGO")</f>
        <v>0</v>
      </c>
      <c r="E172" s="49">
        <f>(D172/$B$172)*100</f>
        <v>0</v>
      </c>
      <c r="F172" s="29">
        <f>COUNTIFS(ORIENTE!$A:$A,"Alejandría",ORIENTE!S:S,"BAJO")</f>
        <v>1</v>
      </c>
      <c r="G172" s="49">
        <f>(F172/$B$172)*100</f>
        <v>14.285714285714285</v>
      </c>
      <c r="H172" s="29">
        <f>COUNTIFS(ORIENTE!$A:$A,"Alejandría",ORIENTE!S:S,"MEDIO")</f>
        <v>0</v>
      </c>
      <c r="I172" s="49">
        <f>(H172/$B$172)*100</f>
        <v>0</v>
      </c>
      <c r="J172" s="29">
        <f>COUNTIFS(ORIENTE!$A:$A,"Alejandría",ORIENTE!S:S,"ALTO")</f>
        <v>6</v>
      </c>
      <c r="K172" s="49">
        <f>(J172/$B$172)*100</f>
        <v>85.714285714285708</v>
      </c>
      <c r="L172" s="375">
        <f>COUNTIFS(ORIENTE!$A:$A,"Alejandria",ORIENTE!S:S,"INVIABLE SANITARIAMENTE")</f>
        <v>0</v>
      </c>
      <c r="M172" s="49">
        <f>(L172/$B$172)*100</f>
        <v>0</v>
      </c>
      <c r="N172" s="362">
        <f t="shared" ref="N172:N193" si="19">B172-(D172+F172+H172+J172+L172)</f>
        <v>0</v>
      </c>
      <c r="O172" s="49">
        <f>(N172/$B$172)*100</f>
        <v>0</v>
      </c>
    </row>
    <row r="173" spans="1:16" ht="15.75" x14ac:dyDescent="0.2">
      <c r="A173" s="61" t="s">
        <v>209</v>
      </c>
      <c r="B173" s="29">
        <f>'CONSOLIDADO-ACUEDUCTOSRURALES1'!D120</f>
        <v>19</v>
      </c>
      <c r="C173" s="49">
        <f t="shared" si="18"/>
        <v>3.5381750465549344</v>
      </c>
      <c r="D173" s="29">
        <f>COUNTIFS(ORIENTE!$A:$A,"Argelia",ORIENTE!S:S,"SIN RIESGO")</f>
        <v>0</v>
      </c>
      <c r="E173" s="49">
        <f>(D173/$B$173)*100</f>
        <v>0</v>
      </c>
      <c r="F173" s="29">
        <f>COUNTIFS(ORIENTE!$A:$A,"Argelia",ORIENTE!S:S,"BAJO")</f>
        <v>0</v>
      </c>
      <c r="G173" s="49">
        <f>(F173/$B$173)*100</f>
        <v>0</v>
      </c>
      <c r="H173" s="29">
        <f>COUNTIFS(ORIENTE!$A:$A,"Argelia",ORIENTE!S:S,"MEDIO")</f>
        <v>0</v>
      </c>
      <c r="I173" s="49">
        <f>(H173/$B$173)*100</f>
        <v>0</v>
      </c>
      <c r="J173" s="29">
        <f>COUNTIFS(ORIENTE!$A:$A,"Argelia",ORIENTE!S:S,"ALTO")</f>
        <v>13</v>
      </c>
      <c r="K173" s="49">
        <f>(J173/$B$173)*100</f>
        <v>68.421052631578945</v>
      </c>
      <c r="L173" s="29">
        <f>COUNTIFS(ORIENTE!$A:$A,"Argelia",ORIENTE!S:S,"INVIABLE SANITARIAMENTE")</f>
        <v>6</v>
      </c>
      <c r="M173" s="49">
        <f>(L173/$B$173)*100</f>
        <v>31.578947368421051</v>
      </c>
      <c r="N173" s="362">
        <f t="shared" si="19"/>
        <v>0</v>
      </c>
      <c r="O173" s="49">
        <f>(N173/$B$173)*100</f>
        <v>0</v>
      </c>
    </row>
    <row r="174" spans="1:16" ht="15.75" x14ac:dyDescent="0.2">
      <c r="A174" s="61" t="s">
        <v>210</v>
      </c>
      <c r="B174" s="29">
        <f>'CONSOLIDADO-ACUEDUCTOSRURALES1'!D121</f>
        <v>18</v>
      </c>
      <c r="C174" s="49">
        <f t="shared" si="18"/>
        <v>3.3519553072625698</v>
      </c>
      <c r="D174" s="29">
        <f>COUNTIFS(ORIENTE!$A:$A,"Cocorná",ORIENTE!S:S,"SIN RIESGO")</f>
        <v>1</v>
      </c>
      <c r="E174" s="49">
        <f>(D174/$B$174)*100</f>
        <v>5.5555555555555554</v>
      </c>
      <c r="F174" s="29">
        <f>COUNTIFS(ORIENTE!$A:$A,"Cocorná",ORIENTE!S:S,"BAJO")</f>
        <v>0</v>
      </c>
      <c r="G174" s="49">
        <f>(F174/$B$174)*100</f>
        <v>0</v>
      </c>
      <c r="H174" s="29">
        <f>COUNTIFS(ORIENTE!$A:$A,"Cocorná",ORIENTE!S:S,"MEDIO")</f>
        <v>2</v>
      </c>
      <c r="I174" s="49">
        <f>(H174/$B$174)*100</f>
        <v>11.111111111111111</v>
      </c>
      <c r="J174" s="29">
        <f>COUNTIFS(ORIENTE!$A:$A,"Cocorná",ORIENTE!S:S,"ALTO")</f>
        <v>1</v>
      </c>
      <c r="K174" s="49">
        <f>(J174/$B$174)*100</f>
        <v>5.5555555555555554</v>
      </c>
      <c r="L174" s="29">
        <f>COUNTIFS(ORIENTE!$A:$A,"Cocorná",ORIENTE!S:S,"INVIABLE SANITARIAMENTE")</f>
        <v>4</v>
      </c>
      <c r="M174" s="49">
        <f>(L174/$B$174)*100</f>
        <v>22.222222222222221</v>
      </c>
      <c r="N174" s="362">
        <f t="shared" si="19"/>
        <v>10</v>
      </c>
      <c r="O174" s="49">
        <f>(N174/$B$174)*100</f>
        <v>55.555555555555557</v>
      </c>
    </row>
    <row r="175" spans="1:16" ht="15.75" x14ac:dyDescent="0.2">
      <c r="A175" s="61" t="s">
        <v>211</v>
      </c>
      <c r="B175" s="29">
        <f>'CONSOLIDADO-ACUEDUCTOSRURALES1'!D122</f>
        <v>4</v>
      </c>
      <c r="C175" s="49">
        <f t="shared" si="18"/>
        <v>0.74487895716945995</v>
      </c>
      <c r="D175" s="29">
        <f>COUNTIFS(ORIENTE!$A:$A,"Concepción",ORIENTE!S:S,"SIN RIESGO")</f>
        <v>0</v>
      </c>
      <c r="E175" s="49">
        <f>(D175/$B$175)*100</f>
        <v>0</v>
      </c>
      <c r="F175" s="29">
        <f>COUNTIFS(ORIENTE!$A:$A,"Concepción",ORIENTE!S:S,"BAJO")</f>
        <v>0</v>
      </c>
      <c r="G175" s="49">
        <f>(F175/$B$175)*100</f>
        <v>0</v>
      </c>
      <c r="H175" s="29">
        <f>COUNTIFS(ORIENTE!$A:$A,"Concepción",ORIENTE!S:S,"MEDIO")</f>
        <v>0</v>
      </c>
      <c r="I175" s="49">
        <f>(H175/$B$175)*100</f>
        <v>0</v>
      </c>
      <c r="J175" s="29">
        <f>COUNTIFS(ORIENTE!$A:$A,"Concepción",ORIENTE!S:S,"ALTO")</f>
        <v>1</v>
      </c>
      <c r="K175" s="49">
        <f>(J175/$B$175)*100</f>
        <v>25</v>
      </c>
      <c r="L175" s="29">
        <f>COUNTIFS(ORIENTE!$A:$A,"Concepción",ORIENTE!S:S,"INVIABLE SANITARIAMENTE")</f>
        <v>3</v>
      </c>
      <c r="M175" s="49">
        <f>(L175/$B$175)*100</f>
        <v>75</v>
      </c>
      <c r="N175" s="362">
        <f t="shared" si="19"/>
        <v>0</v>
      </c>
      <c r="O175" s="49">
        <f>(N175/$B$175)*100</f>
        <v>0</v>
      </c>
    </row>
    <row r="176" spans="1:16" ht="15.75" x14ac:dyDescent="0.2">
      <c r="A176" s="61" t="s">
        <v>212</v>
      </c>
      <c r="B176" s="29">
        <f>'CONSOLIDADO-ACUEDUCTOSRURALES1'!D123</f>
        <v>34</v>
      </c>
      <c r="C176" s="49">
        <f t="shared" si="18"/>
        <v>6.3314711359404097</v>
      </c>
      <c r="D176" s="29">
        <f>COUNTIFS(ORIENTE!$A:$A,"Carmen de Viboral",ORIENTE!S:S,"SIN RIESGO")</f>
        <v>31</v>
      </c>
      <c r="E176" s="49">
        <f>(D176/$B$176)*100</f>
        <v>91.17647058823529</v>
      </c>
      <c r="F176" s="29">
        <f>COUNTIFS(ORIENTE!$A:$A,"Carmen de Viboral",ORIENTE!S:S,"BAJO")</f>
        <v>2</v>
      </c>
      <c r="G176" s="49">
        <f>(F176/$B$176)*100</f>
        <v>5.8823529411764701</v>
      </c>
      <c r="H176" s="29">
        <f>COUNTIFS(ORIENTE!$A:$A,"Carmen de Viboral",ORIENTE!S:S,"MEDIO")</f>
        <v>1</v>
      </c>
      <c r="I176" s="49">
        <f>(H176/$B$176)*100</f>
        <v>2.9411764705882351</v>
      </c>
      <c r="J176" s="29">
        <f>COUNTIFS(ORIENTE!$A:$A,"Carmen de Viboral",ORIENTE!S:S,"ALTO")</f>
        <v>0</v>
      </c>
      <c r="K176" s="49">
        <f>(J176/$B$176)*100</f>
        <v>0</v>
      </c>
      <c r="L176" s="29">
        <f>COUNTIFS(ORIENTE!$A:$A,"Carmen de Viboral",ORIENTE!S:S,"INVIABLE SANITARIAMENTE")</f>
        <v>0</v>
      </c>
      <c r="M176" s="49">
        <f>(L176/$B$176)*100</f>
        <v>0</v>
      </c>
      <c r="N176" s="362">
        <f t="shared" si="19"/>
        <v>0</v>
      </c>
      <c r="O176" s="49">
        <f>(N176/$B$176)*100</f>
        <v>0</v>
      </c>
    </row>
    <row r="177" spans="1:15" ht="15.75" x14ac:dyDescent="0.2">
      <c r="A177" s="61" t="s">
        <v>213</v>
      </c>
      <c r="B177" s="29">
        <f>'CONSOLIDADO-ACUEDUCTOSRURALES1'!D124</f>
        <v>28</v>
      </c>
      <c r="C177" s="49">
        <f t="shared" si="18"/>
        <v>5.2141527001862196</v>
      </c>
      <c r="D177" s="29">
        <f>COUNTIFS(ORIENTE!$A:$A,"El Peñol",ORIENTE!S:S,"SIN RIESGO")</f>
        <v>25</v>
      </c>
      <c r="E177" s="49">
        <f>(D177/$B$177)*100</f>
        <v>89.285714285714292</v>
      </c>
      <c r="F177" s="29">
        <f>COUNTIFS(ORIENTE!$A:$A,"El Peñol",ORIENTE!S:S,"BAJO")</f>
        <v>1</v>
      </c>
      <c r="G177" s="49">
        <f>(F177/$B$177)*100</f>
        <v>3.5714285714285712</v>
      </c>
      <c r="H177" s="29">
        <f>COUNTIFS(ORIENTE!$A:$A,"El Peñol",ORIENTE!S:S,"MEDIO")</f>
        <v>0</v>
      </c>
      <c r="I177" s="49">
        <f>(H177/$B$177)*100</f>
        <v>0</v>
      </c>
      <c r="J177" s="29">
        <f>COUNTIFS(ORIENTE!$A:$A,"El Peñol",ORIENTE!S:S,"ALTO")</f>
        <v>0</v>
      </c>
      <c r="K177" s="49">
        <f>(J177/$B$177)*100</f>
        <v>0</v>
      </c>
      <c r="L177" s="29">
        <f>COUNTIFS(ORIENTE!$A:$A,"El Peñol",ORIENTE!S:S,"INVIABLE SANITARIAMENTE")</f>
        <v>2</v>
      </c>
      <c r="M177" s="49">
        <f>(L177/$B$177)*100</f>
        <v>7.1428571428571423</v>
      </c>
      <c r="N177" s="362">
        <f t="shared" si="19"/>
        <v>0</v>
      </c>
      <c r="O177" s="49">
        <f>(N177/$B$177)*100</f>
        <v>0</v>
      </c>
    </row>
    <row r="178" spans="1:15" ht="15.75" x14ac:dyDescent="0.2">
      <c r="A178" s="61" t="s">
        <v>214</v>
      </c>
      <c r="B178" s="29">
        <f>'CONSOLIDADO-ACUEDUCTOSRURALES1'!D125</f>
        <v>21</v>
      </c>
      <c r="C178" s="49">
        <f t="shared" si="18"/>
        <v>3.9106145251396649</v>
      </c>
      <c r="D178" s="29">
        <f>COUNTIFS(ORIENTE!$A:$A,"El Retiro",ORIENTE!S:S,"SIN RIESGO")</f>
        <v>5</v>
      </c>
      <c r="E178" s="49">
        <f>(D178/$B$178)*100</f>
        <v>23.809523809523807</v>
      </c>
      <c r="F178" s="29">
        <f>COUNTIFS(ORIENTE!$A:$A,"El Retiro",ORIENTE!S:S,"BAJO")</f>
        <v>0</v>
      </c>
      <c r="G178" s="49">
        <f>(F178/$B$178)*100</f>
        <v>0</v>
      </c>
      <c r="H178" s="29">
        <f>COUNTIFS(ORIENTE!$A:$A,"El Retiro",ORIENTE!S:S,"MEDIO")</f>
        <v>1</v>
      </c>
      <c r="I178" s="49">
        <f>(H178/$B$178)*100</f>
        <v>4.7619047619047619</v>
      </c>
      <c r="J178" s="29">
        <f>COUNTIFS(ORIENTE!$A:$A,"El Retiro",ORIENTE!S:S,"ALTO")</f>
        <v>0</v>
      </c>
      <c r="K178" s="49">
        <f>(J178/$B$178)*100</f>
        <v>0</v>
      </c>
      <c r="L178" s="29">
        <f>COUNTIFS(ORIENTE!$A:$A,"El Retiro",ORIENTE!S:S,"INVIABLE SANITARIAMENTE")</f>
        <v>12</v>
      </c>
      <c r="M178" s="49">
        <f>(L178/$B$178)*100</f>
        <v>57.142857142857139</v>
      </c>
      <c r="N178" s="362">
        <f t="shared" si="19"/>
        <v>3</v>
      </c>
      <c r="O178" s="49">
        <f>(N178/$B$178)*100</f>
        <v>14.285714285714285</v>
      </c>
    </row>
    <row r="179" spans="1:15" ht="15.75" x14ac:dyDescent="0.2">
      <c r="A179" s="61" t="s">
        <v>215</v>
      </c>
      <c r="B179" s="29">
        <f>'CONSOLIDADO-ACUEDUCTOSRURALES1'!D126</f>
        <v>37</v>
      </c>
      <c r="C179" s="49">
        <f t="shared" si="18"/>
        <v>6.8901303538175043</v>
      </c>
      <c r="D179" s="29">
        <f>COUNTIFS(ORIENTE!$A:$A,"El Santuario",ORIENTE!S:S,"SIN RIESGO")</f>
        <v>11</v>
      </c>
      <c r="E179" s="49">
        <f>(D179/$B$179)*100</f>
        <v>29.72972972972973</v>
      </c>
      <c r="F179" s="29">
        <f>COUNTIFS(ORIENTE!$A:$A,"El Santuario",ORIENTE!S:S,"BAJO")</f>
        <v>3</v>
      </c>
      <c r="G179" s="49">
        <f>(F179/$B$179)*100</f>
        <v>8.1081081081081088</v>
      </c>
      <c r="H179" s="29">
        <f>COUNTIFS(ORIENTE!$A:$A,"El Santuario",ORIENTE!S:S,"MEDIO")</f>
        <v>3</v>
      </c>
      <c r="I179" s="49">
        <f>(H179/$B$179)*100</f>
        <v>8.1081081081081088</v>
      </c>
      <c r="J179" s="29">
        <f>COUNTIFS(ORIENTE!$A:$A,"El Santuario",ORIENTE!S:S,"ALTO")</f>
        <v>2</v>
      </c>
      <c r="K179" s="49">
        <f>(J179/$B$179)*100</f>
        <v>5.4054054054054053</v>
      </c>
      <c r="L179" s="29">
        <f>COUNTIFS(ORIENTE!$A:$A,"El Santuario",ORIENTE!S:S,"INVIABLE SANITARIAMENTE")</f>
        <v>9</v>
      </c>
      <c r="M179" s="49">
        <f>(L179/$B$179)*100</f>
        <v>24.324324324324326</v>
      </c>
      <c r="N179" s="362">
        <f t="shared" si="19"/>
        <v>9</v>
      </c>
      <c r="O179" s="49">
        <f>(N179/$B$179)*100</f>
        <v>24.324324324324326</v>
      </c>
    </row>
    <row r="180" spans="1:15" ht="15.75" x14ac:dyDescent="0.2">
      <c r="A180" s="61" t="s">
        <v>216</v>
      </c>
      <c r="B180" s="29">
        <f>'CONSOLIDADO-ACUEDUCTOSRURALES1'!D127</f>
        <v>23</v>
      </c>
      <c r="C180" s="49">
        <f t="shared" si="18"/>
        <v>4.2830540037243949</v>
      </c>
      <c r="D180" s="29">
        <f>COUNTIFS(ORIENTE!$A:$A,"Granada",ORIENTE!S:S,"SIN RIESGO")</f>
        <v>0</v>
      </c>
      <c r="E180" s="49">
        <f>(D180/$B$180)*100</f>
        <v>0</v>
      </c>
      <c r="F180" s="29">
        <f>COUNTIFS(ORIENTE!$A:$A,"Granada",ORIENTE!S:S,"BAJO")</f>
        <v>0</v>
      </c>
      <c r="G180" s="49">
        <f>(F180/$B$180)*100</f>
        <v>0</v>
      </c>
      <c r="H180" s="29">
        <f>COUNTIFS(ORIENTE!$A:$A,"Granada",ORIENTE!S:S,"MEDIO")</f>
        <v>0</v>
      </c>
      <c r="I180" s="49">
        <f>(H180/$B$180)*100</f>
        <v>0</v>
      </c>
      <c r="J180" s="29">
        <f>COUNTIFS(ORIENTE!$A:$A,"Granada",ORIENTE!S:S,"ALTO")</f>
        <v>0</v>
      </c>
      <c r="K180" s="49">
        <f>(J180/$B$180)*100</f>
        <v>0</v>
      </c>
      <c r="L180" s="29">
        <f>COUNTIFS(ORIENTE!$A:$A,"Granada",ORIENTE!S:S,"INVIABLE SANITARIAMENTE")</f>
        <v>17</v>
      </c>
      <c r="M180" s="49">
        <f>(L180/$B$180)*100</f>
        <v>73.91304347826086</v>
      </c>
      <c r="N180" s="362">
        <f t="shared" si="19"/>
        <v>6</v>
      </c>
      <c r="O180" s="49">
        <f>(N180/$B$180)*100</f>
        <v>26.086956521739129</v>
      </c>
    </row>
    <row r="181" spans="1:15" ht="15.75" x14ac:dyDescent="0.2">
      <c r="A181" s="61" t="s">
        <v>217</v>
      </c>
      <c r="B181" s="29">
        <f>'CONSOLIDADO-ACUEDUCTOSRURALES1'!D128</f>
        <v>79</v>
      </c>
      <c r="C181" s="49">
        <f t="shared" si="18"/>
        <v>14.711359404096836</v>
      </c>
      <c r="D181" s="29">
        <f>COUNTIFS(ORIENTE!$A:$A,"Guarne",ORIENTE!S:S,"SIN RIESGO")</f>
        <v>3</v>
      </c>
      <c r="E181" s="49">
        <f>(D181/$B$181)*100</f>
        <v>3.79746835443038</v>
      </c>
      <c r="F181" s="29">
        <f>COUNTIFS(ORIENTE!$A:$A,"Guarne",ORIENTE!S:S,"BAJO")</f>
        <v>41</v>
      </c>
      <c r="G181" s="49">
        <f>(F181/$B$181)*100</f>
        <v>51.898734177215189</v>
      </c>
      <c r="H181" s="29">
        <f>COUNTIFS(ORIENTE!$A:$A,"Guarne",ORIENTE!S:S,"MEDIO")</f>
        <v>33</v>
      </c>
      <c r="I181" s="49">
        <f>(H181/$B$181)*100</f>
        <v>41.77215189873418</v>
      </c>
      <c r="J181" s="29">
        <f>COUNTIFS(ORIENTE!$A:$A,"Guarne",ORIENTE!S:S,"ALTO")</f>
        <v>1</v>
      </c>
      <c r="K181" s="49">
        <f>(J181/$B$181)*100</f>
        <v>1.2658227848101267</v>
      </c>
      <c r="L181" s="29">
        <f>COUNTIFS(ORIENTE!$A:$A,"Guarne",ORIENTE!S:S,"INVIABLE SANITARIAMENTE")</f>
        <v>0</v>
      </c>
      <c r="M181" s="49">
        <f>(L181/$B$181)*100</f>
        <v>0</v>
      </c>
      <c r="N181" s="362">
        <f t="shared" si="19"/>
        <v>1</v>
      </c>
      <c r="O181" s="49">
        <f>(N181/$B$181)*100</f>
        <v>1.2658227848101267</v>
      </c>
    </row>
    <row r="182" spans="1:15" ht="15.75" x14ac:dyDescent="0.2">
      <c r="A182" s="61" t="s">
        <v>218</v>
      </c>
      <c r="B182" s="29">
        <f>'CONSOLIDADO-ACUEDUCTOSRURALES1'!D129</f>
        <v>4</v>
      </c>
      <c r="C182" s="49">
        <f t="shared" si="18"/>
        <v>0.74487895716945995</v>
      </c>
      <c r="D182" s="29">
        <f>COUNTIFS(ORIENTE!$A:$A,"Guatapé",ORIENTE!S:S,"SIN RIESGO")</f>
        <v>1</v>
      </c>
      <c r="E182" s="49">
        <f>(D182/$B$182)*100</f>
        <v>25</v>
      </c>
      <c r="F182" s="29">
        <f>COUNTIFS(ORIENTE!$A:$A,"Guatapé",ORIENTE!S:S,"BAJO")</f>
        <v>0</v>
      </c>
      <c r="G182" s="49">
        <f>(F182/$B$182)*100</f>
        <v>0</v>
      </c>
      <c r="H182" s="29">
        <f>COUNTIFS(ORIENTE!$A:$A,"Guatapé",ORIENTE!S:S,"MEDIO")</f>
        <v>0</v>
      </c>
      <c r="I182" s="49">
        <f>(H182/$B$182)*100</f>
        <v>0</v>
      </c>
      <c r="J182" s="29">
        <f>COUNTIFS(ORIENTE!$A:$A,"Guatapé",ORIENTE!S:S,"ALTO")</f>
        <v>1</v>
      </c>
      <c r="K182" s="49">
        <f>(J182/$B$182)*100</f>
        <v>25</v>
      </c>
      <c r="L182" s="29">
        <f>COUNTIFS(ORIENTE!$A:$A,"Guatapé",ORIENTE!S:S,"INVIABLE SANITARIAMENTE")</f>
        <v>2</v>
      </c>
      <c r="M182" s="49">
        <f>(L182/$B$182)*100</f>
        <v>50</v>
      </c>
      <c r="N182" s="362">
        <f t="shared" si="19"/>
        <v>0</v>
      </c>
      <c r="O182" s="49">
        <f>(N182/$B$182)*100</f>
        <v>0</v>
      </c>
    </row>
    <row r="183" spans="1:15" ht="15.75" x14ac:dyDescent="0.2">
      <c r="A183" s="61" t="s">
        <v>45</v>
      </c>
      <c r="B183" s="29">
        <f>'CONSOLIDADO-ACUEDUCTOSRURALES1'!D130</f>
        <v>18</v>
      </c>
      <c r="C183" s="49">
        <f t="shared" si="18"/>
        <v>3.3519553072625698</v>
      </c>
      <c r="D183" s="29">
        <f>COUNTIFS(ORIENTE!$A:$A,"La Ceja",ORIENTE!S:S,"SIN RIESGO")</f>
        <v>0</v>
      </c>
      <c r="E183" s="49">
        <f>(D183/$B$183)*100</f>
        <v>0</v>
      </c>
      <c r="F183" s="29">
        <f>COUNTIFS(ORIENTE!$A:$A,"La Ceja",ORIENTE!S:S,"BAJO")</f>
        <v>0</v>
      </c>
      <c r="G183" s="49">
        <f>(F183/$B$183)*100</f>
        <v>0</v>
      </c>
      <c r="H183" s="29">
        <f>COUNTIFS(ORIENTE!$A:$A,"La Ceja",ORIENTE!S:S,"MEDIO")</f>
        <v>0</v>
      </c>
      <c r="I183" s="49">
        <f>(H183/$B$183)*100</f>
        <v>0</v>
      </c>
      <c r="J183" s="29">
        <f>COUNTIFS(ORIENTE!$A:$A,"La Ceja",ORIENTE!S:S,"ALTO")</f>
        <v>0</v>
      </c>
      <c r="K183" s="49">
        <f>(J183/$B$183)*100</f>
        <v>0</v>
      </c>
      <c r="L183" s="29">
        <f>COUNTIFS(ORIENTE!$A:$A,"La Ceja",ORIENTE!S:S,"INVIABLE SANITARIAMENTE")</f>
        <v>0</v>
      </c>
      <c r="M183" s="49">
        <f>(L183/$B$183)*100</f>
        <v>0</v>
      </c>
      <c r="N183" s="362">
        <f t="shared" si="19"/>
        <v>18</v>
      </c>
      <c r="O183" s="49">
        <f>(N183/$B$183)*100</f>
        <v>100</v>
      </c>
    </row>
    <row r="184" spans="1:15" ht="15.75" x14ac:dyDescent="0.2">
      <c r="A184" s="61" t="s">
        <v>219</v>
      </c>
      <c r="B184" s="29">
        <f>'CONSOLIDADO-ACUEDUCTOSRURALES1'!D131</f>
        <v>18</v>
      </c>
      <c r="C184" s="49">
        <f t="shared" si="18"/>
        <v>3.3519553072625698</v>
      </c>
      <c r="D184" s="29">
        <f>COUNTIFS(ORIENTE!$A:$A,"La Unión",ORIENTE!S:S,"SIN RIESGO")</f>
        <v>4</v>
      </c>
      <c r="E184" s="49">
        <f>(D184/$B$184)*100</f>
        <v>22.222222222222221</v>
      </c>
      <c r="F184" s="29">
        <f>COUNTIFS(ORIENTE!$A:$A,"La Unión",ORIENTE!S:S,"BAJO")</f>
        <v>0</v>
      </c>
      <c r="G184" s="49">
        <f>(F184/$B$184)*100</f>
        <v>0</v>
      </c>
      <c r="H184" s="29">
        <f>COUNTIFS(ORIENTE!$A:$A,"La Unión",ORIENTE!S:S,"MEDIO")</f>
        <v>2</v>
      </c>
      <c r="I184" s="49">
        <f>(H184/$B$184)*100</f>
        <v>11.111111111111111</v>
      </c>
      <c r="J184" s="29">
        <f>COUNTIFS(ORIENTE!$A:$A,"La Unión",ORIENTE!S:S,"ALTO")</f>
        <v>3</v>
      </c>
      <c r="K184" s="49">
        <f>(J184/$B$184)*100</f>
        <v>16.666666666666664</v>
      </c>
      <c r="L184" s="29">
        <f>COUNTIFS(ORIENTE!$A:$A,"La Unión",ORIENTE!S:S,"INVIABLE SANITARIAMENTE")</f>
        <v>9</v>
      </c>
      <c r="M184" s="49">
        <f>(L184/$B$184)*100</f>
        <v>50</v>
      </c>
      <c r="N184" s="362">
        <f t="shared" si="19"/>
        <v>0</v>
      </c>
      <c r="O184" s="49">
        <f>(N184/$B$184)*100</f>
        <v>0</v>
      </c>
    </row>
    <row r="185" spans="1:15" ht="15.75" x14ac:dyDescent="0.2">
      <c r="A185" s="61" t="s">
        <v>220</v>
      </c>
      <c r="B185" s="29">
        <f>'CONSOLIDADO-ACUEDUCTOSRURALES1'!D132</f>
        <v>38</v>
      </c>
      <c r="C185" s="49">
        <f t="shared" si="18"/>
        <v>7.0763500931098688</v>
      </c>
      <c r="D185" s="29">
        <f>COUNTIFS(ORIENTE!$A:$A,"Marinilla",ORIENTE!S:S,"SIN RIESGO")</f>
        <v>30</v>
      </c>
      <c r="E185" s="49">
        <f>(D185/$B$185)*100</f>
        <v>78.94736842105263</v>
      </c>
      <c r="F185" s="29">
        <f>COUNTIFS(ORIENTE!$A:$A,"Marinilla",ORIENTE!S:S,"BAJO")</f>
        <v>6</v>
      </c>
      <c r="G185" s="49">
        <f>(F185/$B$185)*100</f>
        <v>15.789473684210526</v>
      </c>
      <c r="H185" s="29">
        <f>COUNTIFS(ORIENTE!$A:$A,"Marinilla",ORIENTE!S:S,"MEDIO")</f>
        <v>1</v>
      </c>
      <c r="I185" s="49">
        <f>(H185/$B$185)*100</f>
        <v>2.6315789473684208</v>
      </c>
      <c r="J185" s="29">
        <f>COUNTIFS(ORIENTE!$A:$A,"Marinilla",ORIENTE!S:S,"ALTO")</f>
        <v>0</v>
      </c>
      <c r="K185" s="49">
        <f>(J185/$B$185)*100</f>
        <v>0</v>
      </c>
      <c r="L185" s="29">
        <f>COUNTIFS(ORIENTE!$A:$A,"Marinilla",ORIENTE!S:S,"INVIABLE SANITARIAMENTE")</f>
        <v>0</v>
      </c>
      <c r="M185" s="49">
        <f>(L185/$B$185)*100</f>
        <v>0</v>
      </c>
      <c r="N185" s="362">
        <f t="shared" si="19"/>
        <v>1</v>
      </c>
      <c r="O185" s="49">
        <f>(N185/$B$185)*100</f>
        <v>2.6315789473684208</v>
      </c>
    </row>
    <row r="186" spans="1:15" ht="15.75" x14ac:dyDescent="0.2">
      <c r="A186" s="61" t="s">
        <v>221</v>
      </c>
      <c r="B186" s="29">
        <f>'CONSOLIDADO-ACUEDUCTOSRURALES1'!D133</f>
        <v>11</v>
      </c>
      <c r="C186" s="49">
        <f t="shared" si="18"/>
        <v>2.0484171322160147</v>
      </c>
      <c r="D186" s="29">
        <f>COUNTIFS(ORIENTE!$A:$A,"Nariño",ORIENTE!S:S,"SIN RIESGO")</f>
        <v>1</v>
      </c>
      <c r="E186" s="49">
        <f>(D186/$B$186)*100</f>
        <v>9.0909090909090917</v>
      </c>
      <c r="F186" s="29">
        <f>COUNTIFS(ORIENTE!$A:$A,"Nariño",ORIENTE!S:S,"BAJO")</f>
        <v>0</v>
      </c>
      <c r="G186" s="49">
        <f>(F186/$B$186)*100</f>
        <v>0</v>
      </c>
      <c r="H186" s="29">
        <f>COUNTIFS(ORIENTE!$A:$A,"Nariño",ORIENTE!S:S,"MEDIO")</f>
        <v>0</v>
      </c>
      <c r="I186" s="49">
        <f>(H186/$B$186)*100</f>
        <v>0</v>
      </c>
      <c r="J186" s="29">
        <f>COUNTIFS(ORIENTE!$A:$A,"Nariño",ORIENTE!S:S,"ALTO")</f>
        <v>10</v>
      </c>
      <c r="K186" s="49">
        <f>(J186/$B$186)*100</f>
        <v>90.909090909090907</v>
      </c>
      <c r="L186" s="29">
        <f>COUNTIFS(ORIENTE!$A:$A,"Nariño",ORIENTE!S:S,"INVIABLE SANITARIAMENTE")</f>
        <v>0</v>
      </c>
      <c r="M186" s="49">
        <f>(L186/$B$186)*100</f>
        <v>0</v>
      </c>
      <c r="N186" s="362">
        <f t="shared" si="19"/>
        <v>0</v>
      </c>
      <c r="O186" s="49">
        <f>(N186/$B$186)*100</f>
        <v>0</v>
      </c>
    </row>
    <row r="187" spans="1:15" ht="15.75" x14ac:dyDescent="0.2">
      <c r="A187" s="61" t="s">
        <v>82</v>
      </c>
      <c r="B187" s="29">
        <f>'CONSOLIDADO-ACUEDUCTOSRURALES1'!D134</f>
        <v>21</v>
      </c>
      <c r="C187" s="49">
        <f t="shared" si="18"/>
        <v>3.9106145251396649</v>
      </c>
      <c r="D187" s="29">
        <f>COUNTIFS(ORIENTE!$A:$A,"Rionegro",ORIENTE!S:S,"SIN RIESGO")</f>
        <v>17</v>
      </c>
      <c r="E187" s="49">
        <f>(D187/$B$187)*100</f>
        <v>80.952380952380949</v>
      </c>
      <c r="F187" s="29">
        <f>COUNTIFS(ORIENTE!$A:$A,"Rionegro",ORIENTE!S:S,"BAJO")</f>
        <v>4</v>
      </c>
      <c r="G187" s="49">
        <f>(F187/$B$187)*100</f>
        <v>19.047619047619047</v>
      </c>
      <c r="H187" s="29">
        <f>COUNTIFS(ORIENTE!$A:$A,"Rionegro",ORIENTE!S:S,"MEDIO")</f>
        <v>0</v>
      </c>
      <c r="I187" s="49">
        <f>(H187/$B$187)*100</f>
        <v>0</v>
      </c>
      <c r="J187" s="29">
        <f>COUNTIFS(ORIENTE!$A:$A,"Rionegro",ORIENTE!S:S,"ALTO")</f>
        <v>0</v>
      </c>
      <c r="K187" s="49">
        <f>(J187/$B$187)*100</f>
        <v>0</v>
      </c>
      <c r="L187" s="29">
        <f>COUNTIFS(ORIENTE!$A:$A,"Rionegro",ORIENTE!S:S,"INVIABLE SANITARIAMENTE")</f>
        <v>0</v>
      </c>
      <c r="M187" s="49">
        <f>(L187/$B$187)*100</f>
        <v>0</v>
      </c>
      <c r="N187" s="362">
        <f t="shared" si="19"/>
        <v>0</v>
      </c>
      <c r="O187" s="49">
        <f>(N187/$B$187)*100</f>
        <v>0</v>
      </c>
    </row>
    <row r="188" spans="1:15" ht="15.75" x14ac:dyDescent="0.2">
      <c r="A188" s="61" t="s">
        <v>54</v>
      </c>
      <c r="B188" s="29">
        <f>'CONSOLIDADO-ACUEDUCTOSRURALES1'!D135</f>
        <v>15</v>
      </c>
      <c r="C188" s="49">
        <f t="shared" si="18"/>
        <v>2.7932960893854748</v>
      </c>
      <c r="D188" s="29">
        <f>COUNTIFS(ORIENTE!$A:$A,"San Carlos",ORIENTE!S:S,"SIN RIESGO")</f>
        <v>2</v>
      </c>
      <c r="E188" s="49">
        <f>(D188/$B$188)*100</f>
        <v>13.333333333333334</v>
      </c>
      <c r="F188" s="29">
        <f>COUNTIFS(ORIENTE!$A:$A,"San Carlos",ORIENTE!S:S,"BAJO")</f>
        <v>1</v>
      </c>
      <c r="G188" s="49">
        <f>(F188/$B$188)*100</f>
        <v>6.666666666666667</v>
      </c>
      <c r="H188" s="29">
        <f>COUNTIFS(ORIENTE!$A:$A,"San Carlos",ORIENTE!S:S,"MEDIO")</f>
        <v>1</v>
      </c>
      <c r="I188" s="49">
        <f>(H188/$B$188)*100</f>
        <v>6.666666666666667</v>
      </c>
      <c r="J188" s="29">
        <f>COUNTIFS(ORIENTE!$A:$A,"San Carlos",ORIENTE!S:S,"ALTO")</f>
        <v>11</v>
      </c>
      <c r="K188" s="49">
        <f>(J188/$B$188)*100</f>
        <v>73.333333333333329</v>
      </c>
      <c r="L188" s="29">
        <f>COUNTIFS(ORIENTE!$A:$A,"San Carlos",ORIENTE!S:S,"INVIABLE SANITARIAMENTE")</f>
        <v>0</v>
      </c>
      <c r="M188" s="49">
        <f>(L188/$B$188)*100</f>
        <v>0</v>
      </c>
      <c r="N188" s="362">
        <f t="shared" si="19"/>
        <v>0</v>
      </c>
      <c r="O188" s="49">
        <f>(N188/$B$188)*100</f>
        <v>0</v>
      </c>
    </row>
    <row r="189" spans="1:15" ht="15.75" x14ac:dyDescent="0.2">
      <c r="A189" s="61" t="s">
        <v>222</v>
      </c>
      <c r="B189" s="29">
        <f>'CONSOLIDADO-ACUEDUCTOSRURALES1'!D136</f>
        <v>7</v>
      </c>
      <c r="C189" s="49">
        <f t="shared" si="18"/>
        <v>1.3035381750465549</v>
      </c>
      <c r="D189" s="29">
        <f>COUNTIFS(ORIENTE!$A:$A,"San Francisco",ORIENTE!S:S,"SIN RIESGO")</f>
        <v>0</v>
      </c>
      <c r="E189" s="49">
        <f>(D189/$B$189)*100</f>
        <v>0</v>
      </c>
      <c r="F189" s="29">
        <f>COUNTIFS(ORIENTE!$A:$A,"San Francisco",ORIENTE!S:S,"BAJO")</f>
        <v>0</v>
      </c>
      <c r="G189" s="49">
        <f>(F189/$B$189)*100</f>
        <v>0</v>
      </c>
      <c r="H189" s="29">
        <f>COUNTIFS(ORIENTE!$A:$A,"San Francisco",ORIENTE!S:S,"MEDIO")</f>
        <v>0</v>
      </c>
      <c r="I189" s="49">
        <f>(H189/$B$189)*100</f>
        <v>0</v>
      </c>
      <c r="J189" s="29">
        <f>COUNTIFS(ORIENTE!$A:$A,"San Francisco",ORIENTE!S:S,"ALTO")</f>
        <v>4</v>
      </c>
      <c r="K189" s="49">
        <f>(J189/$B$189)*100</f>
        <v>57.142857142857139</v>
      </c>
      <c r="L189" s="29">
        <f>COUNTIFS(ORIENTE!$A:$A,"San Francisco",ORIENTE!S:S,"INVIABLE SANITARIAMENTE")</f>
        <v>3</v>
      </c>
      <c r="M189" s="49">
        <f>(L189/$B$189)*100</f>
        <v>42.857142857142854</v>
      </c>
      <c r="N189" s="362">
        <f t="shared" si="19"/>
        <v>0</v>
      </c>
      <c r="O189" s="49">
        <f>(N189/$B$189)*100</f>
        <v>0</v>
      </c>
    </row>
    <row r="190" spans="1:15" ht="15.75" x14ac:dyDescent="0.2">
      <c r="A190" s="61" t="s">
        <v>75</v>
      </c>
      <c r="B190" s="29">
        <f>'CONSOLIDADO-ACUEDUCTOSRURALES1'!D137</f>
        <v>9</v>
      </c>
      <c r="C190" s="49">
        <f t="shared" si="18"/>
        <v>1.6759776536312849</v>
      </c>
      <c r="D190" s="29">
        <f>COUNTIFS(ORIENTE!$A:$A,"San Luis",ORIENTE!S:S,"SIN RIESGO")</f>
        <v>0</v>
      </c>
      <c r="E190" s="49">
        <f>(D190/$B$190)*100</f>
        <v>0</v>
      </c>
      <c r="F190" s="29">
        <f>COUNTIFS(ORIENTE!$A:$A,"San Luis",ORIENTE!S:S,"BAJO")</f>
        <v>0</v>
      </c>
      <c r="G190" s="49">
        <f>(F190/$B$190)*100</f>
        <v>0</v>
      </c>
      <c r="H190" s="29">
        <f>COUNTIFS(ORIENTE!$A:$A,"San Luis",ORIENTE!S:S,"MEDIO")</f>
        <v>0</v>
      </c>
      <c r="I190" s="49">
        <f>(H190/$B$190)*100</f>
        <v>0</v>
      </c>
      <c r="J190" s="29">
        <f>COUNTIFS(ORIENTE!$A:$A,"San Luis",ORIENTE!S:S,"ALTO")</f>
        <v>0</v>
      </c>
      <c r="K190" s="49">
        <f>(J190/$B$190)*100</f>
        <v>0</v>
      </c>
      <c r="L190" s="29">
        <f>COUNTIFS(ORIENTE!$A:$A,"San Luis",ORIENTE!S:S,"INVIABLE SANITARIAMENTE")</f>
        <v>9</v>
      </c>
      <c r="M190" s="49">
        <f>(L190/$B$190)*100</f>
        <v>100</v>
      </c>
      <c r="N190" s="362">
        <f t="shared" si="19"/>
        <v>0</v>
      </c>
      <c r="O190" s="49">
        <f>(N190/$B$190)*100</f>
        <v>0</v>
      </c>
    </row>
    <row r="191" spans="1:15" ht="15.75" x14ac:dyDescent="0.2">
      <c r="A191" s="61" t="s">
        <v>97</v>
      </c>
      <c r="B191" s="29">
        <f>'CONSOLIDADO-ACUEDUCTOSRURALES1'!D138</f>
        <v>16</v>
      </c>
      <c r="C191" s="49">
        <f t="shared" si="18"/>
        <v>2.9795158286778398</v>
      </c>
      <c r="D191" s="29">
        <f>COUNTIFS(ORIENTE!$A:$A,"San Rafael",ORIENTE!S:S,"SIN RIESGO")</f>
        <v>1</v>
      </c>
      <c r="E191" s="49">
        <f>(D191/$B$191)*100</f>
        <v>6.25</v>
      </c>
      <c r="F191" s="29">
        <f>COUNTIFS(ORIENTE!$A:$A,"San Rafael",ORIENTE!S:S,"BAJO")</f>
        <v>0</v>
      </c>
      <c r="G191" s="49">
        <f>(F191/$B$191)*100</f>
        <v>0</v>
      </c>
      <c r="H191" s="29">
        <f>COUNTIFS(ORIENTE!$A:$A,"San Rafael",ORIENTE!S:S,"MEDIO")</f>
        <v>0</v>
      </c>
      <c r="I191" s="49">
        <f>(H191/$B$191)*100</f>
        <v>0</v>
      </c>
      <c r="J191" s="29">
        <f>COUNTIFS(ORIENTE!$A:$A,"San Rafael",ORIENTE!S:S,"ALTO")</f>
        <v>0</v>
      </c>
      <c r="K191" s="49">
        <f>(J191/$B$191)*100</f>
        <v>0</v>
      </c>
      <c r="L191" s="29">
        <f>COUNTIFS(ORIENTE!$A:$A,"San Rafael",ORIENTE!S:S,"INVIABLE SANITARIAMENTE")</f>
        <v>15</v>
      </c>
      <c r="M191" s="49">
        <f>(L191/$B$191)*100</f>
        <v>93.75</v>
      </c>
      <c r="N191" s="362">
        <f t="shared" si="19"/>
        <v>0</v>
      </c>
      <c r="O191" s="49">
        <f>(N191/$B$191)*100</f>
        <v>0</v>
      </c>
    </row>
    <row r="192" spans="1:15" ht="15.75" x14ac:dyDescent="0.2">
      <c r="A192" s="61" t="s">
        <v>223</v>
      </c>
      <c r="B192" s="29">
        <f>'CONSOLIDADO-ACUEDUCTOSRURALES1'!D139</f>
        <v>43</v>
      </c>
      <c r="C192" s="49">
        <f t="shared" si="18"/>
        <v>8.0074487895716953</v>
      </c>
      <c r="D192" s="29">
        <f>COUNTIFS(ORIENTE!$A:$A,"San Vicente",ORIENTE!S:S,"SIN RIESGO")</f>
        <v>28</v>
      </c>
      <c r="E192" s="49">
        <f>(D192/$B$192)*100</f>
        <v>65.116279069767444</v>
      </c>
      <c r="F192" s="29">
        <f>COUNTIFS(ORIENTE!$A:$A,"San Vicente",ORIENTE!S:S,"BAJO")</f>
        <v>0</v>
      </c>
      <c r="G192" s="49">
        <f>(F192/$B$192)*100</f>
        <v>0</v>
      </c>
      <c r="H192" s="29">
        <f>COUNTIFS(ORIENTE!$A:$A,"San Vicente",ORIENTE!S:S,"MEDIO")</f>
        <v>0</v>
      </c>
      <c r="I192" s="49">
        <f>(H192/$B$192)*100</f>
        <v>0</v>
      </c>
      <c r="J192" s="29">
        <f>COUNTIFS(ORIENTE!$A:$A,"San Vicente",ORIENTE!S:S,"ALTO")</f>
        <v>0</v>
      </c>
      <c r="K192" s="49">
        <f>(J192/$B$192)*100</f>
        <v>0</v>
      </c>
      <c r="L192" s="29">
        <f>COUNTIFS(ORIENTE!$A:$A,"San Vicente",ORIENTE!S:S,"INVIABLE SANITARIAMENTE")</f>
        <v>0</v>
      </c>
      <c r="M192" s="49">
        <f>(L192/$B$192)*100</f>
        <v>0</v>
      </c>
      <c r="N192" s="362">
        <f t="shared" si="19"/>
        <v>15</v>
      </c>
      <c r="O192" s="49">
        <f>(N192/$B$192)*100</f>
        <v>34.883720930232556</v>
      </c>
    </row>
    <row r="193" spans="1:15" ht="15.75" x14ac:dyDescent="0.2">
      <c r="A193" s="61" t="s">
        <v>224</v>
      </c>
      <c r="B193" s="29">
        <f>'CONSOLIDADO-ACUEDUCTOSRURALES1'!D140</f>
        <v>17</v>
      </c>
      <c r="C193" s="49">
        <f t="shared" si="18"/>
        <v>3.1657355679702048</v>
      </c>
      <c r="D193" s="29">
        <f>COUNTIFS(ORIENTE!$A:$A,"Sonsón",ORIENTE!S:S,"SIN RIESGO")</f>
        <v>1</v>
      </c>
      <c r="E193" s="49">
        <f>(D193/$B$193)*100</f>
        <v>5.8823529411764701</v>
      </c>
      <c r="F193" s="29">
        <f>COUNTIFS(ORIENTE!$A:$A,"Sonsón",ORIENTE!S:S,"BAJO")</f>
        <v>0</v>
      </c>
      <c r="G193" s="49">
        <f>(F193/$B$193)*100</f>
        <v>0</v>
      </c>
      <c r="H193" s="29">
        <f>COUNTIFS(ORIENTE!$A:$A,"Sonsón",ORIENTE!S:S,"MEDIO")</f>
        <v>0</v>
      </c>
      <c r="I193" s="49">
        <f>(H193/$B$193)*100</f>
        <v>0</v>
      </c>
      <c r="J193" s="29">
        <f>COUNTIFS(ORIENTE!$A:$A,"Sonsón",ORIENTE!S:S,"ALTO")</f>
        <v>7</v>
      </c>
      <c r="K193" s="49">
        <f>(J193/$B$193)*100</f>
        <v>41.17647058823529</v>
      </c>
      <c r="L193" s="29">
        <f>COUNTIFS(ORIENTE!$A:$A,"Sonsón",ORIENTE!S:S,"INVIABLE SANITARIAMENTE")</f>
        <v>8</v>
      </c>
      <c r="M193" s="49">
        <f>(L193/$B$193)*100</f>
        <v>47.058823529411761</v>
      </c>
      <c r="N193" s="362">
        <f t="shared" si="19"/>
        <v>1</v>
      </c>
      <c r="O193" s="49">
        <f>(N193/$B$193)*100</f>
        <v>5.8823529411764701</v>
      </c>
    </row>
    <row r="194" spans="1:15" ht="28.5" customHeight="1" x14ac:dyDescent="0.2">
      <c r="A194" s="77" t="s">
        <v>225</v>
      </c>
      <c r="B194" s="78">
        <f>SUM(B171:B193)</f>
        <v>537</v>
      </c>
      <c r="C194" s="79">
        <f>SUM(C171:C193)</f>
        <v>99.999999999999986</v>
      </c>
      <c r="D194" s="78">
        <f>SUM(D171:D193)</f>
        <v>162</v>
      </c>
      <c r="E194" s="79">
        <f>(D194/$B$194)*100</f>
        <v>30.16759776536313</v>
      </c>
      <c r="F194" s="78">
        <f>SUM(F171:F193)</f>
        <v>59</v>
      </c>
      <c r="G194" s="79">
        <f>(F194/$B$194)*100</f>
        <v>10.986964618249534</v>
      </c>
      <c r="H194" s="78">
        <f>SUM(H171:H193)</f>
        <v>45</v>
      </c>
      <c r="I194" s="79">
        <f>(H194/$B$194)*100</f>
        <v>8.3798882681564244</v>
      </c>
      <c r="J194" s="78">
        <f>SUM(J171:J193)</f>
        <v>60</v>
      </c>
      <c r="K194" s="79">
        <f>(J194/$B$194)*100</f>
        <v>11.173184357541899</v>
      </c>
      <c r="L194" s="78">
        <f>SUM(L171:L193)</f>
        <v>117</v>
      </c>
      <c r="M194" s="79">
        <f>(L194/$B$194)*100</f>
        <v>21.787709497206702</v>
      </c>
      <c r="N194" s="78">
        <f>SUM(N171:N193)</f>
        <v>94</v>
      </c>
      <c r="O194" s="79">
        <f>(N194/$B$194)*100</f>
        <v>17.504655493482311</v>
      </c>
    </row>
    <row r="197" spans="1:15" ht="33.75" customHeight="1" x14ac:dyDescent="0.2">
      <c r="A197" s="587" t="s">
        <v>4481</v>
      </c>
      <c r="B197" s="587"/>
      <c r="C197" s="587"/>
      <c r="D197" s="587"/>
      <c r="E197" s="587"/>
      <c r="F197" s="587"/>
      <c r="G197" s="587"/>
      <c r="H197" s="587"/>
      <c r="I197" s="587"/>
      <c r="J197" s="587"/>
      <c r="K197" s="587"/>
      <c r="L197" s="587"/>
      <c r="M197" s="587"/>
      <c r="N197" s="587"/>
      <c r="O197" s="587"/>
    </row>
    <row r="198" spans="1:15" ht="78" customHeight="1" x14ac:dyDescent="0.2">
      <c r="A198" s="438" t="s">
        <v>257</v>
      </c>
      <c r="B198" s="72" t="s">
        <v>256</v>
      </c>
      <c r="C198" s="438" t="s">
        <v>105</v>
      </c>
      <c r="D198" s="444" t="s">
        <v>250</v>
      </c>
      <c r="E198" s="438" t="s">
        <v>105</v>
      </c>
      <c r="F198" s="445" t="s">
        <v>251</v>
      </c>
      <c r="G198" s="438" t="s">
        <v>105</v>
      </c>
      <c r="H198" s="446" t="s">
        <v>252</v>
      </c>
      <c r="I198" s="438" t="s">
        <v>105</v>
      </c>
      <c r="J198" s="447" t="s">
        <v>253</v>
      </c>
      <c r="K198" s="438" t="s">
        <v>105</v>
      </c>
      <c r="L198" s="448" t="s">
        <v>254</v>
      </c>
      <c r="M198" s="438" t="s">
        <v>105</v>
      </c>
      <c r="N198" s="72" t="s">
        <v>4365</v>
      </c>
      <c r="O198" s="438" t="s">
        <v>105</v>
      </c>
    </row>
    <row r="199" spans="1:15" ht="15.75" x14ac:dyDescent="0.2">
      <c r="A199" s="80" t="s">
        <v>249</v>
      </c>
      <c r="B199" s="439">
        <f>'CONSOLIDADO-ACUEDUCTOSRURALES1'!D18</f>
        <v>198</v>
      </c>
      <c r="C199" s="57">
        <f t="shared" ref="C199:C207" si="20">(B199/$B$17)*100</f>
        <v>8.4398976982097178</v>
      </c>
      <c r="D199" s="439">
        <f>'VALLE DE ABURRA'!B212</f>
        <v>767</v>
      </c>
      <c r="E199" s="57">
        <f>(D199/$D$208)*100</f>
        <v>28.683620044876591</v>
      </c>
      <c r="F199" s="440">
        <f>'VALLE DE ABURRA'!B213</f>
        <v>32</v>
      </c>
      <c r="G199" s="57">
        <f>(F199/$F$208)*100</f>
        <v>30.188679245283019</v>
      </c>
      <c r="H199" s="440">
        <f>'VALLE DE ABURRA'!B214</f>
        <v>168</v>
      </c>
      <c r="I199" s="57">
        <f>(H199/$H$208)*100</f>
        <v>27.27272727272727</v>
      </c>
      <c r="J199" s="440">
        <f>'VALLE DE ABURRA'!B215</f>
        <v>122</v>
      </c>
      <c r="K199" s="57">
        <f>(J199/$J$208)*100</f>
        <v>16.223404255319149</v>
      </c>
      <c r="L199" s="440">
        <f>'VALLE DE ABURRA'!B216</f>
        <v>58</v>
      </c>
      <c r="M199" s="57">
        <f>(L199/$L$208)*100</f>
        <v>4.7775947281713345</v>
      </c>
      <c r="N199" s="439">
        <f>D199+F199+H199+J199+L199</f>
        <v>1147</v>
      </c>
      <c r="O199" s="57">
        <f>(N199/$N$208)*100</f>
        <v>21.391271913465122</v>
      </c>
    </row>
    <row r="200" spans="1:15" ht="15.75" x14ac:dyDescent="0.2">
      <c r="A200" s="46" t="s">
        <v>226</v>
      </c>
      <c r="B200" s="439">
        <f>'CONSOLIDADO-ACUEDUCTOSRURALES1'!D30</f>
        <v>121</v>
      </c>
      <c r="C200" s="57">
        <f t="shared" si="20"/>
        <v>5.1577152600170502</v>
      </c>
      <c r="D200" s="439">
        <f>URABA!B125</f>
        <v>69</v>
      </c>
      <c r="E200" s="57">
        <f t="shared" ref="E200:E207" si="21">(D200/$D$208)*100</f>
        <v>2.5804038893044128</v>
      </c>
      <c r="F200" s="440">
        <f>URABA!B126</f>
        <v>1</v>
      </c>
      <c r="G200" s="57">
        <f t="shared" ref="G200:G207" si="22">(F200/$F$208)*100</f>
        <v>0.94339622641509435</v>
      </c>
      <c r="H200" s="440">
        <f>URABA!B127</f>
        <v>21</v>
      </c>
      <c r="I200" s="57">
        <f t="shared" ref="I200:I207" si="23">(H200/$H$208)*100</f>
        <v>3.4090909090909087</v>
      </c>
      <c r="J200" s="440">
        <f>URABA!B128</f>
        <v>39</v>
      </c>
      <c r="K200" s="57">
        <f t="shared" ref="K200:K207" si="24">(J200/$J$208)*100</f>
        <v>5.1861702127659575</v>
      </c>
      <c r="L200" s="440">
        <f>URABA!B129</f>
        <v>63</v>
      </c>
      <c r="M200" s="57">
        <f t="shared" ref="M200:M207" si="25">(L200/$L$208)*100</f>
        <v>5.1894563426688638</v>
      </c>
      <c r="N200" s="440">
        <f t="shared" ref="N200:N207" si="26">D200+F200+H200+J200+L200</f>
        <v>193</v>
      </c>
      <c r="O200" s="57">
        <f t="shared" ref="O200:O207" si="27">(N200/$N$208)*100</f>
        <v>3.5994032077582991</v>
      </c>
    </row>
    <row r="201" spans="1:15" ht="15.75" x14ac:dyDescent="0.2">
      <c r="A201" s="46" t="s">
        <v>227</v>
      </c>
      <c r="B201" s="439">
        <f>'CONSOLIDADO-ACUEDUCTOSRURALES1'!D48</f>
        <v>255</v>
      </c>
      <c r="C201" s="57">
        <f t="shared" si="20"/>
        <v>10.869565217391305</v>
      </c>
      <c r="D201" s="440">
        <f>NORTE!B268</f>
        <v>98</v>
      </c>
      <c r="E201" s="57">
        <f t="shared" si="21"/>
        <v>3.664921465968586</v>
      </c>
      <c r="F201" s="440">
        <f>NORTE!B269</f>
        <v>1</v>
      </c>
      <c r="G201" s="57">
        <f t="shared" si="22"/>
        <v>0.94339622641509435</v>
      </c>
      <c r="H201" s="440">
        <f>NORTE!B270</f>
        <v>20</v>
      </c>
      <c r="I201" s="57">
        <f t="shared" si="23"/>
        <v>3.2467532467532463</v>
      </c>
      <c r="J201" s="440">
        <f>NORTE!B271</f>
        <v>81</v>
      </c>
      <c r="K201" s="57">
        <f t="shared" si="24"/>
        <v>10.771276595744681</v>
      </c>
      <c r="L201" s="440">
        <f>NORTE!B272</f>
        <v>128</v>
      </c>
      <c r="M201" s="57">
        <f t="shared" si="25"/>
        <v>10.543657331136739</v>
      </c>
      <c r="N201" s="440">
        <f t="shared" si="26"/>
        <v>328</v>
      </c>
      <c r="O201" s="57">
        <f t="shared" si="27"/>
        <v>6.1171204774337937</v>
      </c>
    </row>
    <row r="202" spans="1:15" ht="15.75" x14ac:dyDescent="0.2">
      <c r="A202" s="416" t="s">
        <v>228</v>
      </c>
      <c r="B202" s="417">
        <f>'CONSOLIDADO-ACUEDUCTOSRURALES1'!D68</f>
        <v>497</v>
      </c>
      <c r="C202" s="418">
        <f t="shared" si="20"/>
        <v>21.184995737425403</v>
      </c>
      <c r="D202" s="417">
        <f>OCCIDENTE!B510</f>
        <v>80</v>
      </c>
      <c r="E202" s="57">
        <f t="shared" si="21"/>
        <v>2.9917726252804786</v>
      </c>
      <c r="F202" s="417">
        <f>OCCIDENTE!B511</f>
        <v>0</v>
      </c>
      <c r="G202" s="57">
        <f t="shared" si="22"/>
        <v>0</v>
      </c>
      <c r="H202" s="417">
        <f>OCCIDENTE!B512</f>
        <v>8</v>
      </c>
      <c r="I202" s="57">
        <f t="shared" si="23"/>
        <v>1.2987012987012987</v>
      </c>
      <c r="J202" s="417">
        <f>OCCIDENTE!B513</f>
        <v>84</v>
      </c>
      <c r="K202" s="57">
        <f t="shared" si="24"/>
        <v>11.170212765957446</v>
      </c>
      <c r="L202" s="417">
        <f>OCCIDENTE!B514</f>
        <v>332</v>
      </c>
      <c r="M202" s="57">
        <f t="shared" si="25"/>
        <v>27.347611202635914</v>
      </c>
      <c r="N202" s="440">
        <f>D202+F202+H202+J202+L202</f>
        <v>504</v>
      </c>
      <c r="O202" s="57">
        <f t="shared" si="27"/>
        <v>9.3994778067885107</v>
      </c>
    </row>
    <row r="203" spans="1:15" ht="15.75" x14ac:dyDescent="0.2">
      <c r="A203" s="416" t="s">
        <v>229</v>
      </c>
      <c r="B203" s="417">
        <f>'CONSOLIDADO-ACUEDUCTOSRURALES1'!D92</f>
        <v>499</v>
      </c>
      <c r="C203" s="418">
        <f t="shared" si="20"/>
        <v>21.270247229326515</v>
      </c>
      <c r="D203" s="417">
        <f>SUROESTE!B513</f>
        <v>197</v>
      </c>
      <c r="E203" s="57">
        <f t="shared" si="21"/>
        <v>7.367240089753178</v>
      </c>
      <c r="F203" s="417">
        <f>SUROESTE!B514</f>
        <v>0</v>
      </c>
      <c r="G203" s="57">
        <f t="shared" si="22"/>
        <v>0</v>
      </c>
      <c r="H203" s="417">
        <f>SUROESTE!B515</f>
        <v>57</v>
      </c>
      <c r="I203" s="57">
        <f t="shared" si="23"/>
        <v>9.2532467532467528</v>
      </c>
      <c r="J203" s="417">
        <f>SUROESTE!B516</f>
        <v>145</v>
      </c>
      <c r="K203" s="57">
        <f t="shared" si="24"/>
        <v>19.281914893617021</v>
      </c>
      <c r="L203" s="417">
        <f>SUROESTE!B517</f>
        <v>249</v>
      </c>
      <c r="M203" s="57">
        <f t="shared" si="25"/>
        <v>20.510708401976935</v>
      </c>
      <c r="N203" s="440">
        <f t="shared" si="26"/>
        <v>648</v>
      </c>
      <c r="O203" s="57">
        <f t="shared" si="27"/>
        <v>12.085042894442372</v>
      </c>
    </row>
    <row r="204" spans="1:15" ht="15.75" x14ac:dyDescent="0.2">
      <c r="A204" s="416" t="s">
        <v>230</v>
      </c>
      <c r="B204" s="417">
        <f>'CONSOLIDADO-ACUEDUCTOSRURALES1'!D99</f>
        <v>60</v>
      </c>
      <c r="C204" s="418">
        <f t="shared" si="20"/>
        <v>2.5575447570332481</v>
      </c>
      <c r="D204" s="417">
        <f>'BAJO CAUCA'!B73</f>
        <v>5</v>
      </c>
      <c r="E204" s="57">
        <f t="shared" si="21"/>
        <v>0.18698578908002991</v>
      </c>
      <c r="F204" s="417">
        <f>'BAJO CAUCA'!B74</f>
        <v>2</v>
      </c>
      <c r="G204" s="57">
        <f t="shared" si="22"/>
        <v>1.8867924528301887</v>
      </c>
      <c r="H204" s="417">
        <f>'BAJO CAUCA'!B75</f>
        <v>4</v>
      </c>
      <c r="I204" s="57">
        <f t="shared" si="23"/>
        <v>0.64935064935064934</v>
      </c>
      <c r="J204" s="417">
        <f>'BAJO CAUCA'!B76</f>
        <v>9</v>
      </c>
      <c r="K204" s="57">
        <f t="shared" si="24"/>
        <v>1.196808510638298</v>
      </c>
      <c r="L204" s="417">
        <f>'BAJO CAUCA'!B77</f>
        <v>72</v>
      </c>
      <c r="M204" s="57">
        <f t="shared" si="25"/>
        <v>5.930807248764415</v>
      </c>
      <c r="N204" s="440">
        <f t="shared" si="26"/>
        <v>92</v>
      </c>
      <c r="O204" s="57">
        <f t="shared" si="27"/>
        <v>1.7157776948899663</v>
      </c>
    </row>
    <row r="205" spans="1:15" ht="15.75" x14ac:dyDescent="0.2">
      <c r="A205" s="416" t="s">
        <v>231</v>
      </c>
      <c r="B205" s="417">
        <f>'CONSOLIDADO-ACUEDUCTOSRURALES1'!D106</f>
        <v>69</v>
      </c>
      <c r="C205" s="418">
        <f t="shared" si="20"/>
        <v>2.9411764705882351</v>
      </c>
      <c r="D205" s="417">
        <f>'MAGDALENA MEDIO'!B82</f>
        <v>60</v>
      </c>
      <c r="E205" s="57">
        <f t="shared" si="21"/>
        <v>2.2438294689603588</v>
      </c>
      <c r="F205" s="417">
        <f>'MAGDALENA MEDIO'!B83</f>
        <v>18</v>
      </c>
      <c r="G205" s="57">
        <f t="shared" si="22"/>
        <v>16.981132075471699</v>
      </c>
      <c r="H205" s="417">
        <f>'MAGDALENA MEDIO'!B84</f>
        <v>11</v>
      </c>
      <c r="I205" s="57">
        <f t="shared" si="23"/>
        <v>1.7857142857142856</v>
      </c>
      <c r="J205" s="417">
        <f>'MAGDALENA MEDIO'!B85</f>
        <v>22</v>
      </c>
      <c r="K205" s="57">
        <f t="shared" si="24"/>
        <v>2.9255319148936172</v>
      </c>
      <c r="L205" s="417">
        <f>'MAGDALENA MEDIO'!B86</f>
        <v>18</v>
      </c>
      <c r="M205" s="57">
        <f t="shared" si="25"/>
        <v>1.4827018121911038</v>
      </c>
      <c r="N205" s="440">
        <f t="shared" si="26"/>
        <v>129</v>
      </c>
      <c r="O205" s="57">
        <f t="shared" si="27"/>
        <v>2.4058187243565832</v>
      </c>
    </row>
    <row r="206" spans="1:15" ht="15.75" x14ac:dyDescent="0.2">
      <c r="A206" s="416" t="s">
        <v>232</v>
      </c>
      <c r="B206" s="417">
        <f>'CONSOLIDADO-ACUEDUCTOSRURALES1'!D117</f>
        <v>110</v>
      </c>
      <c r="C206" s="418">
        <f t="shared" si="20"/>
        <v>4.6888320545609545</v>
      </c>
      <c r="D206" s="417">
        <f>NORDESTE!B125</f>
        <v>37</v>
      </c>
      <c r="E206" s="57">
        <f t="shared" si="21"/>
        <v>1.3836948391922212</v>
      </c>
      <c r="F206" s="417">
        <f>NORDESTE!B126</f>
        <v>7</v>
      </c>
      <c r="G206" s="57">
        <f t="shared" si="22"/>
        <v>6.6037735849056602</v>
      </c>
      <c r="H206" s="417">
        <f>NORDESTE!B127</f>
        <v>5</v>
      </c>
      <c r="I206" s="57">
        <f t="shared" si="23"/>
        <v>0.81168831168831157</v>
      </c>
      <c r="J206" s="417">
        <f>NORDESTE!B128</f>
        <v>23</v>
      </c>
      <c r="K206" s="57">
        <f t="shared" si="24"/>
        <v>3.0585106382978724</v>
      </c>
      <c r="L206" s="417">
        <f>NORDESTE!B129</f>
        <v>83</v>
      </c>
      <c r="M206" s="57">
        <f t="shared" si="25"/>
        <v>6.8369028006589785</v>
      </c>
      <c r="N206" s="440">
        <f t="shared" si="26"/>
        <v>155</v>
      </c>
      <c r="O206" s="57">
        <f t="shared" si="27"/>
        <v>2.8907124207385304</v>
      </c>
    </row>
    <row r="207" spans="1:15" ht="15.75" x14ac:dyDescent="0.2">
      <c r="A207" s="416" t="s">
        <v>233</v>
      </c>
      <c r="B207" s="417">
        <f>'CONSOLIDADO-ACUEDUCTOSRURALES1'!D141</f>
        <v>537</v>
      </c>
      <c r="C207" s="418">
        <f t="shared" si="20"/>
        <v>22.89002557544757</v>
      </c>
      <c r="D207" s="417">
        <f>ORIENTE!B551</f>
        <v>1361</v>
      </c>
      <c r="E207" s="57">
        <f t="shared" si="21"/>
        <v>50.897531787584136</v>
      </c>
      <c r="F207" s="417">
        <f>ORIENTE!B552</f>
        <v>45</v>
      </c>
      <c r="G207" s="57">
        <f t="shared" si="22"/>
        <v>42.452830188679243</v>
      </c>
      <c r="H207" s="417">
        <f>ORIENTE!B553</f>
        <v>322</v>
      </c>
      <c r="I207" s="57">
        <f t="shared" si="23"/>
        <v>52.272727272727273</v>
      </c>
      <c r="J207" s="417">
        <f>ORIENTE!B554</f>
        <v>227</v>
      </c>
      <c r="K207" s="57">
        <f t="shared" si="24"/>
        <v>30.186170212765955</v>
      </c>
      <c r="L207" s="417">
        <f>ORIENTE!B555</f>
        <v>211</v>
      </c>
      <c r="M207" s="57">
        <f t="shared" si="25"/>
        <v>17.380560131795715</v>
      </c>
      <c r="N207" s="442">
        <f t="shared" si="26"/>
        <v>2166</v>
      </c>
      <c r="O207" s="57">
        <f t="shared" si="27"/>
        <v>40.395374860126822</v>
      </c>
    </row>
    <row r="208" spans="1:15" ht="21" customHeight="1" x14ac:dyDescent="0.2">
      <c r="A208" s="74" t="s">
        <v>225</v>
      </c>
      <c r="B208" s="443">
        <f>SUM(B199:B207)</f>
        <v>2346</v>
      </c>
      <c r="C208" s="73">
        <f>SUM(C199:C207)</f>
        <v>99.999999999999972</v>
      </c>
      <c r="D208" s="441">
        <f>SUM(D199:D207)</f>
        <v>2674</v>
      </c>
      <c r="E208" s="73">
        <f>(D208/$N$208)*100</f>
        <v>49.869451697127936</v>
      </c>
      <c r="F208" s="441">
        <f>SUM(F199:F207)</f>
        <v>106</v>
      </c>
      <c r="G208" s="73">
        <f>(F208/$N$208)*100</f>
        <v>1.9768743006340919</v>
      </c>
      <c r="H208" s="441">
        <f>SUM(H199:H207)</f>
        <v>616</v>
      </c>
      <c r="I208" s="73">
        <f>(H208/$N$208)*100</f>
        <v>11.488250652741515</v>
      </c>
      <c r="J208" s="441">
        <f>SUM(J199:J207)</f>
        <v>752</v>
      </c>
      <c r="K208" s="73">
        <f>(J208/$N$208)*100</f>
        <v>14.024617679970161</v>
      </c>
      <c r="L208" s="441">
        <f>SUM(L199:L207)</f>
        <v>1214</v>
      </c>
      <c r="M208" s="73">
        <f>(L208/$N$208)*100</f>
        <v>22.640805669526294</v>
      </c>
      <c r="N208" s="443">
        <f>SUM(N199:N207)</f>
        <v>5362</v>
      </c>
      <c r="O208" s="73">
        <f>SUM(O199:O207)</f>
        <v>100</v>
      </c>
    </row>
  </sheetData>
  <sortState ref="A79:O97">
    <sortCondition ref="A79:A97"/>
  </sortState>
  <customSheetViews>
    <customSheetView guid="{45C8AF51-29EC-46A5-AB7F-1F0634E55D82}" scale="60">
      <pane xSplit="1" ySplit="7" topLeftCell="B134" activePane="bottomRight" state="frozen"/>
      <selection pane="bottomRight" activeCell="H135" sqref="H135"/>
      <pageMargins left="0.70866141732283472" right="0.70866141732283472" top="0.74803149606299213" bottom="0.74803149606299213" header="0.31496062992125984" footer="0.31496062992125984"/>
      <pageSetup paperSize="14" scale="50" orientation="landscape" r:id="rId1"/>
    </customSheetView>
    <customSheetView guid="{FCC3B493-4306-43B2-9C73-76324485DD47}" scale="60" topLeftCell="A142">
      <selection activeCell="M88" sqref="M88"/>
      <pageMargins left="0.70866141732283472" right="0.70866141732283472" top="0.74803149606299213" bottom="0.74803149606299213" header="0.31496062992125984" footer="0.31496062992125984"/>
      <pageSetup paperSize="14" scale="50" orientation="landscape" r:id="rId2"/>
    </customSheetView>
    <customSheetView guid="{AEDE1BDB-8710-4CDA-8488-31F49D423ACE}" scale="70" topLeftCell="A40">
      <selection activeCell="D73" sqref="D73"/>
      <pageMargins left="0.70866141732283472" right="0.70866141732283472" top="0.74803149606299213" bottom="0.74803149606299213" header="0.31496062992125984" footer="0.31496062992125984"/>
      <pageSetup paperSize="14" scale="50" orientation="landscape" r:id="rId3"/>
    </customSheetView>
    <customSheetView guid="{75DD7674-E7DE-4BB1-A36D-76AA33452CB3}" scale="60" topLeftCell="C1">
      <selection activeCell="H17" activeCellId="2" sqref="D17 F17 H17"/>
      <pageMargins left="0.70866141732283472" right="0.70866141732283472" top="0.74803149606299213" bottom="0.74803149606299213" header="0.31496062992125984" footer="0.31496062992125984"/>
      <pageSetup paperSize="14" scale="50" orientation="landscape" r:id="rId4"/>
    </customSheetView>
  </customSheetViews>
  <mergeCells count="15">
    <mergeCell ref="A197:O197"/>
    <mergeCell ref="C1:O1"/>
    <mergeCell ref="A141:O141"/>
    <mergeCell ref="A153:O153"/>
    <mergeCell ref="A169:O169"/>
    <mergeCell ref="A22:O22"/>
    <mergeCell ref="A37:O37"/>
    <mergeCell ref="A54:O54"/>
    <mergeCell ref="A77:O77"/>
    <mergeCell ref="A6:O6"/>
    <mergeCell ref="A101:O101"/>
    <mergeCell ref="A130:O130"/>
    <mergeCell ref="C3:O3"/>
    <mergeCell ref="C2:O2"/>
    <mergeCell ref="C4:O4"/>
  </mergeCells>
  <pageMargins left="0.70866141732283472" right="0.70866141732283472" top="0.74803149606299213" bottom="0.74803149606299213" header="0.31496062992125984" footer="0.31496062992125984"/>
  <pageSetup paperSize="14" scale="50" orientation="landscape" r:id="rId5"/>
  <ignoredErrors>
    <ignoredError sqref="M208 K208 I208 E208" formula="1"/>
  </ignoredErrors>
  <drawing r:id="rId6"/>
  <legacy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"/>
  <sheetViews>
    <sheetView workbookViewId="0">
      <selection activeCell="F52" sqref="F52"/>
    </sheetView>
  </sheetViews>
  <sheetFormatPr baseColWidth="10" defaultRowHeight="12.75" x14ac:dyDescent="0.2"/>
  <sheetData/>
  <customSheetViews>
    <customSheetView guid="{45C8AF51-29EC-46A5-AB7F-1F0634E55D82}" state="hidden">
      <selection activeCell="F52" sqref="F52"/>
      <pageMargins left="0.7" right="0.7" top="0.75" bottom="0.75" header="0.3" footer="0.3"/>
    </customSheetView>
    <customSheetView guid="{FCC3B493-4306-43B2-9C73-76324485DD47}" state="hidden">
      <selection activeCell="F52" sqref="F52"/>
      <pageMargins left="0.7" right="0.7" top="0.75" bottom="0.75" header="0.3" footer="0.3"/>
    </customSheetView>
    <customSheetView guid="{AEDE1BDB-8710-4CDA-8488-31F49D423ACE}" state="hidden">
      <pageMargins left="0.7" right="0.7" top="0.75" bottom="0.75" header="0.3" footer="0.3"/>
    </customSheetView>
    <customSheetView guid="{75DD7674-E7DE-4BB1-A36D-76AA33452CB3}">
      <selection activeCell="F52" sqref="F5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"/>
  <sheetViews>
    <sheetView workbookViewId="0"/>
  </sheetViews>
  <sheetFormatPr baseColWidth="10" defaultRowHeight="12.75" x14ac:dyDescent="0.2"/>
  <sheetData/>
  <customSheetViews>
    <customSheetView guid="{45C8AF51-29EC-46A5-AB7F-1F0634E55D82}" state="hidden">
      <pageMargins left="0.7" right="0.7" top="0.75" bottom="0.75" header="0.3" footer="0.3"/>
    </customSheetView>
    <customSheetView guid="{FCC3B493-4306-43B2-9C73-76324485DD47}" state="hidden">
      <pageMargins left="0.7" right="0.7" top="0.75" bottom="0.75" header="0.3" footer="0.3"/>
    </customSheetView>
    <customSheetView guid="{AEDE1BDB-8710-4CDA-8488-31F49D423ACE}" state="hidden">
      <pageMargins left="0.7" right="0.7" top="0.75" bottom="0.75" header="0.3" footer="0.3"/>
    </customSheetView>
    <customSheetView guid="{75DD7674-E7DE-4BB1-A36D-76AA33452CB3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</sheetPr>
  <dimension ref="A1:W491"/>
  <sheetViews>
    <sheetView zoomScale="60" zoomScaleNormal="70" workbookViewId="0">
      <selection activeCell="A10" sqref="A10"/>
    </sheetView>
  </sheetViews>
  <sheetFormatPr baseColWidth="10" defaultColWidth="0" defaultRowHeight="12.75" zeroHeight="1" x14ac:dyDescent="0.2"/>
  <cols>
    <col min="1" max="1" width="37.28515625" style="34" customWidth="1"/>
    <col min="2" max="2" width="54.7109375" style="14" customWidth="1"/>
    <col min="3" max="3" width="49.7109375" style="14" customWidth="1"/>
    <col min="4" max="4" width="26.5703125" style="13" customWidth="1"/>
    <col min="5" max="18" width="10.7109375" style="13" customWidth="1"/>
    <col min="19" max="19" width="42.42578125" style="13" bestFit="1" customWidth="1"/>
    <col min="20" max="20" width="9.85546875" style="13" hidden="1" customWidth="1"/>
    <col min="21" max="16384" width="11.42578125" style="13" hidden="1"/>
  </cols>
  <sheetData>
    <row r="1" spans="1:23" s="7" customFormat="1" ht="18" customHeight="1" x14ac:dyDescent="0.2">
      <c r="A1" s="54"/>
      <c r="B1" s="559" t="s">
        <v>258</v>
      </c>
      <c r="C1" s="559"/>
      <c r="D1" s="559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39" t="s">
        <v>546</v>
      </c>
      <c r="T1" s="3"/>
      <c r="U1" s="5"/>
      <c r="V1" s="6"/>
      <c r="W1" s="6"/>
    </row>
    <row r="2" spans="1:23" s="9" customFormat="1" ht="18" customHeight="1" x14ac:dyDescent="0.2">
      <c r="A2" s="54"/>
      <c r="B2" s="560" t="s">
        <v>259</v>
      </c>
      <c r="C2" s="560"/>
      <c r="D2" s="56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4"/>
      <c r="S2" s="40" t="s">
        <v>260</v>
      </c>
      <c r="T2" s="3"/>
      <c r="U2" s="8"/>
      <c r="V2" s="6"/>
      <c r="W2" s="6"/>
    </row>
    <row r="3" spans="1:23" s="7" customFormat="1" ht="18" customHeight="1" x14ac:dyDescent="0.25">
      <c r="A3" s="54"/>
      <c r="B3" s="497" t="s">
        <v>4413</v>
      </c>
      <c r="C3" s="495"/>
      <c r="D3" s="496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05"/>
      <c r="S3" s="40" t="s">
        <v>547</v>
      </c>
      <c r="T3" s="3"/>
      <c r="U3" s="5"/>
      <c r="V3" s="6"/>
      <c r="W3" s="6"/>
    </row>
    <row r="4" spans="1:23" s="7" customFormat="1" ht="18" customHeight="1" x14ac:dyDescent="0.2">
      <c r="A4" s="54"/>
      <c r="B4" s="559" t="s">
        <v>548</v>
      </c>
      <c r="C4" s="559"/>
      <c r="D4" s="55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261</v>
      </c>
      <c r="T4" s="3"/>
      <c r="U4" s="5"/>
      <c r="V4" s="6"/>
      <c r="W4" s="6"/>
    </row>
    <row r="5" spans="1:23" s="32" customFormat="1" ht="15" customHeight="1" x14ac:dyDescent="0.2">
      <c r="A5" s="290"/>
      <c r="B5" s="568"/>
      <c r="C5" s="569"/>
      <c r="D5" s="564" t="s">
        <v>266</v>
      </c>
      <c r="E5" s="556" t="s">
        <v>255</v>
      </c>
      <c r="F5" s="556"/>
      <c r="G5" s="556"/>
      <c r="H5" s="551" t="s">
        <v>263</v>
      </c>
      <c r="I5" s="551"/>
      <c r="J5" s="551"/>
      <c r="K5" s="558" t="s">
        <v>264</v>
      </c>
      <c r="L5" s="558"/>
      <c r="M5" s="558"/>
      <c r="N5" s="555" t="s">
        <v>474</v>
      </c>
      <c r="O5" s="555"/>
      <c r="P5" s="555"/>
      <c r="Q5" s="549" t="s">
        <v>265</v>
      </c>
      <c r="R5" s="549"/>
      <c r="S5" s="550" t="s">
        <v>267</v>
      </c>
    </row>
    <row r="6" spans="1:23" s="32" customFormat="1" ht="16.5" customHeight="1" x14ac:dyDescent="0.2">
      <c r="A6" s="290"/>
      <c r="B6" s="568"/>
      <c r="C6" s="569"/>
      <c r="D6" s="564"/>
      <c r="E6" s="556"/>
      <c r="F6" s="556"/>
      <c r="G6" s="556"/>
      <c r="H6" s="551"/>
      <c r="I6" s="551"/>
      <c r="J6" s="551"/>
      <c r="K6" s="558"/>
      <c r="L6" s="558"/>
      <c r="M6" s="558"/>
      <c r="N6" s="555"/>
      <c r="O6" s="555"/>
      <c r="P6" s="555"/>
      <c r="Q6" s="549"/>
      <c r="R6" s="549"/>
      <c r="S6" s="550"/>
    </row>
    <row r="7" spans="1:23" s="32" customFormat="1" ht="27" customHeight="1" x14ac:dyDescent="0.2">
      <c r="A7" s="511" t="s">
        <v>3739</v>
      </c>
      <c r="B7" s="257"/>
      <c r="C7" s="296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294"/>
    </row>
    <row r="8" spans="1:23" s="10" customFormat="1" ht="18" customHeight="1" x14ac:dyDescent="0.2">
      <c r="A8" s="563" t="s">
        <v>37</v>
      </c>
      <c r="B8" s="547" t="s">
        <v>38</v>
      </c>
      <c r="C8" s="547" t="s">
        <v>262</v>
      </c>
      <c r="D8" s="572" t="s">
        <v>454</v>
      </c>
      <c r="E8" s="552" t="s">
        <v>33</v>
      </c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70" t="s">
        <v>34</v>
      </c>
      <c r="R8" s="570" t="s">
        <v>36</v>
      </c>
      <c r="S8" s="547" t="s">
        <v>35</v>
      </c>
      <c r="T8" s="11"/>
    </row>
    <row r="9" spans="1:23" s="10" customFormat="1" ht="24" customHeight="1" x14ac:dyDescent="0.2">
      <c r="A9" s="563"/>
      <c r="B9" s="547"/>
      <c r="C9" s="547"/>
      <c r="D9" s="573"/>
      <c r="E9" s="256" t="s">
        <v>21</v>
      </c>
      <c r="F9" s="256" t="s">
        <v>22</v>
      </c>
      <c r="G9" s="256" t="s">
        <v>23</v>
      </c>
      <c r="H9" s="256" t="s">
        <v>24</v>
      </c>
      <c r="I9" s="256" t="s">
        <v>25</v>
      </c>
      <c r="J9" s="256" t="s">
        <v>26</v>
      </c>
      <c r="K9" s="256" t="s">
        <v>27</v>
      </c>
      <c r="L9" s="256" t="s">
        <v>28</v>
      </c>
      <c r="M9" s="256" t="s">
        <v>29</v>
      </c>
      <c r="N9" s="256" t="s">
        <v>30</v>
      </c>
      <c r="O9" s="256" t="s">
        <v>31</v>
      </c>
      <c r="P9" s="256" t="s">
        <v>32</v>
      </c>
      <c r="Q9" s="570"/>
      <c r="R9" s="571"/>
      <c r="S9" s="548"/>
      <c r="T9" s="11"/>
    </row>
    <row r="10" spans="1:23" ht="32.1" customHeight="1" x14ac:dyDescent="0.2">
      <c r="A10" s="487" t="s">
        <v>4116</v>
      </c>
      <c r="B10" s="258" t="s">
        <v>519</v>
      </c>
      <c r="C10" s="480" t="s">
        <v>3597</v>
      </c>
      <c r="D10" s="121">
        <v>1611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145">
        <f t="shared" ref="Q10:Q41" si="0">AVERAGE(E10:P10)</f>
        <v>0</v>
      </c>
      <c r="R10" s="151" t="str">
        <f t="shared" ref="R10:R41" si="1">IF(Q10&lt;5,"SI","NO")</f>
        <v>SI</v>
      </c>
      <c r="S10" s="152" t="str">
        <f t="shared" ref="S10:S73" si="2">IF(Q10&lt;5,"Sin Riesgo",IF(Q10 &lt;=14,"Bajo",IF(Q10&lt;=35,"Medio",IF(Q10&lt;=80,"Alto","Inviable Sanitariamente"))))</f>
        <v>Sin Riesgo</v>
      </c>
      <c r="T10" s="15"/>
    </row>
    <row r="11" spans="1:23" ht="32.1" customHeight="1" x14ac:dyDescent="0.2">
      <c r="A11" s="487" t="s">
        <v>4116</v>
      </c>
      <c r="B11" s="258" t="s">
        <v>376</v>
      </c>
      <c r="C11" s="480" t="s">
        <v>3598</v>
      </c>
      <c r="D11" s="121">
        <v>187</v>
      </c>
      <c r="E11" s="81"/>
      <c r="F11" s="81"/>
      <c r="G11" s="81"/>
      <c r="H11" s="81"/>
      <c r="I11" s="81"/>
      <c r="J11" s="81"/>
      <c r="K11" s="81"/>
      <c r="L11" s="81"/>
      <c r="M11" s="81"/>
      <c r="N11" s="81">
        <v>65.81</v>
      </c>
      <c r="O11" s="81"/>
      <c r="P11" s="81"/>
      <c r="Q11" s="145">
        <f t="shared" si="0"/>
        <v>65.81</v>
      </c>
      <c r="R11" s="151" t="str">
        <f t="shared" si="1"/>
        <v>NO</v>
      </c>
      <c r="S11" s="152" t="str">
        <f t="shared" si="2"/>
        <v>Alto</v>
      </c>
      <c r="T11" s="15"/>
    </row>
    <row r="12" spans="1:23" ht="32.1" customHeight="1" x14ac:dyDescent="0.2">
      <c r="A12" s="487" t="s">
        <v>4116</v>
      </c>
      <c r="B12" s="258" t="s">
        <v>375</v>
      </c>
      <c r="C12" s="480" t="s">
        <v>3599</v>
      </c>
      <c r="D12" s="121">
        <v>210</v>
      </c>
      <c r="E12" s="81"/>
      <c r="F12" s="81"/>
      <c r="G12" s="81"/>
      <c r="H12" s="81"/>
      <c r="I12" s="81"/>
      <c r="J12" s="81"/>
      <c r="K12" s="81"/>
      <c r="L12" s="81"/>
      <c r="M12" s="81"/>
      <c r="N12" s="81">
        <v>65.81</v>
      </c>
      <c r="O12" s="81"/>
      <c r="P12" s="81"/>
      <c r="Q12" s="145">
        <f t="shared" si="0"/>
        <v>65.81</v>
      </c>
      <c r="R12" s="151" t="str">
        <f t="shared" si="1"/>
        <v>NO</v>
      </c>
      <c r="S12" s="152" t="str">
        <f t="shared" si="2"/>
        <v>Alto</v>
      </c>
      <c r="T12" s="15"/>
    </row>
    <row r="13" spans="1:23" ht="32.1" customHeight="1" x14ac:dyDescent="0.2">
      <c r="A13" s="487" t="s">
        <v>4116</v>
      </c>
      <c r="B13" s="258" t="s">
        <v>49</v>
      </c>
      <c r="C13" s="480" t="s">
        <v>3600</v>
      </c>
      <c r="D13" s="121">
        <v>395</v>
      </c>
      <c r="E13" s="81"/>
      <c r="F13" s="81"/>
      <c r="G13" s="81"/>
      <c r="H13" s="81"/>
      <c r="I13" s="81"/>
      <c r="J13" s="81"/>
      <c r="K13" s="81"/>
      <c r="L13" s="81"/>
      <c r="M13" s="81"/>
      <c r="N13" s="81">
        <v>46.45</v>
      </c>
      <c r="O13" s="81"/>
      <c r="P13" s="81"/>
      <c r="Q13" s="145">
        <f t="shared" si="0"/>
        <v>46.45</v>
      </c>
      <c r="R13" s="151" t="str">
        <f t="shared" si="1"/>
        <v>NO</v>
      </c>
      <c r="S13" s="152" t="str">
        <f t="shared" si="2"/>
        <v>Alto</v>
      </c>
      <c r="T13" s="15"/>
    </row>
    <row r="14" spans="1:23" ht="32.1" customHeight="1" x14ac:dyDescent="0.2">
      <c r="A14" s="487" t="s">
        <v>4116</v>
      </c>
      <c r="B14" s="258" t="s">
        <v>520</v>
      </c>
      <c r="C14" s="480" t="s">
        <v>3601</v>
      </c>
      <c r="D14" s="121">
        <v>25</v>
      </c>
      <c r="E14" s="81"/>
      <c r="F14" s="81"/>
      <c r="G14" s="81"/>
      <c r="H14" s="81"/>
      <c r="I14" s="81"/>
      <c r="J14" s="81"/>
      <c r="K14" s="81"/>
      <c r="L14" s="81"/>
      <c r="M14" s="81"/>
      <c r="N14" s="81">
        <v>9.6</v>
      </c>
      <c r="O14" s="81"/>
      <c r="P14" s="81"/>
      <c r="Q14" s="145">
        <f t="shared" si="0"/>
        <v>9.6</v>
      </c>
      <c r="R14" s="151" t="str">
        <f t="shared" si="1"/>
        <v>NO</v>
      </c>
      <c r="S14" s="152" t="str">
        <f t="shared" si="2"/>
        <v>Bajo</v>
      </c>
      <c r="T14" s="15"/>
    </row>
    <row r="15" spans="1:23" ht="32.1" customHeight="1" x14ac:dyDescent="0.2">
      <c r="A15" s="487" t="s">
        <v>4116</v>
      </c>
      <c r="B15" s="258" t="s">
        <v>3602</v>
      </c>
      <c r="C15" s="480" t="s">
        <v>3603</v>
      </c>
      <c r="D15" s="121">
        <v>130</v>
      </c>
      <c r="E15" s="81"/>
      <c r="F15" s="81"/>
      <c r="G15" s="81"/>
      <c r="H15" s="81"/>
      <c r="I15" s="81"/>
      <c r="J15" s="81"/>
      <c r="K15" s="81"/>
      <c r="L15" s="81"/>
      <c r="M15" s="81"/>
      <c r="N15" s="81">
        <v>24</v>
      </c>
      <c r="O15" s="81"/>
      <c r="P15" s="81"/>
      <c r="Q15" s="145">
        <f t="shared" si="0"/>
        <v>24</v>
      </c>
      <c r="R15" s="151" t="str">
        <f t="shared" si="1"/>
        <v>NO</v>
      </c>
      <c r="S15" s="152" t="str">
        <f t="shared" si="2"/>
        <v>Medio</v>
      </c>
      <c r="T15" s="15"/>
    </row>
    <row r="16" spans="1:23" ht="32.1" customHeight="1" x14ac:dyDescent="0.2">
      <c r="A16" s="487" t="s">
        <v>4116</v>
      </c>
      <c r="B16" s="258" t="s">
        <v>374</v>
      </c>
      <c r="C16" s="480" t="s">
        <v>3604</v>
      </c>
      <c r="D16" s="121">
        <v>308</v>
      </c>
      <c r="E16" s="81"/>
      <c r="F16" s="81"/>
      <c r="G16" s="81"/>
      <c r="H16" s="81"/>
      <c r="I16" s="81"/>
      <c r="J16" s="81"/>
      <c r="K16" s="81"/>
      <c r="L16" s="81"/>
      <c r="M16" s="81"/>
      <c r="N16" s="81">
        <v>48</v>
      </c>
      <c r="O16" s="81"/>
      <c r="P16" s="81"/>
      <c r="Q16" s="145">
        <f t="shared" si="0"/>
        <v>48</v>
      </c>
      <c r="R16" s="151" t="str">
        <f t="shared" si="1"/>
        <v>NO</v>
      </c>
      <c r="S16" s="152" t="str">
        <f t="shared" si="2"/>
        <v>Alto</v>
      </c>
      <c r="T16" s="15"/>
    </row>
    <row r="17" spans="1:20" ht="32.1" customHeight="1" x14ac:dyDescent="0.2">
      <c r="A17" s="487" t="s">
        <v>4116</v>
      </c>
      <c r="B17" s="258" t="s">
        <v>373</v>
      </c>
      <c r="C17" s="480" t="s">
        <v>3605</v>
      </c>
      <c r="D17" s="288">
        <v>181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145" t="e">
        <f t="shared" si="0"/>
        <v>#DIV/0!</v>
      </c>
      <c r="R17" s="151" t="e">
        <f t="shared" si="1"/>
        <v>#DIV/0!</v>
      </c>
      <c r="S17" s="152" t="e">
        <f t="shared" si="2"/>
        <v>#DIV/0!</v>
      </c>
      <c r="T17" s="15"/>
    </row>
    <row r="18" spans="1:20" ht="32.1" customHeight="1" x14ac:dyDescent="0.2">
      <c r="A18" s="487" t="s">
        <v>4116</v>
      </c>
      <c r="B18" s="258" t="s">
        <v>544</v>
      </c>
      <c r="C18" s="480" t="s">
        <v>3606</v>
      </c>
      <c r="D18" s="121">
        <v>420</v>
      </c>
      <c r="E18" s="81"/>
      <c r="F18" s="81"/>
      <c r="G18" s="81"/>
      <c r="H18" s="81"/>
      <c r="I18" s="81"/>
      <c r="J18" s="81"/>
      <c r="K18" s="81"/>
      <c r="L18" s="81"/>
      <c r="M18" s="81"/>
      <c r="N18" s="81">
        <v>27.1</v>
      </c>
      <c r="O18" s="81"/>
      <c r="P18" s="81"/>
      <c r="Q18" s="145">
        <f t="shared" si="0"/>
        <v>27.1</v>
      </c>
      <c r="R18" s="151" t="str">
        <f t="shared" si="1"/>
        <v>NO</v>
      </c>
      <c r="S18" s="152" t="str">
        <f t="shared" si="2"/>
        <v>Medio</v>
      </c>
      <c r="T18" s="15"/>
    </row>
    <row r="19" spans="1:20" ht="32.1" customHeight="1" x14ac:dyDescent="0.2">
      <c r="A19" s="487" t="s">
        <v>117</v>
      </c>
      <c r="B19" s="258" t="s">
        <v>58</v>
      </c>
      <c r="C19" s="480" t="s">
        <v>3607</v>
      </c>
      <c r="D19" s="121">
        <v>320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145" t="e">
        <f t="shared" si="0"/>
        <v>#DIV/0!</v>
      </c>
      <c r="R19" s="151" t="e">
        <f t="shared" si="1"/>
        <v>#DIV/0!</v>
      </c>
      <c r="S19" s="152" t="e">
        <f t="shared" si="2"/>
        <v>#DIV/0!</v>
      </c>
      <c r="T19" s="15"/>
    </row>
    <row r="20" spans="1:20" ht="32.1" customHeight="1" x14ac:dyDescent="0.2">
      <c r="A20" s="487" t="s">
        <v>117</v>
      </c>
      <c r="B20" s="258" t="s">
        <v>241</v>
      </c>
      <c r="C20" s="480" t="s">
        <v>3608</v>
      </c>
      <c r="D20" s="121">
        <v>190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145" t="e">
        <f t="shared" si="0"/>
        <v>#DIV/0!</v>
      </c>
      <c r="R20" s="151" t="e">
        <f t="shared" si="1"/>
        <v>#DIV/0!</v>
      </c>
      <c r="S20" s="152" t="e">
        <f t="shared" si="2"/>
        <v>#DIV/0!</v>
      </c>
      <c r="T20" s="15"/>
    </row>
    <row r="21" spans="1:20" ht="32.1" customHeight="1" x14ac:dyDescent="0.2">
      <c r="A21" s="487" t="s">
        <v>117</v>
      </c>
      <c r="B21" s="258" t="s">
        <v>3631</v>
      </c>
      <c r="C21" s="480" t="s">
        <v>3609</v>
      </c>
      <c r="D21" s="121">
        <v>40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145" t="e">
        <f t="shared" si="0"/>
        <v>#DIV/0!</v>
      </c>
      <c r="R21" s="151" t="e">
        <f t="shared" si="1"/>
        <v>#DIV/0!</v>
      </c>
      <c r="S21" s="152" t="e">
        <f t="shared" si="2"/>
        <v>#DIV/0!</v>
      </c>
      <c r="T21" s="15"/>
    </row>
    <row r="22" spans="1:20" ht="32.1" customHeight="1" x14ac:dyDescent="0.2">
      <c r="A22" s="487" t="s">
        <v>117</v>
      </c>
      <c r="B22" s="258" t="s">
        <v>3632</v>
      </c>
      <c r="C22" s="480" t="s">
        <v>3610</v>
      </c>
      <c r="D22" s="121">
        <v>65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145" t="e">
        <f t="shared" si="0"/>
        <v>#DIV/0!</v>
      </c>
      <c r="R22" s="151" t="e">
        <f t="shared" si="1"/>
        <v>#DIV/0!</v>
      </c>
      <c r="S22" s="152" t="e">
        <f t="shared" si="2"/>
        <v>#DIV/0!</v>
      </c>
      <c r="T22" s="15"/>
    </row>
    <row r="23" spans="1:20" ht="32.1" customHeight="1" x14ac:dyDescent="0.2">
      <c r="A23" s="487" t="s">
        <v>117</v>
      </c>
      <c r="B23" s="258" t="s">
        <v>3633</v>
      </c>
      <c r="C23" s="480" t="s">
        <v>3611</v>
      </c>
      <c r="D23" s="121">
        <v>58</v>
      </c>
      <c r="E23" s="81"/>
      <c r="F23" s="81"/>
      <c r="G23" s="81"/>
      <c r="H23" s="81">
        <v>100</v>
      </c>
      <c r="I23" s="81"/>
      <c r="J23" s="81"/>
      <c r="K23" s="81"/>
      <c r="L23" s="81"/>
      <c r="M23" s="81"/>
      <c r="N23" s="81"/>
      <c r="O23" s="81"/>
      <c r="P23" s="81"/>
      <c r="Q23" s="145">
        <f t="shared" si="0"/>
        <v>100</v>
      </c>
      <c r="R23" s="151" t="str">
        <f t="shared" si="1"/>
        <v>NO</v>
      </c>
      <c r="S23" s="152" t="str">
        <f t="shared" si="2"/>
        <v>Inviable Sanitariamente</v>
      </c>
      <c r="T23" s="15"/>
    </row>
    <row r="24" spans="1:20" ht="32.1" customHeight="1" x14ac:dyDescent="0.2">
      <c r="A24" s="487" t="s">
        <v>117</v>
      </c>
      <c r="B24" s="258" t="s">
        <v>246</v>
      </c>
      <c r="C24" s="480" t="s">
        <v>3612</v>
      </c>
      <c r="D24" s="121">
        <v>45</v>
      </c>
      <c r="E24" s="81">
        <v>100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45">
        <f t="shared" si="0"/>
        <v>100</v>
      </c>
      <c r="R24" s="151" t="str">
        <f t="shared" si="1"/>
        <v>NO</v>
      </c>
      <c r="S24" s="152" t="str">
        <f t="shared" si="2"/>
        <v>Inviable Sanitariamente</v>
      </c>
      <c r="T24" s="15"/>
    </row>
    <row r="25" spans="1:20" ht="32.1" customHeight="1" x14ac:dyDescent="0.2">
      <c r="A25" s="487" t="s">
        <v>117</v>
      </c>
      <c r="B25" s="258" t="s">
        <v>377</v>
      </c>
      <c r="C25" s="480" t="s">
        <v>3613</v>
      </c>
      <c r="D25" s="121">
        <v>170</v>
      </c>
      <c r="E25" s="81">
        <v>100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145">
        <f t="shared" si="0"/>
        <v>100</v>
      </c>
      <c r="R25" s="151" t="str">
        <f t="shared" si="1"/>
        <v>NO</v>
      </c>
      <c r="S25" s="152" t="str">
        <f t="shared" si="2"/>
        <v>Inviable Sanitariamente</v>
      </c>
      <c r="T25" s="15"/>
    </row>
    <row r="26" spans="1:20" ht="32.1" customHeight="1" x14ac:dyDescent="0.2">
      <c r="A26" s="487" t="s">
        <v>117</v>
      </c>
      <c r="B26" s="258" t="s">
        <v>383</v>
      </c>
      <c r="C26" s="480" t="s">
        <v>3614</v>
      </c>
      <c r="D26" s="116">
        <v>35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145" t="e">
        <f t="shared" si="0"/>
        <v>#DIV/0!</v>
      </c>
      <c r="R26" s="151" t="e">
        <f t="shared" si="1"/>
        <v>#DIV/0!</v>
      </c>
      <c r="S26" s="152" t="e">
        <f t="shared" si="2"/>
        <v>#DIV/0!</v>
      </c>
      <c r="T26" s="15"/>
    </row>
    <row r="27" spans="1:20" ht="32.1" customHeight="1" x14ac:dyDescent="0.2">
      <c r="A27" s="487" t="s">
        <v>117</v>
      </c>
      <c r="B27" s="258" t="s">
        <v>378</v>
      </c>
      <c r="C27" s="480" t="s">
        <v>3615</v>
      </c>
      <c r="D27" s="121">
        <v>350</v>
      </c>
      <c r="E27" s="81"/>
      <c r="F27" s="81"/>
      <c r="G27" s="81"/>
      <c r="H27" s="81"/>
      <c r="I27" s="81"/>
      <c r="J27" s="81"/>
      <c r="K27" s="81"/>
      <c r="L27" s="81">
        <v>100</v>
      </c>
      <c r="M27" s="81"/>
      <c r="N27" s="81"/>
      <c r="O27" s="81"/>
      <c r="P27" s="81"/>
      <c r="Q27" s="145">
        <f t="shared" si="0"/>
        <v>100</v>
      </c>
      <c r="R27" s="151" t="str">
        <f t="shared" si="1"/>
        <v>NO</v>
      </c>
      <c r="S27" s="152" t="str">
        <f t="shared" si="2"/>
        <v>Inviable Sanitariamente</v>
      </c>
      <c r="T27" s="15"/>
    </row>
    <row r="28" spans="1:20" ht="32.1" customHeight="1" x14ac:dyDescent="0.2">
      <c r="A28" s="487" t="s">
        <v>117</v>
      </c>
      <c r="B28" s="258" t="s">
        <v>3634</v>
      </c>
      <c r="C28" s="480" t="s">
        <v>3616</v>
      </c>
      <c r="D28" s="121">
        <v>60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145" t="e">
        <f t="shared" si="0"/>
        <v>#DIV/0!</v>
      </c>
      <c r="R28" s="151" t="e">
        <f t="shared" si="1"/>
        <v>#DIV/0!</v>
      </c>
      <c r="S28" s="152" t="e">
        <f t="shared" si="2"/>
        <v>#DIV/0!</v>
      </c>
      <c r="T28" s="15"/>
    </row>
    <row r="29" spans="1:20" ht="32.1" customHeight="1" x14ac:dyDescent="0.2">
      <c r="A29" s="487" t="s">
        <v>117</v>
      </c>
      <c r="B29" s="258" t="s">
        <v>247</v>
      </c>
      <c r="C29" s="480" t="s">
        <v>3617</v>
      </c>
      <c r="D29" s="116">
        <v>86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145" t="e">
        <f t="shared" si="0"/>
        <v>#DIV/0!</v>
      </c>
      <c r="R29" s="151" t="e">
        <f t="shared" si="1"/>
        <v>#DIV/0!</v>
      </c>
      <c r="S29" s="152" t="e">
        <f t="shared" si="2"/>
        <v>#DIV/0!</v>
      </c>
      <c r="T29" s="15"/>
    </row>
    <row r="30" spans="1:20" ht="32.1" customHeight="1" x14ac:dyDescent="0.2">
      <c r="A30" s="487" t="s">
        <v>117</v>
      </c>
      <c r="B30" s="258" t="s">
        <v>380</v>
      </c>
      <c r="C30" s="480" t="s">
        <v>3618</v>
      </c>
      <c r="D30" s="121">
        <v>220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145" t="e">
        <f t="shared" si="0"/>
        <v>#DIV/0!</v>
      </c>
      <c r="R30" s="151" t="e">
        <f t="shared" si="1"/>
        <v>#DIV/0!</v>
      </c>
      <c r="S30" s="152" t="e">
        <f t="shared" si="2"/>
        <v>#DIV/0!</v>
      </c>
      <c r="T30" s="15"/>
    </row>
    <row r="31" spans="1:20" ht="32.1" customHeight="1" x14ac:dyDescent="0.2">
      <c r="A31" s="487" t="s">
        <v>117</v>
      </c>
      <c r="B31" s="258" t="s">
        <v>3635</v>
      </c>
      <c r="C31" s="480" t="s">
        <v>3619</v>
      </c>
      <c r="D31" s="121">
        <v>50</v>
      </c>
      <c r="E31" s="81">
        <v>100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145">
        <f t="shared" si="0"/>
        <v>100</v>
      </c>
      <c r="R31" s="151" t="str">
        <f t="shared" si="1"/>
        <v>NO</v>
      </c>
      <c r="S31" s="152" t="str">
        <f t="shared" si="2"/>
        <v>Inviable Sanitariamente</v>
      </c>
      <c r="T31" s="15"/>
    </row>
    <row r="32" spans="1:20" ht="32.1" customHeight="1" x14ac:dyDescent="0.2">
      <c r="A32" s="487" t="s">
        <v>117</v>
      </c>
      <c r="B32" s="258" t="s">
        <v>245</v>
      </c>
      <c r="C32" s="480" t="s">
        <v>3620</v>
      </c>
      <c r="D32" s="116">
        <v>67</v>
      </c>
      <c r="E32" s="81"/>
      <c r="F32" s="81"/>
      <c r="G32" s="81"/>
      <c r="H32" s="81"/>
      <c r="I32" s="81"/>
      <c r="J32" s="81"/>
      <c r="K32" s="81">
        <v>100</v>
      </c>
      <c r="L32" s="81"/>
      <c r="M32" s="81"/>
      <c r="N32" s="81"/>
      <c r="O32" s="81"/>
      <c r="P32" s="81"/>
      <c r="Q32" s="145">
        <f t="shared" si="0"/>
        <v>100</v>
      </c>
      <c r="R32" s="151" t="str">
        <f t="shared" si="1"/>
        <v>NO</v>
      </c>
      <c r="S32" s="152" t="str">
        <f t="shared" si="2"/>
        <v>Inviable Sanitariamente</v>
      </c>
      <c r="T32" s="15"/>
    </row>
    <row r="33" spans="1:20" ht="32.1" customHeight="1" x14ac:dyDescent="0.2">
      <c r="A33" s="487" t="s">
        <v>117</v>
      </c>
      <c r="B33" s="258" t="s">
        <v>381</v>
      </c>
      <c r="C33" s="480" t="s">
        <v>3621</v>
      </c>
      <c r="D33" s="121">
        <v>55</v>
      </c>
      <c r="E33" s="81"/>
      <c r="F33" s="81"/>
      <c r="G33" s="81"/>
      <c r="H33" s="81">
        <v>100</v>
      </c>
      <c r="I33" s="81"/>
      <c r="J33" s="81"/>
      <c r="K33" s="81"/>
      <c r="L33" s="81">
        <v>100</v>
      </c>
      <c r="M33" s="81"/>
      <c r="N33" s="81"/>
      <c r="O33" s="81"/>
      <c r="P33" s="81"/>
      <c r="Q33" s="145">
        <f t="shared" si="0"/>
        <v>100</v>
      </c>
      <c r="R33" s="151" t="str">
        <f t="shared" si="1"/>
        <v>NO</v>
      </c>
      <c r="S33" s="152" t="str">
        <f t="shared" si="2"/>
        <v>Inviable Sanitariamente</v>
      </c>
      <c r="T33" s="15"/>
    </row>
    <row r="34" spans="1:20" ht="32.1" customHeight="1" x14ac:dyDescent="0.2">
      <c r="A34" s="487" t="s">
        <v>117</v>
      </c>
      <c r="B34" s="258" t="s">
        <v>3636</v>
      </c>
      <c r="C34" s="480" t="s">
        <v>3622</v>
      </c>
      <c r="D34" s="121">
        <v>90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45" t="e">
        <f t="shared" si="0"/>
        <v>#DIV/0!</v>
      </c>
      <c r="R34" s="151" t="e">
        <f t="shared" si="1"/>
        <v>#DIV/0!</v>
      </c>
      <c r="S34" s="152" t="e">
        <f t="shared" si="2"/>
        <v>#DIV/0!</v>
      </c>
      <c r="T34" s="15"/>
    </row>
    <row r="35" spans="1:20" ht="32.1" customHeight="1" x14ac:dyDescent="0.2">
      <c r="A35" s="487" t="s">
        <v>117</v>
      </c>
      <c r="B35" s="258" t="s">
        <v>379</v>
      </c>
      <c r="C35" s="480" t="s">
        <v>3623</v>
      </c>
      <c r="D35" s="121">
        <v>48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145" t="e">
        <f t="shared" si="0"/>
        <v>#DIV/0!</v>
      </c>
      <c r="R35" s="151" t="e">
        <f t="shared" si="1"/>
        <v>#DIV/0!</v>
      </c>
      <c r="S35" s="152" t="e">
        <f t="shared" si="2"/>
        <v>#DIV/0!</v>
      </c>
      <c r="T35" s="15"/>
    </row>
    <row r="36" spans="1:20" ht="32.1" customHeight="1" x14ac:dyDescent="0.2">
      <c r="A36" s="487" t="s">
        <v>117</v>
      </c>
      <c r="B36" s="258" t="s">
        <v>248</v>
      </c>
      <c r="C36" s="480" t="s">
        <v>3624</v>
      </c>
      <c r="D36" s="121">
        <v>350</v>
      </c>
      <c r="E36" s="81"/>
      <c r="F36" s="81"/>
      <c r="G36" s="81"/>
      <c r="H36" s="81"/>
      <c r="I36" s="81"/>
      <c r="J36" s="81"/>
      <c r="K36" s="81"/>
      <c r="L36" s="81"/>
      <c r="M36" s="81">
        <v>100</v>
      </c>
      <c r="N36" s="81"/>
      <c r="O36" s="81"/>
      <c r="P36" s="81"/>
      <c r="Q36" s="145">
        <f t="shared" si="0"/>
        <v>100</v>
      </c>
      <c r="R36" s="151" t="str">
        <f t="shared" si="1"/>
        <v>NO</v>
      </c>
      <c r="S36" s="152" t="str">
        <f t="shared" si="2"/>
        <v>Inviable Sanitariamente</v>
      </c>
      <c r="T36" s="15"/>
    </row>
    <row r="37" spans="1:20" ht="32.1" customHeight="1" x14ac:dyDescent="0.2">
      <c r="A37" s="487" t="s">
        <v>117</v>
      </c>
      <c r="B37" s="258" t="s">
        <v>3637</v>
      </c>
      <c r="C37" s="480" t="s">
        <v>3625</v>
      </c>
      <c r="D37" s="121">
        <v>90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145" t="e">
        <f t="shared" si="0"/>
        <v>#DIV/0!</v>
      </c>
      <c r="R37" s="151" t="e">
        <f t="shared" si="1"/>
        <v>#DIV/0!</v>
      </c>
      <c r="S37" s="152" t="e">
        <f t="shared" si="2"/>
        <v>#DIV/0!</v>
      </c>
      <c r="T37" s="15"/>
    </row>
    <row r="38" spans="1:20" ht="32.1" customHeight="1" x14ac:dyDescent="0.2">
      <c r="A38" s="487" t="s">
        <v>117</v>
      </c>
      <c r="B38" s="258" t="s">
        <v>3638</v>
      </c>
      <c r="C38" s="480" t="s">
        <v>3626</v>
      </c>
      <c r="D38" s="121">
        <v>62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145" t="e">
        <f t="shared" si="0"/>
        <v>#DIV/0!</v>
      </c>
      <c r="R38" s="151" t="e">
        <f t="shared" si="1"/>
        <v>#DIV/0!</v>
      </c>
      <c r="S38" s="152" t="e">
        <f t="shared" si="2"/>
        <v>#DIV/0!</v>
      </c>
      <c r="T38" s="15"/>
    </row>
    <row r="39" spans="1:20" ht="32.1" customHeight="1" x14ac:dyDescent="0.2">
      <c r="A39" s="487" t="s">
        <v>117</v>
      </c>
      <c r="B39" s="258" t="s">
        <v>3639</v>
      </c>
      <c r="C39" s="480" t="s">
        <v>3627</v>
      </c>
      <c r="D39" s="121">
        <v>45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145" t="e">
        <f t="shared" si="0"/>
        <v>#DIV/0!</v>
      </c>
      <c r="R39" s="151" t="e">
        <f t="shared" si="1"/>
        <v>#DIV/0!</v>
      </c>
      <c r="S39" s="152" t="e">
        <f t="shared" si="2"/>
        <v>#DIV/0!</v>
      </c>
      <c r="T39" s="15"/>
    </row>
    <row r="40" spans="1:20" ht="32.1" customHeight="1" x14ac:dyDescent="0.2">
      <c r="A40" s="487" t="s">
        <v>117</v>
      </c>
      <c r="B40" s="258" t="s">
        <v>382</v>
      </c>
      <c r="C40" s="480" t="s">
        <v>3628</v>
      </c>
      <c r="D40" s="121">
        <v>120</v>
      </c>
      <c r="E40" s="81"/>
      <c r="F40" s="81"/>
      <c r="G40" s="81"/>
      <c r="H40" s="81"/>
      <c r="I40" s="81">
        <v>100</v>
      </c>
      <c r="J40" s="81"/>
      <c r="K40" s="81"/>
      <c r="L40" s="81"/>
      <c r="M40" s="81"/>
      <c r="N40" s="81"/>
      <c r="O40" s="81"/>
      <c r="P40" s="81"/>
      <c r="Q40" s="145">
        <f t="shared" si="0"/>
        <v>100</v>
      </c>
      <c r="R40" s="151" t="str">
        <f t="shared" si="1"/>
        <v>NO</v>
      </c>
      <c r="S40" s="152" t="str">
        <f t="shared" si="2"/>
        <v>Inviable Sanitariamente</v>
      </c>
      <c r="T40" s="15"/>
    </row>
    <row r="41" spans="1:20" ht="32.1" customHeight="1" x14ac:dyDescent="0.2">
      <c r="A41" s="487" t="s">
        <v>117</v>
      </c>
      <c r="B41" s="258" t="s">
        <v>3640</v>
      </c>
      <c r="C41" s="480" t="s">
        <v>3629</v>
      </c>
      <c r="D41" s="121">
        <v>36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145" t="e">
        <f t="shared" si="0"/>
        <v>#DIV/0!</v>
      </c>
      <c r="R41" s="151" t="e">
        <f t="shared" si="1"/>
        <v>#DIV/0!</v>
      </c>
      <c r="S41" s="152" t="e">
        <f t="shared" si="2"/>
        <v>#DIV/0!</v>
      </c>
      <c r="T41" s="15"/>
    </row>
    <row r="42" spans="1:20" ht="32.1" customHeight="1" x14ac:dyDescent="0.2">
      <c r="A42" s="487" t="s">
        <v>117</v>
      </c>
      <c r="B42" s="258" t="s">
        <v>3641</v>
      </c>
      <c r="C42" s="480" t="s">
        <v>3630</v>
      </c>
      <c r="D42" s="121">
        <v>190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145" t="e">
        <f t="shared" ref="Q42:Q73" si="3">AVERAGE(E42:P42)</f>
        <v>#DIV/0!</v>
      </c>
      <c r="R42" s="151" t="e">
        <f t="shared" ref="R42:R73" si="4">IF(Q42&lt;5,"SI","NO")</f>
        <v>#DIV/0!</v>
      </c>
      <c r="S42" s="152" t="e">
        <f t="shared" si="2"/>
        <v>#DIV/0!</v>
      </c>
      <c r="T42" s="15"/>
    </row>
    <row r="43" spans="1:20" ht="32.1" customHeight="1" x14ac:dyDescent="0.2">
      <c r="A43" s="487" t="s">
        <v>118</v>
      </c>
      <c r="B43" s="258" t="s">
        <v>3642</v>
      </c>
      <c r="C43" s="480" t="s">
        <v>3643</v>
      </c>
      <c r="D43" s="121">
        <v>43</v>
      </c>
      <c r="E43" s="81"/>
      <c r="F43" s="81"/>
      <c r="G43" s="81"/>
      <c r="H43" s="81"/>
      <c r="I43" s="81"/>
      <c r="J43" s="81">
        <v>97.35</v>
      </c>
      <c r="K43" s="81"/>
      <c r="L43" s="81"/>
      <c r="M43" s="81"/>
      <c r="N43" s="81"/>
      <c r="O43" s="81"/>
      <c r="P43" s="81">
        <v>0</v>
      </c>
      <c r="Q43" s="145">
        <f t="shared" si="3"/>
        <v>48.674999999999997</v>
      </c>
      <c r="R43" s="151" t="str">
        <f t="shared" si="4"/>
        <v>NO</v>
      </c>
      <c r="S43" s="152" t="str">
        <f t="shared" si="2"/>
        <v>Alto</v>
      </c>
      <c r="T43" s="15"/>
    </row>
    <row r="44" spans="1:20" ht="32.1" customHeight="1" x14ac:dyDescent="0.2">
      <c r="A44" s="487" t="s">
        <v>118</v>
      </c>
      <c r="B44" s="258" t="s">
        <v>3644</v>
      </c>
      <c r="C44" s="480" t="s">
        <v>3645</v>
      </c>
      <c r="D44" s="121">
        <v>307</v>
      </c>
      <c r="E44" s="81"/>
      <c r="F44" s="81"/>
      <c r="G44" s="81"/>
      <c r="H44" s="81"/>
      <c r="I44" s="81"/>
      <c r="J44" s="81">
        <v>97.35</v>
      </c>
      <c r="K44" s="81"/>
      <c r="L44" s="81"/>
      <c r="M44" s="81"/>
      <c r="N44" s="81"/>
      <c r="O44" s="81">
        <v>97.35</v>
      </c>
      <c r="P44" s="81"/>
      <c r="Q44" s="145">
        <f t="shared" si="3"/>
        <v>97.35</v>
      </c>
      <c r="R44" s="151" t="str">
        <f t="shared" si="4"/>
        <v>NO</v>
      </c>
      <c r="S44" s="152" t="str">
        <f t="shared" si="2"/>
        <v>Inviable Sanitariamente</v>
      </c>
      <c r="T44" s="15"/>
    </row>
    <row r="45" spans="1:20" ht="32.1" customHeight="1" x14ac:dyDescent="0.2">
      <c r="A45" s="487" t="s">
        <v>118</v>
      </c>
      <c r="B45" s="258" t="s">
        <v>521</v>
      </c>
      <c r="C45" s="480" t="s">
        <v>3646</v>
      </c>
      <c r="D45" s="121">
        <v>96</v>
      </c>
      <c r="E45" s="81"/>
      <c r="F45" s="81"/>
      <c r="G45" s="81"/>
      <c r="H45" s="81"/>
      <c r="I45" s="81"/>
      <c r="J45" s="81">
        <v>97.35</v>
      </c>
      <c r="K45" s="81"/>
      <c r="L45" s="81"/>
      <c r="M45" s="81"/>
      <c r="N45" s="81"/>
      <c r="O45" s="81">
        <v>97.35</v>
      </c>
      <c r="P45" s="81"/>
      <c r="Q45" s="145">
        <f t="shared" si="3"/>
        <v>97.35</v>
      </c>
      <c r="R45" s="151" t="str">
        <f t="shared" si="4"/>
        <v>NO</v>
      </c>
      <c r="S45" s="152" t="str">
        <f t="shared" si="2"/>
        <v>Inviable Sanitariamente</v>
      </c>
      <c r="T45" s="15"/>
    </row>
    <row r="46" spans="1:20" ht="32.1" customHeight="1" x14ac:dyDescent="0.2">
      <c r="A46" s="487" t="s">
        <v>118</v>
      </c>
      <c r="B46" s="258" t="s">
        <v>384</v>
      </c>
      <c r="C46" s="480" t="s">
        <v>3647</v>
      </c>
      <c r="D46" s="121">
        <v>435</v>
      </c>
      <c r="E46" s="81"/>
      <c r="F46" s="81"/>
      <c r="G46" s="81"/>
      <c r="H46" s="81"/>
      <c r="I46" s="81"/>
      <c r="J46" s="81">
        <v>97.35</v>
      </c>
      <c r="K46" s="81"/>
      <c r="L46" s="81"/>
      <c r="M46" s="81"/>
      <c r="N46" s="81"/>
      <c r="O46" s="81">
        <v>97.35</v>
      </c>
      <c r="P46" s="81"/>
      <c r="Q46" s="145">
        <f t="shared" si="3"/>
        <v>97.35</v>
      </c>
      <c r="R46" s="151" t="str">
        <f t="shared" si="4"/>
        <v>NO</v>
      </c>
      <c r="S46" s="152" t="str">
        <f t="shared" si="2"/>
        <v>Inviable Sanitariamente</v>
      </c>
      <c r="T46" s="15"/>
    </row>
    <row r="47" spans="1:20" ht="32.1" customHeight="1" x14ac:dyDescent="0.2">
      <c r="A47" s="487" t="s">
        <v>118</v>
      </c>
      <c r="B47" s="258" t="s">
        <v>3648</v>
      </c>
      <c r="C47" s="480" t="s">
        <v>3649</v>
      </c>
      <c r="D47" s="121">
        <v>120</v>
      </c>
      <c r="E47" s="81"/>
      <c r="F47" s="81"/>
      <c r="G47" s="81"/>
      <c r="H47" s="81"/>
      <c r="I47" s="81"/>
      <c r="J47" s="81">
        <v>97.35</v>
      </c>
      <c r="K47" s="81"/>
      <c r="L47" s="81"/>
      <c r="M47" s="81"/>
      <c r="N47" s="81"/>
      <c r="O47" s="81">
        <v>97.35</v>
      </c>
      <c r="P47" s="81"/>
      <c r="Q47" s="145">
        <f t="shared" si="3"/>
        <v>97.35</v>
      </c>
      <c r="R47" s="151" t="str">
        <f t="shared" si="4"/>
        <v>NO</v>
      </c>
      <c r="S47" s="152" t="str">
        <f t="shared" si="2"/>
        <v>Inviable Sanitariamente</v>
      </c>
      <c r="T47" s="15"/>
    </row>
    <row r="48" spans="1:20" ht="32.1" customHeight="1" x14ac:dyDescent="0.2">
      <c r="A48" s="487" t="s">
        <v>118</v>
      </c>
      <c r="B48" s="258" t="s">
        <v>522</v>
      </c>
      <c r="C48" s="480" t="s">
        <v>3650</v>
      </c>
      <c r="D48" s="121">
        <v>70</v>
      </c>
      <c r="E48" s="81"/>
      <c r="F48" s="81"/>
      <c r="G48" s="81"/>
      <c r="H48" s="81"/>
      <c r="I48" s="81"/>
      <c r="J48" s="81">
        <v>97.35</v>
      </c>
      <c r="K48" s="81"/>
      <c r="L48" s="81"/>
      <c r="M48" s="81"/>
      <c r="N48" s="81"/>
      <c r="O48" s="81"/>
      <c r="P48" s="81">
        <v>97.35</v>
      </c>
      <c r="Q48" s="145">
        <f t="shared" si="3"/>
        <v>97.35</v>
      </c>
      <c r="R48" s="151" t="str">
        <f t="shared" si="4"/>
        <v>NO</v>
      </c>
      <c r="S48" s="152" t="str">
        <f t="shared" si="2"/>
        <v>Inviable Sanitariamente</v>
      </c>
      <c r="T48" s="15"/>
    </row>
    <row r="49" spans="1:20" ht="32.1" customHeight="1" x14ac:dyDescent="0.2">
      <c r="A49" s="487" t="s">
        <v>118</v>
      </c>
      <c r="B49" s="258" t="s">
        <v>385</v>
      </c>
      <c r="C49" s="480" t="s">
        <v>3651</v>
      </c>
      <c r="D49" s="291">
        <v>192</v>
      </c>
      <c r="E49" s="81"/>
      <c r="F49" s="81"/>
      <c r="G49" s="81"/>
      <c r="H49" s="81"/>
      <c r="I49" s="81"/>
      <c r="J49" s="81">
        <v>97.35</v>
      </c>
      <c r="K49" s="81"/>
      <c r="L49" s="81"/>
      <c r="M49" s="81"/>
      <c r="N49" s="81"/>
      <c r="O49" s="81">
        <v>97.35</v>
      </c>
      <c r="P49" s="81"/>
      <c r="Q49" s="145">
        <f t="shared" si="3"/>
        <v>97.35</v>
      </c>
      <c r="R49" s="151" t="str">
        <f t="shared" si="4"/>
        <v>NO</v>
      </c>
      <c r="S49" s="152" t="str">
        <f t="shared" si="2"/>
        <v>Inviable Sanitariamente</v>
      </c>
      <c r="T49" s="15"/>
    </row>
    <row r="50" spans="1:20" ht="32.1" customHeight="1" x14ac:dyDescent="0.2">
      <c r="A50" s="487" t="s">
        <v>118</v>
      </c>
      <c r="B50" s="258" t="s">
        <v>3652</v>
      </c>
      <c r="C50" s="480" t="s">
        <v>3653</v>
      </c>
      <c r="D50" s="116">
        <v>32</v>
      </c>
      <c r="E50" s="81"/>
      <c r="F50" s="81"/>
      <c r="G50" s="81"/>
      <c r="H50" s="81"/>
      <c r="I50" s="81"/>
      <c r="J50" s="81">
        <v>97.35</v>
      </c>
      <c r="K50" s="81"/>
      <c r="L50" s="81"/>
      <c r="M50" s="81"/>
      <c r="N50" s="81"/>
      <c r="O50" s="81">
        <v>97.35</v>
      </c>
      <c r="P50" s="81"/>
      <c r="Q50" s="145">
        <f t="shared" si="3"/>
        <v>97.35</v>
      </c>
      <c r="R50" s="151" t="str">
        <f t="shared" si="4"/>
        <v>NO</v>
      </c>
      <c r="S50" s="152" t="str">
        <f t="shared" si="2"/>
        <v>Inviable Sanitariamente</v>
      </c>
      <c r="T50" s="15"/>
    </row>
    <row r="51" spans="1:20" ht="32.1" customHeight="1" x14ac:dyDescent="0.2">
      <c r="A51" s="487" t="s">
        <v>118</v>
      </c>
      <c r="B51" s="258" t="s">
        <v>3654</v>
      </c>
      <c r="C51" s="480" t="s">
        <v>3655</v>
      </c>
      <c r="D51" s="121">
        <v>150</v>
      </c>
      <c r="E51" s="81"/>
      <c r="F51" s="81"/>
      <c r="G51" s="81"/>
      <c r="H51" s="81">
        <v>0</v>
      </c>
      <c r="I51" s="81"/>
      <c r="J51" s="81">
        <v>26.55</v>
      </c>
      <c r="K51" s="81"/>
      <c r="L51" s="81">
        <v>0</v>
      </c>
      <c r="M51" s="81"/>
      <c r="N51" s="81">
        <v>26.55</v>
      </c>
      <c r="O51" s="81"/>
      <c r="P51" s="81">
        <v>0</v>
      </c>
      <c r="Q51" s="145">
        <f t="shared" si="3"/>
        <v>10.620000000000001</v>
      </c>
      <c r="R51" s="151" t="str">
        <f t="shared" si="4"/>
        <v>NO</v>
      </c>
      <c r="S51" s="152" t="str">
        <f t="shared" si="2"/>
        <v>Bajo</v>
      </c>
      <c r="T51" s="15"/>
    </row>
    <row r="52" spans="1:20" ht="32.1" customHeight="1" x14ac:dyDescent="0.2">
      <c r="A52" s="487" t="s">
        <v>118</v>
      </c>
      <c r="B52" s="258" t="s">
        <v>3656</v>
      </c>
      <c r="C52" s="480" t="s">
        <v>3657</v>
      </c>
      <c r="D52" s="291">
        <v>60</v>
      </c>
      <c r="E52" s="81"/>
      <c r="F52" s="81"/>
      <c r="G52" s="81"/>
      <c r="H52" s="81"/>
      <c r="I52" s="81"/>
      <c r="J52" s="81">
        <v>97.35</v>
      </c>
      <c r="K52" s="81"/>
      <c r="L52" s="81"/>
      <c r="M52" s="81"/>
      <c r="N52" s="81"/>
      <c r="O52" s="81">
        <v>97.35</v>
      </c>
      <c r="P52" s="81"/>
      <c r="Q52" s="145">
        <f t="shared" si="3"/>
        <v>97.35</v>
      </c>
      <c r="R52" s="151" t="str">
        <f t="shared" si="4"/>
        <v>NO</v>
      </c>
      <c r="S52" s="152" t="str">
        <f t="shared" si="2"/>
        <v>Inviable Sanitariamente</v>
      </c>
      <c r="T52" s="15"/>
    </row>
    <row r="53" spans="1:20" ht="32.1" customHeight="1" x14ac:dyDescent="0.2">
      <c r="A53" s="487" t="s">
        <v>118</v>
      </c>
      <c r="B53" s="258" t="s">
        <v>3658</v>
      </c>
      <c r="C53" s="480" t="s">
        <v>3659</v>
      </c>
      <c r="D53" s="186">
        <v>38</v>
      </c>
      <c r="E53" s="81"/>
      <c r="F53" s="81"/>
      <c r="G53" s="81"/>
      <c r="H53" s="81"/>
      <c r="I53" s="81"/>
      <c r="J53" s="81">
        <v>97.35</v>
      </c>
      <c r="K53" s="81"/>
      <c r="L53" s="81"/>
      <c r="M53" s="81"/>
      <c r="N53" s="81"/>
      <c r="O53" s="81">
        <v>97.35</v>
      </c>
      <c r="P53" s="81"/>
      <c r="Q53" s="145">
        <f t="shared" si="3"/>
        <v>97.35</v>
      </c>
      <c r="R53" s="151" t="str">
        <f t="shared" si="4"/>
        <v>NO</v>
      </c>
      <c r="S53" s="152" t="str">
        <f t="shared" si="2"/>
        <v>Inviable Sanitariamente</v>
      </c>
      <c r="T53" s="15"/>
    </row>
    <row r="54" spans="1:20" ht="32.1" customHeight="1" x14ac:dyDescent="0.2">
      <c r="A54" s="487" t="s">
        <v>118</v>
      </c>
      <c r="B54" s="258" t="s">
        <v>3660</v>
      </c>
      <c r="C54" s="480" t="s">
        <v>3661</v>
      </c>
      <c r="D54" s="291">
        <v>153</v>
      </c>
      <c r="E54" s="81"/>
      <c r="F54" s="81"/>
      <c r="G54" s="81"/>
      <c r="H54" s="81"/>
      <c r="I54" s="81"/>
      <c r="J54" s="81">
        <v>97.35</v>
      </c>
      <c r="K54" s="81"/>
      <c r="L54" s="81"/>
      <c r="M54" s="81"/>
      <c r="N54" s="81"/>
      <c r="O54" s="81">
        <v>97.35</v>
      </c>
      <c r="P54" s="81"/>
      <c r="Q54" s="145">
        <f t="shared" si="3"/>
        <v>97.35</v>
      </c>
      <c r="R54" s="151" t="str">
        <f t="shared" si="4"/>
        <v>NO</v>
      </c>
      <c r="S54" s="152" t="str">
        <f t="shared" si="2"/>
        <v>Inviable Sanitariamente</v>
      </c>
      <c r="T54" s="15"/>
    </row>
    <row r="55" spans="1:20" ht="32.1" customHeight="1" x14ac:dyDescent="0.2">
      <c r="A55" s="487" t="s">
        <v>118</v>
      </c>
      <c r="B55" s="258" t="s">
        <v>3662</v>
      </c>
      <c r="C55" s="480" t="s">
        <v>3663</v>
      </c>
      <c r="D55" s="291">
        <v>70</v>
      </c>
      <c r="E55" s="81"/>
      <c r="F55" s="81"/>
      <c r="G55" s="81"/>
      <c r="H55" s="81"/>
      <c r="I55" s="81"/>
      <c r="J55" s="81">
        <v>97.35</v>
      </c>
      <c r="K55" s="81"/>
      <c r="L55" s="81"/>
      <c r="M55" s="81"/>
      <c r="N55" s="81"/>
      <c r="O55" s="81">
        <v>97.35</v>
      </c>
      <c r="P55" s="81"/>
      <c r="Q55" s="145">
        <f t="shared" si="3"/>
        <v>97.35</v>
      </c>
      <c r="R55" s="151" t="str">
        <f t="shared" si="4"/>
        <v>NO</v>
      </c>
      <c r="S55" s="152" t="str">
        <f t="shared" si="2"/>
        <v>Inviable Sanitariamente</v>
      </c>
      <c r="T55" s="15"/>
    </row>
    <row r="56" spans="1:20" ht="32.1" customHeight="1" x14ac:dyDescent="0.2">
      <c r="A56" s="487" t="s">
        <v>118</v>
      </c>
      <c r="B56" s="258" t="s">
        <v>386</v>
      </c>
      <c r="C56" s="480" t="s">
        <v>3664</v>
      </c>
      <c r="D56" s="186">
        <v>104</v>
      </c>
      <c r="E56" s="81"/>
      <c r="F56" s="81"/>
      <c r="G56" s="81"/>
      <c r="H56" s="81"/>
      <c r="I56" s="81"/>
      <c r="J56" s="81">
        <v>97.35</v>
      </c>
      <c r="K56" s="81"/>
      <c r="L56" s="81"/>
      <c r="M56" s="81"/>
      <c r="N56" s="81"/>
      <c r="O56" s="81"/>
      <c r="P56" s="81">
        <v>97.35</v>
      </c>
      <c r="Q56" s="145">
        <f t="shared" si="3"/>
        <v>97.35</v>
      </c>
      <c r="R56" s="151" t="str">
        <f t="shared" si="4"/>
        <v>NO</v>
      </c>
      <c r="S56" s="152" t="str">
        <f t="shared" si="2"/>
        <v>Inviable Sanitariamente</v>
      </c>
      <c r="T56" s="15"/>
    </row>
    <row r="57" spans="1:20" ht="32.1" customHeight="1" x14ac:dyDescent="0.2">
      <c r="A57" s="487" t="s">
        <v>118</v>
      </c>
      <c r="B57" s="258" t="s">
        <v>387</v>
      </c>
      <c r="C57" s="480" t="s">
        <v>3665</v>
      </c>
      <c r="D57" s="291">
        <v>130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145" t="e">
        <f t="shared" si="3"/>
        <v>#DIV/0!</v>
      </c>
      <c r="R57" s="151" t="e">
        <f t="shared" si="4"/>
        <v>#DIV/0!</v>
      </c>
      <c r="S57" s="152" t="e">
        <f t="shared" si="2"/>
        <v>#DIV/0!</v>
      </c>
      <c r="T57" s="15"/>
    </row>
    <row r="58" spans="1:20" ht="32.1" customHeight="1" x14ac:dyDescent="0.2">
      <c r="A58" s="487" t="s">
        <v>4118</v>
      </c>
      <c r="B58" s="258" t="s">
        <v>537</v>
      </c>
      <c r="C58" s="480" t="s">
        <v>3666</v>
      </c>
      <c r="D58" s="121">
        <v>600</v>
      </c>
      <c r="E58" s="81"/>
      <c r="F58" s="81"/>
      <c r="G58" s="81"/>
      <c r="H58" s="81"/>
      <c r="I58" s="81"/>
      <c r="J58" s="81">
        <v>26.54</v>
      </c>
      <c r="K58" s="81"/>
      <c r="L58" s="81"/>
      <c r="M58" s="81"/>
      <c r="N58" s="81">
        <v>53.09</v>
      </c>
      <c r="O58" s="81"/>
      <c r="P58" s="81"/>
      <c r="Q58" s="145">
        <f t="shared" si="3"/>
        <v>39.814999999999998</v>
      </c>
      <c r="R58" s="151" t="str">
        <f t="shared" si="4"/>
        <v>NO</v>
      </c>
      <c r="S58" s="152" t="str">
        <f t="shared" si="2"/>
        <v>Alto</v>
      </c>
      <c r="T58" s="15"/>
    </row>
    <row r="59" spans="1:20" ht="32.1" customHeight="1" x14ac:dyDescent="0.2">
      <c r="A59" s="487" t="s">
        <v>4118</v>
      </c>
      <c r="B59" s="258" t="s">
        <v>3667</v>
      </c>
      <c r="C59" s="480" t="s">
        <v>3668</v>
      </c>
      <c r="D59" s="121">
        <v>134</v>
      </c>
      <c r="E59" s="81"/>
      <c r="F59" s="81"/>
      <c r="G59" s="81"/>
      <c r="H59" s="81"/>
      <c r="I59" s="81"/>
      <c r="J59" s="81">
        <v>53.09</v>
      </c>
      <c r="K59" s="81"/>
      <c r="L59" s="81"/>
      <c r="M59" s="81"/>
      <c r="N59" s="81">
        <v>26.54</v>
      </c>
      <c r="O59" s="81"/>
      <c r="P59" s="81"/>
      <c r="Q59" s="145">
        <f t="shared" si="3"/>
        <v>39.814999999999998</v>
      </c>
      <c r="R59" s="151" t="str">
        <f t="shared" si="4"/>
        <v>NO</v>
      </c>
      <c r="S59" s="152" t="str">
        <f t="shared" si="2"/>
        <v>Alto</v>
      </c>
      <c r="T59" s="15"/>
    </row>
    <row r="60" spans="1:20" ht="32.1" customHeight="1" x14ac:dyDescent="0.2">
      <c r="A60" s="487" t="s">
        <v>4118</v>
      </c>
      <c r="B60" s="258" t="s">
        <v>388</v>
      </c>
      <c r="C60" s="480" t="s">
        <v>3669</v>
      </c>
      <c r="D60" s="121">
        <v>35</v>
      </c>
      <c r="E60" s="81"/>
      <c r="F60" s="81"/>
      <c r="G60" s="81"/>
      <c r="H60" s="81"/>
      <c r="I60" s="81"/>
      <c r="J60" s="81">
        <v>26.54</v>
      </c>
      <c r="K60" s="81"/>
      <c r="L60" s="81"/>
      <c r="M60" s="81"/>
      <c r="N60" s="81">
        <v>26.54</v>
      </c>
      <c r="O60" s="81"/>
      <c r="P60" s="81"/>
      <c r="Q60" s="145">
        <f t="shared" si="3"/>
        <v>26.54</v>
      </c>
      <c r="R60" s="151" t="str">
        <f t="shared" si="4"/>
        <v>NO</v>
      </c>
      <c r="S60" s="152" t="str">
        <f t="shared" si="2"/>
        <v>Medio</v>
      </c>
      <c r="T60" s="15"/>
    </row>
    <row r="61" spans="1:20" ht="32.1" customHeight="1" x14ac:dyDescent="0.2">
      <c r="A61" s="487" t="s">
        <v>4118</v>
      </c>
      <c r="B61" s="258" t="s">
        <v>389</v>
      </c>
      <c r="C61" s="480" t="s">
        <v>3670</v>
      </c>
      <c r="D61" s="121">
        <v>19</v>
      </c>
      <c r="E61" s="81"/>
      <c r="F61" s="81"/>
      <c r="G61" s="81"/>
      <c r="H61" s="81"/>
      <c r="I61" s="81"/>
      <c r="J61" s="81">
        <v>53.09</v>
      </c>
      <c r="K61" s="81"/>
      <c r="L61" s="81"/>
      <c r="M61" s="81"/>
      <c r="N61" s="81">
        <v>26.54</v>
      </c>
      <c r="O61" s="81"/>
      <c r="P61" s="81"/>
      <c r="Q61" s="145">
        <f t="shared" si="3"/>
        <v>39.814999999999998</v>
      </c>
      <c r="R61" s="151" t="str">
        <f t="shared" si="4"/>
        <v>NO</v>
      </c>
      <c r="S61" s="152" t="str">
        <f t="shared" si="2"/>
        <v>Alto</v>
      </c>
      <c r="T61" s="15"/>
    </row>
    <row r="62" spans="1:20" ht="32.1" customHeight="1" x14ac:dyDescent="0.2">
      <c r="A62" s="487" t="s">
        <v>4117</v>
      </c>
      <c r="B62" s="258" t="s">
        <v>73</v>
      </c>
      <c r="C62" s="480" t="s">
        <v>3671</v>
      </c>
      <c r="D62" s="121">
        <v>220</v>
      </c>
      <c r="E62" s="81"/>
      <c r="F62" s="81"/>
      <c r="G62" s="81"/>
      <c r="H62" s="81"/>
      <c r="I62" s="81"/>
      <c r="J62" s="81"/>
      <c r="K62" s="81"/>
      <c r="L62" s="81"/>
      <c r="M62" s="81"/>
      <c r="N62" s="81">
        <v>88</v>
      </c>
      <c r="O62" s="81"/>
      <c r="P62" s="81"/>
      <c r="Q62" s="145">
        <f t="shared" si="3"/>
        <v>88</v>
      </c>
      <c r="R62" s="151" t="str">
        <f t="shared" si="4"/>
        <v>NO</v>
      </c>
      <c r="S62" s="152" t="str">
        <f t="shared" si="2"/>
        <v>Inviable Sanitariamente</v>
      </c>
      <c r="T62" s="15"/>
    </row>
    <row r="63" spans="1:20" ht="32.1" customHeight="1" x14ac:dyDescent="0.2">
      <c r="A63" s="487" t="s">
        <v>4117</v>
      </c>
      <c r="B63" s="258" t="s">
        <v>390</v>
      </c>
      <c r="C63" s="480" t="s">
        <v>3672</v>
      </c>
      <c r="D63" s="121">
        <v>60</v>
      </c>
      <c r="E63" s="81"/>
      <c r="F63" s="81"/>
      <c r="G63" s="81"/>
      <c r="H63" s="81">
        <v>52</v>
      </c>
      <c r="I63" s="81"/>
      <c r="J63" s="81"/>
      <c r="K63" s="81"/>
      <c r="L63" s="81"/>
      <c r="M63" s="81"/>
      <c r="N63" s="81"/>
      <c r="O63" s="81"/>
      <c r="P63" s="81"/>
      <c r="Q63" s="145">
        <f t="shared" si="3"/>
        <v>52</v>
      </c>
      <c r="R63" s="151" t="str">
        <f t="shared" si="4"/>
        <v>NO</v>
      </c>
      <c r="S63" s="152" t="str">
        <f t="shared" si="2"/>
        <v>Alto</v>
      </c>
      <c r="T63" s="15"/>
    </row>
    <row r="64" spans="1:20" ht="32.1" customHeight="1" x14ac:dyDescent="0.2">
      <c r="A64" s="487" t="s">
        <v>4117</v>
      </c>
      <c r="B64" s="258" t="s">
        <v>391</v>
      </c>
      <c r="C64" s="480" t="s">
        <v>3673</v>
      </c>
      <c r="D64" s="121">
        <v>88</v>
      </c>
      <c r="E64" s="81"/>
      <c r="F64" s="81"/>
      <c r="G64" s="81"/>
      <c r="H64" s="81"/>
      <c r="I64" s="81"/>
      <c r="J64" s="81"/>
      <c r="K64" s="81">
        <v>98</v>
      </c>
      <c r="L64" s="81"/>
      <c r="M64" s="81"/>
      <c r="N64" s="81"/>
      <c r="O64" s="81"/>
      <c r="P64" s="81"/>
      <c r="Q64" s="145">
        <f t="shared" si="3"/>
        <v>98</v>
      </c>
      <c r="R64" s="151" t="str">
        <f t="shared" si="4"/>
        <v>NO</v>
      </c>
      <c r="S64" s="152" t="str">
        <f t="shared" si="2"/>
        <v>Inviable Sanitariamente</v>
      </c>
      <c r="T64" s="15"/>
    </row>
    <row r="65" spans="1:20" ht="32.1" customHeight="1" x14ac:dyDescent="0.2">
      <c r="A65" s="487" t="s">
        <v>4117</v>
      </c>
      <c r="B65" s="258" t="s">
        <v>393</v>
      </c>
      <c r="C65" s="480" t="s">
        <v>3674</v>
      </c>
      <c r="D65" s="121">
        <v>380</v>
      </c>
      <c r="E65" s="81"/>
      <c r="F65" s="81">
        <v>88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145">
        <f t="shared" si="3"/>
        <v>88</v>
      </c>
      <c r="R65" s="151" t="str">
        <f t="shared" si="4"/>
        <v>NO</v>
      </c>
      <c r="S65" s="152" t="str">
        <f t="shared" si="2"/>
        <v>Inviable Sanitariamente</v>
      </c>
      <c r="T65" s="15"/>
    </row>
    <row r="66" spans="1:20" ht="32.1" customHeight="1" x14ac:dyDescent="0.2">
      <c r="A66" s="487" t="s">
        <v>4117</v>
      </c>
      <c r="B66" s="258" t="s">
        <v>3675</v>
      </c>
      <c r="C66" s="480" t="s">
        <v>3676</v>
      </c>
      <c r="D66" s="121">
        <v>280</v>
      </c>
      <c r="E66" s="81"/>
      <c r="F66" s="81"/>
      <c r="G66" s="81"/>
      <c r="H66" s="81"/>
      <c r="I66" s="81"/>
      <c r="J66" s="81"/>
      <c r="K66" s="81">
        <v>60</v>
      </c>
      <c r="L66" s="81"/>
      <c r="M66" s="81"/>
      <c r="N66" s="81"/>
      <c r="O66" s="81"/>
      <c r="P66" s="81"/>
      <c r="Q66" s="145">
        <f t="shared" si="3"/>
        <v>60</v>
      </c>
      <c r="R66" s="151" t="str">
        <f t="shared" si="4"/>
        <v>NO</v>
      </c>
      <c r="S66" s="152" t="str">
        <f t="shared" si="2"/>
        <v>Alto</v>
      </c>
      <c r="T66" s="15"/>
    </row>
    <row r="67" spans="1:20" ht="32.1" customHeight="1" x14ac:dyDescent="0.2">
      <c r="A67" s="487" t="s">
        <v>4117</v>
      </c>
      <c r="B67" s="258" t="s">
        <v>395</v>
      </c>
      <c r="C67" s="480" t="s">
        <v>3677</v>
      </c>
      <c r="D67" s="121">
        <v>74</v>
      </c>
      <c r="E67" s="81"/>
      <c r="F67" s="81"/>
      <c r="G67" s="81">
        <v>48</v>
      </c>
      <c r="H67" s="81"/>
      <c r="I67" s="81"/>
      <c r="J67" s="81"/>
      <c r="K67" s="81"/>
      <c r="L67" s="81"/>
      <c r="M67" s="81"/>
      <c r="N67" s="81"/>
      <c r="O67" s="81"/>
      <c r="P67" s="81"/>
      <c r="Q67" s="145">
        <f t="shared" si="3"/>
        <v>48</v>
      </c>
      <c r="R67" s="151" t="str">
        <f t="shared" si="4"/>
        <v>NO</v>
      </c>
      <c r="S67" s="152" t="str">
        <f t="shared" si="2"/>
        <v>Alto</v>
      </c>
      <c r="T67" s="15"/>
    </row>
    <row r="68" spans="1:20" ht="32.1" customHeight="1" x14ac:dyDescent="0.2">
      <c r="A68" s="487" t="s">
        <v>4117</v>
      </c>
      <c r="B68" s="258" t="s">
        <v>3678</v>
      </c>
      <c r="C68" s="480" t="s">
        <v>3679</v>
      </c>
      <c r="D68" s="121">
        <v>50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145" t="e">
        <f t="shared" si="3"/>
        <v>#DIV/0!</v>
      </c>
      <c r="R68" s="151" t="e">
        <f t="shared" si="4"/>
        <v>#DIV/0!</v>
      </c>
      <c r="S68" s="152" t="e">
        <f t="shared" si="2"/>
        <v>#DIV/0!</v>
      </c>
      <c r="T68" s="15"/>
    </row>
    <row r="69" spans="1:20" ht="32.1" customHeight="1" x14ac:dyDescent="0.2">
      <c r="A69" s="487" t="s">
        <v>4117</v>
      </c>
      <c r="B69" s="258" t="s">
        <v>394</v>
      </c>
      <c r="C69" s="480" t="s">
        <v>3680</v>
      </c>
      <c r="D69" s="116">
        <v>37</v>
      </c>
      <c r="E69" s="81"/>
      <c r="F69" s="81"/>
      <c r="G69" s="81"/>
      <c r="H69" s="81"/>
      <c r="I69" s="81"/>
      <c r="J69" s="81"/>
      <c r="K69" s="81">
        <v>98</v>
      </c>
      <c r="L69" s="81"/>
      <c r="M69" s="81"/>
      <c r="N69" s="81"/>
      <c r="O69" s="81"/>
      <c r="P69" s="81"/>
      <c r="Q69" s="145">
        <f t="shared" si="3"/>
        <v>98</v>
      </c>
      <c r="R69" s="151" t="str">
        <f t="shared" si="4"/>
        <v>NO</v>
      </c>
      <c r="S69" s="152" t="str">
        <f t="shared" si="2"/>
        <v>Inviable Sanitariamente</v>
      </c>
      <c r="T69" s="15"/>
    </row>
    <row r="70" spans="1:20" ht="32.1" customHeight="1" x14ac:dyDescent="0.2">
      <c r="A70" s="487" t="s">
        <v>4117</v>
      </c>
      <c r="B70" s="258" t="s">
        <v>1111</v>
      </c>
      <c r="C70" s="480" t="s">
        <v>3681</v>
      </c>
      <c r="D70" s="121">
        <v>25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145" t="e">
        <f t="shared" si="3"/>
        <v>#DIV/0!</v>
      </c>
      <c r="R70" s="151" t="e">
        <f t="shared" si="4"/>
        <v>#DIV/0!</v>
      </c>
      <c r="S70" s="152" t="e">
        <f t="shared" si="2"/>
        <v>#DIV/0!</v>
      </c>
      <c r="T70" s="15"/>
    </row>
    <row r="71" spans="1:20" ht="32.1" customHeight="1" x14ac:dyDescent="0.2">
      <c r="A71" s="487" t="s">
        <v>4117</v>
      </c>
      <c r="B71" s="258" t="s">
        <v>74</v>
      </c>
      <c r="C71" s="480" t="s">
        <v>3682</v>
      </c>
      <c r="D71" s="121">
        <v>37</v>
      </c>
      <c r="E71" s="81"/>
      <c r="F71" s="81"/>
      <c r="G71" s="81"/>
      <c r="H71" s="81">
        <v>52</v>
      </c>
      <c r="I71" s="81"/>
      <c r="J71" s="81"/>
      <c r="K71" s="81"/>
      <c r="L71" s="81"/>
      <c r="M71" s="81"/>
      <c r="N71" s="81"/>
      <c r="O71" s="81"/>
      <c r="P71" s="81"/>
      <c r="Q71" s="145">
        <f t="shared" si="3"/>
        <v>52</v>
      </c>
      <c r="R71" s="151" t="str">
        <f t="shared" si="4"/>
        <v>NO</v>
      </c>
      <c r="S71" s="152" t="str">
        <f t="shared" si="2"/>
        <v>Alto</v>
      </c>
      <c r="T71" s="15"/>
    </row>
    <row r="72" spans="1:20" ht="32.1" customHeight="1" x14ac:dyDescent="0.2">
      <c r="A72" s="487" t="s">
        <v>4117</v>
      </c>
      <c r="B72" s="258" t="s">
        <v>392</v>
      </c>
      <c r="C72" s="480" t="s">
        <v>3683</v>
      </c>
      <c r="D72" s="116">
        <v>1350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145">
        <f t="shared" si="3"/>
        <v>0</v>
      </c>
      <c r="R72" s="151" t="str">
        <f t="shared" si="4"/>
        <v>SI</v>
      </c>
      <c r="S72" s="152" t="str">
        <f t="shared" si="2"/>
        <v>Sin Riesgo</v>
      </c>
      <c r="T72" s="15"/>
    </row>
    <row r="73" spans="1:20" ht="32.1" customHeight="1" x14ac:dyDescent="0.2">
      <c r="A73" s="487" t="s">
        <v>4117</v>
      </c>
      <c r="B73" s="258" t="s">
        <v>396</v>
      </c>
      <c r="C73" s="480" t="s">
        <v>3684</v>
      </c>
      <c r="D73" s="121">
        <v>70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145" t="e">
        <f t="shared" si="3"/>
        <v>#DIV/0!</v>
      </c>
      <c r="R73" s="151" t="e">
        <f t="shared" si="4"/>
        <v>#DIV/0!</v>
      </c>
      <c r="S73" s="152" t="e">
        <f t="shared" si="2"/>
        <v>#DIV/0!</v>
      </c>
      <c r="T73" s="15"/>
    </row>
    <row r="74" spans="1:20" ht="32.1" customHeight="1" x14ac:dyDescent="0.2">
      <c r="A74" s="487" t="s">
        <v>4117</v>
      </c>
      <c r="B74" s="258" t="s">
        <v>3685</v>
      </c>
      <c r="C74" s="480" t="s">
        <v>3685</v>
      </c>
      <c r="D74" s="121">
        <v>70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145" t="e">
        <f t="shared" ref="Q74:Q96" si="5">AVERAGE(E74:P74)</f>
        <v>#DIV/0!</v>
      </c>
      <c r="R74" s="151" t="e">
        <f t="shared" ref="R74:R96" si="6">IF(Q74&lt;5,"SI","NO")</f>
        <v>#DIV/0!</v>
      </c>
      <c r="S74" s="152" t="e">
        <f t="shared" ref="S74:S121" si="7">IF(Q74&lt;5,"Sin Riesgo",IF(Q74 &lt;=14,"Bajo",IF(Q74&lt;=35,"Medio",IF(Q74&lt;=80,"Alto","Inviable Sanitariamente"))))</f>
        <v>#DIV/0!</v>
      </c>
      <c r="T74" s="15"/>
    </row>
    <row r="75" spans="1:20" ht="32.1" customHeight="1" x14ac:dyDescent="0.2">
      <c r="A75" s="487" t="s">
        <v>4117</v>
      </c>
      <c r="B75" s="258" t="s">
        <v>523</v>
      </c>
      <c r="C75" s="480" t="s">
        <v>3686</v>
      </c>
      <c r="D75" s="116">
        <v>30</v>
      </c>
      <c r="E75" s="81"/>
      <c r="F75" s="81"/>
      <c r="G75" s="81"/>
      <c r="H75" s="81"/>
      <c r="I75" s="81"/>
      <c r="J75" s="81">
        <v>48</v>
      </c>
      <c r="K75" s="81"/>
      <c r="L75" s="81"/>
      <c r="M75" s="81"/>
      <c r="N75" s="81"/>
      <c r="O75" s="81"/>
      <c r="P75" s="81"/>
      <c r="Q75" s="145">
        <f t="shared" si="5"/>
        <v>48</v>
      </c>
      <c r="R75" s="151" t="str">
        <f t="shared" si="6"/>
        <v>NO</v>
      </c>
      <c r="S75" s="152" t="str">
        <f t="shared" si="7"/>
        <v>Alto</v>
      </c>
      <c r="T75" s="15"/>
    </row>
    <row r="76" spans="1:20" ht="32.1" customHeight="1" x14ac:dyDescent="0.2">
      <c r="A76" s="487" t="s">
        <v>4119</v>
      </c>
      <c r="B76" s="258" t="s">
        <v>529</v>
      </c>
      <c r="C76" s="480" t="s">
        <v>3692</v>
      </c>
      <c r="D76" s="121">
        <v>400</v>
      </c>
      <c r="E76" s="81"/>
      <c r="F76" s="81"/>
      <c r="G76" s="81"/>
      <c r="H76" s="81"/>
      <c r="I76" s="81"/>
      <c r="J76" s="81"/>
      <c r="K76" s="81"/>
      <c r="L76" s="81">
        <v>64.5</v>
      </c>
      <c r="M76" s="81"/>
      <c r="N76" s="81"/>
      <c r="O76" s="81"/>
      <c r="P76" s="81"/>
      <c r="Q76" s="145">
        <f t="shared" si="5"/>
        <v>64.5</v>
      </c>
      <c r="R76" s="151" t="str">
        <f t="shared" si="6"/>
        <v>NO</v>
      </c>
      <c r="S76" s="152" t="str">
        <f t="shared" si="7"/>
        <v>Alto</v>
      </c>
      <c r="T76" s="15"/>
    </row>
    <row r="77" spans="1:20" ht="32.1" customHeight="1" x14ac:dyDescent="0.2">
      <c r="A77" s="487" t="s">
        <v>4119</v>
      </c>
      <c r="B77" s="258" t="s">
        <v>525</v>
      </c>
      <c r="C77" s="480" t="s">
        <v>3693</v>
      </c>
      <c r="D77" s="121">
        <v>0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145" t="e">
        <f t="shared" si="5"/>
        <v>#DIV/0!</v>
      </c>
      <c r="R77" s="151" t="e">
        <f t="shared" si="6"/>
        <v>#DIV/0!</v>
      </c>
      <c r="S77" s="152" t="e">
        <f t="shared" si="7"/>
        <v>#DIV/0!</v>
      </c>
      <c r="T77" s="15"/>
    </row>
    <row r="78" spans="1:20" ht="32.1" customHeight="1" x14ac:dyDescent="0.2">
      <c r="A78" s="487" t="s">
        <v>4119</v>
      </c>
      <c r="B78" s="258" t="s">
        <v>480</v>
      </c>
      <c r="C78" s="480" t="s">
        <v>3694</v>
      </c>
      <c r="D78" s="121">
        <v>205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>
        <v>64.5</v>
      </c>
      <c r="P78" s="81"/>
      <c r="Q78" s="145">
        <f t="shared" si="5"/>
        <v>64.5</v>
      </c>
      <c r="R78" s="151" t="str">
        <f t="shared" si="6"/>
        <v>NO</v>
      </c>
      <c r="S78" s="152" t="str">
        <f t="shared" si="7"/>
        <v>Alto</v>
      </c>
      <c r="T78" s="15"/>
    </row>
    <row r="79" spans="1:20" ht="32.1" customHeight="1" x14ac:dyDescent="0.2">
      <c r="A79" s="487" t="s">
        <v>4119</v>
      </c>
      <c r="B79" s="258" t="s">
        <v>532</v>
      </c>
      <c r="C79" s="480" t="s">
        <v>3695</v>
      </c>
      <c r="D79" s="121">
        <v>15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>
        <v>64.5</v>
      </c>
      <c r="P79" s="81"/>
      <c r="Q79" s="145">
        <f t="shared" si="5"/>
        <v>64.5</v>
      </c>
      <c r="R79" s="151" t="str">
        <f t="shared" si="6"/>
        <v>NO</v>
      </c>
      <c r="S79" s="152" t="str">
        <f t="shared" si="7"/>
        <v>Alto</v>
      </c>
      <c r="T79" s="15"/>
    </row>
    <row r="80" spans="1:20" ht="32.1" customHeight="1" x14ac:dyDescent="0.2">
      <c r="A80" s="487" t="s">
        <v>4119</v>
      </c>
      <c r="B80" s="258" t="s">
        <v>538</v>
      </c>
      <c r="C80" s="480" t="s">
        <v>3696</v>
      </c>
      <c r="D80" s="121">
        <v>940</v>
      </c>
      <c r="E80" s="81"/>
      <c r="F80" s="81"/>
      <c r="G80" s="81"/>
      <c r="H80" s="81"/>
      <c r="I80" s="81"/>
      <c r="J80" s="81"/>
      <c r="K80" s="81"/>
      <c r="L80" s="81">
        <v>50.774999999999999</v>
      </c>
      <c r="M80" s="81"/>
      <c r="N80" s="81"/>
      <c r="O80" s="81">
        <v>64.5</v>
      </c>
      <c r="P80" s="81"/>
      <c r="Q80" s="145">
        <f t="shared" si="5"/>
        <v>57.637500000000003</v>
      </c>
      <c r="R80" s="151" t="str">
        <f t="shared" si="6"/>
        <v>NO</v>
      </c>
      <c r="S80" s="152" t="str">
        <f t="shared" si="7"/>
        <v>Alto</v>
      </c>
      <c r="T80" s="15"/>
    </row>
    <row r="81" spans="1:20" ht="32.1" customHeight="1" x14ac:dyDescent="0.2">
      <c r="A81" s="487" t="s">
        <v>4119</v>
      </c>
      <c r="B81" s="258" t="s">
        <v>3687</v>
      </c>
      <c r="C81" s="480" t="s">
        <v>3697</v>
      </c>
      <c r="D81" s="121">
        <v>135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>
        <v>64.5</v>
      </c>
      <c r="P81" s="81"/>
      <c r="Q81" s="145">
        <f t="shared" si="5"/>
        <v>64.5</v>
      </c>
      <c r="R81" s="151" t="str">
        <f t="shared" si="6"/>
        <v>NO</v>
      </c>
      <c r="S81" s="152" t="str">
        <f t="shared" si="7"/>
        <v>Alto</v>
      </c>
      <c r="T81" s="15"/>
    </row>
    <row r="82" spans="1:20" ht="32.1" customHeight="1" x14ac:dyDescent="0.2">
      <c r="A82" s="487" t="s">
        <v>4119</v>
      </c>
      <c r="B82" s="258" t="s">
        <v>524</v>
      </c>
      <c r="C82" s="480" t="s">
        <v>3698</v>
      </c>
      <c r="D82" s="116">
        <v>98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>
        <v>64.5</v>
      </c>
      <c r="P82" s="81"/>
      <c r="Q82" s="145">
        <f t="shared" si="5"/>
        <v>64.5</v>
      </c>
      <c r="R82" s="151" t="str">
        <f t="shared" si="6"/>
        <v>NO</v>
      </c>
      <c r="S82" s="152" t="str">
        <f t="shared" si="7"/>
        <v>Alto</v>
      </c>
      <c r="T82" s="16"/>
    </row>
    <row r="83" spans="1:20" ht="32.1" customHeight="1" x14ac:dyDescent="0.2">
      <c r="A83" s="487" t="s">
        <v>4119</v>
      </c>
      <c r="B83" s="258" t="s">
        <v>3688</v>
      </c>
      <c r="C83" s="480" t="s">
        <v>3699</v>
      </c>
      <c r="D83" s="121">
        <v>40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>
        <v>64.5</v>
      </c>
      <c r="P83" s="81"/>
      <c r="Q83" s="145">
        <f t="shared" si="5"/>
        <v>64.5</v>
      </c>
      <c r="R83" s="151" t="str">
        <f t="shared" si="6"/>
        <v>NO</v>
      </c>
      <c r="S83" s="152" t="str">
        <f t="shared" si="7"/>
        <v>Alto</v>
      </c>
      <c r="T83" s="16"/>
    </row>
    <row r="84" spans="1:20" ht="32.1" customHeight="1" x14ac:dyDescent="0.2">
      <c r="A84" s="487" t="s">
        <v>4119</v>
      </c>
      <c r="B84" s="258" t="s">
        <v>531</v>
      </c>
      <c r="C84" s="480" t="s">
        <v>3700</v>
      </c>
      <c r="D84" s="121">
        <v>35</v>
      </c>
      <c r="E84" s="81"/>
      <c r="F84" s="81"/>
      <c r="G84" s="81"/>
      <c r="H84" s="81"/>
      <c r="I84" s="81"/>
      <c r="J84" s="81"/>
      <c r="K84" s="81"/>
      <c r="L84" s="81">
        <v>64.5</v>
      </c>
      <c r="M84" s="81"/>
      <c r="N84" s="81"/>
      <c r="O84" s="81"/>
      <c r="P84" s="81"/>
      <c r="Q84" s="145">
        <f t="shared" si="5"/>
        <v>64.5</v>
      </c>
      <c r="R84" s="151" t="str">
        <f t="shared" si="6"/>
        <v>NO</v>
      </c>
      <c r="S84" s="152" t="str">
        <f t="shared" si="7"/>
        <v>Alto</v>
      </c>
      <c r="T84" s="16"/>
    </row>
    <row r="85" spans="1:20" ht="32.1" customHeight="1" x14ac:dyDescent="0.2">
      <c r="A85" s="487" t="s">
        <v>4119</v>
      </c>
      <c r="B85" s="258" t="s">
        <v>3689</v>
      </c>
      <c r="C85" s="480" t="s">
        <v>3701</v>
      </c>
      <c r="D85" s="116">
        <v>0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145" t="e">
        <f t="shared" si="5"/>
        <v>#DIV/0!</v>
      </c>
      <c r="R85" s="151" t="e">
        <f t="shared" si="6"/>
        <v>#DIV/0!</v>
      </c>
      <c r="S85" s="152" t="e">
        <f t="shared" si="7"/>
        <v>#DIV/0!</v>
      </c>
      <c r="T85" s="16"/>
    </row>
    <row r="86" spans="1:20" ht="32.1" customHeight="1" x14ac:dyDescent="0.2">
      <c r="A86" s="487" t="s">
        <v>4119</v>
      </c>
      <c r="B86" s="258" t="s">
        <v>528</v>
      </c>
      <c r="C86" s="480" t="s">
        <v>3702</v>
      </c>
      <c r="D86" s="121">
        <v>70</v>
      </c>
      <c r="E86" s="81"/>
      <c r="F86" s="81"/>
      <c r="G86" s="81"/>
      <c r="H86" s="81"/>
      <c r="I86" s="81"/>
      <c r="J86" s="81"/>
      <c r="K86" s="81"/>
      <c r="L86" s="81">
        <v>64.5</v>
      </c>
      <c r="M86" s="81"/>
      <c r="N86" s="81"/>
      <c r="O86" s="81"/>
      <c r="P86" s="81"/>
      <c r="Q86" s="145">
        <f t="shared" si="5"/>
        <v>64.5</v>
      </c>
      <c r="R86" s="151" t="str">
        <f t="shared" si="6"/>
        <v>NO</v>
      </c>
      <c r="S86" s="152" t="str">
        <f t="shared" si="7"/>
        <v>Alto</v>
      </c>
      <c r="T86" s="16"/>
    </row>
    <row r="87" spans="1:20" ht="32.1" customHeight="1" x14ac:dyDescent="0.2">
      <c r="A87" s="487" t="s">
        <v>4119</v>
      </c>
      <c r="B87" s="258" t="s">
        <v>397</v>
      </c>
      <c r="C87" s="480" t="s">
        <v>3703</v>
      </c>
      <c r="D87" s="121">
        <v>42</v>
      </c>
      <c r="E87" s="81"/>
      <c r="F87" s="81"/>
      <c r="G87" s="81"/>
      <c r="H87" s="81"/>
      <c r="I87" s="81"/>
      <c r="J87" s="81"/>
      <c r="K87" s="81"/>
      <c r="L87" s="81">
        <v>64.5</v>
      </c>
      <c r="M87" s="81"/>
      <c r="N87" s="81"/>
      <c r="O87" s="81"/>
      <c r="P87" s="81"/>
      <c r="Q87" s="145">
        <f t="shared" si="5"/>
        <v>64.5</v>
      </c>
      <c r="R87" s="151" t="str">
        <f t="shared" si="6"/>
        <v>NO</v>
      </c>
      <c r="S87" s="152" t="str">
        <f t="shared" si="7"/>
        <v>Alto</v>
      </c>
      <c r="T87" s="16"/>
    </row>
    <row r="88" spans="1:20" ht="32.1" customHeight="1" x14ac:dyDescent="0.2">
      <c r="A88" s="487" t="s">
        <v>4119</v>
      </c>
      <c r="B88" s="258" t="s">
        <v>398</v>
      </c>
      <c r="C88" s="480" t="s">
        <v>3704</v>
      </c>
      <c r="D88" s="116">
        <v>91</v>
      </c>
      <c r="E88" s="81"/>
      <c r="F88" s="81"/>
      <c r="G88" s="81"/>
      <c r="H88" s="81"/>
      <c r="I88" s="81"/>
      <c r="J88" s="81"/>
      <c r="K88" s="81"/>
      <c r="L88" s="81">
        <v>64.5</v>
      </c>
      <c r="M88" s="81"/>
      <c r="N88" s="81"/>
      <c r="O88" s="81"/>
      <c r="P88" s="81"/>
      <c r="Q88" s="145">
        <f t="shared" si="5"/>
        <v>64.5</v>
      </c>
      <c r="R88" s="151" t="str">
        <f t="shared" si="6"/>
        <v>NO</v>
      </c>
      <c r="S88" s="152" t="str">
        <f t="shared" si="7"/>
        <v>Alto</v>
      </c>
      <c r="T88" s="16"/>
    </row>
    <row r="89" spans="1:20" ht="32.1" customHeight="1" x14ac:dyDescent="0.2">
      <c r="A89" s="487" t="s">
        <v>4119</v>
      </c>
      <c r="B89" s="258" t="s">
        <v>526</v>
      </c>
      <c r="C89" s="480" t="s">
        <v>3705</v>
      </c>
      <c r="D89" s="121">
        <v>140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>
        <v>64.5</v>
      </c>
      <c r="P89" s="81"/>
      <c r="Q89" s="145">
        <f t="shared" si="5"/>
        <v>64.5</v>
      </c>
      <c r="R89" s="151" t="str">
        <f t="shared" si="6"/>
        <v>NO</v>
      </c>
      <c r="S89" s="152" t="str">
        <f t="shared" si="7"/>
        <v>Alto</v>
      </c>
      <c r="T89" s="16"/>
    </row>
    <row r="90" spans="1:20" ht="32.1" customHeight="1" x14ac:dyDescent="0.2">
      <c r="A90" s="487" t="s">
        <v>4119</v>
      </c>
      <c r="B90" s="258" t="s">
        <v>399</v>
      </c>
      <c r="C90" s="480" t="s">
        <v>3706</v>
      </c>
      <c r="D90" s="121">
        <v>375</v>
      </c>
      <c r="E90" s="81"/>
      <c r="F90" s="81"/>
      <c r="G90" s="81"/>
      <c r="H90" s="81"/>
      <c r="I90" s="81"/>
      <c r="J90" s="81"/>
      <c r="K90" s="81"/>
      <c r="L90" s="81">
        <v>64.5</v>
      </c>
      <c r="M90" s="81"/>
      <c r="N90" s="81"/>
      <c r="O90" s="81"/>
      <c r="P90" s="81"/>
      <c r="Q90" s="145">
        <f t="shared" si="5"/>
        <v>64.5</v>
      </c>
      <c r="R90" s="151" t="str">
        <f t="shared" si="6"/>
        <v>NO</v>
      </c>
      <c r="S90" s="152" t="str">
        <f t="shared" si="7"/>
        <v>Alto</v>
      </c>
      <c r="T90" s="16"/>
    </row>
    <row r="91" spans="1:20" s="31" customFormat="1" ht="32.1" customHeight="1" x14ac:dyDescent="0.2">
      <c r="A91" s="487" t="s">
        <v>4119</v>
      </c>
      <c r="B91" s="258" t="s">
        <v>242</v>
      </c>
      <c r="C91" s="480" t="s">
        <v>3707</v>
      </c>
      <c r="D91" s="121">
        <v>33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>
        <v>64.5</v>
      </c>
      <c r="P91" s="81"/>
      <c r="Q91" s="145">
        <f t="shared" si="5"/>
        <v>64.5</v>
      </c>
      <c r="R91" s="151" t="str">
        <f t="shared" si="6"/>
        <v>NO</v>
      </c>
      <c r="S91" s="152" t="str">
        <f t="shared" si="7"/>
        <v>Alto</v>
      </c>
      <c r="T91" s="30"/>
    </row>
    <row r="92" spans="1:20" s="22" customFormat="1" ht="32.1" customHeight="1" x14ac:dyDescent="0.2">
      <c r="A92" s="487" t="s">
        <v>4119</v>
      </c>
      <c r="B92" s="258" t="s">
        <v>3690</v>
      </c>
      <c r="C92" s="480" t="s">
        <v>3708</v>
      </c>
      <c r="D92" s="121">
        <v>22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145" t="e">
        <f t="shared" si="5"/>
        <v>#DIV/0!</v>
      </c>
      <c r="R92" s="151" t="e">
        <f t="shared" si="6"/>
        <v>#DIV/0!</v>
      </c>
      <c r="S92" s="152" t="e">
        <f t="shared" si="7"/>
        <v>#DIV/0!</v>
      </c>
      <c r="T92" s="21"/>
    </row>
    <row r="93" spans="1:20" ht="32.1" customHeight="1" x14ac:dyDescent="0.2">
      <c r="A93" s="487" t="s">
        <v>4119</v>
      </c>
      <c r="B93" s="258" t="s">
        <v>477</v>
      </c>
      <c r="C93" s="480" t="s">
        <v>3709</v>
      </c>
      <c r="D93" s="121">
        <v>90</v>
      </c>
      <c r="E93" s="81"/>
      <c r="F93" s="81"/>
      <c r="G93" s="81"/>
      <c r="H93" s="81">
        <v>2.8</v>
      </c>
      <c r="I93" s="81"/>
      <c r="J93" s="81"/>
      <c r="K93" s="81"/>
      <c r="L93" s="81"/>
      <c r="M93" s="81"/>
      <c r="N93" s="81"/>
      <c r="O93" s="81">
        <v>2.8</v>
      </c>
      <c r="P93" s="81"/>
      <c r="Q93" s="145">
        <f t="shared" si="5"/>
        <v>2.8</v>
      </c>
      <c r="R93" s="151" t="str">
        <f t="shared" si="6"/>
        <v>SI</v>
      </c>
      <c r="S93" s="152" t="str">
        <f t="shared" si="7"/>
        <v>Sin Riesgo</v>
      </c>
      <c r="T93" s="16"/>
    </row>
    <row r="94" spans="1:20" ht="32.1" customHeight="1" x14ac:dyDescent="0.2">
      <c r="A94" s="487" t="s">
        <v>4119</v>
      </c>
      <c r="B94" s="258" t="s">
        <v>476</v>
      </c>
      <c r="C94" s="480" t="s">
        <v>3710</v>
      </c>
      <c r="D94" s="121">
        <v>90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>
        <v>2.8</v>
      </c>
      <c r="P94" s="81"/>
      <c r="Q94" s="145">
        <f t="shared" si="5"/>
        <v>2.8</v>
      </c>
      <c r="R94" s="151" t="str">
        <f t="shared" si="6"/>
        <v>SI</v>
      </c>
      <c r="S94" s="152" t="str">
        <f t="shared" si="7"/>
        <v>Sin Riesgo</v>
      </c>
      <c r="T94" s="16"/>
    </row>
    <row r="95" spans="1:20" ht="32.1" customHeight="1" x14ac:dyDescent="0.2">
      <c r="A95" s="487" t="s">
        <v>4119</v>
      </c>
      <c r="B95" s="258" t="s">
        <v>3691</v>
      </c>
      <c r="C95" s="480" t="s">
        <v>3711</v>
      </c>
      <c r="D95" s="121">
        <v>90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>
        <v>2.7850000000000001</v>
      </c>
      <c r="P95" s="81"/>
      <c r="Q95" s="145">
        <f t="shared" si="5"/>
        <v>2.7850000000000001</v>
      </c>
      <c r="R95" s="151" t="str">
        <f t="shared" si="6"/>
        <v>SI</v>
      </c>
      <c r="S95" s="152" t="str">
        <f t="shared" si="7"/>
        <v>Sin Riesgo</v>
      </c>
      <c r="T95" s="16"/>
    </row>
    <row r="96" spans="1:20" ht="32.1" customHeight="1" x14ac:dyDescent="0.2">
      <c r="A96" s="487" t="s">
        <v>4119</v>
      </c>
      <c r="B96" s="258" t="s">
        <v>475</v>
      </c>
      <c r="C96" s="480" t="s">
        <v>3712</v>
      </c>
      <c r="D96" s="121">
        <v>380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>
        <v>2.7850000000000001</v>
      </c>
      <c r="P96" s="81"/>
      <c r="Q96" s="145">
        <f t="shared" si="5"/>
        <v>2.7850000000000001</v>
      </c>
      <c r="R96" s="151" t="str">
        <f t="shared" si="6"/>
        <v>SI</v>
      </c>
      <c r="S96" s="152" t="str">
        <f t="shared" si="7"/>
        <v>Sin Riesgo</v>
      </c>
      <c r="T96" s="16"/>
    </row>
    <row r="97" spans="1:20" ht="32.1" customHeight="1" x14ac:dyDescent="0.2">
      <c r="A97" s="487" t="s">
        <v>4119</v>
      </c>
      <c r="B97" s="295" t="s">
        <v>530</v>
      </c>
      <c r="C97" s="481" t="s">
        <v>3713</v>
      </c>
      <c r="D97" s="292">
        <v>90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145" t="e">
        <v>#DIV/0!</v>
      </c>
      <c r="R97" s="151" t="e">
        <v>#DIV/0!</v>
      </c>
      <c r="S97" s="152" t="e">
        <f t="shared" si="7"/>
        <v>#DIV/0!</v>
      </c>
      <c r="T97" s="16"/>
    </row>
    <row r="98" spans="1:20" ht="32.1" customHeight="1" x14ac:dyDescent="0.2">
      <c r="A98" s="487" t="s">
        <v>4119</v>
      </c>
      <c r="B98" s="295" t="s">
        <v>527</v>
      </c>
      <c r="C98" s="481" t="s">
        <v>3714</v>
      </c>
      <c r="D98" s="292">
        <v>40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145" t="e">
        <v>#DIV/0!</v>
      </c>
      <c r="R98" s="151" t="e">
        <v>#DIV/0!</v>
      </c>
      <c r="S98" s="152" t="e">
        <f t="shared" si="7"/>
        <v>#DIV/0!</v>
      </c>
      <c r="T98" s="16"/>
    </row>
    <row r="99" spans="1:20" ht="32.1" customHeight="1" x14ac:dyDescent="0.2">
      <c r="A99" s="488" t="s">
        <v>3825</v>
      </c>
      <c r="B99" s="240" t="s">
        <v>3716</v>
      </c>
      <c r="C99" s="482" t="s">
        <v>3720</v>
      </c>
      <c r="D99" s="121">
        <v>285</v>
      </c>
      <c r="E99" s="81"/>
      <c r="F99" s="81">
        <v>100</v>
      </c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145">
        <f t="shared" ref="Q99:Q121" si="8">AVERAGE(E99:P99)</f>
        <v>100</v>
      </c>
      <c r="R99" s="151" t="str">
        <f t="shared" ref="R99:R121" si="9">IF(Q99&lt;5,"SI","NO")</f>
        <v>NO</v>
      </c>
      <c r="S99" s="152" t="str">
        <f t="shared" si="7"/>
        <v>Inviable Sanitariamente</v>
      </c>
      <c r="T99" s="16"/>
    </row>
    <row r="100" spans="1:20" ht="32.1" customHeight="1" x14ac:dyDescent="0.2">
      <c r="A100" s="488" t="s">
        <v>3825</v>
      </c>
      <c r="B100" s="240" t="s">
        <v>3717</v>
      </c>
      <c r="C100" s="482" t="s">
        <v>3720</v>
      </c>
      <c r="D100" s="121">
        <v>232</v>
      </c>
      <c r="E100" s="81"/>
      <c r="F100" s="81"/>
      <c r="G100" s="81"/>
      <c r="H100" s="81"/>
      <c r="I100" s="81"/>
      <c r="J100" s="81">
        <v>100</v>
      </c>
      <c r="K100" s="81"/>
      <c r="L100" s="81"/>
      <c r="M100" s="81"/>
      <c r="N100" s="81"/>
      <c r="O100" s="81"/>
      <c r="P100" s="81"/>
      <c r="Q100" s="145">
        <f t="shared" si="8"/>
        <v>100</v>
      </c>
      <c r="R100" s="151" t="str">
        <f t="shared" si="9"/>
        <v>NO</v>
      </c>
      <c r="S100" s="152" t="str">
        <f t="shared" si="7"/>
        <v>Inviable Sanitariamente</v>
      </c>
      <c r="T100" s="16"/>
    </row>
    <row r="101" spans="1:20" ht="32.1" customHeight="1" x14ac:dyDescent="0.2">
      <c r="A101" s="488" t="s">
        <v>3825</v>
      </c>
      <c r="B101" s="240" t="s">
        <v>3718</v>
      </c>
      <c r="C101" s="482" t="s">
        <v>3720</v>
      </c>
      <c r="D101" s="121">
        <v>421</v>
      </c>
      <c r="E101" s="81"/>
      <c r="F101" s="81"/>
      <c r="G101" s="81"/>
      <c r="H101" s="81"/>
      <c r="I101" s="81"/>
      <c r="J101" s="81">
        <v>100</v>
      </c>
      <c r="K101" s="81"/>
      <c r="L101" s="81"/>
      <c r="M101" s="81"/>
      <c r="N101" s="81"/>
      <c r="O101" s="81"/>
      <c r="P101" s="81"/>
      <c r="Q101" s="145">
        <f t="shared" si="8"/>
        <v>100</v>
      </c>
      <c r="R101" s="151" t="str">
        <f t="shared" si="9"/>
        <v>NO</v>
      </c>
      <c r="S101" s="152" t="str">
        <f t="shared" si="7"/>
        <v>Inviable Sanitariamente</v>
      </c>
      <c r="T101" s="16"/>
    </row>
    <row r="102" spans="1:20" ht="32.1" customHeight="1" x14ac:dyDescent="0.2">
      <c r="A102" s="488" t="s">
        <v>3825</v>
      </c>
      <c r="B102" s="240" t="s">
        <v>3719</v>
      </c>
      <c r="C102" s="482" t="s">
        <v>3720</v>
      </c>
      <c r="D102" s="121">
        <v>250</v>
      </c>
      <c r="E102" s="81">
        <v>100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45">
        <f t="shared" si="8"/>
        <v>100</v>
      </c>
      <c r="R102" s="151" t="str">
        <f t="shared" si="9"/>
        <v>NO</v>
      </c>
      <c r="S102" s="152" t="str">
        <f t="shared" si="7"/>
        <v>Inviable Sanitariamente</v>
      </c>
      <c r="T102" s="16"/>
    </row>
    <row r="103" spans="1:20" ht="32.1" customHeight="1" x14ac:dyDescent="0.2">
      <c r="A103" s="487" t="s">
        <v>123</v>
      </c>
      <c r="B103" s="261" t="s">
        <v>6</v>
      </c>
      <c r="C103" s="483" t="s">
        <v>3715</v>
      </c>
      <c r="D103" s="121">
        <v>420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145" t="e">
        <f t="shared" si="8"/>
        <v>#DIV/0!</v>
      </c>
      <c r="R103" s="151" t="e">
        <f t="shared" si="9"/>
        <v>#DIV/0!</v>
      </c>
      <c r="S103" s="152" t="e">
        <f t="shared" si="7"/>
        <v>#DIV/0!</v>
      </c>
      <c r="T103" s="16"/>
    </row>
    <row r="104" spans="1:20" ht="32.1" customHeight="1" x14ac:dyDescent="0.2">
      <c r="A104" s="487" t="s">
        <v>123</v>
      </c>
      <c r="B104" s="261" t="s">
        <v>402</v>
      </c>
      <c r="C104" s="483" t="s">
        <v>3721</v>
      </c>
      <c r="D104" s="121">
        <v>80</v>
      </c>
      <c r="E104" s="81"/>
      <c r="F104" s="81"/>
      <c r="G104" s="81">
        <v>100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145">
        <f t="shared" si="8"/>
        <v>100</v>
      </c>
      <c r="R104" s="151" t="str">
        <f t="shared" si="9"/>
        <v>NO</v>
      </c>
      <c r="S104" s="152" t="str">
        <f t="shared" si="7"/>
        <v>Inviable Sanitariamente</v>
      </c>
      <c r="T104" s="16"/>
    </row>
    <row r="105" spans="1:20" ht="32.1" customHeight="1" x14ac:dyDescent="0.2">
      <c r="A105" s="487" t="s">
        <v>123</v>
      </c>
      <c r="B105" s="261" t="s">
        <v>400</v>
      </c>
      <c r="C105" s="483" t="s">
        <v>3722</v>
      </c>
      <c r="D105" s="121">
        <v>144</v>
      </c>
      <c r="E105" s="81"/>
      <c r="F105" s="81"/>
      <c r="G105" s="81">
        <v>100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145">
        <f t="shared" si="8"/>
        <v>100</v>
      </c>
      <c r="R105" s="151" t="str">
        <f t="shared" si="9"/>
        <v>NO</v>
      </c>
      <c r="S105" s="152" t="str">
        <f t="shared" si="7"/>
        <v>Inviable Sanitariamente</v>
      </c>
      <c r="T105" s="16"/>
    </row>
    <row r="106" spans="1:20" ht="32.1" customHeight="1" x14ac:dyDescent="0.2">
      <c r="A106" s="487" t="s">
        <v>123</v>
      </c>
      <c r="B106" s="261" t="s">
        <v>401</v>
      </c>
      <c r="C106" s="483" t="s">
        <v>3723</v>
      </c>
      <c r="D106" s="121">
        <v>30</v>
      </c>
      <c r="E106" s="81"/>
      <c r="F106" s="81"/>
      <c r="G106" s="81">
        <v>100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145">
        <f t="shared" si="8"/>
        <v>100</v>
      </c>
      <c r="R106" s="151" t="str">
        <f t="shared" si="9"/>
        <v>NO</v>
      </c>
      <c r="S106" s="152" t="str">
        <f t="shared" si="7"/>
        <v>Inviable Sanitariamente</v>
      </c>
      <c r="T106" s="16"/>
    </row>
    <row r="107" spans="1:20" ht="32.1" customHeight="1" x14ac:dyDescent="0.2">
      <c r="A107" s="487" t="s">
        <v>123</v>
      </c>
      <c r="B107" s="261" t="s">
        <v>84</v>
      </c>
      <c r="C107" s="483" t="s">
        <v>3724</v>
      </c>
      <c r="D107" s="121">
        <v>22</v>
      </c>
      <c r="E107" s="81"/>
      <c r="F107" s="81"/>
      <c r="G107" s="81">
        <v>100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145">
        <f t="shared" si="8"/>
        <v>100</v>
      </c>
      <c r="R107" s="151" t="str">
        <f t="shared" si="9"/>
        <v>NO</v>
      </c>
      <c r="S107" s="152" t="str">
        <f t="shared" si="7"/>
        <v>Inviable Sanitariamente</v>
      </c>
      <c r="T107" s="16"/>
    </row>
    <row r="108" spans="1:20" ht="32.1" customHeight="1" x14ac:dyDescent="0.2">
      <c r="A108" s="487" t="s">
        <v>125</v>
      </c>
      <c r="B108" s="258" t="s">
        <v>515</v>
      </c>
      <c r="C108" s="480" t="s">
        <v>3725</v>
      </c>
      <c r="D108" s="121">
        <v>98</v>
      </c>
      <c r="E108" s="81">
        <v>58.06</v>
      </c>
      <c r="F108" s="81"/>
      <c r="G108" s="81"/>
      <c r="H108" s="81">
        <v>19.350000000000001</v>
      </c>
      <c r="I108" s="81"/>
      <c r="J108" s="81"/>
      <c r="K108" s="81">
        <v>19.399999999999999</v>
      </c>
      <c r="L108" s="81"/>
      <c r="M108" s="81">
        <v>90.3</v>
      </c>
      <c r="N108" s="81"/>
      <c r="O108" s="81">
        <v>65.81</v>
      </c>
      <c r="P108" s="81">
        <v>0</v>
      </c>
      <c r="Q108" s="145">
        <f t="shared" si="8"/>
        <v>42.153333333333336</v>
      </c>
      <c r="R108" s="151" t="str">
        <f t="shared" si="9"/>
        <v>NO</v>
      </c>
      <c r="S108" s="152" t="str">
        <f t="shared" si="7"/>
        <v>Alto</v>
      </c>
    </row>
    <row r="109" spans="1:20" ht="32.1" customHeight="1" x14ac:dyDescent="0.2">
      <c r="A109" s="487" t="s">
        <v>125</v>
      </c>
      <c r="B109" s="258" t="s">
        <v>4</v>
      </c>
      <c r="C109" s="480" t="s">
        <v>3726</v>
      </c>
      <c r="D109" s="121">
        <v>740</v>
      </c>
      <c r="E109" s="81"/>
      <c r="F109" s="81"/>
      <c r="G109" s="81"/>
      <c r="H109" s="81"/>
      <c r="I109" s="81"/>
      <c r="J109" s="81">
        <v>90.9</v>
      </c>
      <c r="K109" s="81"/>
      <c r="L109" s="81"/>
      <c r="M109" s="81"/>
      <c r="N109" s="81"/>
      <c r="O109" s="81"/>
      <c r="P109" s="81"/>
      <c r="Q109" s="145">
        <f t="shared" si="8"/>
        <v>90.9</v>
      </c>
      <c r="R109" s="151" t="str">
        <f t="shared" si="9"/>
        <v>NO</v>
      </c>
      <c r="S109" s="152" t="str">
        <f t="shared" si="7"/>
        <v>Inviable Sanitariamente</v>
      </c>
    </row>
    <row r="110" spans="1:20" ht="32.1" customHeight="1" x14ac:dyDescent="0.2">
      <c r="A110" s="487" t="s">
        <v>125</v>
      </c>
      <c r="B110" s="258" t="s">
        <v>516</v>
      </c>
      <c r="C110" s="480" t="s">
        <v>3727</v>
      </c>
      <c r="D110" s="121">
        <v>21</v>
      </c>
      <c r="E110" s="81">
        <v>0</v>
      </c>
      <c r="F110" s="81">
        <v>0</v>
      </c>
      <c r="G110" s="81">
        <v>53.3</v>
      </c>
      <c r="H110" s="81">
        <v>46.45</v>
      </c>
      <c r="I110" s="81">
        <v>19.350000000000001</v>
      </c>
      <c r="J110" s="81">
        <v>46.45</v>
      </c>
      <c r="K110" s="81">
        <v>27.1</v>
      </c>
      <c r="L110" s="81">
        <v>98.06</v>
      </c>
      <c r="M110" s="81">
        <v>38.71</v>
      </c>
      <c r="N110" s="81">
        <v>98.06</v>
      </c>
      <c r="O110" s="81">
        <v>98.06</v>
      </c>
      <c r="P110" s="81">
        <v>19.350000000000001</v>
      </c>
      <c r="Q110" s="145">
        <f t="shared" si="8"/>
        <v>45.407499999999999</v>
      </c>
      <c r="R110" s="151" t="str">
        <f t="shared" si="9"/>
        <v>NO</v>
      </c>
      <c r="S110" s="152" t="str">
        <f t="shared" si="7"/>
        <v>Alto</v>
      </c>
    </row>
    <row r="111" spans="1:20" ht="32.1" customHeight="1" x14ac:dyDescent="0.2">
      <c r="A111" s="487" t="s">
        <v>125</v>
      </c>
      <c r="B111" s="258" t="s">
        <v>517</v>
      </c>
      <c r="C111" s="480" t="s">
        <v>3728</v>
      </c>
      <c r="D111" s="121">
        <v>18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145" t="e">
        <f t="shared" si="8"/>
        <v>#DIV/0!</v>
      </c>
      <c r="R111" s="151" t="e">
        <f t="shared" si="9"/>
        <v>#DIV/0!</v>
      </c>
      <c r="S111" s="152" t="e">
        <f t="shared" si="7"/>
        <v>#DIV/0!</v>
      </c>
    </row>
    <row r="112" spans="1:20" ht="32.1" customHeight="1" x14ac:dyDescent="0.2">
      <c r="A112" s="487" t="s">
        <v>125</v>
      </c>
      <c r="B112" s="258" t="s">
        <v>409</v>
      </c>
      <c r="C112" s="480" t="s">
        <v>3729</v>
      </c>
      <c r="D112" s="121">
        <v>200</v>
      </c>
      <c r="E112" s="81"/>
      <c r="F112" s="81"/>
      <c r="G112" s="81"/>
      <c r="H112" s="81"/>
      <c r="I112" s="81"/>
      <c r="J112" s="81">
        <v>90.9</v>
      </c>
      <c r="K112" s="81"/>
      <c r="L112" s="81"/>
      <c r="M112" s="81"/>
      <c r="N112" s="81">
        <v>97.35</v>
      </c>
      <c r="O112" s="81"/>
      <c r="P112" s="81"/>
      <c r="Q112" s="145">
        <f t="shared" si="8"/>
        <v>94.125</v>
      </c>
      <c r="R112" s="151" t="str">
        <f t="shared" si="9"/>
        <v>NO</v>
      </c>
      <c r="S112" s="152" t="str">
        <f t="shared" si="7"/>
        <v>Inviable Sanitariamente</v>
      </c>
    </row>
    <row r="113" spans="1:19" ht="32.1" customHeight="1" x14ac:dyDescent="0.2">
      <c r="A113" s="487" t="s">
        <v>125</v>
      </c>
      <c r="B113" s="258" t="s">
        <v>410</v>
      </c>
      <c r="C113" s="480" t="s">
        <v>3730</v>
      </c>
      <c r="D113" s="121">
        <v>150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>
        <v>100</v>
      </c>
      <c r="O113" s="81"/>
      <c r="P113" s="81"/>
      <c r="Q113" s="145">
        <f t="shared" si="8"/>
        <v>100</v>
      </c>
      <c r="R113" s="151" t="str">
        <f t="shared" si="9"/>
        <v>NO</v>
      </c>
      <c r="S113" s="152" t="str">
        <f t="shared" si="7"/>
        <v>Inviable Sanitariamente</v>
      </c>
    </row>
    <row r="114" spans="1:19" ht="32.1" customHeight="1" x14ac:dyDescent="0.2">
      <c r="A114" s="487" t="s">
        <v>125</v>
      </c>
      <c r="B114" s="258" t="s">
        <v>408</v>
      </c>
      <c r="C114" s="480" t="s">
        <v>3731</v>
      </c>
      <c r="D114" s="116">
        <v>410</v>
      </c>
      <c r="E114" s="81"/>
      <c r="F114" s="81"/>
      <c r="G114" s="81"/>
      <c r="H114" s="81"/>
      <c r="I114" s="81"/>
      <c r="J114" s="81"/>
      <c r="K114" s="81">
        <v>97.35</v>
      </c>
      <c r="L114" s="81"/>
      <c r="M114" s="81"/>
      <c r="N114" s="81"/>
      <c r="O114" s="81"/>
      <c r="P114" s="81"/>
      <c r="Q114" s="145">
        <f t="shared" si="8"/>
        <v>97.35</v>
      </c>
      <c r="R114" s="151" t="str">
        <f t="shared" si="9"/>
        <v>NO</v>
      </c>
      <c r="S114" s="152" t="str">
        <f t="shared" si="7"/>
        <v>Inviable Sanitariamente</v>
      </c>
    </row>
    <row r="115" spans="1:19" ht="32.1" customHeight="1" x14ac:dyDescent="0.2">
      <c r="A115" s="487" t="s">
        <v>125</v>
      </c>
      <c r="B115" s="258" t="s">
        <v>518</v>
      </c>
      <c r="C115" s="480" t="s">
        <v>3732</v>
      </c>
      <c r="D115" s="121">
        <v>54</v>
      </c>
      <c r="E115" s="81">
        <v>58.06</v>
      </c>
      <c r="F115" s="81">
        <v>19.350000000000001</v>
      </c>
      <c r="G115" s="81"/>
      <c r="H115" s="81"/>
      <c r="I115" s="81"/>
      <c r="J115" s="81"/>
      <c r="K115" s="81">
        <v>60</v>
      </c>
      <c r="L115" s="81"/>
      <c r="M115" s="81"/>
      <c r="N115" s="81"/>
      <c r="O115" s="81"/>
      <c r="P115" s="81"/>
      <c r="Q115" s="145">
        <f t="shared" si="8"/>
        <v>45.803333333333335</v>
      </c>
      <c r="R115" s="151" t="str">
        <f t="shared" si="9"/>
        <v>NO</v>
      </c>
      <c r="S115" s="152" t="str">
        <f t="shared" si="7"/>
        <v>Alto</v>
      </c>
    </row>
    <row r="116" spans="1:19" ht="30" customHeight="1" x14ac:dyDescent="0.2">
      <c r="A116" s="487" t="s">
        <v>125</v>
      </c>
      <c r="B116" s="258" t="s">
        <v>533</v>
      </c>
      <c r="C116" s="480" t="s">
        <v>3733</v>
      </c>
      <c r="D116" s="121">
        <v>21</v>
      </c>
      <c r="E116" s="81">
        <v>19.350000000000001</v>
      </c>
      <c r="F116" s="81"/>
      <c r="G116" s="81">
        <v>35.5</v>
      </c>
      <c r="H116" s="81">
        <v>27.1</v>
      </c>
      <c r="I116" s="81">
        <v>98.06</v>
      </c>
      <c r="J116" s="81">
        <v>27.1</v>
      </c>
      <c r="K116" s="81"/>
      <c r="L116" s="81">
        <v>98.06</v>
      </c>
      <c r="M116" s="81">
        <v>70.97</v>
      </c>
      <c r="N116" s="81">
        <v>65.81</v>
      </c>
      <c r="O116" s="81">
        <v>98.06</v>
      </c>
      <c r="P116" s="81">
        <v>19.350000000000001</v>
      </c>
      <c r="Q116" s="145">
        <f t="shared" si="8"/>
        <v>55.936</v>
      </c>
      <c r="R116" s="164" t="str">
        <f t="shared" si="9"/>
        <v>NO</v>
      </c>
      <c r="S116" s="152" t="str">
        <f t="shared" si="7"/>
        <v>Alto</v>
      </c>
    </row>
    <row r="117" spans="1:19" ht="30" customHeight="1" x14ac:dyDescent="0.2">
      <c r="A117" s="487" t="s">
        <v>125</v>
      </c>
      <c r="B117" s="258" t="s">
        <v>404</v>
      </c>
      <c r="C117" s="480" t="s">
        <v>3734</v>
      </c>
      <c r="D117" s="116">
        <v>1087</v>
      </c>
      <c r="E117" s="81">
        <v>0</v>
      </c>
      <c r="F117" s="81">
        <v>0</v>
      </c>
      <c r="G117" s="81">
        <v>0</v>
      </c>
      <c r="H117" s="81">
        <v>38.71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1">
        <v>0</v>
      </c>
      <c r="Q117" s="145">
        <f t="shared" si="8"/>
        <v>3.2258333333333336</v>
      </c>
      <c r="R117" s="226" t="str">
        <f t="shared" si="9"/>
        <v>SI</v>
      </c>
      <c r="S117" s="152" t="str">
        <f t="shared" si="7"/>
        <v>Sin Riesgo</v>
      </c>
    </row>
    <row r="118" spans="1:19" ht="30" customHeight="1" x14ac:dyDescent="0.2">
      <c r="A118" s="487" t="s">
        <v>125</v>
      </c>
      <c r="B118" s="258" t="s">
        <v>403</v>
      </c>
      <c r="C118" s="480" t="s">
        <v>3735</v>
      </c>
      <c r="D118" s="121">
        <v>4768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19.350000000000001</v>
      </c>
      <c r="L118" s="81">
        <v>0</v>
      </c>
      <c r="M118" s="81">
        <v>0</v>
      </c>
      <c r="N118" s="81">
        <v>0</v>
      </c>
      <c r="O118" s="81">
        <v>0</v>
      </c>
      <c r="P118" s="81">
        <v>0</v>
      </c>
      <c r="Q118" s="145">
        <f t="shared" si="8"/>
        <v>1.6125</v>
      </c>
      <c r="R118" s="151" t="str">
        <f t="shared" si="9"/>
        <v>SI</v>
      </c>
      <c r="S118" s="152" t="str">
        <f t="shared" si="7"/>
        <v>Sin Riesgo</v>
      </c>
    </row>
    <row r="119" spans="1:19" ht="30" customHeight="1" x14ac:dyDescent="0.2">
      <c r="A119" s="487" t="s">
        <v>125</v>
      </c>
      <c r="B119" s="258" t="s">
        <v>405</v>
      </c>
      <c r="C119" s="480" t="s">
        <v>3736</v>
      </c>
      <c r="D119" s="121">
        <v>2617</v>
      </c>
      <c r="E119" s="81">
        <v>0</v>
      </c>
      <c r="F119" s="81">
        <v>0</v>
      </c>
      <c r="G119" s="81">
        <v>0</v>
      </c>
      <c r="H119" s="81">
        <v>19.350000000000001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145">
        <f t="shared" si="8"/>
        <v>1.6125</v>
      </c>
      <c r="R119" s="151" t="str">
        <f t="shared" si="9"/>
        <v>SI</v>
      </c>
      <c r="S119" s="152" t="str">
        <f t="shared" si="7"/>
        <v>Sin Riesgo</v>
      </c>
    </row>
    <row r="120" spans="1:19" ht="30" customHeight="1" x14ac:dyDescent="0.2">
      <c r="A120" s="487" t="s">
        <v>125</v>
      </c>
      <c r="B120" s="258" t="s">
        <v>406</v>
      </c>
      <c r="C120" s="480" t="s">
        <v>3737</v>
      </c>
      <c r="D120" s="116">
        <v>629</v>
      </c>
      <c r="E120" s="81"/>
      <c r="F120" s="81"/>
      <c r="G120" s="81"/>
      <c r="H120" s="81"/>
      <c r="I120" s="81"/>
      <c r="J120" s="81">
        <v>90.9</v>
      </c>
      <c r="K120" s="81"/>
      <c r="L120" s="81"/>
      <c r="M120" s="81"/>
      <c r="N120" s="81"/>
      <c r="O120" s="81">
        <v>97.35</v>
      </c>
      <c r="P120" s="81"/>
      <c r="Q120" s="145">
        <f t="shared" si="8"/>
        <v>94.125</v>
      </c>
      <c r="R120" s="164" t="str">
        <f t="shared" si="9"/>
        <v>NO</v>
      </c>
      <c r="S120" s="152" t="str">
        <f t="shared" si="7"/>
        <v>Inviable Sanitariamente</v>
      </c>
    </row>
    <row r="121" spans="1:19" ht="30" customHeight="1" x14ac:dyDescent="0.2">
      <c r="A121" s="487" t="s">
        <v>125</v>
      </c>
      <c r="B121" s="258" t="s">
        <v>407</v>
      </c>
      <c r="C121" s="480" t="s">
        <v>3738</v>
      </c>
      <c r="D121" s="121">
        <v>117</v>
      </c>
      <c r="E121" s="81"/>
      <c r="F121" s="81"/>
      <c r="G121" s="81"/>
      <c r="H121" s="81"/>
      <c r="I121" s="81"/>
      <c r="J121" s="81">
        <v>90.9</v>
      </c>
      <c r="K121" s="81"/>
      <c r="L121" s="81"/>
      <c r="M121" s="81"/>
      <c r="N121" s="81">
        <v>97.35</v>
      </c>
      <c r="O121" s="81"/>
      <c r="P121" s="81"/>
      <c r="Q121" s="145">
        <f t="shared" si="8"/>
        <v>94.125</v>
      </c>
      <c r="R121" s="164" t="str">
        <f t="shared" si="9"/>
        <v>NO</v>
      </c>
      <c r="S121" s="152" t="str">
        <f t="shared" si="7"/>
        <v>Inviable Sanitariamente</v>
      </c>
    </row>
    <row r="122" spans="1:19" ht="30" customHeight="1" x14ac:dyDescent="0.2">
      <c r="A122" s="430"/>
      <c r="B122" s="328"/>
      <c r="C122" s="328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51"/>
      <c r="R122" s="451"/>
      <c r="S122" s="452"/>
    </row>
    <row r="123" spans="1:19" ht="30" customHeight="1" x14ac:dyDescent="0.2">
      <c r="A123" s="111"/>
    </row>
    <row r="124" spans="1:19" ht="30" customHeight="1" x14ac:dyDescent="0.2">
      <c r="A124" s="507" t="s">
        <v>4416</v>
      </c>
      <c r="B124" s="506" t="s">
        <v>4479</v>
      </c>
    </row>
    <row r="125" spans="1:19" ht="30" customHeight="1" x14ac:dyDescent="0.2">
      <c r="A125" s="501" t="s">
        <v>4358</v>
      </c>
      <c r="B125" s="509">
        <f>COUNTIF(E10:P121,"&lt;=5")</f>
        <v>69</v>
      </c>
    </row>
    <row r="126" spans="1:19" ht="30" customHeight="1" x14ac:dyDescent="0.2">
      <c r="A126" s="502" t="s">
        <v>4359</v>
      </c>
      <c r="B126" s="509">
        <f>COUNTIFS(E10:P121,"&gt;5",E10:P121,"&lt;=14")</f>
        <v>1</v>
      </c>
    </row>
    <row r="127" spans="1:19" ht="30" customHeight="1" x14ac:dyDescent="0.2">
      <c r="A127" s="503" t="s">
        <v>4360</v>
      </c>
      <c r="B127" s="509">
        <f>COUNTIFS(E10:P121,"&gt;14",E10:P121,"&lt;=35")</f>
        <v>21</v>
      </c>
    </row>
    <row r="128" spans="1:19" ht="30" customHeight="1" x14ac:dyDescent="0.2">
      <c r="A128" s="504" t="s">
        <v>4361</v>
      </c>
      <c r="B128" s="509">
        <f>COUNTIFS(E10:P121,"&gt;35",E10:P121,"&lt;=80")</f>
        <v>39</v>
      </c>
    </row>
    <row r="129" spans="1:2" ht="39" customHeight="1" x14ac:dyDescent="0.2">
      <c r="A129" s="505" t="s">
        <v>4362</v>
      </c>
      <c r="B129" s="509">
        <f>COUNTIFS(E10:P121,"&gt;80",E10:P121,"&lt;=100")</f>
        <v>63</v>
      </c>
    </row>
    <row r="130" spans="1:2" ht="30" customHeight="1" x14ac:dyDescent="0.2">
      <c r="A130" s="533" t="s">
        <v>4363</v>
      </c>
      <c r="B130" s="534">
        <f>COUNT(E10:P121)</f>
        <v>193</v>
      </c>
    </row>
    <row r="131" spans="1:2" ht="32.25" customHeight="1" x14ac:dyDescent="0.2">
      <c r="A131" s="508" t="s">
        <v>4366</v>
      </c>
      <c r="B131" s="510">
        <f>B130-B125</f>
        <v>124</v>
      </c>
    </row>
    <row r="132" spans="1:2" ht="30" customHeight="1" x14ac:dyDescent="0.2">
      <c r="A132" s="111"/>
    </row>
    <row r="133" spans="1:2" ht="30" customHeight="1" x14ac:dyDescent="0.2">
      <c r="A133" s="111"/>
    </row>
    <row r="134" spans="1:2" ht="30" customHeight="1" x14ac:dyDescent="0.2">
      <c r="A134" s="111"/>
    </row>
    <row r="135" spans="1:2" ht="30" customHeight="1" x14ac:dyDescent="0.2">
      <c r="A135" s="111"/>
    </row>
    <row r="136" spans="1:2" ht="30" customHeight="1" x14ac:dyDescent="0.2">
      <c r="A136" s="111"/>
    </row>
    <row r="137" spans="1:2" ht="30" customHeight="1" x14ac:dyDescent="0.2">
      <c r="A137" s="111"/>
    </row>
    <row r="138" spans="1:2" ht="30" customHeight="1" x14ac:dyDescent="0.2">
      <c r="A138" s="111"/>
    </row>
    <row r="139" spans="1:2" ht="30" customHeight="1" x14ac:dyDescent="0.2">
      <c r="A139" s="111"/>
    </row>
    <row r="140" spans="1:2" ht="30" customHeight="1" x14ac:dyDescent="0.2">
      <c r="A140" s="111"/>
    </row>
    <row r="141" spans="1:2" ht="30" customHeight="1" x14ac:dyDescent="0.2">
      <c r="A141" s="111"/>
    </row>
    <row r="142" spans="1:2" ht="30" customHeight="1" x14ac:dyDescent="0.2">
      <c r="A142" s="111"/>
    </row>
    <row r="143" spans="1:2" ht="30" customHeight="1" x14ac:dyDescent="0.2">
      <c r="A143" s="111"/>
    </row>
    <row r="144" spans="1:2" ht="30" customHeight="1" x14ac:dyDescent="0.2">
      <c r="A144" s="111"/>
    </row>
    <row r="145" spans="1:1" ht="30" customHeight="1" x14ac:dyDescent="0.2">
      <c r="A145" s="111"/>
    </row>
    <row r="146" spans="1:1" ht="30" customHeight="1" x14ac:dyDescent="0.2">
      <c r="A146" s="111"/>
    </row>
    <row r="147" spans="1:1" ht="30" customHeight="1" x14ac:dyDescent="0.2">
      <c r="A147" s="111"/>
    </row>
    <row r="148" spans="1:1" ht="30" customHeight="1" x14ac:dyDescent="0.2">
      <c r="A148" s="111"/>
    </row>
    <row r="149" spans="1:1" ht="30" customHeight="1" x14ac:dyDescent="0.2">
      <c r="A149" s="111"/>
    </row>
    <row r="150" spans="1:1" ht="30" customHeight="1" x14ac:dyDescent="0.2">
      <c r="A150" s="111"/>
    </row>
    <row r="151" spans="1:1" ht="30" customHeight="1" x14ac:dyDescent="0.2">
      <c r="A151" s="111"/>
    </row>
    <row r="152" spans="1:1" ht="30" customHeight="1" x14ac:dyDescent="0.2">
      <c r="A152" s="111"/>
    </row>
    <row r="153" spans="1:1" ht="30" customHeight="1" x14ac:dyDescent="0.2">
      <c r="A153" s="111"/>
    </row>
    <row r="154" spans="1:1" ht="30" customHeight="1" x14ac:dyDescent="0.2">
      <c r="A154" s="111"/>
    </row>
    <row r="155" spans="1:1" ht="30" customHeight="1" x14ac:dyDescent="0.2">
      <c r="A155" s="111"/>
    </row>
    <row r="156" spans="1:1" ht="30" customHeight="1" x14ac:dyDescent="0.2">
      <c r="A156" s="111"/>
    </row>
    <row r="157" spans="1:1" ht="30" customHeight="1" x14ac:dyDescent="0.2">
      <c r="A157" s="111"/>
    </row>
    <row r="158" spans="1:1" ht="30" customHeight="1" x14ac:dyDescent="0.2">
      <c r="A158" s="111"/>
    </row>
    <row r="159" spans="1:1" ht="30" customHeight="1" x14ac:dyDescent="0.2">
      <c r="A159" s="111"/>
    </row>
    <row r="160" spans="1:1" ht="30" customHeight="1" x14ac:dyDescent="0.2">
      <c r="A160" s="111"/>
    </row>
    <row r="161" spans="1:1" ht="30" customHeight="1" x14ac:dyDescent="0.2">
      <c r="A161" s="111"/>
    </row>
    <row r="162" spans="1:1" ht="30" customHeight="1" x14ac:dyDescent="0.2">
      <c r="A162" s="111"/>
    </row>
    <row r="163" spans="1:1" ht="30" customHeight="1" x14ac:dyDescent="0.2">
      <c r="A163" s="111"/>
    </row>
    <row r="164" spans="1:1" ht="30" customHeight="1" x14ac:dyDescent="0.2">
      <c r="A164" s="111"/>
    </row>
    <row r="165" spans="1:1" ht="30" customHeight="1" x14ac:dyDescent="0.2">
      <c r="A165" s="111"/>
    </row>
    <row r="166" spans="1:1" ht="30" customHeight="1" x14ac:dyDescent="0.2">
      <c r="A166" s="111"/>
    </row>
    <row r="167" spans="1:1" ht="30" customHeight="1" x14ac:dyDescent="0.2">
      <c r="A167" s="111"/>
    </row>
    <row r="168" spans="1:1" ht="30" customHeight="1" x14ac:dyDescent="0.2">
      <c r="A168" s="111"/>
    </row>
    <row r="169" spans="1:1" ht="30" customHeight="1" x14ac:dyDescent="0.2">
      <c r="A169" s="111"/>
    </row>
    <row r="170" spans="1:1" ht="30" customHeight="1" x14ac:dyDescent="0.2">
      <c r="A170" s="111"/>
    </row>
    <row r="171" spans="1:1" ht="30" customHeight="1" x14ac:dyDescent="0.2">
      <c r="A171" s="111"/>
    </row>
    <row r="172" spans="1:1" ht="30" customHeight="1" x14ac:dyDescent="0.2">
      <c r="A172" s="111"/>
    </row>
    <row r="173" spans="1:1" ht="30" customHeight="1" x14ac:dyDescent="0.2">
      <c r="A173" s="111"/>
    </row>
    <row r="174" spans="1:1" ht="30" customHeight="1" x14ac:dyDescent="0.2">
      <c r="A174" s="111"/>
    </row>
    <row r="175" spans="1:1" ht="30" customHeight="1" x14ac:dyDescent="0.2">
      <c r="A175" s="111"/>
    </row>
    <row r="176" spans="1:1" ht="30" customHeight="1" x14ac:dyDescent="0.2">
      <c r="A176" s="111"/>
    </row>
    <row r="177" spans="1:1" ht="30" customHeight="1" x14ac:dyDescent="0.2">
      <c r="A177" s="111"/>
    </row>
    <row r="178" spans="1:1" ht="30" customHeight="1" x14ac:dyDescent="0.2">
      <c r="A178" s="111"/>
    </row>
    <row r="179" spans="1:1" ht="30" customHeight="1" x14ac:dyDescent="0.2">
      <c r="A179" s="111"/>
    </row>
    <row r="180" spans="1:1" ht="30" customHeight="1" x14ac:dyDescent="0.2">
      <c r="A180" s="111"/>
    </row>
    <row r="181" spans="1:1" ht="30" customHeight="1" x14ac:dyDescent="0.2">
      <c r="A181" s="111"/>
    </row>
    <row r="182" spans="1:1" ht="30" customHeight="1" x14ac:dyDescent="0.2">
      <c r="A182" s="111"/>
    </row>
    <row r="183" spans="1:1" ht="30" customHeight="1" x14ac:dyDescent="0.2">
      <c r="A183" s="111"/>
    </row>
    <row r="184" spans="1:1" ht="30" customHeight="1" x14ac:dyDescent="0.2">
      <c r="A184" s="111"/>
    </row>
    <row r="185" spans="1:1" ht="30" customHeight="1" x14ac:dyDescent="0.2">
      <c r="A185" s="111"/>
    </row>
    <row r="186" spans="1:1" ht="30" customHeight="1" x14ac:dyDescent="0.2">
      <c r="A186" s="111"/>
    </row>
    <row r="187" spans="1:1" ht="30" customHeight="1" x14ac:dyDescent="0.2">
      <c r="A187" s="111"/>
    </row>
    <row r="188" spans="1:1" ht="30" customHeight="1" x14ac:dyDescent="0.2">
      <c r="A188" s="111"/>
    </row>
    <row r="189" spans="1:1" ht="30" customHeight="1" x14ac:dyDescent="0.2">
      <c r="A189" s="111"/>
    </row>
    <row r="190" spans="1:1" ht="30" customHeight="1" x14ac:dyDescent="0.2">
      <c r="A190" s="111"/>
    </row>
    <row r="191" spans="1:1" ht="30" customHeight="1" x14ac:dyDescent="0.2">
      <c r="A191" s="111"/>
    </row>
    <row r="192" spans="1:1" ht="30" customHeight="1" x14ac:dyDescent="0.2">
      <c r="A192" s="111"/>
    </row>
    <row r="193" spans="1:1" ht="30" customHeight="1" x14ac:dyDescent="0.2">
      <c r="A193" s="111"/>
    </row>
    <row r="194" spans="1:1" ht="30" customHeight="1" x14ac:dyDescent="0.2">
      <c r="A194" s="111"/>
    </row>
    <row r="195" spans="1:1" ht="30" customHeight="1" x14ac:dyDescent="0.2">
      <c r="A195" s="111"/>
    </row>
    <row r="196" spans="1:1" ht="30" customHeight="1" x14ac:dyDescent="0.2">
      <c r="A196" s="111"/>
    </row>
    <row r="197" spans="1:1" ht="30" customHeight="1" x14ac:dyDescent="0.2">
      <c r="A197" s="111"/>
    </row>
    <row r="198" spans="1:1" ht="30" customHeight="1" x14ac:dyDescent="0.2">
      <c r="A198" s="111"/>
    </row>
    <row r="199" spans="1:1" ht="30" customHeight="1" x14ac:dyDescent="0.2">
      <c r="A199" s="111"/>
    </row>
    <row r="200" spans="1:1" ht="30" customHeight="1" x14ac:dyDescent="0.2">
      <c r="A200" s="111"/>
    </row>
    <row r="201" spans="1:1" ht="30" customHeight="1" x14ac:dyDescent="0.2">
      <c r="A201" s="111"/>
    </row>
    <row r="202" spans="1:1" ht="30" customHeight="1" x14ac:dyDescent="0.2">
      <c r="A202" s="111"/>
    </row>
    <row r="203" spans="1:1" ht="30" customHeight="1" x14ac:dyDescent="0.2">
      <c r="A203" s="111"/>
    </row>
    <row r="204" spans="1:1" ht="30" customHeight="1" x14ac:dyDescent="0.2">
      <c r="A204" s="111"/>
    </row>
    <row r="205" spans="1:1" ht="30" customHeight="1" x14ac:dyDescent="0.2">
      <c r="A205" s="111"/>
    </row>
    <row r="206" spans="1:1" ht="30" customHeight="1" x14ac:dyDescent="0.2">
      <c r="A206" s="111"/>
    </row>
    <row r="207" spans="1:1" ht="30" customHeight="1" x14ac:dyDescent="0.2">
      <c r="A207" s="111"/>
    </row>
    <row r="208" spans="1:1" ht="30" customHeight="1" x14ac:dyDescent="0.2">
      <c r="A208" s="111"/>
    </row>
    <row r="209" spans="1:1" ht="30" customHeight="1" x14ac:dyDescent="0.2">
      <c r="A209" s="111"/>
    </row>
    <row r="210" spans="1:1" ht="30" customHeight="1" x14ac:dyDescent="0.2">
      <c r="A210" s="111"/>
    </row>
    <row r="211" spans="1:1" ht="30" customHeight="1" x14ac:dyDescent="0.2">
      <c r="A211" s="111"/>
    </row>
    <row r="212" spans="1:1" ht="30" customHeight="1" x14ac:dyDescent="0.2">
      <c r="A212" s="111"/>
    </row>
    <row r="213" spans="1:1" ht="30" customHeight="1" x14ac:dyDescent="0.2">
      <c r="A213" s="111"/>
    </row>
    <row r="214" spans="1:1" ht="30" customHeight="1" x14ac:dyDescent="0.2">
      <c r="A214" s="111"/>
    </row>
    <row r="215" spans="1:1" ht="30" customHeight="1" x14ac:dyDescent="0.2">
      <c r="A215" s="111"/>
    </row>
    <row r="216" spans="1:1" ht="30" customHeight="1" x14ac:dyDescent="0.2">
      <c r="A216" s="111"/>
    </row>
    <row r="217" spans="1:1" ht="30" customHeight="1" x14ac:dyDescent="0.2">
      <c r="A217" s="111"/>
    </row>
    <row r="218" spans="1:1" ht="30" customHeight="1" x14ac:dyDescent="0.2">
      <c r="A218" s="111"/>
    </row>
    <row r="219" spans="1:1" ht="30" customHeight="1" x14ac:dyDescent="0.2">
      <c r="A219" s="111"/>
    </row>
    <row r="220" spans="1:1" ht="30" customHeight="1" x14ac:dyDescent="0.2">
      <c r="A220" s="111"/>
    </row>
    <row r="221" spans="1:1" ht="30" customHeight="1" x14ac:dyDescent="0.2">
      <c r="A221" s="111"/>
    </row>
    <row r="222" spans="1:1" ht="30" customHeight="1" x14ac:dyDescent="0.2">
      <c r="A222" s="111"/>
    </row>
    <row r="223" spans="1:1" ht="30" customHeight="1" x14ac:dyDescent="0.2">
      <c r="A223" s="111"/>
    </row>
    <row r="224" spans="1:1" ht="30" customHeight="1" x14ac:dyDescent="0.2">
      <c r="A224" s="111"/>
    </row>
    <row r="225" spans="1:1" ht="30" customHeight="1" x14ac:dyDescent="0.2">
      <c r="A225" s="111"/>
    </row>
    <row r="226" spans="1:1" ht="30" customHeight="1" x14ac:dyDescent="0.2">
      <c r="A226" s="111"/>
    </row>
    <row r="227" spans="1:1" ht="30" customHeight="1" x14ac:dyDescent="0.2">
      <c r="A227" s="111"/>
    </row>
    <row r="228" spans="1:1" ht="30" customHeight="1" x14ac:dyDescent="0.2">
      <c r="A228" s="111"/>
    </row>
    <row r="229" spans="1:1" ht="30" customHeight="1" x14ac:dyDescent="0.2">
      <c r="A229" s="111"/>
    </row>
    <row r="230" spans="1:1" ht="30" customHeight="1" x14ac:dyDescent="0.2">
      <c r="A230" s="111"/>
    </row>
    <row r="231" spans="1:1" ht="30" customHeight="1" x14ac:dyDescent="0.2">
      <c r="A231" s="111"/>
    </row>
    <row r="232" spans="1:1" ht="30" customHeight="1" x14ac:dyDescent="0.2">
      <c r="A232" s="111"/>
    </row>
    <row r="233" spans="1:1" ht="30" customHeight="1" x14ac:dyDescent="0.2">
      <c r="A233" s="111"/>
    </row>
    <row r="234" spans="1:1" ht="30" customHeight="1" x14ac:dyDescent="0.2">
      <c r="A234" s="111"/>
    </row>
    <row r="235" spans="1:1" ht="30" customHeight="1" x14ac:dyDescent="0.2">
      <c r="A235" s="111"/>
    </row>
    <row r="236" spans="1:1" ht="30" customHeight="1" x14ac:dyDescent="0.2">
      <c r="A236" s="111"/>
    </row>
    <row r="237" spans="1:1" ht="30" customHeight="1" x14ac:dyDescent="0.2">
      <c r="A237" s="111"/>
    </row>
    <row r="238" spans="1:1" ht="30" customHeight="1" x14ac:dyDescent="0.2">
      <c r="A238" s="111"/>
    </row>
    <row r="239" spans="1:1" ht="30" customHeight="1" x14ac:dyDescent="0.2">
      <c r="A239" s="111"/>
    </row>
    <row r="240" spans="1:1" ht="30" customHeight="1" x14ac:dyDescent="0.2">
      <c r="A240" s="111"/>
    </row>
    <row r="241" spans="1:1" ht="30" customHeight="1" x14ac:dyDescent="0.2">
      <c r="A241" s="111"/>
    </row>
    <row r="242" spans="1:1" ht="30" customHeight="1" x14ac:dyDescent="0.2">
      <c r="A242" s="111"/>
    </row>
    <row r="243" spans="1:1" ht="30" customHeight="1" x14ac:dyDescent="0.2">
      <c r="A243" s="111"/>
    </row>
    <row r="244" spans="1:1" ht="30" customHeight="1" x14ac:dyDescent="0.2">
      <c r="A244" s="111"/>
    </row>
    <row r="245" spans="1:1" ht="30" customHeight="1" x14ac:dyDescent="0.2">
      <c r="A245" s="111"/>
    </row>
    <row r="246" spans="1:1" ht="30" customHeight="1" x14ac:dyDescent="0.2">
      <c r="A246" s="111"/>
    </row>
    <row r="247" spans="1:1" ht="30" customHeight="1" x14ac:dyDescent="0.2">
      <c r="A247" s="111"/>
    </row>
    <row r="248" spans="1:1" ht="30" customHeight="1" x14ac:dyDescent="0.2">
      <c r="A248" s="111"/>
    </row>
    <row r="249" spans="1:1" ht="30" customHeight="1" x14ac:dyDescent="0.2">
      <c r="A249" s="111"/>
    </row>
    <row r="250" spans="1:1" ht="30" customHeight="1" x14ac:dyDescent="0.2">
      <c r="A250" s="111"/>
    </row>
    <row r="251" spans="1:1" ht="30" customHeight="1" x14ac:dyDescent="0.2">
      <c r="A251" s="111"/>
    </row>
    <row r="252" spans="1:1" ht="30" customHeight="1" x14ac:dyDescent="0.2">
      <c r="A252" s="111"/>
    </row>
    <row r="253" spans="1:1" ht="30" customHeight="1" x14ac:dyDescent="0.2">
      <c r="A253" s="111"/>
    </row>
    <row r="254" spans="1:1" ht="30" customHeight="1" x14ac:dyDescent="0.2">
      <c r="A254" s="111"/>
    </row>
    <row r="255" spans="1:1" ht="30" customHeight="1" x14ac:dyDescent="0.2">
      <c r="A255" s="111"/>
    </row>
    <row r="256" spans="1:1" ht="30" customHeight="1" x14ac:dyDescent="0.2">
      <c r="A256" s="111"/>
    </row>
    <row r="257" spans="1:19" ht="30" customHeight="1" x14ac:dyDescent="0.2">
      <c r="A257" s="111"/>
    </row>
    <row r="258" spans="1:19" ht="30" customHeight="1" x14ac:dyDescent="0.2">
      <c r="A258" s="111"/>
    </row>
    <row r="259" spans="1:19" ht="30" customHeight="1" x14ac:dyDescent="0.2">
      <c r="A259" s="111"/>
    </row>
    <row r="260" spans="1:19" ht="30" customHeight="1" x14ac:dyDescent="0.2">
      <c r="A260" s="111"/>
    </row>
    <row r="261" spans="1:19" ht="30" customHeight="1" x14ac:dyDescent="0.2">
      <c r="A261" s="111"/>
    </row>
    <row r="262" spans="1:19" ht="30" customHeight="1" x14ac:dyDescent="0.2">
      <c r="A262" s="111"/>
    </row>
    <row r="263" spans="1:19" ht="30" customHeight="1" x14ac:dyDescent="0.2">
      <c r="A263" s="111"/>
    </row>
    <row r="264" spans="1:19" ht="30" customHeight="1" x14ac:dyDescent="0.2">
      <c r="A264" s="111"/>
    </row>
    <row r="265" spans="1:19" ht="30" customHeight="1" x14ac:dyDescent="0.2">
      <c r="A265" s="76" t="s">
        <v>125</v>
      </c>
      <c r="B265" s="96" t="s">
        <v>459</v>
      </c>
      <c r="C265" s="96" t="s">
        <v>460</v>
      </c>
      <c r="D265" s="76">
        <v>146</v>
      </c>
      <c r="E265" s="48"/>
      <c r="F265" s="48"/>
      <c r="G265" s="48">
        <v>21</v>
      </c>
      <c r="H265" s="48">
        <v>21</v>
      </c>
      <c r="I265" s="48">
        <v>21</v>
      </c>
      <c r="J265" s="48">
        <v>21</v>
      </c>
      <c r="K265" s="48">
        <v>38.700000000000003</v>
      </c>
      <c r="L265" s="48"/>
      <c r="M265" s="48">
        <v>38.700000000000003</v>
      </c>
      <c r="N265" s="48"/>
      <c r="O265" s="48"/>
      <c r="P265" s="48"/>
      <c r="Q265" s="47">
        <v>26.9</v>
      </c>
      <c r="R265" s="56" t="e">
        <f>#N/A</f>
        <v>#N/A</v>
      </c>
      <c r="S265" s="55" t="e">
        <f>#N/A</f>
        <v>#N/A</v>
      </c>
    </row>
    <row r="266" spans="1:19" ht="34.5" customHeight="1" x14ac:dyDescent="0.2">
      <c r="A266" s="76" t="s">
        <v>125</v>
      </c>
      <c r="B266" s="96" t="s">
        <v>461</v>
      </c>
      <c r="C266" s="96" t="s">
        <v>460</v>
      </c>
      <c r="D266" s="76">
        <v>138</v>
      </c>
      <c r="E266" s="47"/>
      <c r="F266" s="47"/>
      <c r="G266" s="47"/>
      <c r="H266" s="47"/>
      <c r="I266" s="47"/>
      <c r="J266" s="47">
        <v>62.9</v>
      </c>
      <c r="K266" s="47">
        <v>38.700000000000003</v>
      </c>
      <c r="L266" s="47"/>
      <c r="M266" s="47">
        <v>38.700000000000003</v>
      </c>
      <c r="N266" s="47"/>
      <c r="O266" s="47"/>
      <c r="P266" s="47"/>
      <c r="Q266" s="47">
        <v>46.8</v>
      </c>
      <c r="R266" s="56" t="e">
        <f>#N/A</f>
        <v>#N/A</v>
      </c>
      <c r="S266" s="55" t="e">
        <f>#N/A</f>
        <v>#N/A</v>
      </c>
    </row>
    <row r="267" spans="1:19" ht="30" customHeight="1" x14ac:dyDescent="0.2">
      <c r="A267" s="76" t="s">
        <v>125</v>
      </c>
      <c r="B267" s="97" t="s">
        <v>463</v>
      </c>
      <c r="C267" s="97" t="s">
        <v>462</v>
      </c>
      <c r="D267" s="76">
        <v>1070</v>
      </c>
      <c r="E267" s="48">
        <v>0</v>
      </c>
      <c r="F267" s="48">
        <v>0</v>
      </c>
      <c r="G267" s="48">
        <v>0</v>
      </c>
      <c r="H267" s="48"/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3.9</v>
      </c>
      <c r="O267" s="48">
        <v>0</v>
      </c>
      <c r="P267" s="48">
        <v>0</v>
      </c>
      <c r="Q267" s="47">
        <v>0.4</v>
      </c>
      <c r="R267" s="56" t="e">
        <f>#N/A</f>
        <v>#N/A</v>
      </c>
      <c r="S267" s="55" t="e">
        <f>#N/A</f>
        <v>#N/A</v>
      </c>
    </row>
    <row r="268" spans="1:19" ht="31.5" customHeight="1" x14ac:dyDescent="0.2">
      <c r="A268" s="76" t="s">
        <v>125</v>
      </c>
      <c r="B268" s="97" t="s">
        <v>464</v>
      </c>
      <c r="C268" s="97" t="s">
        <v>462</v>
      </c>
      <c r="D268" s="76">
        <v>2530</v>
      </c>
      <c r="E268" s="48">
        <v>0</v>
      </c>
      <c r="F268" s="48"/>
      <c r="G268" s="48">
        <v>0</v>
      </c>
      <c r="H268" s="48">
        <v>19.399999999999999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7">
        <v>1.8</v>
      </c>
      <c r="R268" s="56" t="e">
        <f>#N/A</f>
        <v>#N/A</v>
      </c>
      <c r="S268" s="55" t="e">
        <f>#N/A</f>
        <v>#N/A</v>
      </c>
    </row>
    <row r="269" spans="1:19" ht="27.75" customHeight="1" x14ac:dyDescent="0.2">
      <c r="A269" s="76" t="s">
        <v>125</v>
      </c>
      <c r="B269" s="96" t="s">
        <v>465</v>
      </c>
      <c r="C269" s="96" t="s">
        <v>466</v>
      </c>
      <c r="D269" s="89">
        <v>537</v>
      </c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47" t="e">
        <v>#DIV/0!</v>
      </c>
      <c r="R269" s="56" t="e">
        <f>#N/A</f>
        <v>#N/A</v>
      </c>
      <c r="S269" s="55" t="e">
        <f>#N/A</f>
        <v>#N/A</v>
      </c>
    </row>
    <row r="270" spans="1:19" ht="27.75" customHeight="1" x14ac:dyDescent="0.2">
      <c r="A270" s="76" t="s">
        <v>125</v>
      </c>
      <c r="B270" s="96" t="s">
        <v>467</v>
      </c>
      <c r="C270" s="96" t="s">
        <v>468</v>
      </c>
      <c r="D270" s="89">
        <v>127</v>
      </c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47" t="e">
        <v>#DIV/0!</v>
      </c>
      <c r="R270" s="56" t="e">
        <f>#N/A</f>
        <v>#N/A</v>
      </c>
      <c r="S270" s="55" t="e">
        <f>#N/A</f>
        <v>#N/A</v>
      </c>
    </row>
    <row r="271" spans="1:19" ht="31.5" customHeight="1" x14ac:dyDescent="0.2">
      <c r="A271" s="76" t="s">
        <v>125</v>
      </c>
      <c r="B271" s="96" t="s">
        <v>469</v>
      </c>
      <c r="C271" s="96" t="s">
        <v>468</v>
      </c>
      <c r="D271" s="89">
        <v>180</v>
      </c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47" t="e">
        <v>#DIV/0!</v>
      </c>
      <c r="R271" s="56" t="e">
        <f>#N/A</f>
        <v>#N/A</v>
      </c>
      <c r="S271" s="55" t="e">
        <f>#N/A</f>
        <v>#N/A</v>
      </c>
    </row>
    <row r="272" spans="1:19" ht="32.25" customHeight="1" x14ac:dyDescent="0.2">
      <c r="A272" s="76" t="s">
        <v>125</v>
      </c>
      <c r="B272" s="96" t="s">
        <v>470</v>
      </c>
      <c r="C272" s="98" t="s">
        <v>471</v>
      </c>
      <c r="D272" s="89">
        <v>410</v>
      </c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47" t="e">
        <v>#DIV/0!</v>
      </c>
      <c r="R272" s="56" t="e">
        <f>#N/A</f>
        <v>#N/A</v>
      </c>
      <c r="S272" s="55" t="e">
        <f>#N/A</f>
        <v>#N/A</v>
      </c>
    </row>
    <row r="273" spans="1:19" ht="30" customHeight="1" x14ac:dyDescent="0.2">
      <c r="A273" s="76" t="s">
        <v>125</v>
      </c>
      <c r="B273" s="96" t="s">
        <v>472</v>
      </c>
      <c r="C273" s="98" t="s">
        <v>468</v>
      </c>
      <c r="D273" s="89">
        <v>185</v>
      </c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47" t="e">
        <v>#DIV/0!</v>
      </c>
      <c r="R273" s="56" t="e">
        <f>#N/A</f>
        <v>#N/A</v>
      </c>
      <c r="S273" s="55" t="e">
        <f>#N/A</f>
        <v>#N/A</v>
      </c>
    </row>
    <row r="274" spans="1:19" ht="14.25" x14ac:dyDescent="0.2">
      <c r="Q274" s="88"/>
    </row>
    <row r="275" spans="1:19" ht="14.25" x14ac:dyDescent="0.2">
      <c r="Q275" s="87"/>
    </row>
    <row r="276" spans="1:19" ht="14.25" x14ac:dyDescent="0.2">
      <c r="Q276" s="87"/>
    </row>
    <row r="277" spans="1:19" ht="14.25" x14ac:dyDescent="0.2">
      <c r="Q277" s="87"/>
    </row>
    <row r="278" spans="1:19" ht="14.25" x14ac:dyDescent="0.2">
      <c r="Q278" s="87"/>
    </row>
    <row r="279" spans="1:19" ht="14.25" x14ac:dyDescent="0.2">
      <c r="Q279" s="87"/>
    </row>
    <row r="280" spans="1:19" ht="14.25" hidden="1" x14ac:dyDescent="0.2">
      <c r="Q280" s="86">
        <v>97.9</v>
      </c>
    </row>
    <row r="281" spans="1:19" ht="14.25" hidden="1" x14ac:dyDescent="0.2">
      <c r="Q281" s="82" t="e">
        <v>#DIV/0!</v>
      </c>
    </row>
    <row r="282" spans="1:19" ht="14.25" hidden="1" x14ac:dyDescent="0.2">
      <c r="Q282" s="82" t="e">
        <v>#DIV/0!</v>
      </c>
    </row>
    <row r="283" spans="1:19" hidden="1" x14ac:dyDescent="0.2"/>
    <row r="284" spans="1:19" hidden="1" x14ac:dyDescent="0.2"/>
    <row r="285" spans="1:19" hidden="1" x14ac:dyDescent="0.2"/>
    <row r="286" spans="1:19" hidden="1" x14ac:dyDescent="0.2"/>
    <row r="287" spans="1:19" hidden="1" x14ac:dyDescent="0.2"/>
    <row r="288" spans="1:19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spans="17:19" hidden="1" x14ac:dyDescent="0.2"/>
    <row r="418" spans="17:19" hidden="1" x14ac:dyDescent="0.2"/>
    <row r="419" spans="17:19" hidden="1" x14ac:dyDescent="0.2"/>
    <row r="420" spans="17:19" hidden="1" x14ac:dyDescent="0.2"/>
    <row r="421" spans="17:19" hidden="1" x14ac:dyDescent="0.2"/>
    <row r="422" spans="17:19" hidden="1" x14ac:dyDescent="0.2"/>
    <row r="423" spans="17:19" hidden="1" x14ac:dyDescent="0.2"/>
    <row r="424" spans="17:19" hidden="1" x14ac:dyDescent="0.2"/>
    <row r="425" spans="17:19" hidden="1" x14ac:dyDescent="0.2"/>
    <row r="426" spans="17:19" hidden="1" x14ac:dyDescent="0.2"/>
    <row r="427" spans="17:19" hidden="1" x14ac:dyDescent="0.2"/>
    <row r="428" spans="17:19" hidden="1" x14ac:dyDescent="0.2"/>
    <row r="429" spans="17:19" hidden="1" x14ac:dyDescent="0.2"/>
    <row r="430" spans="17:19" hidden="1" x14ac:dyDescent="0.2"/>
    <row r="431" spans="17:19" ht="15" hidden="1" x14ac:dyDescent="0.2">
      <c r="Q431" s="47" t="e">
        <v>#DIV/0!</v>
      </c>
      <c r="R431" s="56" t="e">
        <f>IF(Q431&lt;5,"SI","NO")</f>
        <v>#DIV/0!</v>
      </c>
      <c r="S431" s="55" t="e">
        <f>IF(Q431&lt;5,"Sin Riesgo",IF(Q431 &lt;=14,"Bajo",IF(Q431&lt;=35,"Medio",IF(Q431&lt;=80,"Alto","Inviable Sanitariamente"))))</f>
        <v>#DIV/0!</v>
      </c>
    </row>
    <row r="432" spans="17:19" ht="15" hidden="1" x14ac:dyDescent="0.2">
      <c r="Q432" s="47" t="e">
        <v>#DIV/0!</v>
      </c>
      <c r="R432" s="56" t="e">
        <f>IF(Q432&lt;5,"SI","NO")</f>
        <v>#DIV/0!</v>
      </c>
      <c r="S432" s="55" t="e">
        <f>IF(Q432&lt;5,"Sin Riesgo",IF(Q432 &lt;=14,"Bajo",IF(Q432&lt;=35,"Medio",IF(Q432&lt;=80,"Alto","Inviable Sanitariamente"))))</f>
        <v>#DIV/0!</v>
      </c>
    </row>
    <row r="433" spans="17:19" ht="15" hidden="1" x14ac:dyDescent="0.2">
      <c r="Q433" s="47" t="e">
        <v>#DIV/0!</v>
      </c>
      <c r="R433" s="56" t="e">
        <f>IF(Q433&lt;5,"SI","NO")</f>
        <v>#DIV/0!</v>
      </c>
      <c r="S433" s="55" t="e">
        <f>IF(Q433&lt;5,"Sin Riesgo",IF(Q433 &lt;=14,"Bajo",IF(Q433&lt;=35,"Medio",IF(Q433&lt;=80,"Alto","Inviable Sanitariamente"))))</f>
        <v>#DIV/0!</v>
      </c>
    </row>
    <row r="434" spans="17:19" ht="15" hidden="1" x14ac:dyDescent="0.2">
      <c r="Q434" s="47" t="e">
        <v>#DIV/0!</v>
      </c>
      <c r="R434" s="56" t="e">
        <f>IF(Q434&lt;5,"SI","NO")</f>
        <v>#DIV/0!</v>
      </c>
      <c r="S434" s="55" t="e">
        <f>IF(Q434&lt;5,"Sin Riesgo",IF(Q434 &lt;=14,"Bajo",IF(Q434&lt;=35,"Medio",IF(Q434&lt;=80,"Alto","Inviable Sanitariamente"))))</f>
        <v>#DIV/0!</v>
      </c>
    </row>
    <row r="435" spans="17:19" ht="15" hidden="1" x14ac:dyDescent="0.2">
      <c r="Q435" s="47" t="e">
        <v>#DIV/0!</v>
      </c>
      <c r="R435" s="56" t="e">
        <f>IF(Q435&lt;5,"SI","NO")</f>
        <v>#DIV/0!</v>
      </c>
      <c r="S435" s="55" t="e">
        <f>IF(Q435&lt;5,"Sin Riesgo",IF(Q435 &lt;=14,"Bajo",IF(Q435&lt;=35,"Medio",IF(Q435&lt;=80,"Alto","Inviable Sanitariamente"))))</f>
        <v>#DIV/0!</v>
      </c>
    </row>
    <row r="436" spans="17:19" x14ac:dyDescent="0.2"/>
    <row r="437" spans="17:19" x14ac:dyDescent="0.2"/>
    <row r="438" spans="17:19" x14ac:dyDescent="0.2"/>
    <row r="439" spans="17:19" x14ac:dyDescent="0.2"/>
    <row r="440" spans="17:19" x14ac:dyDescent="0.2"/>
    <row r="441" spans="17:19" x14ac:dyDescent="0.2"/>
    <row r="442" spans="17:19" x14ac:dyDescent="0.2"/>
    <row r="443" spans="17:19" x14ac:dyDescent="0.2"/>
    <row r="444" spans="17:19" x14ac:dyDescent="0.2"/>
    <row r="445" spans="17:19" x14ac:dyDescent="0.2"/>
    <row r="446" spans="17:19" x14ac:dyDescent="0.2"/>
    <row r="447" spans="17:19" x14ac:dyDescent="0.2"/>
    <row r="448" spans="17:19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</sheetData>
  <autoFilter ref="A9:W121">
    <sortState ref="A11:W121">
      <sortCondition ref="A9:A121"/>
    </sortState>
  </autoFilter>
  <customSheetViews>
    <customSheetView guid="{45C8AF51-29EC-46A5-AB7F-1F0634E55D82}" scale="60" showAutoFilter="1" hiddenRows="1" hiddenColumns="1">
      <selection activeCell="C135" sqref="C135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121">
        <sortState ref="A11:W121">
          <sortCondition ref="A9:A121"/>
        </sortState>
      </autoFilter>
    </customSheetView>
    <customSheetView guid="{FCC3B493-4306-43B2-9C73-76324485DD47}" scale="60" showAutoFilter="1" hiddenRows="1" hiddenColumns="1" topLeftCell="A97">
      <selection activeCell="F126" sqref="F126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121">
        <sortState ref="A11:W121">
          <sortCondition ref="A9:A121"/>
        </sortState>
      </autoFilter>
    </customSheetView>
    <customSheetView guid="{AEDE1BDB-8710-4CDA-8488-31F49D423ACE}" scale="60" showAutoFilter="1" hiddenRows="1" hiddenColumns="1" topLeftCell="G100">
      <selection activeCell="G118" sqref="A118:XFD12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122"/>
    </customSheetView>
    <customSheetView guid="{75DD7674-E7DE-4BB1-A36D-76AA33452CB3}" scale="60" showAutoFilter="1" hiddenRows="1" hiddenColumns="1">
      <selection activeCell="A8" sqref="A8:A9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121">
        <sortState ref="A11:W121">
          <sortCondition ref="A9:A121"/>
        </sortState>
      </autoFilter>
    </customSheetView>
  </customSheetViews>
  <mergeCells count="20">
    <mergeCell ref="A8:A9"/>
    <mergeCell ref="S8:S9"/>
    <mergeCell ref="R8:R9"/>
    <mergeCell ref="D8:D9"/>
    <mergeCell ref="B8:B9"/>
    <mergeCell ref="C8:C9"/>
    <mergeCell ref="E8:P8"/>
    <mergeCell ref="Q8:Q9"/>
    <mergeCell ref="S5:S6"/>
    <mergeCell ref="B1:D1"/>
    <mergeCell ref="B2:D2"/>
    <mergeCell ref="B4:D4"/>
    <mergeCell ref="B5:B6"/>
    <mergeCell ref="C5:C6"/>
    <mergeCell ref="D5:D6"/>
    <mergeCell ref="E5:G6"/>
    <mergeCell ref="H5:J6"/>
    <mergeCell ref="K5:M6"/>
    <mergeCell ref="N5:P6"/>
    <mergeCell ref="Q5:R6"/>
  </mergeCells>
  <phoneticPr fontId="2" type="noConversion"/>
  <conditionalFormatting sqref="R25 R28 R265:R268 R31:R42 R112 R11:R18 R57:R96 R99:R106">
    <cfRule type="cellIs" dxfId="5961" priority="2276" stopIfTrue="1" operator="equal">
      <formula>"NO"</formula>
    </cfRule>
  </conditionalFormatting>
  <conditionalFormatting sqref="R93:R96">
    <cfRule type="cellIs" dxfId="5960" priority="2235" stopIfTrue="1" operator="equal">
      <formula>"NO"</formula>
    </cfRule>
  </conditionalFormatting>
  <conditionalFormatting sqref="R93:R96">
    <cfRule type="cellIs" dxfId="5959" priority="2233" stopIfTrue="1" operator="equal">
      <formula>"NO"</formula>
    </cfRule>
  </conditionalFormatting>
  <conditionalFormatting sqref="R19">
    <cfRule type="cellIs" dxfId="5958" priority="2007" stopIfTrue="1" operator="equal">
      <formula>"NO"</formula>
    </cfRule>
  </conditionalFormatting>
  <conditionalFormatting sqref="R19">
    <cfRule type="cellIs" dxfId="5957" priority="2006" stopIfTrue="1" operator="equal">
      <formula>"NO"</formula>
    </cfRule>
  </conditionalFormatting>
  <conditionalFormatting sqref="R19">
    <cfRule type="cellIs" dxfId="5956" priority="2004" stopIfTrue="1" operator="equal">
      <formula>"NO"</formula>
    </cfRule>
  </conditionalFormatting>
  <conditionalFormatting sqref="R24">
    <cfRule type="cellIs" dxfId="5955" priority="1981" stopIfTrue="1" operator="equal">
      <formula>"NO"</formula>
    </cfRule>
  </conditionalFormatting>
  <conditionalFormatting sqref="R24">
    <cfRule type="cellIs" dxfId="5954" priority="1980" stopIfTrue="1" operator="equal">
      <formula>"NO"</formula>
    </cfRule>
  </conditionalFormatting>
  <conditionalFormatting sqref="R24">
    <cfRule type="cellIs" dxfId="5953" priority="1978" stopIfTrue="1" operator="equal">
      <formula>"NO"</formula>
    </cfRule>
  </conditionalFormatting>
  <conditionalFormatting sqref="R23">
    <cfRule type="cellIs" dxfId="5952" priority="1955" stopIfTrue="1" operator="equal">
      <formula>"NO"</formula>
    </cfRule>
  </conditionalFormatting>
  <conditionalFormatting sqref="R23">
    <cfRule type="cellIs" dxfId="5951" priority="1954" stopIfTrue="1" operator="equal">
      <formula>"NO"</formula>
    </cfRule>
  </conditionalFormatting>
  <conditionalFormatting sqref="R23">
    <cfRule type="cellIs" dxfId="5950" priority="1952" stopIfTrue="1" operator="equal">
      <formula>"NO"</formula>
    </cfRule>
  </conditionalFormatting>
  <conditionalFormatting sqref="R20">
    <cfRule type="cellIs" dxfId="5949" priority="1929" stopIfTrue="1" operator="equal">
      <formula>"NO"</formula>
    </cfRule>
  </conditionalFormatting>
  <conditionalFormatting sqref="R20">
    <cfRule type="cellIs" dxfId="5948" priority="1928" stopIfTrue="1" operator="equal">
      <formula>"NO"</formula>
    </cfRule>
  </conditionalFormatting>
  <conditionalFormatting sqref="R20">
    <cfRule type="cellIs" dxfId="5947" priority="1926" stopIfTrue="1" operator="equal">
      <formula>"NO"</formula>
    </cfRule>
  </conditionalFormatting>
  <conditionalFormatting sqref="R21">
    <cfRule type="cellIs" dxfId="5946" priority="1903" stopIfTrue="1" operator="equal">
      <formula>"NO"</formula>
    </cfRule>
  </conditionalFormatting>
  <conditionalFormatting sqref="R21">
    <cfRule type="cellIs" dxfId="5945" priority="1902" stopIfTrue="1" operator="equal">
      <formula>"NO"</formula>
    </cfRule>
  </conditionalFormatting>
  <conditionalFormatting sqref="R21">
    <cfRule type="cellIs" dxfId="5944" priority="1900" stopIfTrue="1" operator="equal">
      <formula>"NO"</formula>
    </cfRule>
  </conditionalFormatting>
  <conditionalFormatting sqref="R22">
    <cfRule type="cellIs" dxfId="5943" priority="1877" stopIfTrue="1" operator="equal">
      <formula>"NO"</formula>
    </cfRule>
  </conditionalFormatting>
  <conditionalFormatting sqref="R22">
    <cfRule type="cellIs" dxfId="5942" priority="1876" stopIfTrue="1" operator="equal">
      <formula>"NO"</formula>
    </cfRule>
  </conditionalFormatting>
  <conditionalFormatting sqref="R22">
    <cfRule type="cellIs" dxfId="5941" priority="1874" stopIfTrue="1" operator="equal">
      <formula>"NO"</formula>
    </cfRule>
  </conditionalFormatting>
  <conditionalFormatting sqref="R27">
    <cfRule type="cellIs" dxfId="5940" priority="1825" stopIfTrue="1" operator="equal">
      <formula>"NO"</formula>
    </cfRule>
  </conditionalFormatting>
  <conditionalFormatting sqref="R27">
    <cfRule type="cellIs" dxfId="5939" priority="1824" stopIfTrue="1" operator="equal">
      <formula>"NO"</formula>
    </cfRule>
  </conditionalFormatting>
  <conditionalFormatting sqref="R27">
    <cfRule type="cellIs" dxfId="5938" priority="1822" stopIfTrue="1" operator="equal">
      <formula>"NO"</formula>
    </cfRule>
  </conditionalFormatting>
  <conditionalFormatting sqref="R29">
    <cfRule type="cellIs" dxfId="5937" priority="1799" stopIfTrue="1" operator="equal">
      <formula>"NO"</formula>
    </cfRule>
  </conditionalFormatting>
  <conditionalFormatting sqref="R29">
    <cfRule type="cellIs" dxfId="5936" priority="1798" stopIfTrue="1" operator="equal">
      <formula>"NO"</formula>
    </cfRule>
  </conditionalFormatting>
  <conditionalFormatting sqref="R29">
    <cfRule type="cellIs" dxfId="5935" priority="1796" stopIfTrue="1" operator="equal">
      <formula>"NO"</formula>
    </cfRule>
  </conditionalFormatting>
  <conditionalFormatting sqref="R26">
    <cfRule type="cellIs" dxfId="5934" priority="1773" stopIfTrue="1" operator="equal">
      <formula>"NO"</formula>
    </cfRule>
  </conditionalFormatting>
  <conditionalFormatting sqref="R26">
    <cfRule type="cellIs" dxfId="5933" priority="1772" stopIfTrue="1" operator="equal">
      <formula>"NO"</formula>
    </cfRule>
  </conditionalFormatting>
  <conditionalFormatting sqref="R26">
    <cfRule type="cellIs" dxfId="5932" priority="1770" stopIfTrue="1" operator="equal">
      <formula>"NO"</formula>
    </cfRule>
  </conditionalFormatting>
  <conditionalFormatting sqref="R30">
    <cfRule type="cellIs" dxfId="5931" priority="1747" stopIfTrue="1" operator="equal">
      <formula>"NO"</formula>
    </cfRule>
  </conditionalFormatting>
  <conditionalFormatting sqref="R30">
    <cfRule type="cellIs" dxfId="5930" priority="1746" stopIfTrue="1" operator="equal">
      <formula>"NO"</formula>
    </cfRule>
  </conditionalFormatting>
  <conditionalFormatting sqref="R30">
    <cfRule type="cellIs" dxfId="5929" priority="1744" stopIfTrue="1" operator="equal">
      <formula>"NO"</formula>
    </cfRule>
  </conditionalFormatting>
  <conditionalFormatting sqref="S265:S266 S122">
    <cfRule type="cellIs" dxfId="5928" priority="1484" stopIfTrue="1" operator="equal">
      <formula>"INVIABLE SANITARIAMENTE"</formula>
    </cfRule>
  </conditionalFormatting>
  <conditionalFormatting sqref="S265:S266 S122">
    <cfRule type="containsText" dxfId="5927" priority="1479" stopIfTrue="1" operator="containsText" text="INVIABLE SANITARIAMENTE">
      <formula>NOT(ISERROR(SEARCH("INVIABLE SANITARIAMENTE",S122)))</formula>
    </cfRule>
    <cfRule type="containsText" dxfId="5926" priority="1480" stopIfTrue="1" operator="containsText" text="ALTO">
      <formula>NOT(ISERROR(SEARCH("ALTO",S122)))</formula>
    </cfRule>
    <cfRule type="containsText" dxfId="5925" priority="1481" stopIfTrue="1" operator="containsText" text="MEDIO">
      <formula>NOT(ISERROR(SEARCH("MEDIO",S122)))</formula>
    </cfRule>
    <cfRule type="containsText" dxfId="5924" priority="1482" stopIfTrue="1" operator="containsText" text="BAJO">
      <formula>NOT(ISERROR(SEARCH("BAJO",S122)))</formula>
    </cfRule>
    <cfRule type="containsText" dxfId="5923" priority="1483" stopIfTrue="1" operator="containsText" text="SIN RIESGO">
      <formula>NOT(ISERROR(SEARCH("SIN RIESGO",S122)))</formula>
    </cfRule>
  </conditionalFormatting>
  <conditionalFormatting sqref="S265:S266 S122">
    <cfRule type="containsText" dxfId="5922" priority="1478" stopIfTrue="1" operator="containsText" text="SIN RIESGO">
      <formula>NOT(ISERROR(SEARCH("SIN RIESGO",S122)))</formula>
    </cfRule>
  </conditionalFormatting>
  <conditionalFormatting sqref="E95:H95 E58:I59 F94:J94 F96:J96 J95 E104:P104 P94:Q94 I97:K97 E47:Q47 E49:Q49 E65:Q66 Q67 Q48 Q63:Q64 E266:P266 Q265:Q268 Q50:Q56 E57:Q57 L58:Q61 E60:J61 E97:G97 M97:O97 P95:P97 E32 Q73:Q93 E68:Q72 Q11:Q46 E62:Q62 Q95:Q115">
    <cfRule type="containsBlanks" dxfId="5921" priority="1471" stopIfTrue="1">
      <formula>LEN(TRIM(E11))=0</formula>
    </cfRule>
    <cfRule type="cellIs" dxfId="5920" priority="1472" stopIfTrue="1" operator="between">
      <formula>80.1</formula>
      <formula>100</formula>
    </cfRule>
    <cfRule type="cellIs" dxfId="5919" priority="1473" stopIfTrue="1" operator="between">
      <formula>35.1</formula>
      <formula>80</formula>
    </cfRule>
    <cfRule type="cellIs" dxfId="5918" priority="1474" stopIfTrue="1" operator="between">
      <formula>14.1</formula>
      <formula>35</formula>
    </cfRule>
    <cfRule type="cellIs" dxfId="5917" priority="1475" stopIfTrue="1" operator="between">
      <formula>5.1</formula>
      <formula>14</formula>
    </cfRule>
    <cfRule type="cellIs" dxfId="5916" priority="1476" stopIfTrue="1" operator="between">
      <formula>0</formula>
      <formula>5</formula>
    </cfRule>
    <cfRule type="containsBlanks" dxfId="5915" priority="1477" stopIfTrue="1">
      <formula>LEN(TRIM(E11))=0</formula>
    </cfRule>
  </conditionalFormatting>
  <conditionalFormatting sqref="Q30 Q34 Q37:Q42">
    <cfRule type="containsBlanks" dxfId="5914" priority="1464" stopIfTrue="1">
      <formula>LEN(TRIM(Q30))=0</formula>
    </cfRule>
    <cfRule type="cellIs" dxfId="5913" priority="1465" stopIfTrue="1" operator="between">
      <formula>80.1</formula>
      <formula>100</formula>
    </cfRule>
    <cfRule type="cellIs" dxfId="5912" priority="1466" stopIfTrue="1" operator="between">
      <formula>35.1</formula>
      <formula>80</formula>
    </cfRule>
    <cfRule type="cellIs" dxfId="5911" priority="1467" stopIfTrue="1" operator="between">
      <formula>14.1</formula>
      <formula>35</formula>
    </cfRule>
    <cfRule type="cellIs" dxfId="5910" priority="1468" stopIfTrue="1" operator="between">
      <formula>5.1</formula>
      <formula>14</formula>
    </cfRule>
    <cfRule type="cellIs" dxfId="5909" priority="1469" stopIfTrue="1" operator="between">
      <formula>0</formula>
      <formula>5</formula>
    </cfRule>
    <cfRule type="containsBlanks" dxfId="5908" priority="1470" stopIfTrue="1">
      <formula>LEN(TRIM(Q30))=0</formula>
    </cfRule>
  </conditionalFormatting>
  <conditionalFormatting sqref="E30:P30 E34:P34 E37:P42 E12:P12 K60:K61 E87:J87">
    <cfRule type="containsBlanks" dxfId="5907" priority="1457" stopIfTrue="1">
      <formula>LEN(TRIM(E12))=0</formula>
    </cfRule>
    <cfRule type="cellIs" dxfId="5906" priority="1458" stopIfTrue="1" operator="between">
      <formula>79.1</formula>
      <formula>100</formula>
    </cfRule>
    <cfRule type="cellIs" dxfId="5905" priority="1459" stopIfTrue="1" operator="between">
      <formula>34.1</formula>
      <formula>79</formula>
    </cfRule>
    <cfRule type="cellIs" dxfId="5904" priority="1460" stopIfTrue="1" operator="between">
      <formula>13.1</formula>
      <formula>34</formula>
    </cfRule>
    <cfRule type="cellIs" dxfId="5903" priority="1461" stopIfTrue="1" operator="between">
      <formula>5.1</formula>
      <formula>13</formula>
    </cfRule>
    <cfRule type="cellIs" dxfId="5902" priority="1462" stopIfTrue="1" operator="between">
      <formula>0</formula>
      <formula>5</formula>
    </cfRule>
    <cfRule type="containsBlanks" dxfId="5901" priority="1463" stopIfTrue="1">
      <formula>LEN(TRIM(E12))=0</formula>
    </cfRule>
  </conditionalFormatting>
  <conditionalFormatting sqref="F19:Q19">
    <cfRule type="containsBlanks" dxfId="5900" priority="1450" stopIfTrue="1">
      <formula>LEN(TRIM(F19))=0</formula>
    </cfRule>
    <cfRule type="cellIs" dxfId="5899" priority="1451" stopIfTrue="1" operator="between">
      <formula>80.1</formula>
      <formula>100</formula>
    </cfRule>
    <cfRule type="cellIs" dxfId="5898" priority="1452" stopIfTrue="1" operator="between">
      <formula>35.1</formula>
      <formula>80</formula>
    </cfRule>
    <cfRule type="cellIs" dxfId="5897" priority="1453" stopIfTrue="1" operator="between">
      <formula>14.1</formula>
      <formula>35</formula>
    </cfRule>
    <cfRule type="cellIs" dxfId="5896" priority="1454" stopIfTrue="1" operator="between">
      <formula>5.1</formula>
      <formula>14</formula>
    </cfRule>
    <cfRule type="cellIs" dxfId="5895" priority="1455" stopIfTrue="1" operator="between">
      <formula>0</formula>
      <formula>5</formula>
    </cfRule>
    <cfRule type="containsBlanks" dxfId="5894" priority="1456" stopIfTrue="1">
      <formula>LEN(TRIM(F19))=0</formula>
    </cfRule>
  </conditionalFormatting>
  <conditionalFormatting sqref="E19">
    <cfRule type="containsBlanks" dxfId="5893" priority="1443" stopIfTrue="1">
      <formula>LEN(TRIM(E19))=0</formula>
    </cfRule>
    <cfRule type="cellIs" dxfId="5892" priority="1444" stopIfTrue="1" operator="between">
      <formula>80.1</formula>
      <formula>100</formula>
    </cfRule>
    <cfRule type="cellIs" dxfId="5891" priority="1445" stopIfTrue="1" operator="between">
      <formula>35.1</formula>
      <formula>80</formula>
    </cfRule>
    <cfRule type="cellIs" dxfId="5890" priority="1446" stopIfTrue="1" operator="between">
      <formula>14.1</formula>
      <formula>35</formula>
    </cfRule>
    <cfRule type="cellIs" dxfId="5889" priority="1447" stopIfTrue="1" operator="between">
      <formula>5.1</formula>
      <formula>14</formula>
    </cfRule>
    <cfRule type="cellIs" dxfId="5888" priority="1448" stopIfTrue="1" operator="between">
      <formula>0</formula>
      <formula>5</formula>
    </cfRule>
    <cfRule type="containsBlanks" dxfId="5887" priority="1449" stopIfTrue="1">
      <formula>LEN(TRIM(E19))=0</formula>
    </cfRule>
  </conditionalFormatting>
  <conditionalFormatting sqref="F29:Q29">
    <cfRule type="containsBlanks" dxfId="5886" priority="1436" stopIfTrue="1">
      <formula>LEN(TRIM(F29))=0</formula>
    </cfRule>
    <cfRule type="cellIs" dxfId="5885" priority="1437" stopIfTrue="1" operator="between">
      <formula>80.1</formula>
      <formula>100</formula>
    </cfRule>
    <cfRule type="cellIs" dxfId="5884" priority="1438" stopIfTrue="1" operator="between">
      <formula>35.1</formula>
      <formula>80</formula>
    </cfRule>
    <cfRule type="cellIs" dxfId="5883" priority="1439" stopIfTrue="1" operator="between">
      <formula>14.1</formula>
      <formula>35</formula>
    </cfRule>
    <cfRule type="cellIs" dxfId="5882" priority="1440" stopIfTrue="1" operator="between">
      <formula>5.1</formula>
      <formula>14</formula>
    </cfRule>
    <cfRule type="cellIs" dxfId="5881" priority="1441" stopIfTrue="1" operator="between">
      <formula>0</formula>
      <formula>5</formula>
    </cfRule>
    <cfRule type="containsBlanks" dxfId="5880" priority="1442" stopIfTrue="1">
      <formula>LEN(TRIM(F29))=0</formula>
    </cfRule>
  </conditionalFormatting>
  <conditionalFormatting sqref="E29">
    <cfRule type="containsBlanks" dxfId="5879" priority="1429" stopIfTrue="1">
      <formula>LEN(TRIM(E29))=0</formula>
    </cfRule>
    <cfRule type="cellIs" dxfId="5878" priority="1430" stopIfTrue="1" operator="between">
      <formula>80.1</formula>
      <formula>100</formula>
    </cfRule>
    <cfRule type="cellIs" dxfId="5877" priority="1431" stopIfTrue="1" operator="between">
      <formula>35.1</formula>
      <formula>80</formula>
    </cfRule>
    <cfRule type="cellIs" dxfId="5876" priority="1432" stopIfTrue="1" operator="between">
      <formula>14.1</formula>
      <formula>35</formula>
    </cfRule>
    <cfRule type="cellIs" dxfId="5875" priority="1433" stopIfTrue="1" operator="between">
      <formula>5.1</formula>
      <formula>14</formula>
    </cfRule>
    <cfRule type="cellIs" dxfId="5874" priority="1434" stopIfTrue="1" operator="between">
      <formula>0</formula>
      <formula>5</formula>
    </cfRule>
    <cfRule type="containsBlanks" dxfId="5873" priority="1435" stopIfTrue="1">
      <formula>LEN(TRIM(E29))=0</formula>
    </cfRule>
  </conditionalFormatting>
  <conditionalFormatting sqref="F28:Q28">
    <cfRule type="containsBlanks" dxfId="5872" priority="1422" stopIfTrue="1">
      <formula>LEN(TRIM(F28))=0</formula>
    </cfRule>
    <cfRule type="cellIs" dxfId="5871" priority="1423" stopIfTrue="1" operator="between">
      <formula>80.1</formula>
      <formula>100</formula>
    </cfRule>
    <cfRule type="cellIs" dxfId="5870" priority="1424" stopIfTrue="1" operator="between">
      <formula>35.1</formula>
      <formula>80</formula>
    </cfRule>
    <cfRule type="cellIs" dxfId="5869" priority="1425" stopIfTrue="1" operator="between">
      <formula>14.1</formula>
      <formula>35</formula>
    </cfRule>
    <cfRule type="cellIs" dxfId="5868" priority="1426" stopIfTrue="1" operator="between">
      <formula>5.1</formula>
      <formula>14</formula>
    </cfRule>
    <cfRule type="cellIs" dxfId="5867" priority="1427" stopIfTrue="1" operator="between">
      <formula>0</formula>
      <formula>5</formula>
    </cfRule>
    <cfRule type="containsBlanks" dxfId="5866" priority="1428" stopIfTrue="1">
      <formula>LEN(TRIM(F28))=0</formula>
    </cfRule>
  </conditionalFormatting>
  <conditionalFormatting sqref="E28">
    <cfRule type="containsBlanks" dxfId="5865" priority="1415" stopIfTrue="1">
      <formula>LEN(TRIM(E28))=0</formula>
    </cfRule>
    <cfRule type="cellIs" dxfId="5864" priority="1416" stopIfTrue="1" operator="between">
      <formula>80.1</formula>
      <formula>100</formula>
    </cfRule>
    <cfRule type="cellIs" dxfId="5863" priority="1417" stopIfTrue="1" operator="between">
      <formula>35.1</formula>
      <formula>80</formula>
    </cfRule>
    <cfRule type="cellIs" dxfId="5862" priority="1418" stopIfTrue="1" operator="between">
      <formula>14.1</formula>
      <formula>35</formula>
    </cfRule>
    <cfRule type="cellIs" dxfId="5861" priority="1419" stopIfTrue="1" operator="between">
      <formula>5.1</formula>
      <formula>14</formula>
    </cfRule>
    <cfRule type="cellIs" dxfId="5860" priority="1420" stopIfTrue="1" operator="between">
      <formula>0</formula>
      <formula>5</formula>
    </cfRule>
    <cfRule type="containsBlanks" dxfId="5859" priority="1421" stopIfTrue="1">
      <formula>LEN(TRIM(E28))=0</formula>
    </cfRule>
  </conditionalFormatting>
  <conditionalFormatting sqref="F20:Q20">
    <cfRule type="containsBlanks" dxfId="5858" priority="1408" stopIfTrue="1">
      <formula>LEN(TRIM(F20))=0</formula>
    </cfRule>
    <cfRule type="cellIs" dxfId="5857" priority="1409" stopIfTrue="1" operator="between">
      <formula>80.1</formula>
      <formula>100</formula>
    </cfRule>
    <cfRule type="cellIs" dxfId="5856" priority="1410" stopIfTrue="1" operator="between">
      <formula>35.1</formula>
      <formula>80</formula>
    </cfRule>
    <cfRule type="cellIs" dxfId="5855" priority="1411" stopIfTrue="1" operator="between">
      <formula>14.1</formula>
      <formula>35</formula>
    </cfRule>
    <cfRule type="cellIs" dxfId="5854" priority="1412" stopIfTrue="1" operator="between">
      <formula>5.1</formula>
      <formula>14</formula>
    </cfRule>
    <cfRule type="cellIs" dxfId="5853" priority="1413" stopIfTrue="1" operator="between">
      <formula>0</formula>
      <formula>5</formula>
    </cfRule>
    <cfRule type="containsBlanks" dxfId="5852" priority="1414" stopIfTrue="1">
      <formula>LEN(TRIM(F20))=0</formula>
    </cfRule>
  </conditionalFormatting>
  <conditionalFormatting sqref="E20">
    <cfRule type="containsBlanks" dxfId="5851" priority="1401" stopIfTrue="1">
      <formula>LEN(TRIM(E20))=0</formula>
    </cfRule>
    <cfRule type="cellIs" dxfId="5850" priority="1402" stopIfTrue="1" operator="between">
      <formula>80.1</formula>
      <formula>100</formula>
    </cfRule>
    <cfRule type="cellIs" dxfId="5849" priority="1403" stopIfTrue="1" operator="between">
      <formula>35.1</formula>
      <formula>80</formula>
    </cfRule>
    <cfRule type="cellIs" dxfId="5848" priority="1404" stopIfTrue="1" operator="between">
      <formula>14.1</formula>
      <formula>35</formula>
    </cfRule>
    <cfRule type="cellIs" dxfId="5847" priority="1405" stopIfTrue="1" operator="between">
      <formula>5.1</formula>
      <formula>14</formula>
    </cfRule>
    <cfRule type="cellIs" dxfId="5846" priority="1406" stopIfTrue="1" operator="between">
      <formula>0</formula>
      <formula>5</formula>
    </cfRule>
    <cfRule type="containsBlanks" dxfId="5845" priority="1407" stopIfTrue="1">
      <formula>LEN(TRIM(E20))=0</formula>
    </cfRule>
  </conditionalFormatting>
  <conditionalFormatting sqref="F21:Q21">
    <cfRule type="containsBlanks" dxfId="5844" priority="1394" stopIfTrue="1">
      <formula>LEN(TRIM(F21))=0</formula>
    </cfRule>
    <cfRule type="cellIs" dxfId="5843" priority="1395" stopIfTrue="1" operator="between">
      <formula>80.1</formula>
      <formula>100</formula>
    </cfRule>
    <cfRule type="cellIs" dxfId="5842" priority="1396" stopIfTrue="1" operator="between">
      <formula>35.1</formula>
      <formula>80</formula>
    </cfRule>
    <cfRule type="cellIs" dxfId="5841" priority="1397" stopIfTrue="1" operator="between">
      <formula>14.1</formula>
      <formula>35</formula>
    </cfRule>
    <cfRule type="cellIs" dxfId="5840" priority="1398" stopIfTrue="1" operator="between">
      <formula>5.1</formula>
      <formula>14</formula>
    </cfRule>
    <cfRule type="cellIs" dxfId="5839" priority="1399" stopIfTrue="1" operator="between">
      <formula>0</formula>
      <formula>5</formula>
    </cfRule>
    <cfRule type="containsBlanks" dxfId="5838" priority="1400" stopIfTrue="1">
      <formula>LEN(TRIM(F21))=0</formula>
    </cfRule>
  </conditionalFormatting>
  <conditionalFormatting sqref="E21">
    <cfRule type="containsBlanks" dxfId="5837" priority="1387" stopIfTrue="1">
      <formula>LEN(TRIM(E21))=0</formula>
    </cfRule>
    <cfRule type="cellIs" dxfId="5836" priority="1388" stopIfTrue="1" operator="between">
      <formula>80.1</formula>
      <formula>100</formula>
    </cfRule>
    <cfRule type="cellIs" dxfId="5835" priority="1389" stopIfTrue="1" operator="between">
      <formula>35.1</formula>
      <formula>80</formula>
    </cfRule>
    <cfRule type="cellIs" dxfId="5834" priority="1390" stopIfTrue="1" operator="between">
      <formula>14.1</formula>
      <formula>35</formula>
    </cfRule>
    <cfRule type="cellIs" dxfId="5833" priority="1391" stopIfTrue="1" operator="between">
      <formula>5.1</formula>
      <formula>14</formula>
    </cfRule>
    <cfRule type="cellIs" dxfId="5832" priority="1392" stopIfTrue="1" operator="between">
      <formula>0</formula>
      <formula>5</formula>
    </cfRule>
    <cfRule type="containsBlanks" dxfId="5831" priority="1393" stopIfTrue="1">
      <formula>LEN(TRIM(E21))=0</formula>
    </cfRule>
  </conditionalFormatting>
  <conditionalFormatting sqref="F26:Q26">
    <cfRule type="containsBlanks" dxfId="5830" priority="1380" stopIfTrue="1">
      <formula>LEN(TRIM(F26))=0</formula>
    </cfRule>
    <cfRule type="cellIs" dxfId="5829" priority="1381" stopIfTrue="1" operator="between">
      <formula>80.1</formula>
      <formula>100</formula>
    </cfRule>
    <cfRule type="cellIs" dxfId="5828" priority="1382" stopIfTrue="1" operator="between">
      <formula>35.1</formula>
      <formula>80</formula>
    </cfRule>
    <cfRule type="cellIs" dxfId="5827" priority="1383" stopIfTrue="1" operator="between">
      <formula>14.1</formula>
      <formula>35</formula>
    </cfRule>
    <cfRule type="cellIs" dxfId="5826" priority="1384" stopIfTrue="1" operator="between">
      <formula>5.1</formula>
      <formula>14</formula>
    </cfRule>
    <cfRule type="cellIs" dxfId="5825" priority="1385" stopIfTrue="1" operator="between">
      <formula>0</formula>
      <formula>5</formula>
    </cfRule>
    <cfRule type="containsBlanks" dxfId="5824" priority="1386" stopIfTrue="1">
      <formula>LEN(TRIM(F26))=0</formula>
    </cfRule>
  </conditionalFormatting>
  <conditionalFormatting sqref="E26">
    <cfRule type="containsBlanks" dxfId="5823" priority="1373" stopIfTrue="1">
      <formula>LEN(TRIM(E26))=0</formula>
    </cfRule>
    <cfRule type="cellIs" dxfId="5822" priority="1374" stopIfTrue="1" operator="between">
      <formula>80.1</formula>
      <formula>100</formula>
    </cfRule>
    <cfRule type="cellIs" dxfId="5821" priority="1375" stopIfTrue="1" operator="between">
      <formula>35.1</formula>
      <formula>80</formula>
    </cfRule>
    <cfRule type="cellIs" dxfId="5820" priority="1376" stopIfTrue="1" operator="between">
      <formula>14.1</formula>
      <formula>35</formula>
    </cfRule>
    <cfRule type="cellIs" dxfId="5819" priority="1377" stopIfTrue="1" operator="between">
      <formula>5.1</formula>
      <formula>14</formula>
    </cfRule>
    <cfRule type="cellIs" dxfId="5818" priority="1378" stopIfTrue="1" operator="between">
      <formula>0</formula>
      <formula>5</formula>
    </cfRule>
    <cfRule type="containsBlanks" dxfId="5817" priority="1379" stopIfTrue="1">
      <formula>LEN(TRIM(E26))=0</formula>
    </cfRule>
  </conditionalFormatting>
  <conditionalFormatting sqref="F33:Q33">
    <cfRule type="containsBlanks" dxfId="5816" priority="1366" stopIfTrue="1">
      <formula>LEN(TRIM(F33))=0</formula>
    </cfRule>
    <cfRule type="cellIs" dxfId="5815" priority="1367" stopIfTrue="1" operator="between">
      <formula>80.1</formula>
      <formula>100</formula>
    </cfRule>
    <cfRule type="cellIs" dxfId="5814" priority="1368" stopIfTrue="1" operator="between">
      <formula>35.1</formula>
      <formula>80</formula>
    </cfRule>
    <cfRule type="cellIs" dxfId="5813" priority="1369" stopIfTrue="1" operator="between">
      <formula>14.1</formula>
      <formula>35</formula>
    </cfRule>
    <cfRule type="cellIs" dxfId="5812" priority="1370" stopIfTrue="1" operator="between">
      <formula>5.1</formula>
      <formula>14</formula>
    </cfRule>
    <cfRule type="cellIs" dxfId="5811" priority="1371" stopIfTrue="1" operator="between">
      <formula>0</formula>
      <formula>5</formula>
    </cfRule>
    <cfRule type="containsBlanks" dxfId="5810" priority="1372" stopIfTrue="1">
      <formula>LEN(TRIM(F33))=0</formula>
    </cfRule>
  </conditionalFormatting>
  <conditionalFormatting sqref="E33">
    <cfRule type="containsBlanks" dxfId="5809" priority="1359" stopIfTrue="1">
      <formula>LEN(TRIM(E33))=0</formula>
    </cfRule>
    <cfRule type="cellIs" dxfId="5808" priority="1360" stopIfTrue="1" operator="between">
      <formula>80.1</formula>
      <formula>100</formula>
    </cfRule>
    <cfRule type="cellIs" dxfId="5807" priority="1361" stopIfTrue="1" operator="between">
      <formula>35.1</formula>
      <formula>80</formula>
    </cfRule>
    <cfRule type="cellIs" dxfId="5806" priority="1362" stopIfTrue="1" operator="between">
      <formula>14.1</formula>
      <formula>35</formula>
    </cfRule>
    <cfRule type="cellIs" dxfId="5805" priority="1363" stopIfTrue="1" operator="between">
      <formula>5.1</formula>
      <formula>14</formula>
    </cfRule>
    <cfRule type="cellIs" dxfId="5804" priority="1364" stopIfTrue="1" operator="between">
      <formula>0</formula>
      <formula>5</formula>
    </cfRule>
    <cfRule type="containsBlanks" dxfId="5803" priority="1365" stopIfTrue="1">
      <formula>LEN(TRIM(E33))=0</formula>
    </cfRule>
  </conditionalFormatting>
  <conditionalFormatting sqref="F35:Q35">
    <cfRule type="containsBlanks" dxfId="5802" priority="1352" stopIfTrue="1">
      <formula>LEN(TRIM(F35))=0</formula>
    </cfRule>
    <cfRule type="cellIs" dxfId="5801" priority="1353" stopIfTrue="1" operator="between">
      <formula>80.1</formula>
      <formula>100</formula>
    </cfRule>
    <cfRule type="cellIs" dxfId="5800" priority="1354" stopIfTrue="1" operator="between">
      <formula>35.1</formula>
      <formula>80</formula>
    </cfRule>
    <cfRule type="cellIs" dxfId="5799" priority="1355" stopIfTrue="1" operator="between">
      <formula>14.1</formula>
      <formula>35</formula>
    </cfRule>
    <cfRule type="cellIs" dxfId="5798" priority="1356" stopIfTrue="1" operator="between">
      <formula>5.1</formula>
      <formula>14</formula>
    </cfRule>
    <cfRule type="cellIs" dxfId="5797" priority="1357" stopIfTrue="1" operator="between">
      <formula>0</formula>
      <formula>5</formula>
    </cfRule>
    <cfRule type="containsBlanks" dxfId="5796" priority="1358" stopIfTrue="1">
      <formula>LEN(TRIM(F35))=0</formula>
    </cfRule>
  </conditionalFormatting>
  <conditionalFormatting sqref="E35">
    <cfRule type="containsBlanks" dxfId="5795" priority="1345" stopIfTrue="1">
      <formula>LEN(TRIM(E35))=0</formula>
    </cfRule>
    <cfRule type="cellIs" dxfId="5794" priority="1346" stopIfTrue="1" operator="between">
      <formula>80.1</formula>
      <formula>100</formula>
    </cfRule>
    <cfRule type="cellIs" dxfId="5793" priority="1347" stopIfTrue="1" operator="between">
      <formula>35.1</formula>
      <formula>80</formula>
    </cfRule>
    <cfRule type="cellIs" dxfId="5792" priority="1348" stopIfTrue="1" operator="between">
      <formula>14.1</formula>
      <formula>35</formula>
    </cfRule>
    <cfRule type="cellIs" dxfId="5791" priority="1349" stopIfTrue="1" operator="between">
      <formula>5.1</formula>
      <formula>14</formula>
    </cfRule>
    <cfRule type="cellIs" dxfId="5790" priority="1350" stopIfTrue="1" operator="between">
      <formula>0</formula>
      <formula>5</formula>
    </cfRule>
    <cfRule type="containsBlanks" dxfId="5789" priority="1351" stopIfTrue="1">
      <formula>LEN(TRIM(E35))=0</formula>
    </cfRule>
  </conditionalFormatting>
  <conditionalFormatting sqref="F32:P32">
    <cfRule type="containsBlanks" dxfId="5788" priority="1338" stopIfTrue="1">
      <formula>LEN(TRIM(F32))=0</formula>
    </cfRule>
    <cfRule type="cellIs" dxfId="5787" priority="1339" stopIfTrue="1" operator="between">
      <formula>80.1</formula>
      <formula>100</formula>
    </cfRule>
    <cfRule type="cellIs" dxfId="5786" priority="1340" stopIfTrue="1" operator="between">
      <formula>35.1</formula>
      <formula>80</formula>
    </cfRule>
    <cfRule type="cellIs" dxfId="5785" priority="1341" stopIfTrue="1" operator="between">
      <formula>14.1</formula>
      <formula>35</formula>
    </cfRule>
    <cfRule type="cellIs" dxfId="5784" priority="1342" stopIfTrue="1" operator="between">
      <formula>5.1</formula>
      <formula>14</formula>
    </cfRule>
    <cfRule type="cellIs" dxfId="5783" priority="1343" stopIfTrue="1" operator="between">
      <formula>0</formula>
      <formula>5</formula>
    </cfRule>
    <cfRule type="containsBlanks" dxfId="5782" priority="1344" stopIfTrue="1">
      <formula>LEN(TRIM(F32))=0</formula>
    </cfRule>
  </conditionalFormatting>
  <conditionalFormatting sqref="F36:Q36">
    <cfRule type="containsBlanks" dxfId="5781" priority="1324" stopIfTrue="1">
      <formula>LEN(TRIM(F36))=0</formula>
    </cfRule>
    <cfRule type="cellIs" dxfId="5780" priority="1325" stopIfTrue="1" operator="between">
      <formula>80.1</formula>
      <formula>100</formula>
    </cfRule>
    <cfRule type="cellIs" dxfId="5779" priority="1326" stopIfTrue="1" operator="between">
      <formula>35.1</formula>
      <formula>80</formula>
    </cfRule>
    <cfRule type="cellIs" dxfId="5778" priority="1327" stopIfTrue="1" operator="between">
      <formula>14.1</formula>
      <formula>35</formula>
    </cfRule>
    <cfRule type="cellIs" dxfId="5777" priority="1328" stopIfTrue="1" operator="between">
      <formula>5.1</formula>
      <formula>14</formula>
    </cfRule>
    <cfRule type="cellIs" dxfId="5776" priority="1329" stopIfTrue="1" operator="between">
      <formula>0</formula>
      <formula>5</formula>
    </cfRule>
    <cfRule type="containsBlanks" dxfId="5775" priority="1330" stopIfTrue="1">
      <formula>LEN(TRIM(F36))=0</formula>
    </cfRule>
  </conditionalFormatting>
  <conditionalFormatting sqref="E36">
    <cfRule type="containsBlanks" dxfId="5774" priority="1317" stopIfTrue="1">
      <formula>LEN(TRIM(E36))=0</formula>
    </cfRule>
    <cfRule type="cellIs" dxfId="5773" priority="1318" stopIfTrue="1" operator="between">
      <formula>80.1</formula>
      <formula>100</formula>
    </cfRule>
    <cfRule type="cellIs" dxfId="5772" priority="1319" stopIfTrue="1" operator="between">
      <formula>35.1</formula>
      <formula>80</formula>
    </cfRule>
    <cfRule type="cellIs" dxfId="5771" priority="1320" stopIfTrue="1" operator="between">
      <formula>14.1</formula>
      <formula>35</formula>
    </cfRule>
    <cfRule type="cellIs" dxfId="5770" priority="1321" stopIfTrue="1" operator="between">
      <formula>5.1</formula>
      <formula>14</formula>
    </cfRule>
    <cfRule type="cellIs" dxfId="5769" priority="1322" stopIfTrue="1" operator="between">
      <formula>0</formula>
      <formula>5</formula>
    </cfRule>
    <cfRule type="containsBlanks" dxfId="5768" priority="1323" stopIfTrue="1">
      <formula>LEN(TRIM(E36))=0</formula>
    </cfRule>
  </conditionalFormatting>
  <conditionalFormatting sqref="J58:J59">
    <cfRule type="containsBlanks" dxfId="5767" priority="1310" stopIfTrue="1">
      <formula>LEN(TRIM(J58))=0</formula>
    </cfRule>
    <cfRule type="cellIs" dxfId="5766" priority="1311" stopIfTrue="1" operator="between">
      <formula>79.1</formula>
      <formula>100</formula>
    </cfRule>
    <cfRule type="cellIs" dxfId="5765" priority="1312" stopIfTrue="1" operator="between">
      <formula>34.1</formula>
      <formula>79</formula>
    </cfRule>
    <cfRule type="cellIs" dxfId="5764" priority="1313" stopIfTrue="1" operator="between">
      <formula>13.1</formula>
      <formula>34</formula>
    </cfRule>
    <cfRule type="cellIs" dxfId="5763" priority="1314" stopIfTrue="1" operator="between">
      <formula>5.1</formula>
      <formula>13</formula>
    </cfRule>
    <cfRule type="cellIs" dxfId="5762" priority="1315" stopIfTrue="1" operator="between">
      <formula>0</formula>
      <formula>5</formula>
    </cfRule>
    <cfRule type="containsBlanks" dxfId="5761" priority="1316" stopIfTrue="1">
      <formula>LEN(TRIM(J58))=0</formula>
    </cfRule>
  </conditionalFormatting>
  <conditionalFormatting sqref="E94">
    <cfRule type="containsBlanks" dxfId="5760" priority="1303" stopIfTrue="1">
      <formula>LEN(TRIM(E94))=0</formula>
    </cfRule>
    <cfRule type="cellIs" dxfId="5759" priority="1304" stopIfTrue="1" operator="between">
      <formula>79.1</formula>
      <formula>100</formula>
    </cfRule>
    <cfRule type="cellIs" dxfId="5758" priority="1305" stopIfTrue="1" operator="between">
      <formula>34.1</formula>
      <formula>79</formula>
    </cfRule>
    <cfRule type="cellIs" dxfId="5757" priority="1306" stopIfTrue="1" operator="between">
      <formula>13.1</formula>
      <formula>34</formula>
    </cfRule>
    <cfRule type="cellIs" dxfId="5756" priority="1307" stopIfTrue="1" operator="between">
      <formula>5.1</formula>
      <formula>13</formula>
    </cfRule>
    <cfRule type="cellIs" dxfId="5755" priority="1308" stopIfTrue="1" operator="between">
      <formula>0</formula>
      <formula>5</formula>
    </cfRule>
    <cfRule type="containsBlanks" dxfId="5754" priority="1309" stopIfTrue="1">
      <formula>LEN(TRIM(E94))=0</formula>
    </cfRule>
  </conditionalFormatting>
  <conditionalFormatting sqref="E16:P17">
    <cfRule type="containsBlanks" dxfId="5753" priority="1289" stopIfTrue="1">
      <formula>LEN(TRIM(E16))=0</formula>
    </cfRule>
    <cfRule type="cellIs" dxfId="5752" priority="1290" stopIfTrue="1" operator="between">
      <formula>79.1</formula>
      <formula>100</formula>
    </cfRule>
    <cfRule type="cellIs" dxfId="5751" priority="1291" stopIfTrue="1" operator="between">
      <formula>34.1</formula>
      <formula>79</formula>
    </cfRule>
    <cfRule type="cellIs" dxfId="5750" priority="1292" stopIfTrue="1" operator="between">
      <formula>13.1</formula>
      <formula>34</formula>
    </cfRule>
    <cfRule type="cellIs" dxfId="5749" priority="1293" stopIfTrue="1" operator="between">
      <formula>5.1</formula>
      <formula>13</formula>
    </cfRule>
    <cfRule type="cellIs" dxfId="5748" priority="1294" stopIfTrue="1" operator="between">
      <formula>0</formula>
      <formula>5</formula>
    </cfRule>
    <cfRule type="containsBlanks" dxfId="5747" priority="1295" stopIfTrue="1">
      <formula>LEN(TRIM(E16))=0</formula>
    </cfRule>
  </conditionalFormatting>
  <conditionalFormatting sqref="E10:P122">
    <cfRule type="containsBlanks" dxfId="5746" priority="1296" stopIfTrue="1">
      <formula>LEN(TRIM(E10))=0</formula>
    </cfRule>
    <cfRule type="cellIs" dxfId="5745" priority="1297" stopIfTrue="1" operator="between">
      <formula>79.1</formula>
      <formula>100</formula>
    </cfRule>
    <cfRule type="cellIs" dxfId="5744" priority="1298" stopIfTrue="1" operator="between">
      <formula>34.1</formula>
      <formula>79</formula>
    </cfRule>
    <cfRule type="cellIs" dxfId="5743" priority="1299" stopIfTrue="1" operator="between">
      <formula>13.1</formula>
      <formula>34</formula>
    </cfRule>
    <cfRule type="cellIs" dxfId="5742" priority="1300" stopIfTrue="1" operator="between">
      <formula>5.1</formula>
      <formula>13</formula>
    </cfRule>
    <cfRule type="cellIs" dxfId="5741" priority="1301" stopIfTrue="1" operator="between">
      <formula>0</formula>
      <formula>5</formula>
    </cfRule>
    <cfRule type="containsBlanks" dxfId="5740" priority="1302" stopIfTrue="1">
      <formula>LEN(TRIM(E10))=0</formula>
    </cfRule>
  </conditionalFormatting>
  <conditionalFormatting sqref="E18:P18">
    <cfRule type="containsBlanks" dxfId="5739" priority="1282" stopIfTrue="1">
      <formula>LEN(TRIM(E18))=0</formula>
    </cfRule>
    <cfRule type="cellIs" dxfId="5738" priority="1283" stopIfTrue="1" operator="between">
      <formula>79.1</formula>
      <formula>100</formula>
    </cfRule>
    <cfRule type="cellIs" dxfId="5737" priority="1284" stopIfTrue="1" operator="between">
      <formula>34.1</formula>
      <formula>79</formula>
    </cfRule>
    <cfRule type="cellIs" dxfId="5736" priority="1285" stopIfTrue="1" operator="between">
      <formula>13.1</formula>
      <formula>34</formula>
    </cfRule>
    <cfRule type="cellIs" dxfId="5735" priority="1286" stopIfTrue="1" operator="between">
      <formula>5.1</formula>
      <formula>13</formula>
    </cfRule>
    <cfRule type="cellIs" dxfId="5734" priority="1287" stopIfTrue="1" operator="between">
      <formula>0</formula>
      <formula>5</formula>
    </cfRule>
    <cfRule type="containsBlanks" dxfId="5733" priority="1288" stopIfTrue="1">
      <formula>LEN(TRIM(E18))=0</formula>
    </cfRule>
  </conditionalFormatting>
  <conditionalFormatting sqref="K58:K59">
    <cfRule type="containsBlanks" dxfId="5732" priority="1268" stopIfTrue="1">
      <formula>LEN(TRIM(K58))=0</formula>
    </cfRule>
    <cfRule type="cellIs" dxfId="5731" priority="1269" stopIfTrue="1" operator="between">
      <formula>79.1</formula>
      <formula>100</formula>
    </cfRule>
    <cfRule type="cellIs" dxfId="5730" priority="1270" stopIfTrue="1" operator="between">
      <formula>34.1</formula>
      <formula>79</formula>
    </cfRule>
    <cfRule type="cellIs" dxfId="5729" priority="1271" stopIfTrue="1" operator="between">
      <formula>13.1</formula>
      <formula>34</formula>
    </cfRule>
    <cfRule type="cellIs" dxfId="5728" priority="1272" stopIfTrue="1" operator="between">
      <formula>5.1</formula>
      <formula>13</formula>
    </cfRule>
    <cfRule type="cellIs" dxfId="5727" priority="1273" stopIfTrue="1" operator="between">
      <formula>0</formula>
      <formula>5</formula>
    </cfRule>
    <cfRule type="containsBlanks" dxfId="5726" priority="1274" stopIfTrue="1">
      <formula>LEN(TRIM(K58))=0</formula>
    </cfRule>
  </conditionalFormatting>
  <conditionalFormatting sqref="E84:J85 E93:J93">
    <cfRule type="containsBlanks" dxfId="5725" priority="1261" stopIfTrue="1">
      <formula>LEN(TRIM(E84))=0</formula>
    </cfRule>
    <cfRule type="cellIs" dxfId="5724" priority="1262" stopIfTrue="1" operator="between">
      <formula>79.1</formula>
      <formula>100</formula>
    </cfRule>
    <cfRule type="cellIs" dxfId="5723" priority="1263" stopIfTrue="1" operator="between">
      <formula>34.1</formula>
      <formula>79</formula>
    </cfRule>
    <cfRule type="cellIs" dxfId="5722" priority="1264" stopIfTrue="1" operator="between">
      <formula>13.1</formula>
      <formula>34</formula>
    </cfRule>
    <cfRule type="cellIs" dxfId="5721" priority="1265" stopIfTrue="1" operator="between">
      <formula>5.1</formula>
      <formula>13</formula>
    </cfRule>
    <cfRule type="cellIs" dxfId="5720" priority="1266" stopIfTrue="1" operator="between">
      <formula>0</formula>
      <formula>5</formula>
    </cfRule>
    <cfRule type="containsBlanks" dxfId="5719" priority="1267" stopIfTrue="1">
      <formula>LEN(TRIM(E84))=0</formula>
    </cfRule>
  </conditionalFormatting>
  <conditionalFormatting sqref="K94:O96">
    <cfRule type="containsBlanks" dxfId="5718" priority="1240" stopIfTrue="1">
      <formula>LEN(TRIM(K94))=0</formula>
    </cfRule>
    <cfRule type="cellIs" dxfId="5717" priority="1241" stopIfTrue="1" operator="between">
      <formula>80.1</formula>
      <formula>100</formula>
    </cfRule>
    <cfRule type="cellIs" dxfId="5716" priority="1242" stopIfTrue="1" operator="between">
      <formula>35.1</formula>
      <formula>80</formula>
    </cfRule>
    <cfRule type="cellIs" dxfId="5715" priority="1243" stopIfTrue="1" operator="between">
      <formula>14.1</formula>
      <formula>35</formula>
    </cfRule>
    <cfRule type="cellIs" dxfId="5714" priority="1244" stopIfTrue="1" operator="between">
      <formula>5.1</formula>
      <formula>14</formula>
    </cfRule>
    <cfRule type="cellIs" dxfId="5713" priority="1245" stopIfTrue="1" operator="between">
      <formula>0</formula>
      <formula>5</formula>
    </cfRule>
    <cfRule type="containsBlanks" dxfId="5712" priority="1246" stopIfTrue="1">
      <formula>LEN(TRIM(K94))=0</formula>
    </cfRule>
  </conditionalFormatting>
  <conditionalFormatting sqref="L97">
    <cfRule type="containsBlanks" dxfId="5711" priority="1219" stopIfTrue="1">
      <formula>LEN(TRIM(L97))=0</formula>
    </cfRule>
    <cfRule type="cellIs" dxfId="5710" priority="1220" stopIfTrue="1" operator="between">
      <formula>80.1</formula>
      <formula>100</formula>
    </cfRule>
    <cfRule type="cellIs" dxfId="5709" priority="1221" stopIfTrue="1" operator="between">
      <formula>35.1</formula>
      <formula>80</formula>
    </cfRule>
    <cfRule type="cellIs" dxfId="5708" priority="1222" stopIfTrue="1" operator="between">
      <formula>14.1</formula>
      <formula>35</formula>
    </cfRule>
    <cfRule type="cellIs" dxfId="5707" priority="1223" stopIfTrue="1" operator="between">
      <formula>5.1</formula>
      <formula>14</formula>
    </cfRule>
    <cfRule type="cellIs" dxfId="5706" priority="1224" stopIfTrue="1" operator="between">
      <formula>0</formula>
      <formula>5</formula>
    </cfRule>
    <cfRule type="containsBlanks" dxfId="5705" priority="1225" stopIfTrue="1">
      <formula>LEN(TRIM(L97))=0</formula>
    </cfRule>
  </conditionalFormatting>
  <conditionalFormatting sqref="I95">
    <cfRule type="containsBlanks" dxfId="5704" priority="1212" stopIfTrue="1">
      <formula>LEN(TRIM(I95))=0</formula>
    </cfRule>
    <cfRule type="cellIs" dxfId="5703" priority="1213" stopIfTrue="1" operator="between">
      <formula>80.1</formula>
      <formula>100</formula>
    </cfRule>
    <cfRule type="cellIs" dxfId="5702" priority="1214" stopIfTrue="1" operator="between">
      <formula>35.1</formula>
      <formula>80</formula>
    </cfRule>
    <cfRule type="cellIs" dxfId="5701" priority="1215" stopIfTrue="1" operator="between">
      <formula>14.1</formula>
      <formula>35</formula>
    </cfRule>
    <cfRule type="cellIs" dxfId="5700" priority="1216" stopIfTrue="1" operator="between">
      <formula>5.1</formula>
      <formula>14</formula>
    </cfRule>
    <cfRule type="cellIs" dxfId="5699" priority="1217" stopIfTrue="1" operator="between">
      <formula>0</formula>
      <formula>5</formula>
    </cfRule>
    <cfRule type="containsBlanks" dxfId="5698" priority="1218" stopIfTrue="1">
      <formula>LEN(TRIM(I95))=0</formula>
    </cfRule>
  </conditionalFormatting>
  <conditionalFormatting sqref="H97">
    <cfRule type="containsBlanks" dxfId="5697" priority="1198" stopIfTrue="1">
      <formula>LEN(TRIM(H97))=0</formula>
    </cfRule>
    <cfRule type="cellIs" dxfId="5696" priority="1199" stopIfTrue="1" operator="between">
      <formula>80.1</formula>
      <formula>100</formula>
    </cfRule>
    <cfRule type="cellIs" dxfId="5695" priority="1200" stopIfTrue="1" operator="between">
      <formula>35.1</formula>
      <formula>80</formula>
    </cfRule>
    <cfRule type="cellIs" dxfId="5694" priority="1201" stopIfTrue="1" operator="between">
      <formula>14.1</formula>
      <formula>35</formula>
    </cfRule>
    <cfRule type="cellIs" dxfId="5693" priority="1202" stopIfTrue="1" operator="between">
      <formula>5.1</formula>
      <formula>14</formula>
    </cfRule>
    <cfRule type="cellIs" dxfId="5692" priority="1203" stopIfTrue="1" operator="between">
      <formula>0</formula>
      <formula>5</formula>
    </cfRule>
    <cfRule type="containsBlanks" dxfId="5691" priority="1204" stopIfTrue="1">
      <formula>LEN(TRIM(H97))=0</formula>
    </cfRule>
  </conditionalFormatting>
  <conditionalFormatting sqref="E96">
    <cfRule type="containsBlanks" dxfId="5690" priority="1191" stopIfTrue="1">
      <formula>LEN(TRIM(E96))=0</formula>
    </cfRule>
    <cfRule type="cellIs" dxfId="5689" priority="1192" stopIfTrue="1" operator="between">
      <formula>80.1</formula>
      <formula>100</formula>
    </cfRule>
    <cfRule type="cellIs" dxfId="5688" priority="1193" stopIfTrue="1" operator="between">
      <formula>35.1</formula>
      <formula>80</formula>
    </cfRule>
    <cfRule type="cellIs" dxfId="5687" priority="1194" stopIfTrue="1" operator="between">
      <formula>14.1</formula>
      <formula>35</formula>
    </cfRule>
    <cfRule type="cellIs" dxfId="5686" priority="1195" stopIfTrue="1" operator="between">
      <formula>5.1</formula>
      <formula>14</formula>
    </cfRule>
    <cfRule type="cellIs" dxfId="5685" priority="1196" stopIfTrue="1" operator="between">
      <formula>0</formula>
      <formula>5</formula>
    </cfRule>
    <cfRule type="containsBlanks" dxfId="5684" priority="1197" stopIfTrue="1">
      <formula>LEN(TRIM(E96))=0</formula>
    </cfRule>
  </conditionalFormatting>
  <conditionalFormatting sqref="Q32">
    <cfRule type="containsBlanks" dxfId="5683" priority="1184" stopIfTrue="1">
      <formula>LEN(TRIM(Q32))=0</formula>
    </cfRule>
    <cfRule type="cellIs" dxfId="5682" priority="1185" stopIfTrue="1" operator="between">
      <formula>80.1</formula>
      <formula>100</formula>
    </cfRule>
    <cfRule type="cellIs" dxfId="5681" priority="1186" stopIfTrue="1" operator="between">
      <formula>35.1</formula>
      <formula>80</formula>
    </cfRule>
    <cfRule type="cellIs" dxfId="5680" priority="1187" stopIfTrue="1" operator="between">
      <formula>14.1</formula>
      <formula>35</formula>
    </cfRule>
    <cfRule type="cellIs" dxfId="5679" priority="1188" stopIfTrue="1" operator="between">
      <formula>5.1</formula>
      <formula>14</formula>
    </cfRule>
    <cfRule type="cellIs" dxfId="5678" priority="1189" stopIfTrue="1" operator="between">
      <formula>0</formula>
      <formula>5</formula>
    </cfRule>
    <cfRule type="containsBlanks" dxfId="5677" priority="1190" stopIfTrue="1">
      <formula>LEN(TRIM(Q32))=0</formula>
    </cfRule>
  </conditionalFormatting>
  <conditionalFormatting sqref="E13:P13">
    <cfRule type="containsBlanks" dxfId="5676" priority="1177" stopIfTrue="1">
      <formula>LEN(TRIM(E13))=0</formula>
    </cfRule>
    <cfRule type="cellIs" dxfId="5675" priority="1178" stopIfTrue="1" operator="between">
      <formula>79.1</formula>
      <formula>100</formula>
    </cfRule>
    <cfRule type="cellIs" dxfId="5674" priority="1179" stopIfTrue="1" operator="between">
      <formula>34.1</formula>
      <formula>79</formula>
    </cfRule>
    <cfRule type="cellIs" dxfId="5673" priority="1180" stopIfTrue="1" operator="between">
      <formula>13.1</formula>
      <formula>34</formula>
    </cfRule>
    <cfRule type="cellIs" dxfId="5672" priority="1181" stopIfTrue="1" operator="between">
      <formula>5.1</formula>
      <formula>13</formula>
    </cfRule>
    <cfRule type="cellIs" dxfId="5671" priority="1182" stopIfTrue="1" operator="between">
      <formula>0</formula>
      <formula>5</formula>
    </cfRule>
    <cfRule type="containsBlanks" dxfId="5670" priority="1183" stopIfTrue="1">
      <formula>LEN(TRIM(E13))=0</formula>
    </cfRule>
  </conditionalFormatting>
  <conditionalFormatting sqref="E14:P14">
    <cfRule type="containsBlanks" dxfId="5669" priority="1170" stopIfTrue="1">
      <formula>LEN(TRIM(E14))=0</formula>
    </cfRule>
    <cfRule type="cellIs" dxfId="5668" priority="1171" stopIfTrue="1" operator="between">
      <formula>79.1</formula>
      <formula>100</formula>
    </cfRule>
    <cfRule type="cellIs" dxfId="5667" priority="1172" stopIfTrue="1" operator="between">
      <formula>34.1</formula>
      <formula>79</formula>
    </cfRule>
    <cfRule type="cellIs" dxfId="5666" priority="1173" stopIfTrue="1" operator="between">
      <formula>13.1</formula>
      <formula>34</formula>
    </cfRule>
    <cfRule type="cellIs" dxfId="5665" priority="1174" stopIfTrue="1" operator="between">
      <formula>5.1</formula>
      <formula>13</formula>
    </cfRule>
    <cfRule type="cellIs" dxfId="5664" priority="1175" stopIfTrue="1" operator="between">
      <formula>0</formula>
      <formula>5</formula>
    </cfRule>
    <cfRule type="containsBlanks" dxfId="5663" priority="1176" stopIfTrue="1">
      <formula>LEN(TRIM(E14))=0</formula>
    </cfRule>
  </conditionalFormatting>
  <conditionalFormatting sqref="E15:P15">
    <cfRule type="containsBlanks" dxfId="5662" priority="1163" stopIfTrue="1">
      <formula>LEN(TRIM(E15))=0</formula>
    </cfRule>
    <cfRule type="cellIs" dxfId="5661" priority="1164" stopIfTrue="1" operator="between">
      <formula>79.1</formula>
      <formula>100</formula>
    </cfRule>
    <cfRule type="cellIs" dxfId="5660" priority="1165" stopIfTrue="1" operator="between">
      <formula>34.1</formula>
      <formula>79</formula>
    </cfRule>
    <cfRule type="cellIs" dxfId="5659" priority="1166" stopIfTrue="1" operator="between">
      <formula>13.1</formula>
      <formula>34</formula>
    </cfRule>
    <cfRule type="cellIs" dxfId="5658" priority="1167" stopIfTrue="1" operator="between">
      <formula>5.1</formula>
      <formula>13</formula>
    </cfRule>
    <cfRule type="cellIs" dxfId="5657" priority="1168" stopIfTrue="1" operator="between">
      <formula>0</formula>
      <formula>5</formula>
    </cfRule>
    <cfRule type="containsBlanks" dxfId="5656" priority="1169" stopIfTrue="1">
      <formula>LEN(TRIM(E15))=0</formula>
    </cfRule>
  </conditionalFormatting>
  <conditionalFormatting sqref="E43:P43">
    <cfRule type="containsBlanks" dxfId="5655" priority="1149" stopIfTrue="1">
      <formula>LEN(TRIM(E43))=0</formula>
    </cfRule>
    <cfRule type="cellIs" dxfId="5654" priority="1150" stopIfTrue="1" operator="between">
      <formula>80.1</formula>
      <formula>100</formula>
    </cfRule>
    <cfRule type="cellIs" dxfId="5653" priority="1151" stopIfTrue="1" operator="between">
      <formula>35.1</formula>
      <formula>80</formula>
    </cfRule>
    <cfRule type="cellIs" dxfId="5652" priority="1152" stopIfTrue="1" operator="between">
      <formula>14.1</formula>
      <formula>35</formula>
    </cfRule>
    <cfRule type="cellIs" dxfId="5651" priority="1153" stopIfTrue="1" operator="between">
      <formula>5.1</formula>
      <formula>14</formula>
    </cfRule>
    <cfRule type="cellIs" dxfId="5650" priority="1154" stopIfTrue="1" operator="between">
      <formula>0</formula>
      <formula>5</formula>
    </cfRule>
    <cfRule type="containsBlanks" dxfId="5649" priority="1155" stopIfTrue="1">
      <formula>LEN(TRIM(E43))=0</formula>
    </cfRule>
  </conditionalFormatting>
  <conditionalFormatting sqref="E44:P44">
    <cfRule type="containsBlanks" dxfId="5648" priority="1142" stopIfTrue="1">
      <formula>LEN(TRIM(E44))=0</formula>
    </cfRule>
    <cfRule type="cellIs" dxfId="5647" priority="1143" stopIfTrue="1" operator="between">
      <formula>80.1</formula>
      <formula>100</formula>
    </cfRule>
    <cfRule type="cellIs" dxfId="5646" priority="1144" stopIfTrue="1" operator="between">
      <formula>35.1</formula>
      <formula>80</formula>
    </cfRule>
    <cfRule type="cellIs" dxfId="5645" priority="1145" stopIfTrue="1" operator="between">
      <formula>14.1</formula>
      <formula>35</formula>
    </cfRule>
    <cfRule type="cellIs" dxfId="5644" priority="1146" stopIfTrue="1" operator="between">
      <formula>5.1</formula>
      <formula>14</formula>
    </cfRule>
    <cfRule type="cellIs" dxfId="5643" priority="1147" stopIfTrue="1" operator="between">
      <formula>0</formula>
      <formula>5</formula>
    </cfRule>
    <cfRule type="containsBlanks" dxfId="5642" priority="1148" stopIfTrue="1">
      <formula>LEN(TRIM(E44))=0</formula>
    </cfRule>
  </conditionalFormatting>
  <conditionalFormatting sqref="E45:P45">
    <cfRule type="containsBlanks" dxfId="5641" priority="1135" stopIfTrue="1">
      <formula>LEN(TRIM(E45))=0</formula>
    </cfRule>
    <cfRule type="cellIs" dxfId="5640" priority="1136" stopIfTrue="1" operator="between">
      <formula>80.1</formula>
      <formula>100</formula>
    </cfRule>
    <cfRule type="cellIs" dxfId="5639" priority="1137" stopIfTrue="1" operator="between">
      <formula>35.1</formula>
      <formula>80</formula>
    </cfRule>
    <cfRule type="cellIs" dxfId="5638" priority="1138" stopIfTrue="1" operator="between">
      <formula>14.1</formula>
      <formula>35</formula>
    </cfRule>
    <cfRule type="cellIs" dxfId="5637" priority="1139" stopIfTrue="1" operator="between">
      <formula>5.1</formula>
      <formula>14</formula>
    </cfRule>
    <cfRule type="cellIs" dxfId="5636" priority="1140" stopIfTrue="1" operator="between">
      <formula>0</formula>
      <formula>5</formula>
    </cfRule>
    <cfRule type="containsBlanks" dxfId="5635" priority="1141" stopIfTrue="1">
      <formula>LEN(TRIM(E45))=0</formula>
    </cfRule>
  </conditionalFormatting>
  <conditionalFormatting sqref="E46:P46">
    <cfRule type="containsBlanks" dxfId="5634" priority="1128" stopIfTrue="1">
      <formula>LEN(TRIM(E46))=0</formula>
    </cfRule>
    <cfRule type="cellIs" dxfId="5633" priority="1129" stopIfTrue="1" operator="between">
      <formula>80.1</formula>
      <formula>100</formula>
    </cfRule>
    <cfRule type="cellIs" dxfId="5632" priority="1130" stopIfTrue="1" operator="between">
      <formula>35.1</formula>
      <formula>80</formula>
    </cfRule>
    <cfRule type="cellIs" dxfId="5631" priority="1131" stopIfTrue="1" operator="between">
      <formula>14.1</formula>
      <formula>35</formula>
    </cfRule>
    <cfRule type="cellIs" dxfId="5630" priority="1132" stopIfTrue="1" operator="between">
      <formula>5.1</formula>
      <formula>14</formula>
    </cfRule>
    <cfRule type="cellIs" dxfId="5629" priority="1133" stopIfTrue="1" operator="between">
      <formula>0</formula>
      <formula>5</formula>
    </cfRule>
    <cfRule type="containsBlanks" dxfId="5628" priority="1134" stopIfTrue="1">
      <formula>LEN(TRIM(E46))=0</formula>
    </cfRule>
  </conditionalFormatting>
  <conditionalFormatting sqref="E48:P48">
    <cfRule type="containsBlanks" dxfId="5627" priority="1121" stopIfTrue="1">
      <formula>LEN(TRIM(E48))=0</formula>
    </cfRule>
    <cfRule type="cellIs" dxfId="5626" priority="1122" stopIfTrue="1" operator="between">
      <formula>80.1</formula>
      <formula>100</formula>
    </cfRule>
    <cfRule type="cellIs" dxfId="5625" priority="1123" stopIfTrue="1" operator="between">
      <formula>35.1</formula>
      <formula>80</formula>
    </cfRule>
    <cfRule type="cellIs" dxfId="5624" priority="1124" stopIfTrue="1" operator="between">
      <formula>14.1</formula>
      <formula>35</formula>
    </cfRule>
    <cfRule type="cellIs" dxfId="5623" priority="1125" stopIfTrue="1" operator="between">
      <formula>5.1</formula>
      <formula>14</formula>
    </cfRule>
    <cfRule type="cellIs" dxfId="5622" priority="1126" stopIfTrue="1" operator="between">
      <formula>0</formula>
      <formula>5</formula>
    </cfRule>
    <cfRule type="containsBlanks" dxfId="5621" priority="1127" stopIfTrue="1">
      <formula>LEN(TRIM(E48))=0</formula>
    </cfRule>
  </conditionalFormatting>
  <conditionalFormatting sqref="E50:P50">
    <cfRule type="containsBlanks" dxfId="5620" priority="1114" stopIfTrue="1">
      <formula>LEN(TRIM(E50))=0</formula>
    </cfRule>
    <cfRule type="cellIs" dxfId="5619" priority="1115" stopIfTrue="1" operator="between">
      <formula>80.1</formula>
      <formula>100</formula>
    </cfRule>
    <cfRule type="cellIs" dxfId="5618" priority="1116" stopIfTrue="1" operator="between">
      <formula>35.1</formula>
      <formula>80</formula>
    </cfRule>
    <cfRule type="cellIs" dxfId="5617" priority="1117" stopIfTrue="1" operator="between">
      <formula>14.1</formula>
      <formula>35</formula>
    </cfRule>
    <cfRule type="cellIs" dxfId="5616" priority="1118" stopIfTrue="1" operator="between">
      <formula>5.1</formula>
      <formula>14</formula>
    </cfRule>
    <cfRule type="cellIs" dxfId="5615" priority="1119" stopIfTrue="1" operator="between">
      <formula>0</formula>
      <formula>5</formula>
    </cfRule>
    <cfRule type="containsBlanks" dxfId="5614" priority="1120" stopIfTrue="1">
      <formula>LEN(TRIM(E50))=0</formula>
    </cfRule>
  </conditionalFormatting>
  <conditionalFormatting sqref="E51:P51">
    <cfRule type="containsBlanks" dxfId="5613" priority="1107" stopIfTrue="1">
      <formula>LEN(TRIM(E51))=0</formula>
    </cfRule>
    <cfRule type="cellIs" dxfId="5612" priority="1108" stopIfTrue="1" operator="between">
      <formula>80.1</formula>
      <formula>100</formula>
    </cfRule>
    <cfRule type="cellIs" dxfId="5611" priority="1109" stopIfTrue="1" operator="between">
      <formula>35.1</formula>
      <formula>80</formula>
    </cfRule>
    <cfRule type="cellIs" dxfId="5610" priority="1110" stopIfTrue="1" operator="between">
      <formula>14.1</formula>
      <formula>35</formula>
    </cfRule>
    <cfRule type="cellIs" dxfId="5609" priority="1111" stopIfTrue="1" operator="between">
      <formula>5.1</formula>
      <formula>14</formula>
    </cfRule>
    <cfRule type="cellIs" dxfId="5608" priority="1112" stopIfTrue="1" operator="between">
      <formula>0</formula>
      <formula>5</formula>
    </cfRule>
    <cfRule type="containsBlanks" dxfId="5607" priority="1113" stopIfTrue="1">
      <formula>LEN(TRIM(E51))=0</formula>
    </cfRule>
  </conditionalFormatting>
  <conditionalFormatting sqref="E52:P52">
    <cfRule type="containsBlanks" dxfId="5606" priority="1100" stopIfTrue="1">
      <formula>LEN(TRIM(E52))=0</formula>
    </cfRule>
    <cfRule type="cellIs" dxfId="5605" priority="1101" stopIfTrue="1" operator="between">
      <formula>80.1</formula>
      <formula>100</formula>
    </cfRule>
    <cfRule type="cellIs" dxfId="5604" priority="1102" stopIfTrue="1" operator="between">
      <formula>35.1</formula>
      <formula>80</formula>
    </cfRule>
    <cfRule type="cellIs" dxfId="5603" priority="1103" stopIfTrue="1" operator="between">
      <formula>14.1</formula>
      <formula>35</formula>
    </cfRule>
    <cfRule type="cellIs" dxfId="5602" priority="1104" stopIfTrue="1" operator="between">
      <formula>5.1</formula>
      <formula>14</formula>
    </cfRule>
    <cfRule type="cellIs" dxfId="5601" priority="1105" stopIfTrue="1" operator="between">
      <formula>0</formula>
      <formula>5</formula>
    </cfRule>
    <cfRule type="containsBlanks" dxfId="5600" priority="1106" stopIfTrue="1">
      <formula>LEN(TRIM(E52))=0</formula>
    </cfRule>
  </conditionalFormatting>
  <conditionalFormatting sqref="E53:P53">
    <cfRule type="containsBlanks" dxfId="5599" priority="1093" stopIfTrue="1">
      <formula>LEN(TRIM(E53))=0</formula>
    </cfRule>
    <cfRule type="cellIs" dxfId="5598" priority="1094" stopIfTrue="1" operator="between">
      <formula>80.1</formula>
      <formula>100</formula>
    </cfRule>
    <cfRule type="cellIs" dxfId="5597" priority="1095" stopIfTrue="1" operator="between">
      <formula>35.1</formula>
      <formula>80</formula>
    </cfRule>
    <cfRule type="cellIs" dxfId="5596" priority="1096" stopIfTrue="1" operator="between">
      <formula>14.1</formula>
      <formula>35</formula>
    </cfRule>
    <cfRule type="cellIs" dxfId="5595" priority="1097" stopIfTrue="1" operator="between">
      <formula>5.1</formula>
      <formula>14</formula>
    </cfRule>
    <cfRule type="cellIs" dxfId="5594" priority="1098" stopIfTrue="1" operator="between">
      <formula>0</formula>
      <formula>5</formula>
    </cfRule>
    <cfRule type="containsBlanks" dxfId="5593" priority="1099" stopIfTrue="1">
      <formula>LEN(TRIM(E53))=0</formula>
    </cfRule>
  </conditionalFormatting>
  <conditionalFormatting sqref="E56:P56">
    <cfRule type="containsBlanks" dxfId="5592" priority="1086" stopIfTrue="1">
      <formula>LEN(TRIM(E56))=0</formula>
    </cfRule>
    <cfRule type="cellIs" dxfId="5591" priority="1087" stopIfTrue="1" operator="between">
      <formula>80.1</formula>
      <formula>100</formula>
    </cfRule>
    <cfRule type="cellIs" dxfId="5590" priority="1088" stopIfTrue="1" operator="between">
      <formula>35.1</formula>
      <formula>80</formula>
    </cfRule>
    <cfRule type="cellIs" dxfId="5589" priority="1089" stopIfTrue="1" operator="between">
      <formula>14.1</formula>
      <formula>35</formula>
    </cfRule>
    <cfRule type="cellIs" dxfId="5588" priority="1090" stopIfTrue="1" operator="between">
      <formula>5.1</formula>
      <formula>14</formula>
    </cfRule>
    <cfRule type="cellIs" dxfId="5587" priority="1091" stopIfTrue="1" operator="between">
      <formula>0</formula>
      <formula>5</formula>
    </cfRule>
    <cfRule type="containsBlanks" dxfId="5586" priority="1092" stopIfTrue="1">
      <formula>LEN(TRIM(E56))=0</formula>
    </cfRule>
  </conditionalFormatting>
  <conditionalFormatting sqref="Q55">
    <cfRule type="containsBlanks" dxfId="5585" priority="1079" stopIfTrue="1">
      <formula>LEN(TRIM(Q55))=0</formula>
    </cfRule>
    <cfRule type="cellIs" dxfId="5584" priority="1080" stopIfTrue="1" operator="between">
      <formula>80.1</formula>
      <formula>100</formula>
    </cfRule>
    <cfRule type="cellIs" dxfId="5583" priority="1081" stopIfTrue="1" operator="between">
      <formula>35.1</formula>
      <formula>80</formula>
    </cfRule>
    <cfRule type="cellIs" dxfId="5582" priority="1082" stopIfTrue="1" operator="between">
      <formula>14.1</formula>
      <formula>35</formula>
    </cfRule>
    <cfRule type="cellIs" dxfId="5581" priority="1083" stopIfTrue="1" operator="between">
      <formula>5.1</formula>
      <formula>14</formula>
    </cfRule>
    <cfRule type="cellIs" dxfId="5580" priority="1084" stopIfTrue="1" operator="between">
      <formula>0</formula>
      <formula>5</formula>
    </cfRule>
    <cfRule type="containsBlanks" dxfId="5579" priority="1085" stopIfTrue="1">
      <formula>LEN(TRIM(Q55))=0</formula>
    </cfRule>
  </conditionalFormatting>
  <conditionalFormatting sqref="E55:P55">
    <cfRule type="containsBlanks" dxfId="5578" priority="1072" stopIfTrue="1">
      <formula>LEN(TRIM(E55))=0</formula>
    </cfRule>
    <cfRule type="cellIs" dxfId="5577" priority="1073" stopIfTrue="1" operator="between">
      <formula>80.1</formula>
      <formula>100</formula>
    </cfRule>
    <cfRule type="cellIs" dxfId="5576" priority="1074" stopIfTrue="1" operator="between">
      <formula>35.1</formula>
      <formula>80</formula>
    </cfRule>
    <cfRule type="cellIs" dxfId="5575" priority="1075" stopIfTrue="1" operator="between">
      <formula>14.1</formula>
      <formula>35</formula>
    </cfRule>
    <cfRule type="cellIs" dxfId="5574" priority="1076" stopIfTrue="1" operator="between">
      <formula>5.1</formula>
      <formula>14</formula>
    </cfRule>
    <cfRule type="cellIs" dxfId="5573" priority="1077" stopIfTrue="1" operator="between">
      <formula>0</formula>
      <formula>5</formula>
    </cfRule>
    <cfRule type="containsBlanks" dxfId="5572" priority="1078" stopIfTrue="1">
      <formula>LEN(TRIM(E55))=0</formula>
    </cfRule>
  </conditionalFormatting>
  <conditionalFormatting sqref="E54:P54">
    <cfRule type="containsBlanks" dxfId="5571" priority="1051" stopIfTrue="1">
      <formula>LEN(TRIM(E54))=0</formula>
    </cfRule>
    <cfRule type="cellIs" dxfId="5570" priority="1052" stopIfTrue="1" operator="between">
      <formula>80.1</formula>
      <formula>100</formula>
    </cfRule>
    <cfRule type="cellIs" dxfId="5569" priority="1053" stopIfTrue="1" operator="between">
      <formula>35.1</formula>
      <formula>80</formula>
    </cfRule>
    <cfRule type="cellIs" dxfId="5568" priority="1054" stopIfTrue="1" operator="between">
      <formula>14.1</formula>
      <formula>35</formula>
    </cfRule>
    <cfRule type="cellIs" dxfId="5567" priority="1055" stopIfTrue="1" operator="between">
      <formula>5.1</formula>
      <formula>14</formula>
    </cfRule>
    <cfRule type="cellIs" dxfId="5566" priority="1056" stopIfTrue="1" operator="between">
      <formula>0</formula>
      <formula>5</formula>
    </cfRule>
    <cfRule type="containsBlanks" dxfId="5565" priority="1057" stopIfTrue="1">
      <formula>LEN(TRIM(E54))=0</formula>
    </cfRule>
  </conditionalFormatting>
  <conditionalFormatting sqref="E63:P63">
    <cfRule type="containsBlanks" dxfId="5564" priority="1044" stopIfTrue="1">
      <formula>LEN(TRIM(E63))=0</formula>
    </cfRule>
    <cfRule type="cellIs" dxfId="5563" priority="1045" stopIfTrue="1" operator="between">
      <formula>79.1</formula>
      <formula>100</formula>
    </cfRule>
    <cfRule type="cellIs" dxfId="5562" priority="1046" stopIfTrue="1" operator="between">
      <formula>34.1</formula>
      <formula>79</formula>
    </cfRule>
    <cfRule type="cellIs" dxfId="5561" priority="1047" stopIfTrue="1" operator="between">
      <formula>13.1</formula>
      <formula>34</formula>
    </cfRule>
    <cfRule type="cellIs" dxfId="5560" priority="1048" stopIfTrue="1" operator="between">
      <formula>5.1</formula>
      <formula>13</formula>
    </cfRule>
    <cfRule type="cellIs" dxfId="5559" priority="1049" stopIfTrue="1" operator="between">
      <formula>0</formula>
      <formula>5</formula>
    </cfRule>
    <cfRule type="containsBlanks" dxfId="5558" priority="1050" stopIfTrue="1">
      <formula>LEN(TRIM(E63))=0</formula>
    </cfRule>
  </conditionalFormatting>
  <conditionalFormatting sqref="E75:P75">
    <cfRule type="containsBlanks" dxfId="5557" priority="1037" stopIfTrue="1">
      <formula>LEN(TRIM(E75))=0</formula>
    </cfRule>
    <cfRule type="cellIs" dxfId="5556" priority="1038" stopIfTrue="1" operator="between">
      <formula>79.1</formula>
      <formula>100</formula>
    </cfRule>
    <cfRule type="cellIs" dxfId="5555" priority="1039" stopIfTrue="1" operator="between">
      <formula>34.1</formula>
      <formula>79</formula>
    </cfRule>
    <cfRule type="cellIs" dxfId="5554" priority="1040" stopIfTrue="1" operator="between">
      <formula>13.1</formula>
      <formula>34</formula>
    </cfRule>
    <cfRule type="cellIs" dxfId="5553" priority="1041" stopIfTrue="1" operator="between">
      <formula>5.1</formula>
      <formula>13</formula>
    </cfRule>
    <cfRule type="cellIs" dxfId="5552" priority="1042" stopIfTrue="1" operator="between">
      <formula>0</formula>
      <formula>5</formula>
    </cfRule>
    <cfRule type="containsBlanks" dxfId="5551" priority="1043" stopIfTrue="1">
      <formula>LEN(TRIM(E75))=0</formula>
    </cfRule>
  </conditionalFormatting>
  <conditionalFormatting sqref="E76:P76">
    <cfRule type="containsBlanks" dxfId="5550" priority="1030" stopIfTrue="1">
      <formula>LEN(TRIM(E76))=0</formula>
    </cfRule>
    <cfRule type="cellIs" dxfId="5549" priority="1031" stopIfTrue="1" operator="between">
      <formula>79.1</formula>
      <formula>100</formula>
    </cfRule>
    <cfRule type="cellIs" dxfId="5548" priority="1032" stopIfTrue="1" operator="between">
      <formula>34.1</formula>
      <formula>79</formula>
    </cfRule>
    <cfRule type="cellIs" dxfId="5547" priority="1033" stopIfTrue="1" operator="between">
      <formula>13.1</formula>
      <formula>34</formula>
    </cfRule>
    <cfRule type="cellIs" dxfId="5546" priority="1034" stopIfTrue="1" operator="between">
      <formula>5.1</formula>
      <formula>13</formula>
    </cfRule>
    <cfRule type="cellIs" dxfId="5545" priority="1035" stopIfTrue="1" operator="between">
      <formula>0</formula>
      <formula>5</formula>
    </cfRule>
    <cfRule type="containsBlanks" dxfId="5544" priority="1036" stopIfTrue="1">
      <formula>LEN(TRIM(E76))=0</formula>
    </cfRule>
  </conditionalFormatting>
  <conditionalFormatting sqref="E77:P77">
    <cfRule type="containsBlanks" dxfId="5543" priority="1023" stopIfTrue="1">
      <formula>LEN(TRIM(E77))=0</formula>
    </cfRule>
    <cfRule type="cellIs" dxfId="5542" priority="1024" stopIfTrue="1" operator="between">
      <formula>79.1</formula>
      <formula>100</formula>
    </cfRule>
    <cfRule type="cellIs" dxfId="5541" priority="1025" stopIfTrue="1" operator="between">
      <formula>34.1</formula>
      <formula>79</formula>
    </cfRule>
    <cfRule type="cellIs" dxfId="5540" priority="1026" stopIfTrue="1" operator="between">
      <formula>13.1</formula>
      <formula>34</formula>
    </cfRule>
    <cfRule type="cellIs" dxfId="5539" priority="1027" stopIfTrue="1" operator="between">
      <formula>5.1</formula>
      <formula>13</formula>
    </cfRule>
    <cfRule type="cellIs" dxfId="5538" priority="1028" stopIfTrue="1" operator="between">
      <formula>0</formula>
      <formula>5</formula>
    </cfRule>
    <cfRule type="containsBlanks" dxfId="5537" priority="1029" stopIfTrue="1">
      <formula>LEN(TRIM(E77))=0</formula>
    </cfRule>
  </conditionalFormatting>
  <conditionalFormatting sqref="E78:P78">
    <cfRule type="containsBlanks" dxfId="5536" priority="1016" stopIfTrue="1">
      <formula>LEN(TRIM(E78))=0</formula>
    </cfRule>
    <cfRule type="cellIs" dxfId="5535" priority="1017" stopIfTrue="1" operator="between">
      <formula>79.1</formula>
      <formula>100</formula>
    </cfRule>
    <cfRule type="cellIs" dxfId="5534" priority="1018" stopIfTrue="1" operator="between">
      <formula>34.1</formula>
      <formula>79</formula>
    </cfRule>
    <cfRule type="cellIs" dxfId="5533" priority="1019" stopIfTrue="1" operator="between">
      <formula>13.1</formula>
      <formula>34</formula>
    </cfRule>
    <cfRule type="cellIs" dxfId="5532" priority="1020" stopIfTrue="1" operator="between">
      <formula>5.1</formula>
      <formula>13</formula>
    </cfRule>
    <cfRule type="cellIs" dxfId="5531" priority="1021" stopIfTrue="1" operator="between">
      <formula>0</formula>
      <formula>5</formula>
    </cfRule>
    <cfRule type="containsBlanks" dxfId="5530" priority="1022" stopIfTrue="1">
      <formula>LEN(TRIM(E78))=0</formula>
    </cfRule>
  </conditionalFormatting>
  <conditionalFormatting sqref="E79:P79">
    <cfRule type="containsBlanks" dxfId="5529" priority="1009" stopIfTrue="1">
      <formula>LEN(TRIM(E79))=0</formula>
    </cfRule>
    <cfRule type="cellIs" dxfId="5528" priority="1010" stopIfTrue="1" operator="between">
      <formula>79.1</formula>
      <formula>100</formula>
    </cfRule>
    <cfRule type="cellIs" dxfId="5527" priority="1011" stopIfTrue="1" operator="between">
      <formula>34.1</formula>
      <formula>79</formula>
    </cfRule>
    <cfRule type="cellIs" dxfId="5526" priority="1012" stopIfTrue="1" operator="between">
      <formula>13.1</formula>
      <formula>34</formula>
    </cfRule>
    <cfRule type="cellIs" dxfId="5525" priority="1013" stopIfTrue="1" operator="between">
      <formula>5.1</formula>
      <formula>13</formula>
    </cfRule>
    <cfRule type="cellIs" dxfId="5524" priority="1014" stopIfTrue="1" operator="between">
      <formula>0</formula>
      <formula>5</formula>
    </cfRule>
    <cfRule type="containsBlanks" dxfId="5523" priority="1015" stopIfTrue="1">
      <formula>LEN(TRIM(E79))=0</formula>
    </cfRule>
  </conditionalFormatting>
  <conditionalFormatting sqref="E80:P80">
    <cfRule type="containsBlanks" dxfId="5522" priority="1002" stopIfTrue="1">
      <formula>LEN(TRIM(E80))=0</formula>
    </cfRule>
    <cfRule type="cellIs" dxfId="5521" priority="1003" stopIfTrue="1" operator="between">
      <formula>79.1</formula>
      <formula>100</formula>
    </cfRule>
    <cfRule type="cellIs" dxfId="5520" priority="1004" stopIfTrue="1" operator="between">
      <formula>34.1</formula>
      <formula>79</formula>
    </cfRule>
    <cfRule type="cellIs" dxfId="5519" priority="1005" stopIfTrue="1" operator="between">
      <formula>13.1</formula>
      <formula>34</formula>
    </cfRule>
    <cfRule type="cellIs" dxfId="5518" priority="1006" stopIfTrue="1" operator="between">
      <formula>5.1</formula>
      <formula>13</formula>
    </cfRule>
    <cfRule type="cellIs" dxfId="5517" priority="1007" stopIfTrue="1" operator="between">
      <formula>0</formula>
      <formula>5</formula>
    </cfRule>
    <cfRule type="containsBlanks" dxfId="5516" priority="1008" stopIfTrue="1">
      <formula>LEN(TRIM(E80))=0</formula>
    </cfRule>
  </conditionalFormatting>
  <conditionalFormatting sqref="E86:P86">
    <cfRule type="containsBlanks" dxfId="5515" priority="995" stopIfTrue="1">
      <formula>LEN(TRIM(E86))=0</formula>
    </cfRule>
    <cfRule type="cellIs" dxfId="5514" priority="996" stopIfTrue="1" operator="between">
      <formula>79.1</formula>
      <formula>100</formula>
    </cfRule>
    <cfRule type="cellIs" dxfId="5513" priority="997" stopIfTrue="1" operator="between">
      <formula>34.1</formula>
      <formula>79</formula>
    </cfRule>
    <cfRule type="cellIs" dxfId="5512" priority="998" stopIfTrue="1" operator="between">
      <formula>13.1</formula>
      <formula>34</formula>
    </cfRule>
    <cfRule type="cellIs" dxfId="5511" priority="999" stopIfTrue="1" operator="between">
      <formula>5.1</formula>
      <formula>13</formula>
    </cfRule>
    <cfRule type="cellIs" dxfId="5510" priority="1000" stopIfTrue="1" operator="between">
      <formula>0</formula>
      <formula>5</formula>
    </cfRule>
    <cfRule type="containsBlanks" dxfId="5509" priority="1001" stopIfTrue="1">
      <formula>LEN(TRIM(E86))=0</formula>
    </cfRule>
  </conditionalFormatting>
  <conditionalFormatting sqref="E88:P88">
    <cfRule type="containsBlanks" dxfId="5508" priority="988" stopIfTrue="1">
      <formula>LEN(TRIM(E88))=0</formula>
    </cfRule>
    <cfRule type="cellIs" dxfId="5507" priority="989" stopIfTrue="1" operator="between">
      <formula>79.1</formula>
      <formula>100</formula>
    </cfRule>
    <cfRule type="cellIs" dxfId="5506" priority="990" stopIfTrue="1" operator="between">
      <formula>34.1</formula>
      <formula>79</formula>
    </cfRule>
    <cfRule type="cellIs" dxfId="5505" priority="991" stopIfTrue="1" operator="between">
      <formula>13.1</formula>
      <formula>34</formula>
    </cfRule>
    <cfRule type="cellIs" dxfId="5504" priority="992" stopIfTrue="1" operator="between">
      <formula>5.1</formula>
      <formula>13</formula>
    </cfRule>
    <cfRule type="cellIs" dxfId="5503" priority="993" stopIfTrue="1" operator="between">
      <formula>0</formula>
      <formula>5</formula>
    </cfRule>
    <cfRule type="containsBlanks" dxfId="5502" priority="994" stopIfTrue="1">
      <formula>LEN(TRIM(E88))=0</formula>
    </cfRule>
  </conditionalFormatting>
  <conditionalFormatting sqref="E89:P89">
    <cfRule type="containsBlanks" dxfId="5501" priority="981" stopIfTrue="1">
      <formula>LEN(TRIM(E89))=0</formula>
    </cfRule>
    <cfRule type="cellIs" dxfId="5500" priority="982" stopIfTrue="1" operator="between">
      <formula>79.1</formula>
      <formula>100</formula>
    </cfRule>
    <cfRule type="cellIs" dxfId="5499" priority="983" stopIfTrue="1" operator="between">
      <formula>34.1</formula>
      <formula>79</formula>
    </cfRule>
    <cfRule type="cellIs" dxfId="5498" priority="984" stopIfTrue="1" operator="between">
      <formula>13.1</formula>
      <formula>34</formula>
    </cfRule>
    <cfRule type="cellIs" dxfId="5497" priority="985" stopIfTrue="1" operator="between">
      <formula>5.1</formula>
      <formula>13</formula>
    </cfRule>
    <cfRule type="cellIs" dxfId="5496" priority="986" stopIfTrue="1" operator="between">
      <formula>0</formula>
      <formula>5</formula>
    </cfRule>
    <cfRule type="containsBlanks" dxfId="5495" priority="987" stopIfTrue="1">
      <formula>LEN(TRIM(E89))=0</formula>
    </cfRule>
  </conditionalFormatting>
  <conditionalFormatting sqref="E90:P90">
    <cfRule type="containsBlanks" dxfId="5494" priority="974" stopIfTrue="1">
      <formula>LEN(TRIM(E90))=0</formula>
    </cfRule>
    <cfRule type="cellIs" dxfId="5493" priority="975" stopIfTrue="1" operator="between">
      <formula>79.1</formula>
      <formula>100</formula>
    </cfRule>
    <cfRule type="cellIs" dxfId="5492" priority="976" stopIfTrue="1" operator="between">
      <formula>34.1</formula>
      <formula>79</formula>
    </cfRule>
    <cfRule type="cellIs" dxfId="5491" priority="977" stopIfTrue="1" operator="between">
      <formula>13.1</formula>
      <formula>34</formula>
    </cfRule>
    <cfRule type="cellIs" dxfId="5490" priority="978" stopIfTrue="1" operator="between">
      <formula>5.1</formula>
      <formula>13</formula>
    </cfRule>
    <cfRule type="cellIs" dxfId="5489" priority="979" stopIfTrue="1" operator="between">
      <formula>0</formula>
      <formula>5</formula>
    </cfRule>
    <cfRule type="containsBlanks" dxfId="5488" priority="980" stopIfTrue="1">
      <formula>LEN(TRIM(E90))=0</formula>
    </cfRule>
  </conditionalFormatting>
  <conditionalFormatting sqref="E74:P74">
    <cfRule type="containsBlanks" dxfId="5487" priority="967" stopIfTrue="1">
      <formula>LEN(TRIM(E74))=0</formula>
    </cfRule>
    <cfRule type="cellIs" dxfId="5486" priority="968" stopIfTrue="1" operator="between">
      <formula>79.1</formula>
      <formula>100</formula>
    </cfRule>
    <cfRule type="cellIs" dxfId="5485" priority="969" stopIfTrue="1" operator="between">
      <formula>34.1</formula>
      <formula>79</formula>
    </cfRule>
    <cfRule type="cellIs" dxfId="5484" priority="970" stopIfTrue="1" operator="between">
      <formula>13.1</formula>
      <formula>34</formula>
    </cfRule>
    <cfRule type="cellIs" dxfId="5483" priority="971" stopIfTrue="1" operator="between">
      <formula>5.1</formula>
      <formula>13</formula>
    </cfRule>
    <cfRule type="cellIs" dxfId="5482" priority="972" stopIfTrue="1" operator="between">
      <formula>0</formula>
      <formula>5</formula>
    </cfRule>
    <cfRule type="containsBlanks" dxfId="5481" priority="973" stopIfTrue="1">
      <formula>LEN(TRIM(E74))=0</formula>
    </cfRule>
  </conditionalFormatting>
  <conditionalFormatting sqref="E100:P100">
    <cfRule type="containsBlanks" dxfId="5480" priority="911" stopIfTrue="1">
      <formula>LEN(TRIM(E100))=0</formula>
    </cfRule>
    <cfRule type="cellIs" dxfId="5479" priority="912" stopIfTrue="1" operator="between">
      <formula>79.1</formula>
      <formula>100</formula>
    </cfRule>
    <cfRule type="cellIs" dxfId="5478" priority="913" stopIfTrue="1" operator="between">
      <formula>34.1</formula>
      <formula>79</formula>
    </cfRule>
    <cfRule type="cellIs" dxfId="5477" priority="914" stopIfTrue="1" operator="between">
      <formula>13.1</formula>
      <formula>34</formula>
    </cfRule>
    <cfRule type="cellIs" dxfId="5476" priority="915" stopIfTrue="1" operator="between">
      <formula>5.1</formula>
      <formula>13</formula>
    </cfRule>
    <cfRule type="cellIs" dxfId="5475" priority="916" stopIfTrue="1" operator="between">
      <formula>0</formula>
      <formula>5</formula>
    </cfRule>
    <cfRule type="containsBlanks" dxfId="5474" priority="917" stopIfTrue="1">
      <formula>LEN(TRIM(E100))=0</formula>
    </cfRule>
  </conditionalFormatting>
  <conditionalFormatting sqref="Q91">
    <cfRule type="containsBlanks" dxfId="5473" priority="960" stopIfTrue="1">
      <formula>LEN(TRIM(Q91))=0</formula>
    </cfRule>
    <cfRule type="cellIs" dxfId="5472" priority="961" stopIfTrue="1" operator="between">
      <formula>80.1</formula>
      <formula>100</formula>
    </cfRule>
    <cfRule type="cellIs" dxfId="5471" priority="962" stopIfTrue="1" operator="between">
      <formula>35.1</formula>
      <formula>80</formula>
    </cfRule>
    <cfRule type="cellIs" dxfId="5470" priority="963" stopIfTrue="1" operator="between">
      <formula>14.1</formula>
      <formula>35</formula>
    </cfRule>
    <cfRule type="cellIs" dxfId="5469" priority="964" stopIfTrue="1" operator="between">
      <formula>5.1</formula>
      <formula>14</formula>
    </cfRule>
    <cfRule type="cellIs" dxfId="5468" priority="965" stopIfTrue="1" operator="between">
      <formula>0</formula>
      <formula>5</formula>
    </cfRule>
    <cfRule type="containsBlanks" dxfId="5467" priority="966" stopIfTrue="1">
      <formula>LEN(TRIM(Q91))=0</formula>
    </cfRule>
  </conditionalFormatting>
  <conditionalFormatting sqref="E91:P91">
    <cfRule type="containsBlanks" dxfId="5466" priority="953" stopIfTrue="1">
      <formula>LEN(TRIM(E91))=0</formula>
    </cfRule>
    <cfRule type="cellIs" dxfId="5465" priority="954" stopIfTrue="1" operator="between">
      <formula>79.1</formula>
      <formula>100</formula>
    </cfRule>
    <cfRule type="cellIs" dxfId="5464" priority="955" stopIfTrue="1" operator="between">
      <formula>34.1</formula>
      <formula>79</formula>
    </cfRule>
    <cfRule type="cellIs" dxfId="5463" priority="956" stopIfTrue="1" operator="between">
      <formula>13.1</formula>
      <formula>34</formula>
    </cfRule>
    <cfRule type="cellIs" dxfId="5462" priority="957" stopIfTrue="1" operator="between">
      <formula>5.1</formula>
      <formula>13</formula>
    </cfRule>
    <cfRule type="cellIs" dxfId="5461" priority="958" stopIfTrue="1" operator="between">
      <formula>0</formula>
      <formula>5</formula>
    </cfRule>
    <cfRule type="containsBlanks" dxfId="5460" priority="959" stopIfTrue="1">
      <formula>LEN(TRIM(E91))=0</formula>
    </cfRule>
  </conditionalFormatting>
  <conditionalFormatting sqref="Q92">
    <cfRule type="containsBlanks" dxfId="5459" priority="946" stopIfTrue="1">
      <formula>LEN(TRIM(Q92))=0</formula>
    </cfRule>
    <cfRule type="cellIs" dxfId="5458" priority="947" stopIfTrue="1" operator="between">
      <formula>80.1</formula>
      <formula>100</formula>
    </cfRule>
    <cfRule type="cellIs" dxfId="5457" priority="948" stopIfTrue="1" operator="between">
      <formula>35.1</formula>
      <formula>80</formula>
    </cfRule>
    <cfRule type="cellIs" dxfId="5456" priority="949" stopIfTrue="1" operator="between">
      <formula>14.1</formula>
      <formula>35</formula>
    </cfRule>
    <cfRule type="cellIs" dxfId="5455" priority="950" stopIfTrue="1" operator="between">
      <formula>5.1</formula>
      <formula>14</formula>
    </cfRule>
    <cfRule type="cellIs" dxfId="5454" priority="951" stopIfTrue="1" operator="between">
      <formula>0</formula>
      <formula>5</formula>
    </cfRule>
    <cfRule type="containsBlanks" dxfId="5453" priority="952" stopIfTrue="1">
      <formula>LEN(TRIM(Q92))=0</formula>
    </cfRule>
  </conditionalFormatting>
  <conditionalFormatting sqref="E92:P92">
    <cfRule type="containsBlanks" dxfId="5452" priority="939" stopIfTrue="1">
      <formula>LEN(TRIM(E92))=0</formula>
    </cfRule>
    <cfRule type="cellIs" dxfId="5451" priority="940" stopIfTrue="1" operator="between">
      <formula>79.1</formula>
      <formula>100</formula>
    </cfRule>
    <cfRule type="cellIs" dxfId="5450" priority="941" stopIfTrue="1" operator="between">
      <formula>34.1</formula>
      <formula>79</formula>
    </cfRule>
    <cfRule type="cellIs" dxfId="5449" priority="942" stopIfTrue="1" operator="between">
      <formula>13.1</formula>
      <formula>34</formula>
    </cfRule>
    <cfRule type="cellIs" dxfId="5448" priority="943" stopIfTrue="1" operator="between">
      <formula>5.1</formula>
      <formula>13</formula>
    </cfRule>
    <cfRule type="cellIs" dxfId="5447" priority="944" stopIfTrue="1" operator="between">
      <formula>0</formula>
      <formula>5</formula>
    </cfRule>
    <cfRule type="containsBlanks" dxfId="5446" priority="945" stopIfTrue="1">
      <formula>LEN(TRIM(E92))=0</formula>
    </cfRule>
  </conditionalFormatting>
  <conditionalFormatting sqref="E98:P98">
    <cfRule type="containsBlanks" dxfId="5445" priority="925" stopIfTrue="1">
      <formula>LEN(TRIM(E98))=0</formula>
    </cfRule>
    <cfRule type="cellIs" dxfId="5444" priority="926" stopIfTrue="1" operator="between">
      <formula>79.1</formula>
      <formula>100</formula>
    </cfRule>
    <cfRule type="cellIs" dxfId="5443" priority="927" stopIfTrue="1" operator="between">
      <formula>34.1</formula>
      <formula>79</formula>
    </cfRule>
    <cfRule type="cellIs" dxfId="5442" priority="928" stopIfTrue="1" operator="between">
      <formula>13.1</formula>
      <formula>34</formula>
    </cfRule>
    <cfRule type="cellIs" dxfId="5441" priority="929" stopIfTrue="1" operator="between">
      <formula>5.1</formula>
      <formula>13</formula>
    </cfRule>
    <cfRule type="cellIs" dxfId="5440" priority="930" stopIfTrue="1" operator="between">
      <formula>0</formula>
      <formula>5</formula>
    </cfRule>
    <cfRule type="containsBlanks" dxfId="5439" priority="931" stopIfTrue="1">
      <formula>LEN(TRIM(E98))=0</formula>
    </cfRule>
  </conditionalFormatting>
  <conditionalFormatting sqref="E99:P99">
    <cfRule type="containsBlanks" dxfId="5438" priority="918" stopIfTrue="1">
      <formula>LEN(TRIM(E99))=0</formula>
    </cfRule>
    <cfRule type="cellIs" dxfId="5437" priority="919" stopIfTrue="1" operator="between">
      <formula>79.1</formula>
      <formula>100</formula>
    </cfRule>
    <cfRule type="cellIs" dxfId="5436" priority="920" stopIfTrue="1" operator="between">
      <formula>34.1</formula>
      <formula>79</formula>
    </cfRule>
    <cfRule type="cellIs" dxfId="5435" priority="921" stopIfTrue="1" operator="between">
      <formula>13.1</formula>
      <formula>34</formula>
    </cfRule>
    <cfRule type="cellIs" dxfId="5434" priority="922" stopIfTrue="1" operator="between">
      <formula>5.1</formula>
      <formula>13</formula>
    </cfRule>
    <cfRule type="cellIs" dxfId="5433" priority="923" stopIfTrue="1" operator="between">
      <formula>0</formula>
      <formula>5</formula>
    </cfRule>
    <cfRule type="containsBlanks" dxfId="5432" priority="924" stopIfTrue="1">
      <formula>LEN(TRIM(E99))=0</formula>
    </cfRule>
  </conditionalFormatting>
  <conditionalFormatting sqref="Q102">
    <cfRule type="containsBlanks" dxfId="5431" priority="897" stopIfTrue="1">
      <formula>LEN(TRIM(Q102))=0</formula>
    </cfRule>
    <cfRule type="cellIs" dxfId="5430" priority="898" stopIfTrue="1" operator="between">
      <formula>80.1</formula>
      <formula>100</formula>
    </cfRule>
    <cfRule type="cellIs" dxfId="5429" priority="899" stopIfTrue="1" operator="between">
      <formula>35.1</formula>
      <formula>80</formula>
    </cfRule>
    <cfRule type="cellIs" dxfId="5428" priority="900" stopIfTrue="1" operator="between">
      <formula>14.1</formula>
      <formula>35</formula>
    </cfRule>
    <cfRule type="cellIs" dxfId="5427" priority="901" stopIfTrue="1" operator="between">
      <formula>5.1</formula>
      <formula>14</formula>
    </cfRule>
    <cfRule type="cellIs" dxfId="5426" priority="902" stopIfTrue="1" operator="between">
      <formula>0</formula>
      <formula>5</formula>
    </cfRule>
    <cfRule type="containsBlanks" dxfId="5425" priority="903" stopIfTrue="1">
      <formula>LEN(TRIM(Q102))=0</formula>
    </cfRule>
  </conditionalFormatting>
  <conditionalFormatting sqref="Q101">
    <cfRule type="containsBlanks" dxfId="5424" priority="890" stopIfTrue="1">
      <formula>LEN(TRIM(Q101))=0</formula>
    </cfRule>
    <cfRule type="cellIs" dxfId="5423" priority="891" stopIfTrue="1" operator="between">
      <formula>80.1</formula>
      <formula>100</formula>
    </cfRule>
    <cfRule type="cellIs" dxfId="5422" priority="892" stopIfTrue="1" operator="between">
      <formula>35.1</formula>
      <formula>80</formula>
    </cfRule>
    <cfRule type="cellIs" dxfId="5421" priority="893" stopIfTrue="1" operator="between">
      <formula>14.1</formula>
      <formula>35</formula>
    </cfRule>
    <cfRule type="cellIs" dxfId="5420" priority="894" stopIfTrue="1" operator="between">
      <formula>5.1</formula>
      <formula>14</formula>
    </cfRule>
    <cfRule type="cellIs" dxfId="5419" priority="895" stopIfTrue="1" operator="between">
      <formula>0</formula>
      <formula>5</formula>
    </cfRule>
    <cfRule type="containsBlanks" dxfId="5418" priority="896" stopIfTrue="1">
      <formula>LEN(TRIM(Q101))=0</formula>
    </cfRule>
  </conditionalFormatting>
  <conditionalFormatting sqref="E101:P101">
    <cfRule type="containsBlanks" dxfId="5417" priority="883" stopIfTrue="1">
      <formula>LEN(TRIM(E101))=0</formula>
    </cfRule>
    <cfRule type="cellIs" dxfId="5416" priority="884" stopIfTrue="1" operator="between">
      <formula>79.1</formula>
      <formula>100</formula>
    </cfRule>
    <cfRule type="cellIs" dxfId="5415" priority="885" stopIfTrue="1" operator="between">
      <formula>34.1</formula>
      <formula>79</formula>
    </cfRule>
    <cfRule type="cellIs" dxfId="5414" priority="886" stopIfTrue="1" operator="between">
      <formula>13.1</formula>
      <formula>34</formula>
    </cfRule>
    <cfRule type="cellIs" dxfId="5413" priority="887" stopIfTrue="1" operator="between">
      <formula>5.1</formula>
      <formula>13</formula>
    </cfRule>
    <cfRule type="cellIs" dxfId="5412" priority="888" stopIfTrue="1" operator="between">
      <formula>0</formula>
      <formula>5</formula>
    </cfRule>
    <cfRule type="containsBlanks" dxfId="5411" priority="889" stopIfTrue="1">
      <formula>LEN(TRIM(E101))=0</formula>
    </cfRule>
  </conditionalFormatting>
  <conditionalFormatting sqref="E102:P102">
    <cfRule type="containsBlanks" dxfId="5410" priority="876" stopIfTrue="1">
      <formula>LEN(TRIM(E102))=0</formula>
    </cfRule>
    <cfRule type="cellIs" dxfId="5409" priority="877" stopIfTrue="1" operator="between">
      <formula>79.1</formula>
      <formula>100</formula>
    </cfRule>
    <cfRule type="cellIs" dxfId="5408" priority="878" stopIfTrue="1" operator="between">
      <formula>34.1</formula>
      <formula>79</formula>
    </cfRule>
    <cfRule type="cellIs" dxfId="5407" priority="879" stopIfTrue="1" operator="between">
      <formula>13.1</formula>
      <formula>34</formula>
    </cfRule>
    <cfRule type="cellIs" dxfId="5406" priority="880" stopIfTrue="1" operator="between">
      <formula>5.1</formula>
      <formula>13</formula>
    </cfRule>
    <cfRule type="cellIs" dxfId="5405" priority="881" stopIfTrue="1" operator="between">
      <formula>0</formula>
      <formula>5</formula>
    </cfRule>
    <cfRule type="containsBlanks" dxfId="5404" priority="882" stopIfTrue="1">
      <formula>LEN(TRIM(E102))=0</formula>
    </cfRule>
  </conditionalFormatting>
  <conditionalFormatting sqref="E103:P103">
    <cfRule type="containsBlanks" dxfId="5403" priority="862" stopIfTrue="1">
      <formula>LEN(TRIM(E103))=0</formula>
    </cfRule>
    <cfRule type="cellIs" dxfId="5402" priority="863" stopIfTrue="1" operator="between">
      <formula>79.1</formula>
      <formula>100</formula>
    </cfRule>
    <cfRule type="cellIs" dxfId="5401" priority="864" stopIfTrue="1" operator="between">
      <formula>34.1</formula>
      <formula>79</formula>
    </cfRule>
    <cfRule type="cellIs" dxfId="5400" priority="865" stopIfTrue="1" operator="between">
      <formula>13.1</formula>
      <formula>34</formula>
    </cfRule>
    <cfRule type="cellIs" dxfId="5399" priority="866" stopIfTrue="1" operator="between">
      <formula>5.1</formula>
      <formula>13</formula>
    </cfRule>
    <cfRule type="cellIs" dxfId="5398" priority="867" stopIfTrue="1" operator="between">
      <formula>0</formula>
      <formula>5</formula>
    </cfRule>
    <cfRule type="containsBlanks" dxfId="5397" priority="868" stopIfTrue="1">
      <formula>LEN(TRIM(E103))=0</formula>
    </cfRule>
  </conditionalFormatting>
  <conditionalFormatting sqref="E105:P105">
    <cfRule type="containsBlanks" dxfId="5396" priority="855" stopIfTrue="1">
      <formula>LEN(TRIM(E105))=0</formula>
    </cfRule>
    <cfRule type="cellIs" dxfId="5395" priority="856" stopIfTrue="1" operator="between">
      <formula>79.1</formula>
      <formula>100</formula>
    </cfRule>
    <cfRule type="cellIs" dxfId="5394" priority="857" stopIfTrue="1" operator="between">
      <formula>34.1</formula>
      <formula>79</formula>
    </cfRule>
    <cfRule type="cellIs" dxfId="5393" priority="858" stopIfTrue="1" operator="between">
      <formula>13.1</formula>
      <formula>34</formula>
    </cfRule>
    <cfRule type="cellIs" dxfId="5392" priority="859" stopIfTrue="1" operator="between">
      <formula>5.1</formula>
      <formula>13</formula>
    </cfRule>
    <cfRule type="cellIs" dxfId="5391" priority="860" stopIfTrue="1" operator="between">
      <formula>0</formula>
      <formula>5</formula>
    </cfRule>
    <cfRule type="containsBlanks" dxfId="5390" priority="861" stopIfTrue="1">
      <formula>LEN(TRIM(E105))=0</formula>
    </cfRule>
  </conditionalFormatting>
  <conditionalFormatting sqref="E106:P106">
    <cfRule type="containsBlanks" dxfId="5389" priority="848" stopIfTrue="1">
      <formula>LEN(TRIM(E106))=0</formula>
    </cfRule>
    <cfRule type="cellIs" dxfId="5388" priority="849" stopIfTrue="1" operator="between">
      <formula>79.1</formula>
      <formula>100</formula>
    </cfRule>
    <cfRule type="cellIs" dxfId="5387" priority="850" stopIfTrue="1" operator="between">
      <formula>34.1</formula>
      <formula>79</formula>
    </cfRule>
    <cfRule type="cellIs" dxfId="5386" priority="851" stopIfTrue="1" operator="between">
      <formula>13.1</formula>
      <formula>34</formula>
    </cfRule>
    <cfRule type="cellIs" dxfId="5385" priority="852" stopIfTrue="1" operator="between">
      <formula>5.1</formula>
      <formula>13</formula>
    </cfRule>
    <cfRule type="cellIs" dxfId="5384" priority="853" stopIfTrue="1" operator="between">
      <formula>0</formula>
      <formula>5</formula>
    </cfRule>
    <cfRule type="containsBlanks" dxfId="5383" priority="854" stopIfTrue="1">
      <formula>LEN(TRIM(E106))=0</formula>
    </cfRule>
  </conditionalFormatting>
  <conditionalFormatting sqref="E107:P107">
    <cfRule type="containsBlanks" dxfId="5382" priority="841" stopIfTrue="1">
      <formula>LEN(TRIM(E107))=0</formula>
    </cfRule>
    <cfRule type="cellIs" dxfId="5381" priority="842" stopIfTrue="1" operator="between">
      <formula>79.1</formula>
      <formula>100</formula>
    </cfRule>
    <cfRule type="cellIs" dxfId="5380" priority="843" stopIfTrue="1" operator="between">
      <formula>34.1</formula>
      <formula>79</formula>
    </cfRule>
    <cfRule type="cellIs" dxfId="5379" priority="844" stopIfTrue="1" operator="between">
      <formula>13.1</formula>
      <formula>34</formula>
    </cfRule>
    <cfRule type="cellIs" dxfId="5378" priority="845" stopIfTrue="1" operator="between">
      <formula>5.1</formula>
      <formula>13</formula>
    </cfRule>
    <cfRule type="cellIs" dxfId="5377" priority="846" stopIfTrue="1" operator="between">
      <formula>0</formula>
      <formula>5</formula>
    </cfRule>
    <cfRule type="containsBlanks" dxfId="5376" priority="847" stopIfTrue="1">
      <formula>LEN(TRIM(E107))=0</formula>
    </cfRule>
  </conditionalFormatting>
  <conditionalFormatting sqref="E108:P108">
    <cfRule type="containsBlanks" dxfId="5375" priority="834" stopIfTrue="1">
      <formula>LEN(TRIM(E108))=0</formula>
    </cfRule>
    <cfRule type="cellIs" dxfId="5374" priority="835" stopIfTrue="1" operator="between">
      <formula>79.1</formula>
      <formula>100</formula>
    </cfRule>
    <cfRule type="cellIs" dxfId="5373" priority="836" stopIfTrue="1" operator="between">
      <formula>34.1</formula>
      <formula>79</formula>
    </cfRule>
    <cfRule type="cellIs" dxfId="5372" priority="837" stopIfTrue="1" operator="between">
      <formula>13.1</formula>
      <formula>34</formula>
    </cfRule>
    <cfRule type="cellIs" dxfId="5371" priority="838" stopIfTrue="1" operator="between">
      <formula>5.1</formula>
      <formula>13</formula>
    </cfRule>
    <cfRule type="cellIs" dxfId="5370" priority="839" stopIfTrue="1" operator="between">
      <formula>0</formula>
      <formula>5</formula>
    </cfRule>
    <cfRule type="containsBlanks" dxfId="5369" priority="840" stopIfTrue="1">
      <formula>LEN(TRIM(E108))=0</formula>
    </cfRule>
  </conditionalFormatting>
  <conditionalFormatting sqref="E109:P109">
    <cfRule type="containsBlanks" dxfId="5368" priority="827" stopIfTrue="1">
      <formula>LEN(TRIM(E109))=0</formula>
    </cfRule>
    <cfRule type="cellIs" dxfId="5367" priority="828" stopIfTrue="1" operator="between">
      <formula>79.1</formula>
      <formula>100</formula>
    </cfRule>
    <cfRule type="cellIs" dxfId="5366" priority="829" stopIfTrue="1" operator="between">
      <formula>34.1</formula>
      <formula>79</formula>
    </cfRule>
    <cfRule type="cellIs" dxfId="5365" priority="830" stopIfTrue="1" operator="between">
      <formula>13.1</formula>
      <formula>34</formula>
    </cfRule>
    <cfRule type="cellIs" dxfId="5364" priority="831" stopIfTrue="1" operator="between">
      <formula>5.1</formula>
      <formula>13</formula>
    </cfRule>
    <cfRule type="cellIs" dxfId="5363" priority="832" stopIfTrue="1" operator="between">
      <formula>0</formula>
      <formula>5</formula>
    </cfRule>
    <cfRule type="containsBlanks" dxfId="5362" priority="833" stopIfTrue="1">
      <formula>LEN(TRIM(E109))=0</formula>
    </cfRule>
  </conditionalFormatting>
  <conditionalFormatting sqref="E110:P110">
    <cfRule type="containsBlanks" dxfId="5361" priority="820" stopIfTrue="1">
      <formula>LEN(TRIM(E110))=0</formula>
    </cfRule>
    <cfRule type="cellIs" dxfId="5360" priority="821" stopIfTrue="1" operator="between">
      <formula>79.1</formula>
      <formula>100</formula>
    </cfRule>
    <cfRule type="cellIs" dxfId="5359" priority="822" stopIfTrue="1" operator="between">
      <formula>34.1</formula>
      <formula>79</formula>
    </cfRule>
    <cfRule type="cellIs" dxfId="5358" priority="823" stopIfTrue="1" operator="between">
      <formula>13.1</formula>
      <formula>34</formula>
    </cfRule>
    <cfRule type="cellIs" dxfId="5357" priority="824" stopIfTrue="1" operator="between">
      <formula>5.1</formula>
      <formula>13</formula>
    </cfRule>
    <cfRule type="cellIs" dxfId="5356" priority="825" stopIfTrue="1" operator="between">
      <formula>0</formula>
      <formula>5</formula>
    </cfRule>
    <cfRule type="containsBlanks" dxfId="5355" priority="826" stopIfTrue="1">
      <formula>LEN(TRIM(E110))=0</formula>
    </cfRule>
  </conditionalFormatting>
  <conditionalFormatting sqref="E111:P111">
    <cfRule type="containsBlanks" dxfId="5354" priority="813" stopIfTrue="1">
      <formula>LEN(TRIM(E111))=0</formula>
    </cfRule>
    <cfRule type="cellIs" dxfId="5353" priority="814" stopIfTrue="1" operator="between">
      <formula>79.1</formula>
      <formula>100</formula>
    </cfRule>
    <cfRule type="cellIs" dxfId="5352" priority="815" stopIfTrue="1" operator="between">
      <formula>34.1</formula>
      <formula>79</formula>
    </cfRule>
    <cfRule type="cellIs" dxfId="5351" priority="816" stopIfTrue="1" operator="between">
      <formula>13.1</formula>
      <formula>34</formula>
    </cfRule>
    <cfRule type="cellIs" dxfId="5350" priority="817" stopIfTrue="1" operator="between">
      <formula>5.1</formula>
      <formula>13</formula>
    </cfRule>
    <cfRule type="cellIs" dxfId="5349" priority="818" stopIfTrue="1" operator="between">
      <formula>0</formula>
      <formula>5</formula>
    </cfRule>
    <cfRule type="containsBlanks" dxfId="5348" priority="819" stopIfTrue="1">
      <formula>LEN(TRIM(E111))=0</formula>
    </cfRule>
  </conditionalFormatting>
  <conditionalFormatting sqref="E112:P112">
    <cfRule type="containsBlanks" dxfId="5347" priority="806" stopIfTrue="1">
      <formula>LEN(TRIM(E112))=0</formula>
    </cfRule>
    <cfRule type="cellIs" dxfId="5346" priority="807" stopIfTrue="1" operator="between">
      <formula>79.1</formula>
      <formula>100</formula>
    </cfRule>
    <cfRule type="cellIs" dxfId="5345" priority="808" stopIfTrue="1" operator="between">
      <formula>34.1</formula>
      <formula>79</formula>
    </cfRule>
    <cfRule type="cellIs" dxfId="5344" priority="809" stopIfTrue="1" operator="between">
      <formula>13.1</formula>
      <formula>34</formula>
    </cfRule>
    <cfRule type="cellIs" dxfId="5343" priority="810" stopIfTrue="1" operator="between">
      <formula>5.1</formula>
      <formula>13</formula>
    </cfRule>
    <cfRule type="cellIs" dxfId="5342" priority="811" stopIfTrue="1" operator="between">
      <formula>0</formula>
      <formula>5</formula>
    </cfRule>
    <cfRule type="containsBlanks" dxfId="5341" priority="812" stopIfTrue="1">
      <formula>LEN(TRIM(E112))=0</formula>
    </cfRule>
  </conditionalFormatting>
  <conditionalFormatting sqref="Q114">
    <cfRule type="containsBlanks" dxfId="5340" priority="785" stopIfTrue="1">
      <formula>LEN(TRIM(Q114))=0</formula>
    </cfRule>
    <cfRule type="cellIs" dxfId="5339" priority="786" stopIfTrue="1" operator="between">
      <formula>80.1</formula>
      <formula>100</formula>
    </cfRule>
    <cfRule type="cellIs" dxfId="5338" priority="787" stopIfTrue="1" operator="between">
      <formula>35.1</formula>
      <formula>80</formula>
    </cfRule>
    <cfRule type="cellIs" dxfId="5337" priority="788" stopIfTrue="1" operator="between">
      <formula>14.1</formula>
      <formula>35</formula>
    </cfRule>
    <cfRule type="cellIs" dxfId="5336" priority="789" stopIfTrue="1" operator="between">
      <formula>5.1</formula>
      <formula>14</formula>
    </cfRule>
    <cfRule type="cellIs" dxfId="5335" priority="790" stopIfTrue="1" operator="between">
      <formula>0</formula>
      <formula>5</formula>
    </cfRule>
    <cfRule type="containsBlanks" dxfId="5334" priority="791" stopIfTrue="1">
      <formula>LEN(TRIM(Q114))=0</formula>
    </cfRule>
  </conditionalFormatting>
  <conditionalFormatting sqref="E114:K114">
    <cfRule type="containsBlanks" dxfId="5333" priority="750" stopIfTrue="1">
      <formula>LEN(TRIM(E114))=0</formula>
    </cfRule>
    <cfRule type="cellIs" dxfId="5332" priority="751" stopIfTrue="1" operator="between">
      <formula>79.1</formula>
      <formula>100</formula>
    </cfRule>
    <cfRule type="cellIs" dxfId="5331" priority="752" stopIfTrue="1" operator="between">
      <formula>34.1</formula>
      <formula>79</formula>
    </cfRule>
    <cfRule type="cellIs" dxfId="5330" priority="753" stopIfTrue="1" operator="between">
      <formula>13.1</formula>
      <formula>34</formula>
    </cfRule>
    <cfRule type="cellIs" dxfId="5329" priority="754" stopIfTrue="1" operator="between">
      <formula>5.1</formula>
      <formula>13</formula>
    </cfRule>
    <cfRule type="cellIs" dxfId="5328" priority="755" stopIfTrue="1" operator="between">
      <formula>0</formula>
      <formula>5</formula>
    </cfRule>
    <cfRule type="containsBlanks" dxfId="5327" priority="756" stopIfTrue="1">
      <formula>LEN(TRIM(E114))=0</formula>
    </cfRule>
  </conditionalFormatting>
  <conditionalFormatting sqref="E113:K113">
    <cfRule type="containsBlanks" dxfId="5326" priority="764" stopIfTrue="1">
      <formula>LEN(TRIM(E113))=0</formula>
    </cfRule>
    <cfRule type="cellIs" dxfId="5325" priority="765" stopIfTrue="1" operator="between">
      <formula>79.1</formula>
      <formula>100</formula>
    </cfRule>
    <cfRule type="cellIs" dxfId="5324" priority="766" stopIfTrue="1" operator="between">
      <formula>34.1</formula>
      <formula>79</formula>
    </cfRule>
    <cfRule type="cellIs" dxfId="5323" priority="767" stopIfTrue="1" operator="between">
      <formula>13.1</formula>
      <formula>34</formula>
    </cfRule>
    <cfRule type="cellIs" dxfId="5322" priority="768" stopIfTrue="1" operator="between">
      <formula>5.1</formula>
      <formula>13</formula>
    </cfRule>
    <cfRule type="cellIs" dxfId="5321" priority="769" stopIfTrue="1" operator="between">
      <formula>0</formula>
      <formula>5</formula>
    </cfRule>
    <cfRule type="containsBlanks" dxfId="5320" priority="770" stopIfTrue="1">
      <formula>LEN(TRIM(E113))=0</formula>
    </cfRule>
  </conditionalFormatting>
  <conditionalFormatting sqref="Q113">
    <cfRule type="containsBlanks" dxfId="5319" priority="778" stopIfTrue="1">
      <formula>LEN(TRIM(Q113))=0</formula>
    </cfRule>
    <cfRule type="cellIs" dxfId="5318" priority="779" stopIfTrue="1" operator="between">
      <formula>80.1</formula>
      <formula>100</formula>
    </cfRule>
    <cfRule type="cellIs" dxfId="5317" priority="780" stopIfTrue="1" operator="between">
      <formula>35.1</formula>
      <formula>80</formula>
    </cfRule>
    <cfRule type="cellIs" dxfId="5316" priority="781" stopIfTrue="1" operator="between">
      <formula>14.1</formula>
      <formula>35</formula>
    </cfRule>
    <cfRule type="cellIs" dxfId="5315" priority="782" stopIfTrue="1" operator="between">
      <formula>5.1</formula>
      <formula>14</formula>
    </cfRule>
    <cfRule type="cellIs" dxfId="5314" priority="783" stopIfTrue="1" operator="between">
      <formula>0</formula>
      <formula>5</formula>
    </cfRule>
    <cfRule type="containsBlanks" dxfId="5313" priority="784" stopIfTrue="1">
      <formula>LEN(TRIM(Q113))=0</formula>
    </cfRule>
  </conditionalFormatting>
  <conditionalFormatting sqref="L113:P113">
    <cfRule type="containsBlanks" dxfId="5312" priority="771" stopIfTrue="1">
      <formula>LEN(TRIM(L113))=0</formula>
    </cfRule>
    <cfRule type="cellIs" dxfId="5311" priority="772" stopIfTrue="1" operator="between">
      <formula>79.1</formula>
      <formula>100</formula>
    </cfRule>
    <cfRule type="cellIs" dxfId="5310" priority="773" stopIfTrue="1" operator="between">
      <formula>34.1</formula>
      <formula>79</formula>
    </cfRule>
    <cfRule type="cellIs" dxfId="5309" priority="774" stopIfTrue="1" operator="between">
      <formula>13.1</formula>
      <formula>34</formula>
    </cfRule>
    <cfRule type="cellIs" dxfId="5308" priority="775" stopIfTrue="1" operator="between">
      <formula>5.1</formula>
      <formula>13</formula>
    </cfRule>
    <cfRule type="cellIs" dxfId="5307" priority="776" stopIfTrue="1" operator="between">
      <formula>0</formula>
      <formula>5</formula>
    </cfRule>
    <cfRule type="containsBlanks" dxfId="5306" priority="777" stopIfTrue="1">
      <formula>LEN(TRIM(L113))=0</formula>
    </cfRule>
  </conditionalFormatting>
  <conditionalFormatting sqref="L114:P114">
    <cfRule type="containsBlanks" dxfId="5305" priority="757" stopIfTrue="1">
      <formula>LEN(TRIM(L114))=0</formula>
    </cfRule>
    <cfRule type="cellIs" dxfId="5304" priority="758" stopIfTrue="1" operator="between">
      <formula>79.1</formula>
      <formula>100</formula>
    </cfRule>
    <cfRule type="cellIs" dxfId="5303" priority="759" stopIfTrue="1" operator="between">
      <formula>34.1</formula>
      <formula>79</formula>
    </cfRule>
    <cfRule type="cellIs" dxfId="5302" priority="760" stopIfTrue="1" operator="between">
      <formula>13.1</formula>
      <formula>34</formula>
    </cfRule>
    <cfRule type="cellIs" dxfId="5301" priority="761" stopIfTrue="1" operator="between">
      <formula>5.1</formula>
      <formula>13</formula>
    </cfRule>
    <cfRule type="cellIs" dxfId="5300" priority="762" stopIfTrue="1" operator="between">
      <formula>0</formula>
      <formula>5</formula>
    </cfRule>
    <cfRule type="containsBlanks" dxfId="5299" priority="763" stopIfTrue="1">
      <formula>LEN(TRIM(L114))=0</formula>
    </cfRule>
  </conditionalFormatting>
  <conditionalFormatting sqref="F27:Q27">
    <cfRule type="containsBlanks" dxfId="5298" priority="729" stopIfTrue="1">
      <formula>LEN(TRIM(F27))=0</formula>
    </cfRule>
    <cfRule type="cellIs" dxfId="5297" priority="730" stopIfTrue="1" operator="between">
      <formula>80.1</formula>
      <formula>100</formula>
    </cfRule>
    <cfRule type="cellIs" dxfId="5296" priority="731" stopIfTrue="1" operator="between">
      <formula>35.1</formula>
      <formula>80</formula>
    </cfRule>
    <cfRule type="cellIs" dxfId="5295" priority="732" stopIfTrue="1" operator="between">
      <formula>14.1</formula>
      <formula>35</formula>
    </cfRule>
    <cfRule type="cellIs" dxfId="5294" priority="733" stopIfTrue="1" operator="between">
      <formula>5.1</formula>
      <formula>14</formula>
    </cfRule>
    <cfRule type="cellIs" dxfId="5293" priority="734" stopIfTrue="1" operator="between">
      <formula>0</formula>
      <formula>5</formula>
    </cfRule>
    <cfRule type="containsBlanks" dxfId="5292" priority="735" stopIfTrue="1">
      <formula>LEN(TRIM(F27))=0</formula>
    </cfRule>
  </conditionalFormatting>
  <conditionalFormatting sqref="E27">
    <cfRule type="containsBlanks" dxfId="5291" priority="722" stopIfTrue="1">
      <formula>LEN(TRIM(E27))=0</formula>
    </cfRule>
    <cfRule type="cellIs" dxfId="5290" priority="723" stopIfTrue="1" operator="between">
      <formula>80.1</formula>
      <formula>100</formula>
    </cfRule>
    <cfRule type="cellIs" dxfId="5289" priority="724" stopIfTrue="1" operator="between">
      <formula>35.1</formula>
      <formula>80</formula>
    </cfRule>
    <cfRule type="cellIs" dxfId="5288" priority="725" stopIfTrue="1" operator="between">
      <formula>14.1</formula>
      <formula>35</formula>
    </cfRule>
    <cfRule type="cellIs" dxfId="5287" priority="726" stopIfTrue="1" operator="between">
      <formula>5.1</formula>
      <formula>14</formula>
    </cfRule>
    <cfRule type="cellIs" dxfId="5286" priority="727" stopIfTrue="1" operator="between">
      <formula>0</formula>
      <formula>5</formula>
    </cfRule>
    <cfRule type="containsBlanks" dxfId="5285" priority="728" stopIfTrue="1">
      <formula>LEN(TRIM(E27))=0</formula>
    </cfRule>
  </conditionalFormatting>
  <conditionalFormatting sqref="F31:Q31">
    <cfRule type="containsBlanks" dxfId="5284" priority="715" stopIfTrue="1">
      <formula>LEN(TRIM(F31))=0</formula>
    </cfRule>
    <cfRule type="cellIs" dxfId="5283" priority="716" stopIfTrue="1" operator="between">
      <formula>80.1</formula>
      <formula>100</formula>
    </cfRule>
    <cfRule type="cellIs" dxfId="5282" priority="717" stopIfTrue="1" operator="between">
      <formula>35.1</formula>
      <formula>80</formula>
    </cfRule>
    <cfRule type="cellIs" dxfId="5281" priority="718" stopIfTrue="1" operator="between">
      <formula>14.1</formula>
      <formula>35</formula>
    </cfRule>
    <cfRule type="cellIs" dxfId="5280" priority="719" stopIfTrue="1" operator="between">
      <formula>5.1</formula>
      <formula>14</formula>
    </cfRule>
    <cfRule type="cellIs" dxfId="5279" priority="720" stopIfTrue="1" operator="between">
      <formula>0</formula>
      <formula>5</formula>
    </cfRule>
    <cfRule type="containsBlanks" dxfId="5278" priority="721" stopIfTrue="1">
      <formula>LEN(TRIM(F31))=0</formula>
    </cfRule>
  </conditionalFormatting>
  <conditionalFormatting sqref="E31">
    <cfRule type="containsBlanks" dxfId="5277" priority="708" stopIfTrue="1">
      <formula>LEN(TRIM(E31))=0</formula>
    </cfRule>
    <cfRule type="cellIs" dxfId="5276" priority="709" stopIfTrue="1" operator="between">
      <formula>80.1</formula>
      <formula>100</formula>
    </cfRule>
    <cfRule type="cellIs" dxfId="5275" priority="710" stopIfTrue="1" operator="between">
      <formula>35.1</formula>
      <formula>80</formula>
    </cfRule>
    <cfRule type="cellIs" dxfId="5274" priority="711" stopIfTrue="1" operator="between">
      <formula>14.1</formula>
      <formula>35</formula>
    </cfRule>
    <cfRule type="cellIs" dxfId="5273" priority="712" stopIfTrue="1" operator="between">
      <formula>5.1</formula>
      <formula>14</formula>
    </cfRule>
    <cfRule type="cellIs" dxfId="5272" priority="713" stopIfTrue="1" operator="between">
      <formula>0</formula>
      <formula>5</formula>
    </cfRule>
    <cfRule type="containsBlanks" dxfId="5271" priority="714" stopIfTrue="1">
      <formula>LEN(TRIM(E31))=0</formula>
    </cfRule>
  </conditionalFormatting>
  <conditionalFormatting sqref="F22:Q22">
    <cfRule type="containsBlanks" dxfId="5270" priority="701" stopIfTrue="1">
      <formula>LEN(TRIM(F22))=0</formula>
    </cfRule>
    <cfRule type="cellIs" dxfId="5269" priority="702" stopIfTrue="1" operator="between">
      <formula>80.1</formula>
      <formula>100</formula>
    </cfRule>
    <cfRule type="cellIs" dxfId="5268" priority="703" stopIfTrue="1" operator="between">
      <formula>35.1</formula>
      <formula>80</formula>
    </cfRule>
    <cfRule type="cellIs" dxfId="5267" priority="704" stopIfTrue="1" operator="between">
      <formula>14.1</formula>
      <formula>35</formula>
    </cfRule>
    <cfRule type="cellIs" dxfId="5266" priority="705" stopIfTrue="1" operator="between">
      <formula>5.1</formula>
      <formula>14</formula>
    </cfRule>
    <cfRule type="cellIs" dxfId="5265" priority="706" stopIfTrue="1" operator="between">
      <formula>0</formula>
      <formula>5</formula>
    </cfRule>
    <cfRule type="containsBlanks" dxfId="5264" priority="707" stopIfTrue="1">
      <formula>LEN(TRIM(F22))=0</formula>
    </cfRule>
  </conditionalFormatting>
  <conditionalFormatting sqref="E22">
    <cfRule type="containsBlanks" dxfId="5263" priority="694" stopIfTrue="1">
      <formula>LEN(TRIM(E22))=0</formula>
    </cfRule>
    <cfRule type="cellIs" dxfId="5262" priority="695" stopIfTrue="1" operator="between">
      <formula>80.1</formula>
      <formula>100</formula>
    </cfRule>
    <cfRule type="cellIs" dxfId="5261" priority="696" stopIfTrue="1" operator="between">
      <formula>35.1</formula>
      <formula>80</formula>
    </cfRule>
    <cfRule type="cellIs" dxfId="5260" priority="697" stopIfTrue="1" operator="between">
      <formula>14.1</formula>
      <formula>35</formula>
    </cfRule>
    <cfRule type="cellIs" dxfId="5259" priority="698" stopIfTrue="1" operator="between">
      <formula>5.1</formula>
      <formula>14</formula>
    </cfRule>
    <cfRule type="cellIs" dxfId="5258" priority="699" stopIfTrue="1" operator="between">
      <formula>0</formula>
      <formula>5</formula>
    </cfRule>
    <cfRule type="containsBlanks" dxfId="5257" priority="700" stopIfTrue="1">
      <formula>LEN(TRIM(E22))=0</formula>
    </cfRule>
  </conditionalFormatting>
  <conditionalFormatting sqref="F23:Q23">
    <cfRule type="containsBlanks" dxfId="5256" priority="687" stopIfTrue="1">
      <formula>LEN(TRIM(F23))=0</formula>
    </cfRule>
    <cfRule type="cellIs" dxfId="5255" priority="688" stopIfTrue="1" operator="between">
      <formula>80.1</formula>
      <formula>100</formula>
    </cfRule>
    <cfRule type="cellIs" dxfId="5254" priority="689" stopIfTrue="1" operator="between">
      <formula>35.1</formula>
      <formula>80</formula>
    </cfRule>
    <cfRule type="cellIs" dxfId="5253" priority="690" stopIfTrue="1" operator="between">
      <formula>14.1</formula>
      <formula>35</formula>
    </cfRule>
    <cfRule type="cellIs" dxfId="5252" priority="691" stopIfTrue="1" operator="between">
      <formula>5.1</formula>
      <formula>14</formula>
    </cfRule>
    <cfRule type="cellIs" dxfId="5251" priority="692" stopIfTrue="1" operator="between">
      <formula>0</formula>
      <formula>5</formula>
    </cfRule>
    <cfRule type="containsBlanks" dxfId="5250" priority="693" stopIfTrue="1">
      <formula>LEN(TRIM(F23))=0</formula>
    </cfRule>
  </conditionalFormatting>
  <conditionalFormatting sqref="E23">
    <cfRule type="containsBlanks" dxfId="5249" priority="680" stopIfTrue="1">
      <formula>LEN(TRIM(E23))=0</formula>
    </cfRule>
    <cfRule type="cellIs" dxfId="5248" priority="681" stopIfTrue="1" operator="between">
      <formula>80.1</formula>
      <formula>100</formula>
    </cfRule>
    <cfRule type="cellIs" dxfId="5247" priority="682" stopIfTrue="1" operator="between">
      <formula>35.1</formula>
      <formula>80</formula>
    </cfRule>
    <cfRule type="cellIs" dxfId="5246" priority="683" stopIfTrue="1" operator="between">
      <formula>14.1</formula>
      <formula>35</formula>
    </cfRule>
    <cfRule type="cellIs" dxfId="5245" priority="684" stopIfTrue="1" operator="between">
      <formula>5.1</formula>
      <formula>14</formula>
    </cfRule>
    <cfRule type="cellIs" dxfId="5244" priority="685" stopIfTrue="1" operator="between">
      <formula>0</formula>
      <formula>5</formula>
    </cfRule>
    <cfRule type="containsBlanks" dxfId="5243" priority="686" stopIfTrue="1">
      <formula>LEN(TRIM(E23))=0</formula>
    </cfRule>
  </conditionalFormatting>
  <conditionalFormatting sqref="F24:Q24">
    <cfRule type="containsBlanks" dxfId="5242" priority="673" stopIfTrue="1">
      <formula>LEN(TRIM(F24))=0</formula>
    </cfRule>
    <cfRule type="cellIs" dxfId="5241" priority="674" stopIfTrue="1" operator="between">
      <formula>80.1</formula>
      <formula>100</formula>
    </cfRule>
    <cfRule type="cellIs" dxfId="5240" priority="675" stopIfTrue="1" operator="between">
      <formula>35.1</formula>
      <formula>80</formula>
    </cfRule>
    <cfRule type="cellIs" dxfId="5239" priority="676" stopIfTrue="1" operator="between">
      <formula>14.1</formula>
      <formula>35</formula>
    </cfRule>
    <cfRule type="cellIs" dxfId="5238" priority="677" stopIfTrue="1" operator="between">
      <formula>5.1</formula>
      <formula>14</formula>
    </cfRule>
    <cfRule type="cellIs" dxfId="5237" priority="678" stopIfTrue="1" operator="between">
      <formula>0</formula>
      <formula>5</formula>
    </cfRule>
    <cfRule type="containsBlanks" dxfId="5236" priority="679" stopIfTrue="1">
      <formula>LEN(TRIM(F24))=0</formula>
    </cfRule>
  </conditionalFormatting>
  <conditionalFormatting sqref="E24">
    <cfRule type="containsBlanks" dxfId="5235" priority="666" stopIfTrue="1">
      <formula>LEN(TRIM(E24))=0</formula>
    </cfRule>
    <cfRule type="cellIs" dxfId="5234" priority="667" stopIfTrue="1" operator="between">
      <formula>80.1</formula>
      <formula>100</formula>
    </cfRule>
    <cfRule type="cellIs" dxfId="5233" priority="668" stopIfTrue="1" operator="between">
      <formula>35.1</formula>
      <formula>80</formula>
    </cfRule>
    <cfRule type="cellIs" dxfId="5232" priority="669" stopIfTrue="1" operator="between">
      <formula>14.1</formula>
      <formula>35</formula>
    </cfRule>
    <cfRule type="cellIs" dxfId="5231" priority="670" stopIfTrue="1" operator="between">
      <formula>5.1</formula>
      <formula>14</formula>
    </cfRule>
    <cfRule type="cellIs" dxfId="5230" priority="671" stopIfTrue="1" operator="between">
      <formula>0</formula>
      <formula>5</formula>
    </cfRule>
    <cfRule type="containsBlanks" dxfId="5229" priority="672" stopIfTrue="1">
      <formula>LEN(TRIM(E24))=0</formula>
    </cfRule>
  </conditionalFormatting>
  <conditionalFormatting sqref="F25:Q25">
    <cfRule type="containsBlanks" dxfId="5228" priority="659" stopIfTrue="1">
      <formula>LEN(TRIM(F25))=0</formula>
    </cfRule>
    <cfRule type="cellIs" dxfId="5227" priority="660" stopIfTrue="1" operator="between">
      <formula>80.1</formula>
      <formula>100</formula>
    </cfRule>
    <cfRule type="cellIs" dxfId="5226" priority="661" stopIfTrue="1" operator="between">
      <formula>35.1</formula>
      <formula>80</formula>
    </cfRule>
    <cfRule type="cellIs" dxfId="5225" priority="662" stopIfTrue="1" operator="between">
      <formula>14.1</formula>
      <formula>35</formula>
    </cfRule>
    <cfRule type="cellIs" dxfId="5224" priority="663" stopIfTrue="1" operator="between">
      <formula>5.1</formula>
      <formula>14</formula>
    </cfRule>
    <cfRule type="cellIs" dxfId="5223" priority="664" stopIfTrue="1" operator="between">
      <formula>0</formula>
      <formula>5</formula>
    </cfRule>
    <cfRule type="containsBlanks" dxfId="5222" priority="665" stopIfTrue="1">
      <formula>LEN(TRIM(F25))=0</formula>
    </cfRule>
  </conditionalFormatting>
  <conditionalFormatting sqref="E25">
    <cfRule type="containsBlanks" dxfId="5221" priority="652" stopIfTrue="1">
      <formula>LEN(TRIM(E25))=0</formula>
    </cfRule>
    <cfRule type="cellIs" dxfId="5220" priority="653" stopIfTrue="1" operator="between">
      <formula>80.1</formula>
      <formula>100</formula>
    </cfRule>
    <cfRule type="cellIs" dxfId="5219" priority="654" stopIfTrue="1" operator="between">
      <formula>35.1</formula>
      <formula>80</formula>
    </cfRule>
    <cfRule type="cellIs" dxfId="5218" priority="655" stopIfTrue="1" operator="between">
      <formula>14.1</formula>
      <formula>35</formula>
    </cfRule>
    <cfRule type="cellIs" dxfId="5217" priority="656" stopIfTrue="1" operator="between">
      <formula>5.1</formula>
      <formula>14</formula>
    </cfRule>
    <cfRule type="cellIs" dxfId="5216" priority="657" stopIfTrue="1" operator="between">
      <formula>0</formula>
      <formula>5</formula>
    </cfRule>
    <cfRule type="containsBlanks" dxfId="5215" priority="658" stopIfTrue="1">
      <formula>LEN(TRIM(E25))=0</formula>
    </cfRule>
  </conditionalFormatting>
  <conditionalFormatting sqref="E64:Q64">
    <cfRule type="containsBlanks" dxfId="5214" priority="645" stopIfTrue="1">
      <formula>LEN(TRIM(E64))=0</formula>
    </cfRule>
    <cfRule type="cellIs" dxfId="5213" priority="646" stopIfTrue="1" operator="between">
      <formula>80.1</formula>
      <formula>100</formula>
    </cfRule>
    <cfRule type="cellIs" dxfId="5212" priority="647" stopIfTrue="1" operator="between">
      <formula>35.1</formula>
      <formula>80</formula>
    </cfRule>
    <cfRule type="cellIs" dxfId="5211" priority="648" stopIfTrue="1" operator="between">
      <formula>14.1</formula>
      <formula>35</formula>
    </cfRule>
    <cfRule type="cellIs" dxfId="5210" priority="649" stopIfTrue="1" operator="between">
      <formula>5.1</formula>
      <formula>14</formula>
    </cfRule>
    <cfRule type="cellIs" dxfId="5209" priority="650" stopIfTrue="1" operator="between">
      <formula>0</formula>
      <formula>5</formula>
    </cfRule>
    <cfRule type="containsBlanks" dxfId="5208" priority="651" stopIfTrue="1">
      <formula>LEN(TRIM(E64))=0</formula>
    </cfRule>
  </conditionalFormatting>
  <conditionalFormatting sqref="Q81">
    <cfRule type="containsBlanks" dxfId="5207" priority="554" stopIfTrue="1">
      <formula>LEN(TRIM(Q81))=0</formula>
    </cfRule>
    <cfRule type="cellIs" dxfId="5206" priority="555" stopIfTrue="1" operator="between">
      <formula>80.1</formula>
      <formula>100</formula>
    </cfRule>
    <cfRule type="cellIs" dxfId="5205" priority="556" stopIfTrue="1" operator="between">
      <formula>35.1</formula>
      <formula>80</formula>
    </cfRule>
    <cfRule type="cellIs" dxfId="5204" priority="557" stopIfTrue="1" operator="between">
      <formula>14.1</formula>
      <formula>35</formula>
    </cfRule>
    <cfRule type="cellIs" dxfId="5203" priority="558" stopIfTrue="1" operator="between">
      <formula>5.1</formula>
      <formula>14</formula>
    </cfRule>
    <cfRule type="cellIs" dxfId="5202" priority="559" stopIfTrue="1" operator="between">
      <formula>0</formula>
      <formula>5</formula>
    </cfRule>
    <cfRule type="containsBlanks" dxfId="5201" priority="560" stopIfTrue="1">
      <formula>LEN(TRIM(Q81))=0</formula>
    </cfRule>
  </conditionalFormatting>
  <conditionalFormatting sqref="E81:J81">
    <cfRule type="containsBlanks" dxfId="5200" priority="547" stopIfTrue="1">
      <formula>LEN(TRIM(E81))=0</formula>
    </cfRule>
    <cfRule type="cellIs" dxfId="5199" priority="548" stopIfTrue="1" operator="between">
      <formula>79.1</formula>
      <formula>100</formula>
    </cfRule>
    <cfRule type="cellIs" dxfId="5198" priority="549" stopIfTrue="1" operator="between">
      <formula>34.1</formula>
      <formula>79</formula>
    </cfRule>
    <cfRule type="cellIs" dxfId="5197" priority="550" stopIfTrue="1" operator="between">
      <formula>13.1</formula>
      <formula>34</formula>
    </cfRule>
    <cfRule type="cellIs" dxfId="5196" priority="551" stopIfTrue="1" operator="between">
      <formula>5.1</formula>
      <formula>13</formula>
    </cfRule>
    <cfRule type="cellIs" dxfId="5195" priority="552" stopIfTrue="1" operator="between">
      <formula>0</formula>
      <formula>5</formula>
    </cfRule>
    <cfRule type="containsBlanks" dxfId="5194" priority="553" stopIfTrue="1">
      <formula>LEN(TRIM(E81))=0</formula>
    </cfRule>
  </conditionalFormatting>
  <conditionalFormatting sqref="Q82">
    <cfRule type="containsBlanks" dxfId="5193" priority="540" stopIfTrue="1">
      <formula>LEN(TRIM(Q82))=0</formula>
    </cfRule>
    <cfRule type="cellIs" dxfId="5192" priority="541" stopIfTrue="1" operator="between">
      <formula>80.1</formula>
      <formula>100</formula>
    </cfRule>
    <cfRule type="cellIs" dxfId="5191" priority="542" stopIfTrue="1" operator="between">
      <formula>35.1</formula>
      <formula>80</formula>
    </cfRule>
    <cfRule type="cellIs" dxfId="5190" priority="543" stopIfTrue="1" operator="between">
      <formula>14.1</formula>
      <formula>35</formula>
    </cfRule>
    <cfRule type="cellIs" dxfId="5189" priority="544" stopIfTrue="1" operator="between">
      <formula>5.1</formula>
      <formula>14</formula>
    </cfRule>
    <cfRule type="cellIs" dxfId="5188" priority="545" stopIfTrue="1" operator="between">
      <formula>0</formula>
      <formula>5</formula>
    </cfRule>
    <cfRule type="containsBlanks" dxfId="5187" priority="546" stopIfTrue="1">
      <formula>LEN(TRIM(Q82))=0</formula>
    </cfRule>
  </conditionalFormatting>
  <conditionalFormatting sqref="E82:J82">
    <cfRule type="containsBlanks" dxfId="5186" priority="533" stopIfTrue="1">
      <formula>LEN(TRIM(E82))=0</formula>
    </cfRule>
    <cfRule type="cellIs" dxfId="5185" priority="534" stopIfTrue="1" operator="between">
      <formula>79.1</formula>
      <formula>100</formula>
    </cfRule>
    <cfRule type="cellIs" dxfId="5184" priority="535" stopIfTrue="1" operator="between">
      <formula>34.1</formula>
      <formula>79</formula>
    </cfRule>
    <cfRule type="cellIs" dxfId="5183" priority="536" stopIfTrue="1" operator="between">
      <formula>13.1</formula>
      <formula>34</formula>
    </cfRule>
    <cfRule type="cellIs" dxfId="5182" priority="537" stopIfTrue="1" operator="between">
      <formula>5.1</formula>
      <formula>13</formula>
    </cfRule>
    <cfRule type="cellIs" dxfId="5181" priority="538" stopIfTrue="1" operator="between">
      <formula>0</formula>
      <formula>5</formula>
    </cfRule>
    <cfRule type="containsBlanks" dxfId="5180" priority="539" stopIfTrue="1">
      <formula>LEN(TRIM(E82))=0</formula>
    </cfRule>
  </conditionalFormatting>
  <conditionalFormatting sqref="Q83">
    <cfRule type="containsBlanks" dxfId="5179" priority="526" stopIfTrue="1">
      <formula>LEN(TRIM(Q83))=0</formula>
    </cfRule>
    <cfRule type="cellIs" dxfId="5178" priority="527" stopIfTrue="1" operator="between">
      <formula>80.1</formula>
      <formula>100</formula>
    </cfRule>
    <cfRule type="cellIs" dxfId="5177" priority="528" stopIfTrue="1" operator="between">
      <formula>35.1</formula>
      <formula>80</formula>
    </cfRule>
    <cfRule type="cellIs" dxfId="5176" priority="529" stopIfTrue="1" operator="between">
      <formula>14.1</formula>
      <formula>35</formula>
    </cfRule>
    <cfRule type="cellIs" dxfId="5175" priority="530" stopIfTrue="1" operator="between">
      <formula>5.1</formula>
      <formula>14</formula>
    </cfRule>
    <cfRule type="cellIs" dxfId="5174" priority="531" stopIfTrue="1" operator="between">
      <formula>0</formula>
      <formula>5</formula>
    </cfRule>
    <cfRule type="containsBlanks" dxfId="5173" priority="532" stopIfTrue="1">
      <formula>LEN(TRIM(Q83))=0</formula>
    </cfRule>
  </conditionalFormatting>
  <conditionalFormatting sqref="E83:J83">
    <cfRule type="containsBlanks" dxfId="5172" priority="519" stopIfTrue="1">
      <formula>LEN(TRIM(E83))=0</formula>
    </cfRule>
    <cfRule type="cellIs" dxfId="5171" priority="520" stopIfTrue="1" operator="between">
      <formula>79.1</formula>
      <formula>100</formula>
    </cfRule>
    <cfRule type="cellIs" dxfId="5170" priority="521" stopIfTrue="1" operator="between">
      <formula>34.1</formula>
      <formula>79</formula>
    </cfRule>
    <cfRule type="cellIs" dxfId="5169" priority="522" stopIfTrue="1" operator="between">
      <formula>13.1</formula>
      <formula>34</formula>
    </cfRule>
    <cfRule type="cellIs" dxfId="5168" priority="523" stopIfTrue="1" operator="between">
      <formula>5.1</formula>
      <formula>13</formula>
    </cfRule>
    <cfRule type="cellIs" dxfId="5167" priority="524" stopIfTrue="1" operator="between">
      <formula>0</formula>
      <formula>5</formula>
    </cfRule>
    <cfRule type="containsBlanks" dxfId="5166" priority="525" stopIfTrue="1">
      <formula>LEN(TRIM(E83))=0</formula>
    </cfRule>
  </conditionalFormatting>
  <conditionalFormatting sqref="E67:Q67">
    <cfRule type="containsBlanks" dxfId="5165" priority="512" stopIfTrue="1">
      <formula>LEN(TRIM(E67))=0</formula>
    </cfRule>
    <cfRule type="cellIs" dxfId="5164" priority="513" stopIfTrue="1" operator="between">
      <formula>80.1</formula>
      <formula>100</formula>
    </cfRule>
    <cfRule type="cellIs" dxfId="5163" priority="514" stopIfTrue="1" operator="between">
      <formula>35.1</formula>
      <formula>80</formula>
    </cfRule>
    <cfRule type="cellIs" dxfId="5162" priority="515" stopIfTrue="1" operator="between">
      <formula>14.1</formula>
      <formula>35</formula>
    </cfRule>
    <cfRule type="cellIs" dxfId="5161" priority="516" stopIfTrue="1" operator="between">
      <formula>5.1</formula>
      <formula>14</formula>
    </cfRule>
    <cfRule type="cellIs" dxfId="5160" priority="517" stopIfTrue="1" operator="between">
      <formula>0</formula>
      <formula>5</formula>
    </cfRule>
    <cfRule type="containsBlanks" dxfId="5159" priority="518" stopIfTrue="1">
      <formula>LEN(TRIM(E67))=0</formula>
    </cfRule>
  </conditionalFormatting>
  <conditionalFormatting sqref="Q73">
    <cfRule type="containsBlanks" dxfId="5158" priority="491" stopIfTrue="1">
      <formula>LEN(TRIM(Q73))=0</formula>
    </cfRule>
    <cfRule type="cellIs" dxfId="5157" priority="492" stopIfTrue="1" operator="between">
      <formula>80.1</formula>
      <formula>100</formula>
    </cfRule>
    <cfRule type="cellIs" dxfId="5156" priority="493" stopIfTrue="1" operator="between">
      <formula>35.1</formula>
      <formula>80</formula>
    </cfRule>
    <cfRule type="cellIs" dxfId="5155" priority="494" stopIfTrue="1" operator="between">
      <formula>14.1</formula>
      <formula>35</formula>
    </cfRule>
    <cfRule type="cellIs" dxfId="5154" priority="495" stopIfTrue="1" operator="between">
      <formula>5.1</formula>
      <formula>14</formula>
    </cfRule>
    <cfRule type="cellIs" dxfId="5153" priority="496" stopIfTrue="1" operator="between">
      <formula>0</formula>
      <formula>5</formula>
    </cfRule>
    <cfRule type="containsBlanks" dxfId="5152" priority="497" stopIfTrue="1">
      <formula>LEN(TRIM(Q73))=0</formula>
    </cfRule>
  </conditionalFormatting>
  <conditionalFormatting sqref="E73:P73">
    <cfRule type="containsBlanks" dxfId="5151" priority="484" stopIfTrue="1">
      <formula>LEN(TRIM(E73))=0</formula>
    </cfRule>
    <cfRule type="cellIs" dxfId="5150" priority="485" stopIfTrue="1" operator="between">
      <formula>79.1</formula>
      <formula>100</formula>
    </cfRule>
    <cfRule type="cellIs" dxfId="5149" priority="486" stopIfTrue="1" operator="between">
      <formula>34.1</formula>
      <formula>79</formula>
    </cfRule>
    <cfRule type="cellIs" dxfId="5148" priority="487" stopIfTrue="1" operator="between">
      <formula>13.1</formula>
      <formula>34</formula>
    </cfRule>
    <cfRule type="cellIs" dxfId="5147" priority="488" stopIfTrue="1" operator="between">
      <formula>5.1</formula>
      <formula>13</formula>
    </cfRule>
    <cfRule type="cellIs" dxfId="5146" priority="489" stopIfTrue="1" operator="between">
      <formula>0</formula>
      <formula>5</formula>
    </cfRule>
    <cfRule type="containsBlanks" dxfId="5145" priority="490" stopIfTrue="1">
      <formula>LEN(TRIM(E73))=0</formula>
    </cfRule>
  </conditionalFormatting>
  <conditionalFormatting sqref="Q115">
    <cfRule type="containsBlanks" dxfId="5144" priority="477" stopIfTrue="1">
      <formula>LEN(TRIM(Q115))=0</formula>
    </cfRule>
    <cfRule type="cellIs" dxfId="5143" priority="478" stopIfTrue="1" operator="between">
      <formula>80.1</formula>
      <formula>100</formula>
    </cfRule>
    <cfRule type="cellIs" dxfId="5142" priority="479" stopIfTrue="1" operator="between">
      <formula>35.1</formula>
      <formula>80</formula>
    </cfRule>
    <cfRule type="cellIs" dxfId="5141" priority="480" stopIfTrue="1" operator="between">
      <formula>14.1</formula>
      <formula>35</formula>
    </cfRule>
    <cfRule type="cellIs" dxfId="5140" priority="481" stopIfTrue="1" operator="between">
      <formula>5.1</formula>
      <formula>14</formula>
    </cfRule>
    <cfRule type="cellIs" dxfId="5139" priority="482" stopIfTrue="1" operator="between">
      <formula>0</formula>
      <formula>5</formula>
    </cfRule>
    <cfRule type="containsBlanks" dxfId="5138" priority="483" stopIfTrue="1">
      <formula>LEN(TRIM(Q115))=0</formula>
    </cfRule>
  </conditionalFormatting>
  <conditionalFormatting sqref="E115:K115">
    <cfRule type="containsBlanks" dxfId="5137" priority="463" stopIfTrue="1">
      <formula>LEN(TRIM(E115))=0</formula>
    </cfRule>
    <cfRule type="cellIs" dxfId="5136" priority="464" stopIfTrue="1" operator="between">
      <formula>79.1</formula>
      <formula>100</formula>
    </cfRule>
    <cfRule type="cellIs" dxfId="5135" priority="465" stopIfTrue="1" operator="between">
      <formula>34.1</formula>
      <formula>79</formula>
    </cfRule>
    <cfRule type="cellIs" dxfId="5134" priority="466" stopIfTrue="1" operator="between">
      <formula>13.1</formula>
      <formula>34</formula>
    </cfRule>
    <cfRule type="cellIs" dxfId="5133" priority="467" stopIfTrue="1" operator="between">
      <formula>5.1</formula>
      <formula>13</formula>
    </cfRule>
    <cfRule type="cellIs" dxfId="5132" priority="468" stopIfTrue="1" operator="between">
      <formula>0</formula>
      <formula>5</formula>
    </cfRule>
    <cfRule type="containsBlanks" dxfId="5131" priority="469" stopIfTrue="1">
      <formula>LEN(TRIM(E115))=0</formula>
    </cfRule>
  </conditionalFormatting>
  <conditionalFormatting sqref="L115:P115">
    <cfRule type="containsBlanks" dxfId="5130" priority="470" stopIfTrue="1">
      <formula>LEN(TRIM(L115))=0</formula>
    </cfRule>
    <cfRule type="cellIs" dxfId="5129" priority="471" stopIfTrue="1" operator="between">
      <formula>79.1</formula>
      <formula>100</formula>
    </cfRule>
    <cfRule type="cellIs" dxfId="5128" priority="472" stopIfTrue="1" operator="between">
      <formula>34.1</formula>
      <formula>79</formula>
    </cfRule>
    <cfRule type="cellIs" dxfId="5127" priority="473" stopIfTrue="1" operator="between">
      <formula>13.1</formula>
      <formula>34</formula>
    </cfRule>
    <cfRule type="cellIs" dxfId="5126" priority="474" stopIfTrue="1" operator="between">
      <formula>5.1</formula>
      <formula>13</formula>
    </cfRule>
    <cfRule type="cellIs" dxfId="5125" priority="475" stopIfTrue="1" operator="between">
      <formula>0</formula>
      <formula>5</formula>
    </cfRule>
    <cfRule type="containsBlanks" dxfId="5124" priority="476" stopIfTrue="1">
      <formula>LEN(TRIM(L115))=0</formula>
    </cfRule>
  </conditionalFormatting>
  <conditionalFormatting sqref="R98">
    <cfRule type="containsBlanks" dxfId="5123" priority="434" stopIfTrue="1">
      <formula>LEN(TRIM(R98))=0</formula>
    </cfRule>
    <cfRule type="cellIs" dxfId="5122" priority="435" stopIfTrue="1" operator="between">
      <formula>80.1</formula>
      <formula>100</formula>
    </cfRule>
    <cfRule type="cellIs" dxfId="5121" priority="436" stopIfTrue="1" operator="between">
      <formula>35.1</formula>
      <formula>80</formula>
    </cfRule>
    <cfRule type="cellIs" dxfId="5120" priority="437" stopIfTrue="1" operator="between">
      <formula>14.1</formula>
      <formula>35</formula>
    </cfRule>
    <cfRule type="cellIs" dxfId="5119" priority="438" stopIfTrue="1" operator="between">
      <formula>5.1</formula>
      <formula>14</formula>
    </cfRule>
    <cfRule type="cellIs" dxfId="5118" priority="439" stopIfTrue="1" operator="between">
      <formula>0</formula>
      <formula>5</formula>
    </cfRule>
    <cfRule type="containsBlanks" dxfId="5117" priority="440" stopIfTrue="1">
      <formula>LEN(TRIM(R98))=0</formula>
    </cfRule>
  </conditionalFormatting>
  <conditionalFormatting sqref="R97">
    <cfRule type="containsBlanks" dxfId="5116" priority="441" stopIfTrue="1">
      <formula>LEN(TRIM(R97))=0</formula>
    </cfRule>
    <cfRule type="cellIs" dxfId="5115" priority="442" stopIfTrue="1" operator="between">
      <formula>80.1</formula>
      <formula>100</formula>
    </cfRule>
    <cfRule type="cellIs" dxfId="5114" priority="443" stopIfTrue="1" operator="between">
      <formula>35.1</formula>
      <formula>80</formula>
    </cfRule>
    <cfRule type="cellIs" dxfId="5113" priority="444" stopIfTrue="1" operator="between">
      <formula>14.1</formula>
      <formula>35</formula>
    </cfRule>
    <cfRule type="cellIs" dxfId="5112" priority="445" stopIfTrue="1" operator="between">
      <formula>5.1</formula>
      <formula>14</formula>
    </cfRule>
    <cfRule type="cellIs" dxfId="5111" priority="446" stopIfTrue="1" operator="between">
      <formula>0</formula>
      <formula>5</formula>
    </cfRule>
    <cfRule type="containsBlanks" dxfId="5110" priority="447" stopIfTrue="1">
      <formula>LEN(TRIM(R97))=0</formula>
    </cfRule>
  </conditionalFormatting>
  <conditionalFormatting sqref="Q93">
    <cfRule type="containsBlanks" dxfId="5109" priority="427" stopIfTrue="1">
      <formula>LEN(TRIM(Q93))=0</formula>
    </cfRule>
    <cfRule type="cellIs" dxfId="5108" priority="428" stopIfTrue="1" operator="between">
      <formula>80.1</formula>
      <formula>100</formula>
    </cfRule>
    <cfRule type="cellIs" dxfId="5107" priority="429" stopIfTrue="1" operator="between">
      <formula>35.1</formula>
      <formula>80</formula>
    </cfRule>
    <cfRule type="cellIs" dxfId="5106" priority="430" stopIfTrue="1" operator="between">
      <formula>14.1</formula>
      <formula>35</formula>
    </cfRule>
    <cfRule type="cellIs" dxfId="5105" priority="431" stopIfTrue="1" operator="between">
      <formula>5.1</formula>
      <formula>14</formula>
    </cfRule>
    <cfRule type="cellIs" dxfId="5104" priority="432" stopIfTrue="1" operator="between">
      <formula>0</formula>
      <formula>5</formula>
    </cfRule>
    <cfRule type="containsBlanks" dxfId="5103" priority="433" stopIfTrue="1">
      <formula>LEN(TRIM(Q93))=0</formula>
    </cfRule>
  </conditionalFormatting>
  <conditionalFormatting sqref="S268">
    <cfRule type="cellIs" dxfId="5102" priority="423" stopIfTrue="1" operator="equal">
      <formula>"INVIABLE SANITARIAMENTE"</formula>
    </cfRule>
  </conditionalFormatting>
  <conditionalFormatting sqref="S268">
    <cfRule type="containsText" dxfId="5101" priority="418" stopIfTrue="1" operator="containsText" text="INVIABLE SANITARIAMENTE">
      <formula>NOT(ISERROR(SEARCH("INVIABLE SANITARIAMENTE",S268)))</formula>
    </cfRule>
    <cfRule type="containsText" dxfId="5100" priority="419" stopIfTrue="1" operator="containsText" text="ALTO">
      <formula>NOT(ISERROR(SEARCH("ALTO",S268)))</formula>
    </cfRule>
    <cfRule type="containsText" dxfId="5099" priority="420" stopIfTrue="1" operator="containsText" text="MEDIO">
      <formula>NOT(ISERROR(SEARCH("MEDIO",S268)))</formula>
    </cfRule>
    <cfRule type="containsText" dxfId="5098" priority="421" stopIfTrue="1" operator="containsText" text="BAJO">
      <formula>NOT(ISERROR(SEARCH("BAJO",S268)))</formula>
    </cfRule>
    <cfRule type="containsText" dxfId="5097" priority="422" stopIfTrue="1" operator="containsText" text="SIN RIESGO">
      <formula>NOT(ISERROR(SEARCH("SIN RIESGO",S268)))</formula>
    </cfRule>
  </conditionalFormatting>
  <conditionalFormatting sqref="S268">
    <cfRule type="containsText" dxfId="5096" priority="417" stopIfTrue="1" operator="containsText" text="SIN RIESGO">
      <formula>NOT(ISERROR(SEARCH("SIN RIESGO",S268)))</formula>
    </cfRule>
  </conditionalFormatting>
  <conditionalFormatting sqref="E265:P265">
    <cfRule type="containsBlanks" dxfId="5095" priority="403" stopIfTrue="1">
      <formula>LEN(TRIM(E265))=0</formula>
    </cfRule>
    <cfRule type="cellIs" dxfId="5094" priority="404" stopIfTrue="1" operator="between">
      <formula>79.1</formula>
      <formula>100</formula>
    </cfRule>
    <cfRule type="cellIs" dxfId="5093" priority="405" stopIfTrue="1" operator="between">
      <formula>34.1</formula>
      <formula>79</formula>
    </cfRule>
    <cfRule type="cellIs" dxfId="5092" priority="406" stopIfTrue="1" operator="between">
      <formula>13.1</formula>
      <formula>34</formula>
    </cfRule>
    <cfRule type="cellIs" dxfId="5091" priority="407" stopIfTrue="1" operator="between">
      <formula>5.1</formula>
      <formula>13</formula>
    </cfRule>
    <cfRule type="cellIs" dxfId="5090" priority="408" stopIfTrue="1" operator="between">
      <formula>0</formula>
      <formula>5</formula>
    </cfRule>
    <cfRule type="containsBlanks" dxfId="5089" priority="409" stopIfTrue="1">
      <formula>LEN(TRIM(E265))=0</formula>
    </cfRule>
  </conditionalFormatting>
  <conditionalFormatting sqref="E267:P267">
    <cfRule type="containsBlanks" dxfId="5088" priority="389" stopIfTrue="1">
      <formula>LEN(TRIM(E267))=0</formula>
    </cfRule>
    <cfRule type="cellIs" dxfId="5087" priority="390" stopIfTrue="1" operator="between">
      <formula>79.1</formula>
      <formula>100</formula>
    </cfRule>
    <cfRule type="cellIs" dxfId="5086" priority="391" stopIfTrue="1" operator="between">
      <formula>34.1</formula>
      <formula>79</formula>
    </cfRule>
    <cfRule type="cellIs" dxfId="5085" priority="392" stopIfTrue="1" operator="between">
      <formula>13.1</formula>
      <formula>34</formula>
    </cfRule>
    <cfRule type="cellIs" dxfId="5084" priority="393" stopIfTrue="1" operator="between">
      <formula>5.1</formula>
      <formula>13</formula>
    </cfRule>
    <cfRule type="cellIs" dxfId="5083" priority="394" stopIfTrue="1" operator="between">
      <formula>0</formula>
      <formula>5</formula>
    </cfRule>
    <cfRule type="containsBlanks" dxfId="5082" priority="395" stopIfTrue="1">
      <formula>LEN(TRIM(E267))=0</formula>
    </cfRule>
  </conditionalFormatting>
  <conditionalFormatting sqref="E268:P268">
    <cfRule type="containsBlanks" dxfId="5081" priority="382" stopIfTrue="1">
      <formula>LEN(TRIM(E268))=0</formula>
    </cfRule>
    <cfRule type="cellIs" dxfId="5080" priority="383" stopIfTrue="1" operator="between">
      <formula>79.1</formula>
      <formula>100</formula>
    </cfRule>
    <cfRule type="cellIs" dxfId="5079" priority="384" stopIfTrue="1" operator="between">
      <formula>34.1</formula>
      <formula>79</formula>
    </cfRule>
    <cfRule type="cellIs" dxfId="5078" priority="385" stopIfTrue="1" operator="between">
      <formula>13.1</formula>
      <formula>34</formula>
    </cfRule>
    <cfRule type="cellIs" dxfId="5077" priority="386" stopIfTrue="1" operator="between">
      <formula>5.1</formula>
      <formula>13</formula>
    </cfRule>
    <cfRule type="cellIs" dxfId="5076" priority="387" stopIfTrue="1" operator="between">
      <formula>0</formula>
      <formula>5</formula>
    </cfRule>
    <cfRule type="containsBlanks" dxfId="5075" priority="388" stopIfTrue="1">
      <formula>LEN(TRIM(E268))=0</formula>
    </cfRule>
  </conditionalFormatting>
  <conditionalFormatting sqref="S273">
    <cfRule type="containsText" dxfId="5074" priority="221" stopIfTrue="1" operator="containsText" text="SIN RIESGO">
      <formula>NOT(ISERROR(SEARCH("SIN RIESGO",S273)))</formula>
    </cfRule>
  </conditionalFormatting>
  <conditionalFormatting sqref="R269">
    <cfRule type="cellIs" dxfId="5073" priority="374" stopIfTrue="1" operator="equal">
      <formula>"NO"</formula>
    </cfRule>
  </conditionalFormatting>
  <conditionalFormatting sqref="R269">
    <cfRule type="cellIs" dxfId="5072" priority="373" stopIfTrue="1" operator="equal">
      <formula>"NO"</formula>
    </cfRule>
  </conditionalFormatting>
  <conditionalFormatting sqref="R269">
    <cfRule type="cellIs" dxfId="5071" priority="372" stopIfTrue="1" operator="equal">
      <formula>"NO"</formula>
    </cfRule>
  </conditionalFormatting>
  <conditionalFormatting sqref="S269">
    <cfRule type="cellIs" dxfId="5070" priority="371" stopIfTrue="1" operator="equal">
      <formula>"INVIABLE SANITARIAMENTE"</formula>
    </cfRule>
  </conditionalFormatting>
  <conditionalFormatting sqref="S269">
    <cfRule type="containsText" dxfId="5069" priority="366" stopIfTrue="1" operator="containsText" text="INVIABLE SANITARIAMENTE">
      <formula>NOT(ISERROR(SEARCH("INVIABLE SANITARIAMENTE",S269)))</formula>
    </cfRule>
    <cfRule type="containsText" dxfId="5068" priority="367" stopIfTrue="1" operator="containsText" text="ALTO">
      <formula>NOT(ISERROR(SEARCH("ALTO",S269)))</formula>
    </cfRule>
    <cfRule type="containsText" dxfId="5067" priority="368" stopIfTrue="1" operator="containsText" text="MEDIO">
      <formula>NOT(ISERROR(SEARCH("MEDIO",S269)))</formula>
    </cfRule>
    <cfRule type="containsText" dxfId="5066" priority="369" stopIfTrue="1" operator="containsText" text="BAJO">
      <formula>NOT(ISERROR(SEARCH("BAJO",S269)))</formula>
    </cfRule>
    <cfRule type="containsText" dxfId="5065" priority="370" stopIfTrue="1" operator="containsText" text="SIN RIESGO">
      <formula>NOT(ISERROR(SEARCH("SIN RIESGO",S269)))</formula>
    </cfRule>
  </conditionalFormatting>
  <conditionalFormatting sqref="S269">
    <cfRule type="containsText" dxfId="5064" priority="365" stopIfTrue="1" operator="containsText" text="SIN RIESGO">
      <formula>NOT(ISERROR(SEARCH("SIN RIESGO",S269)))</formula>
    </cfRule>
  </conditionalFormatting>
  <conditionalFormatting sqref="Q274:Q282">
    <cfRule type="containsBlanks" dxfId="5063" priority="358" stopIfTrue="1">
      <formula>LEN(TRIM(Q274))=0</formula>
    </cfRule>
    <cfRule type="cellIs" dxfId="5062" priority="359" stopIfTrue="1" operator="between">
      <formula>80.1</formula>
      <formula>100</formula>
    </cfRule>
    <cfRule type="cellIs" dxfId="5061" priority="360" stopIfTrue="1" operator="between">
      <formula>35.1</formula>
      <formula>80</formula>
    </cfRule>
    <cfRule type="cellIs" dxfId="5060" priority="361" stopIfTrue="1" operator="between">
      <formula>14.1</formula>
      <formula>35</formula>
    </cfRule>
    <cfRule type="cellIs" dxfId="5059" priority="362" stopIfTrue="1" operator="between">
      <formula>5.1</formula>
      <formula>14</formula>
    </cfRule>
    <cfRule type="cellIs" dxfId="5058" priority="363" stopIfTrue="1" operator="between">
      <formula>0</formula>
      <formula>5</formula>
    </cfRule>
    <cfRule type="containsBlanks" dxfId="5057" priority="364" stopIfTrue="1">
      <formula>LEN(TRIM(Q274))=0</formula>
    </cfRule>
  </conditionalFormatting>
  <conditionalFormatting sqref="Q280">
    <cfRule type="containsBlanks" dxfId="5056" priority="351" stopIfTrue="1">
      <formula>LEN(TRIM(Q280))=0</formula>
    </cfRule>
    <cfRule type="cellIs" dxfId="5055" priority="352" stopIfTrue="1" operator="between">
      <formula>80.1</formula>
      <formula>100</formula>
    </cfRule>
    <cfRule type="cellIs" dxfId="5054" priority="353" stopIfTrue="1" operator="between">
      <formula>35.1</formula>
      <formula>80</formula>
    </cfRule>
    <cfRule type="cellIs" dxfId="5053" priority="354" stopIfTrue="1" operator="between">
      <formula>14.1</formula>
      <formula>35</formula>
    </cfRule>
    <cfRule type="cellIs" dxfId="5052" priority="355" stopIfTrue="1" operator="between">
      <formula>5.1</formula>
      <formula>14</formula>
    </cfRule>
    <cfRule type="cellIs" dxfId="5051" priority="356" stopIfTrue="1" operator="between">
      <formula>0</formula>
      <formula>5</formula>
    </cfRule>
    <cfRule type="containsBlanks" dxfId="5050" priority="357" stopIfTrue="1">
      <formula>LEN(TRIM(Q280))=0</formula>
    </cfRule>
  </conditionalFormatting>
  <conditionalFormatting sqref="Q279">
    <cfRule type="containsBlanks" dxfId="5049" priority="344" stopIfTrue="1">
      <formula>LEN(TRIM(Q279))=0</formula>
    </cfRule>
    <cfRule type="cellIs" dxfId="5048" priority="345" stopIfTrue="1" operator="between">
      <formula>80.1</formula>
      <formula>100</formula>
    </cfRule>
    <cfRule type="cellIs" dxfId="5047" priority="346" stopIfTrue="1" operator="between">
      <formula>35.1</formula>
      <formula>80</formula>
    </cfRule>
    <cfRule type="cellIs" dxfId="5046" priority="347" stopIfTrue="1" operator="between">
      <formula>14.1</formula>
      <formula>35</formula>
    </cfRule>
    <cfRule type="cellIs" dxfId="5045" priority="348" stopIfTrue="1" operator="between">
      <formula>5.1</formula>
      <formula>14</formula>
    </cfRule>
    <cfRule type="cellIs" dxfId="5044" priority="349" stopIfTrue="1" operator="between">
      <formula>0</formula>
      <formula>5</formula>
    </cfRule>
    <cfRule type="containsBlanks" dxfId="5043" priority="350" stopIfTrue="1">
      <formula>LEN(TRIM(Q279))=0</formula>
    </cfRule>
  </conditionalFormatting>
  <conditionalFormatting sqref="Q281">
    <cfRule type="containsBlanks" dxfId="5042" priority="337" stopIfTrue="1">
      <formula>LEN(TRIM(Q281))=0</formula>
    </cfRule>
    <cfRule type="cellIs" dxfId="5041" priority="338" stopIfTrue="1" operator="between">
      <formula>80.1</formula>
      <formula>100</formula>
    </cfRule>
    <cfRule type="cellIs" dxfId="5040" priority="339" stopIfTrue="1" operator="between">
      <formula>35.1</formula>
      <formula>80</formula>
    </cfRule>
    <cfRule type="cellIs" dxfId="5039" priority="340" stopIfTrue="1" operator="between">
      <formula>14.1</formula>
      <formula>35</formula>
    </cfRule>
    <cfRule type="cellIs" dxfId="5038" priority="341" stopIfTrue="1" operator="between">
      <formula>5.1</formula>
      <formula>14</formula>
    </cfRule>
    <cfRule type="cellIs" dxfId="5037" priority="342" stopIfTrue="1" operator="between">
      <formula>0</formula>
      <formula>5</formula>
    </cfRule>
    <cfRule type="containsBlanks" dxfId="5036" priority="343" stopIfTrue="1">
      <formula>LEN(TRIM(Q281))=0</formula>
    </cfRule>
  </conditionalFormatting>
  <conditionalFormatting sqref="Q269">
    <cfRule type="containsBlanks" dxfId="5035" priority="330" stopIfTrue="1">
      <formula>LEN(TRIM(Q269))=0</formula>
    </cfRule>
    <cfRule type="cellIs" dxfId="5034" priority="331" stopIfTrue="1" operator="between">
      <formula>80.1</formula>
      <formula>100</formula>
    </cfRule>
    <cfRule type="cellIs" dxfId="5033" priority="332" stopIfTrue="1" operator="between">
      <formula>35.1</formula>
      <formula>80</formula>
    </cfRule>
    <cfRule type="cellIs" dxfId="5032" priority="333" stopIfTrue="1" operator="between">
      <formula>14.1</formula>
      <formula>35</formula>
    </cfRule>
    <cfRule type="cellIs" dxfId="5031" priority="334" stopIfTrue="1" operator="between">
      <formula>5.1</formula>
      <formula>14</formula>
    </cfRule>
    <cfRule type="cellIs" dxfId="5030" priority="335" stopIfTrue="1" operator="between">
      <formula>0</formula>
      <formula>5</formula>
    </cfRule>
    <cfRule type="containsBlanks" dxfId="5029" priority="336" stopIfTrue="1">
      <formula>LEN(TRIM(Q269))=0</formula>
    </cfRule>
  </conditionalFormatting>
  <conditionalFormatting sqref="R431:R435">
    <cfRule type="cellIs" dxfId="5028" priority="329" stopIfTrue="1" operator="equal">
      <formula>"NO"</formula>
    </cfRule>
  </conditionalFormatting>
  <conditionalFormatting sqref="R431:R435">
    <cfRule type="cellIs" dxfId="5027" priority="328" stopIfTrue="1" operator="equal">
      <formula>"NO"</formula>
    </cfRule>
  </conditionalFormatting>
  <conditionalFormatting sqref="R431:R435">
    <cfRule type="cellIs" dxfId="5026" priority="327" stopIfTrue="1" operator="equal">
      <formula>"NO"</formula>
    </cfRule>
  </conditionalFormatting>
  <conditionalFormatting sqref="S431:S435">
    <cfRule type="cellIs" dxfId="5025" priority="326" stopIfTrue="1" operator="equal">
      <formula>"INVIABLE SANITARIAMENTE"</formula>
    </cfRule>
  </conditionalFormatting>
  <conditionalFormatting sqref="S431:S435">
    <cfRule type="containsText" dxfId="5024" priority="321" stopIfTrue="1" operator="containsText" text="INVIABLE SANITARIAMENTE">
      <formula>NOT(ISERROR(SEARCH("INVIABLE SANITARIAMENTE",S431)))</formula>
    </cfRule>
    <cfRule type="containsText" dxfId="5023" priority="322" stopIfTrue="1" operator="containsText" text="ALTO">
      <formula>NOT(ISERROR(SEARCH("ALTO",S431)))</formula>
    </cfRule>
    <cfRule type="containsText" dxfId="5022" priority="323" stopIfTrue="1" operator="containsText" text="MEDIO">
      <formula>NOT(ISERROR(SEARCH("MEDIO",S431)))</formula>
    </cfRule>
    <cfRule type="containsText" dxfId="5021" priority="324" stopIfTrue="1" operator="containsText" text="BAJO">
      <formula>NOT(ISERROR(SEARCH("BAJO",S431)))</formula>
    </cfRule>
    <cfRule type="containsText" dxfId="5020" priority="325" stopIfTrue="1" operator="containsText" text="SIN RIESGO">
      <formula>NOT(ISERROR(SEARCH("SIN RIESGO",S431)))</formula>
    </cfRule>
  </conditionalFormatting>
  <conditionalFormatting sqref="S431:S435">
    <cfRule type="containsText" dxfId="5019" priority="320" stopIfTrue="1" operator="containsText" text="SIN RIESGO">
      <formula>NOT(ISERROR(SEARCH("SIN RIESGO",S431)))</formula>
    </cfRule>
  </conditionalFormatting>
  <conditionalFormatting sqref="Q431:Q435">
    <cfRule type="containsBlanks" dxfId="5018" priority="313" stopIfTrue="1">
      <formula>LEN(TRIM(Q431))=0</formula>
    </cfRule>
    <cfRule type="cellIs" dxfId="5017" priority="314" stopIfTrue="1" operator="between">
      <formula>80.1</formula>
      <formula>100</formula>
    </cfRule>
    <cfRule type="cellIs" dxfId="5016" priority="315" stopIfTrue="1" operator="between">
      <formula>35.1</formula>
      <formula>80</formula>
    </cfRule>
    <cfRule type="cellIs" dxfId="5015" priority="316" stopIfTrue="1" operator="between">
      <formula>14.1</formula>
      <formula>35</formula>
    </cfRule>
    <cfRule type="cellIs" dxfId="5014" priority="317" stopIfTrue="1" operator="between">
      <formula>5.1</formula>
      <formula>14</formula>
    </cfRule>
    <cfRule type="cellIs" dxfId="5013" priority="318" stopIfTrue="1" operator="between">
      <formula>0</formula>
      <formula>5</formula>
    </cfRule>
    <cfRule type="containsBlanks" dxfId="5012" priority="319" stopIfTrue="1">
      <formula>LEN(TRIM(Q431))=0</formula>
    </cfRule>
  </conditionalFormatting>
  <conditionalFormatting sqref="Q270">
    <cfRule type="containsBlanks" dxfId="5011" priority="306" stopIfTrue="1">
      <formula>LEN(TRIM(Q270))=0</formula>
    </cfRule>
    <cfRule type="cellIs" dxfId="5010" priority="307" stopIfTrue="1" operator="between">
      <formula>80.1</formula>
      <formula>100</formula>
    </cfRule>
    <cfRule type="cellIs" dxfId="5009" priority="308" stopIfTrue="1" operator="between">
      <formula>35.1</formula>
      <formula>80</formula>
    </cfRule>
    <cfRule type="cellIs" dxfId="5008" priority="309" stopIfTrue="1" operator="between">
      <formula>14.1</formula>
      <formula>35</formula>
    </cfRule>
    <cfRule type="cellIs" dxfId="5007" priority="310" stopIfTrue="1" operator="between">
      <formula>5.1</formula>
      <formula>14</formula>
    </cfRule>
    <cfRule type="cellIs" dxfId="5006" priority="311" stopIfTrue="1" operator="between">
      <formula>0</formula>
      <formula>5</formula>
    </cfRule>
    <cfRule type="containsBlanks" dxfId="5005" priority="312" stopIfTrue="1">
      <formula>LEN(TRIM(Q270))=0</formula>
    </cfRule>
  </conditionalFormatting>
  <conditionalFormatting sqref="Q271">
    <cfRule type="containsBlanks" dxfId="5004" priority="292" stopIfTrue="1">
      <formula>LEN(TRIM(Q271))=0</formula>
    </cfRule>
    <cfRule type="cellIs" dxfId="5003" priority="293" stopIfTrue="1" operator="between">
      <formula>80.1</formula>
      <formula>100</formula>
    </cfRule>
    <cfRule type="cellIs" dxfId="5002" priority="294" stopIfTrue="1" operator="between">
      <formula>35.1</formula>
      <formula>80</formula>
    </cfRule>
    <cfRule type="cellIs" dxfId="5001" priority="295" stopIfTrue="1" operator="between">
      <formula>14.1</formula>
      <formula>35</formula>
    </cfRule>
    <cfRule type="cellIs" dxfId="5000" priority="296" stopIfTrue="1" operator="between">
      <formula>5.1</formula>
      <formula>14</formula>
    </cfRule>
    <cfRule type="cellIs" dxfId="4999" priority="297" stopIfTrue="1" operator="between">
      <formula>0</formula>
      <formula>5</formula>
    </cfRule>
    <cfRule type="containsBlanks" dxfId="4998" priority="298" stopIfTrue="1">
      <formula>LEN(TRIM(Q271))=0</formula>
    </cfRule>
  </conditionalFormatting>
  <conditionalFormatting sqref="Q272">
    <cfRule type="containsBlanks" dxfId="4997" priority="285" stopIfTrue="1">
      <formula>LEN(TRIM(Q272))=0</formula>
    </cfRule>
    <cfRule type="cellIs" dxfId="4996" priority="286" stopIfTrue="1" operator="between">
      <formula>80.1</formula>
      <formula>100</formula>
    </cfRule>
    <cfRule type="cellIs" dxfId="4995" priority="287" stopIfTrue="1" operator="between">
      <formula>35.1</formula>
      <formula>80</formula>
    </cfRule>
    <cfRule type="cellIs" dxfId="4994" priority="288" stopIfTrue="1" operator="between">
      <formula>14.1</formula>
      <formula>35</formula>
    </cfRule>
    <cfRule type="cellIs" dxfId="4993" priority="289" stopIfTrue="1" operator="between">
      <formula>5.1</formula>
      <formula>14</formula>
    </cfRule>
    <cfRule type="cellIs" dxfId="4992" priority="290" stopIfTrue="1" operator="between">
      <formula>0</formula>
      <formula>5</formula>
    </cfRule>
    <cfRule type="containsBlanks" dxfId="4991" priority="291" stopIfTrue="1">
      <formula>LEN(TRIM(Q272))=0</formula>
    </cfRule>
  </conditionalFormatting>
  <conditionalFormatting sqref="Q273">
    <cfRule type="containsBlanks" dxfId="4990" priority="278" stopIfTrue="1">
      <formula>LEN(TRIM(Q273))=0</formula>
    </cfRule>
    <cfRule type="cellIs" dxfId="4989" priority="279" stopIfTrue="1" operator="between">
      <formula>80.1</formula>
      <formula>100</formula>
    </cfRule>
    <cfRule type="cellIs" dxfId="4988" priority="280" stopIfTrue="1" operator="between">
      <formula>35.1</formula>
      <formula>80</formula>
    </cfRule>
    <cfRule type="cellIs" dxfId="4987" priority="281" stopIfTrue="1" operator="between">
      <formula>14.1</formula>
      <formula>35</formula>
    </cfRule>
    <cfRule type="cellIs" dxfId="4986" priority="282" stopIfTrue="1" operator="between">
      <formula>5.1</formula>
      <formula>14</formula>
    </cfRule>
    <cfRule type="cellIs" dxfId="4985" priority="283" stopIfTrue="1" operator="between">
      <formula>0</formula>
      <formula>5</formula>
    </cfRule>
    <cfRule type="containsBlanks" dxfId="4984" priority="284" stopIfTrue="1">
      <formula>LEN(TRIM(Q273))=0</formula>
    </cfRule>
  </conditionalFormatting>
  <conditionalFormatting sqref="R270">
    <cfRule type="cellIs" dxfId="4983" priority="277" stopIfTrue="1" operator="equal">
      <formula>"NO"</formula>
    </cfRule>
  </conditionalFormatting>
  <conditionalFormatting sqref="R270">
    <cfRule type="cellIs" dxfId="4982" priority="276" stopIfTrue="1" operator="equal">
      <formula>"NO"</formula>
    </cfRule>
  </conditionalFormatting>
  <conditionalFormatting sqref="R270">
    <cfRule type="cellIs" dxfId="4981" priority="275" stopIfTrue="1" operator="equal">
      <formula>"NO"</formula>
    </cfRule>
  </conditionalFormatting>
  <conditionalFormatting sqref="R271">
    <cfRule type="cellIs" dxfId="4980" priority="271" stopIfTrue="1" operator="equal">
      <formula>"NO"</formula>
    </cfRule>
  </conditionalFormatting>
  <conditionalFormatting sqref="R271">
    <cfRule type="cellIs" dxfId="4979" priority="270" stopIfTrue="1" operator="equal">
      <formula>"NO"</formula>
    </cfRule>
  </conditionalFormatting>
  <conditionalFormatting sqref="R271">
    <cfRule type="cellIs" dxfId="4978" priority="269" stopIfTrue="1" operator="equal">
      <formula>"NO"</formula>
    </cfRule>
  </conditionalFormatting>
  <conditionalFormatting sqref="R272">
    <cfRule type="cellIs" dxfId="4977" priority="268" stopIfTrue="1" operator="equal">
      <formula>"NO"</formula>
    </cfRule>
  </conditionalFormatting>
  <conditionalFormatting sqref="R272">
    <cfRule type="cellIs" dxfId="4976" priority="267" stopIfTrue="1" operator="equal">
      <formula>"NO"</formula>
    </cfRule>
  </conditionalFormatting>
  <conditionalFormatting sqref="R272">
    <cfRule type="cellIs" dxfId="4975" priority="266" stopIfTrue="1" operator="equal">
      <formula>"NO"</formula>
    </cfRule>
  </conditionalFormatting>
  <conditionalFormatting sqref="R273">
    <cfRule type="cellIs" dxfId="4974" priority="265" stopIfTrue="1" operator="equal">
      <formula>"NO"</formula>
    </cfRule>
  </conditionalFormatting>
  <conditionalFormatting sqref="R273">
    <cfRule type="cellIs" dxfId="4973" priority="264" stopIfTrue="1" operator="equal">
      <formula>"NO"</formula>
    </cfRule>
  </conditionalFormatting>
  <conditionalFormatting sqref="R273">
    <cfRule type="cellIs" dxfId="4972" priority="263" stopIfTrue="1" operator="equal">
      <formula>"NO"</formula>
    </cfRule>
  </conditionalFormatting>
  <conditionalFormatting sqref="S267">
    <cfRule type="cellIs" dxfId="4971" priority="262" stopIfTrue="1" operator="equal">
      <formula>"INVIABLE SANITARIAMENTE"</formula>
    </cfRule>
  </conditionalFormatting>
  <conditionalFormatting sqref="S267">
    <cfRule type="containsText" dxfId="4970" priority="257" stopIfTrue="1" operator="containsText" text="INVIABLE SANITARIAMENTE">
      <formula>NOT(ISERROR(SEARCH("INVIABLE SANITARIAMENTE",S267)))</formula>
    </cfRule>
    <cfRule type="containsText" dxfId="4969" priority="258" stopIfTrue="1" operator="containsText" text="ALTO">
      <formula>NOT(ISERROR(SEARCH("ALTO",S267)))</formula>
    </cfRule>
    <cfRule type="containsText" dxfId="4968" priority="259" stopIfTrue="1" operator="containsText" text="MEDIO">
      <formula>NOT(ISERROR(SEARCH("MEDIO",S267)))</formula>
    </cfRule>
    <cfRule type="containsText" dxfId="4967" priority="260" stopIfTrue="1" operator="containsText" text="BAJO">
      <formula>NOT(ISERROR(SEARCH("BAJO",S267)))</formula>
    </cfRule>
    <cfRule type="containsText" dxfId="4966" priority="261" stopIfTrue="1" operator="containsText" text="SIN RIESGO">
      <formula>NOT(ISERROR(SEARCH("SIN RIESGO",S267)))</formula>
    </cfRule>
  </conditionalFormatting>
  <conditionalFormatting sqref="S267">
    <cfRule type="containsText" dxfId="4965" priority="256" stopIfTrue="1" operator="containsText" text="SIN RIESGO">
      <formula>NOT(ISERROR(SEARCH("SIN RIESGO",S267)))</formula>
    </cfRule>
  </conditionalFormatting>
  <conditionalFormatting sqref="S270">
    <cfRule type="cellIs" dxfId="4964" priority="255" stopIfTrue="1" operator="equal">
      <formula>"INVIABLE SANITARIAMENTE"</formula>
    </cfRule>
  </conditionalFormatting>
  <conditionalFormatting sqref="S270">
    <cfRule type="containsText" dxfId="4963" priority="250" stopIfTrue="1" operator="containsText" text="INVIABLE SANITARIAMENTE">
      <formula>NOT(ISERROR(SEARCH("INVIABLE SANITARIAMENTE",S270)))</formula>
    </cfRule>
    <cfRule type="containsText" dxfId="4962" priority="251" stopIfTrue="1" operator="containsText" text="ALTO">
      <formula>NOT(ISERROR(SEARCH("ALTO",S270)))</formula>
    </cfRule>
    <cfRule type="containsText" dxfId="4961" priority="252" stopIfTrue="1" operator="containsText" text="MEDIO">
      <formula>NOT(ISERROR(SEARCH("MEDIO",S270)))</formula>
    </cfRule>
    <cfRule type="containsText" dxfId="4960" priority="253" stopIfTrue="1" operator="containsText" text="BAJO">
      <formula>NOT(ISERROR(SEARCH("BAJO",S270)))</formula>
    </cfRule>
    <cfRule type="containsText" dxfId="4959" priority="254" stopIfTrue="1" operator="containsText" text="SIN RIESGO">
      <formula>NOT(ISERROR(SEARCH("SIN RIESGO",S270)))</formula>
    </cfRule>
  </conditionalFormatting>
  <conditionalFormatting sqref="S270">
    <cfRule type="containsText" dxfId="4958" priority="249" stopIfTrue="1" operator="containsText" text="SIN RIESGO">
      <formula>NOT(ISERROR(SEARCH("SIN RIESGO",S270)))</formula>
    </cfRule>
  </conditionalFormatting>
  <conditionalFormatting sqref="S271">
    <cfRule type="cellIs" dxfId="4957" priority="241" stopIfTrue="1" operator="equal">
      <formula>"INVIABLE SANITARIAMENTE"</formula>
    </cfRule>
  </conditionalFormatting>
  <conditionalFormatting sqref="S271">
    <cfRule type="containsText" dxfId="4956" priority="236" stopIfTrue="1" operator="containsText" text="INVIABLE SANITARIAMENTE">
      <formula>NOT(ISERROR(SEARCH("INVIABLE SANITARIAMENTE",S271)))</formula>
    </cfRule>
    <cfRule type="containsText" dxfId="4955" priority="237" stopIfTrue="1" operator="containsText" text="ALTO">
      <formula>NOT(ISERROR(SEARCH("ALTO",S271)))</formula>
    </cfRule>
    <cfRule type="containsText" dxfId="4954" priority="238" stopIfTrue="1" operator="containsText" text="MEDIO">
      <formula>NOT(ISERROR(SEARCH("MEDIO",S271)))</formula>
    </cfRule>
    <cfRule type="containsText" dxfId="4953" priority="239" stopIfTrue="1" operator="containsText" text="BAJO">
      <formula>NOT(ISERROR(SEARCH("BAJO",S271)))</formula>
    </cfRule>
    <cfRule type="containsText" dxfId="4952" priority="240" stopIfTrue="1" operator="containsText" text="SIN RIESGO">
      <formula>NOT(ISERROR(SEARCH("SIN RIESGO",S271)))</formula>
    </cfRule>
  </conditionalFormatting>
  <conditionalFormatting sqref="S271">
    <cfRule type="containsText" dxfId="4951" priority="235" stopIfTrue="1" operator="containsText" text="SIN RIESGO">
      <formula>NOT(ISERROR(SEARCH("SIN RIESGO",S271)))</formula>
    </cfRule>
  </conditionalFormatting>
  <conditionalFormatting sqref="S272">
    <cfRule type="cellIs" dxfId="4950" priority="234" stopIfTrue="1" operator="equal">
      <formula>"INVIABLE SANITARIAMENTE"</formula>
    </cfRule>
  </conditionalFormatting>
  <conditionalFormatting sqref="S272">
    <cfRule type="containsText" dxfId="4949" priority="229" stopIfTrue="1" operator="containsText" text="INVIABLE SANITARIAMENTE">
      <formula>NOT(ISERROR(SEARCH("INVIABLE SANITARIAMENTE",S272)))</formula>
    </cfRule>
    <cfRule type="containsText" dxfId="4948" priority="230" stopIfTrue="1" operator="containsText" text="ALTO">
      <formula>NOT(ISERROR(SEARCH("ALTO",S272)))</formula>
    </cfRule>
    <cfRule type="containsText" dxfId="4947" priority="231" stopIfTrue="1" operator="containsText" text="MEDIO">
      <formula>NOT(ISERROR(SEARCH("MEDIO",S272)))</formula>
    </cfRule>
    <cfRule type="containsText" dxfId="4946" priority="232" stopIfTrue="1" operator="containsText" text="BAJO">
      <formula>NOT(ISERROR(SEARCH("BAJO",S272)))</formula>
    </cfRule>
    <cfRule type="containsText" dxfId="4945" priority="233" stopIfTrue="1" operator="containsText" text="SIN RIESGO">
      <formula>NOT(ISERROR(SEARCH("SIN RIESGO",S272)))</formula>
    </cfRule>
  </conditionalFormatting>
  <conditionalFormatting sqref="S272">
    <cfRule type="containsText" dxfId="4944" priority="228" stopIfTrue="1" operator="containsText" text="SIN RIESGO">
      <formula>NOT(ISERROR(SEARCH("SIN RIESGO",S272)))</formula>
    </cfRule>
  </conditionalFormatting>
  <conditionalFormatting sqref="S273">
    <cfRule type="cellIs" dxfId="4943" priority="227" stopIfTrue="1" operator="equal">
      <formula>"INVIABLE SANITARIAMENTE"</formula>
    </cfRule>
  </conditionalFormatting>
  <conditionalFormatting sqref="S273">
    <cfRule type="containsText" dxfId="4942" priority="222" stopIfTrue="1" operator="containsText" text="INVIABLE SANITARIAMENTE">
      <formula>NOT(ISERROR(SEARCH("INVIABLE SANITARIAMENTE",S273)))</formula>
    </cfRule>
    <cfRule type="containsText" dxfId="4941" priority="223" stopIfTrue="1" operator="containsText" text="ALTO">
      <formula>NOT(ISERROR(SEARCH("ALTO",S273)))</formula>
    </cfRule>
    <cfRule type="containsText" dxfId="4940" priority="224" stopIfTrue="1" operator="containsText" text="MEDIO">
      <formula>NOT(ISERROR(SEARCH("MEDIO",S273)))</formula>
    </cfRule>
    <cfRule type="containsText" dxfId="4939" priority="225" stopIfTrue="1" operator="containsText" text="BAJO">
      <formula>NOT(ISERROR(SEARCH("BAJO",S273)))</formula>
    </cfRule>
    <cfRule type="containsText" dxfId="4938" priority="226" stopIfTrue="1" operator="containsText" text="SIN RIESGO">
      <formula>NOT(ISERROR(SEARCH("SIN RIESGO",S273)))</formula>
    </cfRule>
  </conditionalFormatting>
  <conditionalFormatting sqref="R107:R108">
    <cfRule type="cellIs" dxfId="4937" priority="219" stopIfTrue="1" operator="equal">
      <formula>"NO"</formula>
    </cfRule>
  </conditionalFormatting>
  <conditionalFormatting sqref="R109">
    <cfRule type="cellIs" dxfId="4936" priority="203" stopIfTrue="1" operator="equal">
      <formula>"NO"</formula>
    </cfRule>
  </conditionalFormatting>
  <conditionalFormatting sqref="R110:R111">
    <cfRule type="cellIs" dxfId="4935" priority="195" stopIfTrue="1" operator="equal">
      <formula>"NO"</formula>
    </cfRule>
  </conditionalFormatting>
  <conditionalFormatting sqref="R113:R114">
    <cfRule type="cellIs" dxfId="4934" priority="179" stopIfTrue="1" operator="equal">
      <formula>"NO"</formula>
    </cfRule>
  </conditionalFormatting>
  <conditionalFormatting sqref="R115">
    <cfRule type="cellIs" dxfId="4933" priority="171" stopIfTrue="1" operator="equal">
      <formula>"NO"</formula>
    </cfRule>
  </conditionalFormatting>
  <conditionalFormatting sqref="R43:R56">
    <cfRule type="cellIs" dxfId="4932" priority="164" stopIfTrue="1" operator="equal">
      <formula>"NO"</formula>
    </cfRule>
  </conditionalFormatting>
  <conditionalFormatting sqref="R10">
    <cfRule type="cellIs" dxfId="4931" priority="22" stopIfTrue="1" operator="equal">
      <formula>"NO"</formula>
    </cfRule>
  </conditionalFormatting>
  <conditionalFormatting sqref="Q10:Q122">
    <cfRule type="containsBlanks" dxfId="4930" priority="14" stopIfTrue="1">
      <formula>LEN(TRIM(Q10))=0</formula>
    </cfRule>
    <cfRule type="cellIs" dxfId="4929" priority="15" stopIfTrue="1" operator="between">
      <formula>80.1</formula>
      <formula>100</formula>
    </cfRule>
    <cfRule type="cellIs" dxfId="4928" priority="16" stopIfTrue="1" operator="between">
      <formula>35.1</formula>
      <formula>80</formula>
    </cfRule>
    <cfRule type="cellIs" dxfId="4927" priority="17" stopIfTrue="1" operator="between">
      <formula>14.1</formula>
      <formula>35</formula>
    </cfRule>
    <cfRule type="cellIs" dxfId="4926" priority="18" stopIfTrue="1" operator="between">
      <formula>5.1</formula>
      <formula>14</formula>
    </cfRule>
    <cfRule type="cellIs" dxfId="4925" priority="19" stopIfTrue="1" operator="between">
      <formula>0</formula>
      <formula>5</formula>
    </cfRule>
    <cfRule type="containsBlanks" dxfId="4924" priority="20" stopIfTrue="1">
      <formula>LEN(TRIM(Q10))=0</formula>
    </cfRule>
  </conditionalFormatting>
  <conditionalFormatting sqref="S10:S121">
    <cfRule type="cellIs" dxfId="4923" priority="7" stopIfTrue="1" operator="equal">
      <formula>"INVIABLE SANITARIAMENTE"</formula>
    </cfRule>
  </conditionalFormatting>
  <conditionalFormatting sqref="S10:S121">
    <cfRule type="containsText" dxfId="4922" priority="2" stopIfTrue="1" operator="containsText" text="INVIABLE SANITARIAMENTE">
      <formula>NOT(ISERROR(SEARCH("INVIABLE SANITARIAMENTE",S10)))</formula>
    </cfRule>
    <cfRule type="containsText" dxfId="4921" priority="3" stopIfTrue="1" operator="containsText" text="ALTO">
      <formula>NOT(ISERROR(SEARCH("ALTO",S10)))</formula>
    </cfRule>
    <cfRule type="containsText" dxfId="4920" priority="4" stopIfTrue="1" operator="containsText" text="MEDIO">
      <formula>NOT(ISERROR(SEARCH("MEDIO",S10)))</formula>
    </cfRule>
    <cfRule type="containsText" dxfId="4919" priority="5" stopIfTrue="1" operator="containsText" text="BAJO">
      <formula>NOT(ISERROR(SEARCH("BAJO",S10)))</formula>
    </cfRule>
    <cfRule type="containsText" dxfId="4918" priority="6" stopIfTrue="1" operator="containsText" text="SIN RIESGO">
      <formula>NOT(ISERROR(SEARCH("SIN RIESGO",S10)))</formula>
    </cfRule>
  </conditionalFormatting>
  <conditionalFormatting sqref="S10:S121">
    <cfRule type="containsText" dxfId="4917" priority="1" stopIfTrue="1" operator="containsText" text="SIN RIESGO">
      <formula>NOT(ISERROR(SEARCH("SIN RIESGO",S10)))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W733"/>
  <sheetViews>
    <sheetView zoomScale="60" zoomScaleNormal="70" workbookViewId="0">
      <pane xSplit="3" ySplit="9" topLeftCell="D10" activePane="bottomRight" state="frozenSplit"/>
      <selection pane="topRight" activeCell="D1" sqref="D1"/>
      <selection pane="bottomLeft" activeCell="A10" sqref="A10"/>
      <selection pane="bottomRight" activeCell="A10" sqref="A10"/>
    </sheetView>
  </sheetViews>
  <sheetFormatPr baseColWidth="10" defaultColWidth="0" defaultRowHeight="12.75" customHeight="1" zeroHeight="1" x14ac:dyDescent="0.2"/>
  <cols>
    <col min="1" max="1" width="38.28515625" style="35" customWidth="1"/>
    <col min="2" max="2" width="48.140625" style="12" customWidth="1"/>
    <col min="3" max="3" width="65.5703125" style="12" customWidth="1"/>
    <col min="4" max="4" width="24.7109375" style="12" customWidth="1"/>
    <col min="5" max="18" width="10.7109375" style="300" customWidth="1"/>
    <col min="19" max="19" width="42.28515625" style="300" bestFit="1" customWidth="1"/>
    <col min="20" max="20" width="9.85546875" style="300" hidden="1" customWidth="1"/>
    <col min="21" max="16384" width="11.42578125" style="300" hidden="1"/>
  </cols>
  <sheetData>
    <row r="1" spans="1:23" s="7" customFormat="1" ht="18" customHeight="1" x14ac:dyDescent="0.2">
      <c r="A1" s="134"/>
      <c r="B1" s="559" t="s">
        <v>258</v>
      </c>
      <c r="C1" s="559"/>
      <c r="D1" s="559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279" t="s">
        <v>546</v>
      </c>
      <c r="T1" s="3"/>
      <c r="U1" s="5"/>
      <c r="V1" s="6"/>
      <c r="W1" s="6"/>
    </row>
    <row r="2" spans="1:23" s="9" customFormat="1" ht="18" customHeight="1" x14ac:dyDescent="0.2">
      <c r="A2" s="134"/>
      <c r="B2" s="560" t="s">
        <v>259</v>
      </c>
      <c r="C2" s="560"/>
      <c r="D2" s="560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139"/>
      <c r="S2" s="280" t="s">
        <v>260</v>
      </c>
      <c r="T2" s="3"/>
      <c r="U2" s="8"/>
      <c r="V2" s="6"/>
      <c r="W2" s="6"/>
    </row>
    <row r="3" spans="1:23" s="7" customFormat="1" ht="18" customHeight="1" x14ac:dyDescent="0.25">
      <c r="A3" s="134"/>
      <c r="B3" s="64" t="s">
        <v>4413</v>
      </c>
      <c r="C3" s="64"/>
      <c r="D3" s="64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40"/>
      <c r="S3" s="280" t="s">
        <v>547</v>
      </c>
      <c r="T3" s="3"/>
      <c r="U3" s="5"/>
      <c r="V3" s="6"/>
      <c r="W3" s="6"/>
    </row>
    <row r="4" spans="1:23" s="7" customFormat="1" ht="18" customHeight="1" x14ac:dyDescent="0.2">
      <c r="A4" s="134"/>
      <c r="B4" s="578" t="s">
        <v>548</v>
      </c>
      <c r="C4" s="578"/>
      <c r="D4" s="578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5"/>
      <c r="S4" s="280" t="s">
        <v>261</v>
      </c>
      <c r="T4" s="3"/>
      <c r="U4" s="5"/>
      <c r="V4" s="6"/>
      <c r="W4" s="6"/>
    </row>
    <row r="5" spans="1:23" s="32" customFormat="1" ht="15" customHeight="1" x14ac:dyDescent="0.2">
      <c r="A5" s="281"/>
      <c r="B5" s="565"/>
      <c r="C5" s="561"/>
      <c r="D5" s="564" t="s">
        <v>266</v>
      </c>
      <c r="E5" s="556" t="s">
        <v>255</v>
      </c>
      <c r="F5" s="556"/>
      <c r="G5" s="556"/>
      <c r="H5" s="551" t="s">
        <v>263</v>
      </c>
      <c r="I5" s="551"/>
      <c r="J5" s="551"/>
      <c r="K5" s="558" t="s">
        <v>264</v>
      </c>
      <c r="L5" s="558"/>
      <c r="M5" s="558"/>
      <c r="N5" s="555" t="s">
        <v>474</v>
      </c>
      <c r="O5" s="555"/>
      <c r="P5" s="555"/>
      <c r="Q5" s="549" t="s">
        <v>265</v>
      </c>
      <c r="R5" s="549"/>
      <c r="S5" s="550" t="s">
        <v>267</v>
      </c>
    </row>
    <row r="6" spans="1:23" s="32" customFormat="1" ht="16.5" customHeight="1" x14ac:dyDescent="0.2">
      <c r="A6" s="281"/>
      <c r="B6" s="565"/>
      <c r="C6" s="561"/>
      <c r="D6" s="564"/>
      <c r="E6" s="556"/>
      <c r="F6" s="556"/>
      <c r="G6" s="556"/>
      <c r="H6" s="551"/>
      <c r="I6" s="551"/>
      <c r="J6" s="551"/>
      <c r="K6" s="558"/>
      <c r="L6" s="558"/>
      <c r="M6" s="558"/>
      <c r="N6" s="555"/>
      <c r="O6" s="555"/>
      <c r="P6" s="555"/>
      <c r="Q6" s="549"/>
      <c r="R6" s="549"/>
      <c r="S6" s="550"/>
    </row>
    <row r="7" spans="1:23" s="32" customFormat="1" ht="27" customHeight="1" x14ac:dyDescent="0.2">
      <c r="A7" s="286" t="s">
        <v>3786</v>
      </c>
      <c r="B7" s="124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5"/>
    </row>
    <row r="8" spans="1:23" s="10" customFormat="1" ht="18" customHeight="1" x14ac:dyDescent="0.2">
      <c r="A8" s="563" t="s">
        <v>37</v>
      </c>
      <c r="B8" s="547" t="s">
        <v>38</v>
      </c>
      <c r="C8" s="547" t="s">
        <v>262</v>
      </c>
      <c r="D8" s="572" t="s">
        <v>454</v>
      </c>
      <c r="E8" s="552" t="s">
        <v>33</v>
      </c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70" t="s">
        <v>34</v>
      </c>
      <c r="R8" s="570" t="s">
        <v>36</v>
      </c>
      <c r="S8" s="547" t="s">
        <v>35</v>
      </c>
      <c r="T8" s="11"/>
    </row>
    <row r="9" spans="1:23" s="10" customFormat="1" ht="24" customHeight="1" x14ac:dyDescent="0.2">
      <c r="A9" s="577"/>
      <c r="B9" s="572"/>
      <c r="C9" s="572"/>
      <c r="D9" s="573"/>
      <c r="E9" s="299" t="s">
        <v>21</v>
      </c>
      <c r="F9" s="299" t="s">
        <v>22</v>
      </c>
      <c r="G9" s="299" t="s">
        <v>23</v>
      </c>
      <c r="H9" s="299" t="s">
        <v>24</v>
      </c>
      <c r="I9" s="299" t="s">
        <v>25</v>
      </c>
      <c r="J9" s="299" t="s">
        <v>26</v>
      </c>
      <c r="K9" s="299" t="s">
        <v>27</v>
      </c>
      <c r="L9" s="299" t="s">
        <v>28</v>
      </c>
      <c r="M9" s="299" t="s">
        <v>29</v>
      </c>
      <c r="N9" s="299" t="s">
        <v>30</v>
      </c>
      <c r="O9" s="299" t="s">
        <v>31</v>
      </c>
      <c r="P9" s="299" t="s">
        <v>32</v>
      </c>
      <c r="Q9" s="574"/>
      <c r="R9" s="575"/>
      <c r="S9" s="576"/>
      <c r="T9" s="11"/>
    </row>
    <row r="10" spans="1:23" s="10" customFormat="1" ht="32.1" customHeight="1" x14ac:dyDescent="0.2">
      <c r="A10" s="127" t="s">
        <v>127</v>
      </c>
      <c r="B10" s="258" t="s">
        <v>2019</v>
      </c>
      <c r="C10" s="289" t="s">
        <v>2020</v>
      </c>
      <c r="D10" s="121">
        <v>38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145" t="e">
        <f t="shared" ref="Q10:Q41" si="0">AVERAGE(E10:P10)</f>
        <v>#DIV/0!</v>
      </c>
      <c r="R10" s="151" t="e">
        <f t="shared" ref="R10:R73" si="1">IF(Q10&lt;5,"SI","NO")</f>
        <v>#DIV/0!</v>
      </c>
      <c r="S10" s="152" t="e">
        <f t="shared" ref="S10:S73" si="2">IF(Q10&lt;=5,"Sin Riesgo",IF(Q10 &lt;=14,"Bajo",IF(Q10&lt;=35,"Medio",IF(Q10&lt;=80,"Alto","Inviable Sanitariamente"))))</f>
        <v>#DIV/0!</v>
      </c>
      <c r="T10" s="11"/>
    </row>
    <row r="11" spans="1:23" s="59" customFormat="1" ht="32.1" customHeight="1" x14ac:dyDescent="0.2">
      <c r="A11" s="127" t="s">
        <v>127</v>
      </c>
      <c r="B11" s="258" t="s">
        <v>2021</v>
      </c>
      <c r="C11" s="289" t="s">
        <v>2022</v>
      </c>
      <c r="D11" s="121">
        <v>67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45" t="e">
        <f t="shared" si="0"/>
        <v>#DIV/0!</v>
      </c>
      <c r="R11" s="151" t="e">
        <f t="shared" si="1"/>
        <v>#DIV/0!</v>
      </c>
      <c r="S11" s="152" t="e">
        <f t="shared" si="2"/>
        <v>#DIV/0!</v>
      </c>
    </row>
    <row r="12" spans="1:23" s="59" customFormat="1" ht="32.1" customHeight="1" x14ac:dyDescent="0.2">
      <c r="A12" s="127" t="s">
        <v>127</v>
      </c>
      <c r="B12" s="258" t="s">
        <v>1432</v>
      </c>
      <c r="C12" s="289" t="s">
        <v>2023</v>
      </c>
      <c r="D12" s="121">
        <v>29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45" t="e">
        <f t="shared" si="0"/>
        <v>#DIV/0!</v>
      </c>
      <c r="R12" s="151" t="e">
        <f t="shared" si="1"/>
        <v>#DIV/0!</v>
      </c>
      <c r="S12" s="152" t="e">
        <f t="shared" si="2"/>
        <v>#DIV/0!</v>
      </c>
    </row>
    <row r="13" spans="1:23" s="59" customFormat="1" ht="32.1" customHeight="1" x14ac:dyDescent="0.2">
      <c r="A13" s="127" t="s">
        <v>127</v>
      </c>
      <c r="B13" s="258" t="s">
        <v>2024</v>
      </c>
      <c r="C13" s="289" t="s">
        <v>2025</v>
      </c>
      <c r="D13" s="121">
        <v>62</v>
      </c>
      <c r="E13" s="81"/>
      <c r="F13" s="81"/>
      <c r="G13" s="81"/>
      <c r="H13" s="81"/>
      <c r="I13" s="81"/>
      <c r="J13" s="81"/>
      <c r="K13" s="81"/>
      <c r="L13" s="81"/>
      <c r="M13" s="81">
        <v>97.4</v>
      </c>
      <c r="N13" s="81"/>
      <c r="O13" s="81"/>
      <c r="P13" s="81"/>
      <c r="Q13" s="145">
        <f t="shared" si="0"/>
        <v>97.4</v>
      </c>
      <c r="R13" s="151" t="str">
        <f t="shared" si="1"/>
        <v>NO</v>
      </c>
      <c r="S13" s="152" t="str">
        <f t="shared" si="2"/>
        <v>Inviable Sanitariamente</v>
      </c>
    </row>
    <row r="14" spans="1:23" s="59" customFormat="1" ht="32.1" customHeight="1" x14ac:dyDescent="0.2">
      <c r="A14" s="127" t="s">
        <v>127</v>
      </c>
      <c r="B14" s="258" t="s">
        <v>2026</v>
      </c>
      <c r="C14" s="258" t="s">
        <v>2027</v>
      </c>
      <c r="D14" s="116">
        <v>88</v>
      </c>
      <c r="E14" s="115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226" t="e">
        <f t="shared" si="0"/>
        <v>#DIV/0!</v>
      </c>
      <c r="R14" s="226" t="e">
        <f t="shared" si="1"/>
        <v>#DIV/0!</v>
      </c>
      <c r="S14" s="152" t="e">
        <f t="shared" si="2"/>
        <v>#DIV/0!</v>
      </c>
    </row>
    <row r="15" spans="1:23" s="59" customFormat="1" ht="32.1" customHeight="1" x14ac:dyDescent="0.2">
      <c r="A15" s="127" t="s">
        <v>127</v>
      </c>
      <c r="B15" s="258" t="s">
        <v>479</v>
      </c>
      <c r="C15" s="289" t="s">
        <v>2028</v>
      </c>
      <c r="D15" s="121">
        <v>65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145" t="e">
        <f t="shared" si="0"/>
        <v>#DIV/0!</v>
      </c>
      <c r="R15" s="151" t="e">
        <f t="shared" si="1"/>
        <v>#DIV/0!</v>
      </c>
      <c r="S15" s="152" t="e">
        <f t="shared" si="2"/>
        <v>#DIV/0!</v>
      </c>
    </row>
    <row r="16" spans="1:23" s="59" customFormat="1" ht="32.1" customHeight="1" x14ac:dyDescent="0.2">
      <c r="A16" s="127" t="s">
        <v>127</v>
      </c>
      <c r="B16" s="258" t="s">
        <v>1230</v>
      </c>
      <c r="C16" s="289" t="s">
        <v>2029</v>
      </c>
      <c r="D16" s="116">
        <v>24</v>
      </c>
      <c r="E16" s="115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226" t="e">
        <f t="shared" si="0"/>
        <v>#DIV/0!</v>
      </c>
      <c r="R16" s="226" t="e">
        <f t="shared" si="1"/>
        <v>#DIV/0!</v>
      </c>
      <c r="S16" s="152" t="e">
        <f t="shared" si="2"/>
        <v>#DIV/0!</v>
      </c>
    </row>
    <row r="17" spans="1:19" s="59" customFormat="1" ht="32.1" customHeight="1" x14ac:dyDescent="0.2">
      <c r="A17" s="127" t="s">
        <v>127</v>
      </c>
      <c r="B17" s="258" t="s">
        <v>2030</v>
      </c>
      <c r="C17" s="289" t="s">
        <v>2031</v>
      </c>
      <c r="D17" s="116">
        <v>62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145" t="e">
        <f t="shared" si="0"/>
        <v>#DIV/0!</v>
      </c>
      <c r="R17" s="151" t="e">
        <f t="shared" si="1"/>
        <v>#DIV/0!</v>
      </c>
      <c r="S17" s="152" t="e">
        <f t="shared" si="2"/>
        <v>#DIV/0!</v>
      </c>
    </row>
    <row r="18" spans="1:19" s="59" customFormat="1" ht="32.1" customHeight="1" x14ac:dyDescent="0.2">
      <c r="A18" s="127" t="s">
        <v>127</v>
      </c>
      <c r="B18" s="258" t="s">
        <v>2032</v>
      </c>
      <c r="C18" s="258" t="s">
        <v>2033</v>
      </c>
      <c r="D18" s="121">
        <v>24</v>
      </c>
      <c r="E18" s="81"/>
      <c r="F18" s="81"/>
      <c r="G18" s="81"/>
      <c r="H18" s="81"/>
      <c r="I18" s="81"/>
      <c r="J18" s="81"/>
      <c r="K18" s="81"/>
      <c r="L18" s="81"/>
      <c r="M18" s="81">
        <v>97.4</v>
      </c>
      <c r="N18" s="81"/>
      <c r="O18" s="81"/>
      <c r="P18" s="81"/>
      <c r="Q18" s="145">
        <f t="shared" si="0"/>
        <v>97.4</v>
      </c>
      <c r="R18" s="151" t="str">
        <f t="shared" si="1"/>
        <v>NO</v>
      </c>
      <c r="S18" s="152" t="str">
        <f t="shared" si="2"/>
        <v>Inviable Sanitariamente</v>
      </c>
    </row>
    <row r="19" spans="1:19" s="305" customFormat="1" ht="32.1" customHeight="1" x14ac:dyDescent="0.2">
      <c r="A19" s="127" t="s">
        <v>127</v>
      </c>
      <c r="B19" s="258" t="s">
        <v>2034</v>
      </c>
      <c r="C19" s="289" t="s">
        <v>2035</v>
      </c>
      <c r="D19" s="121">
        <v>32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145" t="e">
        <f t="shared" si="0"/>
        <v>#DIV/0!</v>
      </c>
      <c r="R19" s="151" t="e">
        <f t="shared" si="1"/>
        <v>#DIV/0!</v>
      </c>
      <c r="S19" s="152" t="e">
        <f t="shared" si="2"/>
        <v>#DIV/0!</v>
      </c>
    </row>
    <row r="20" spans="1:19" s="305" customFormat="1" ht="32.1" customHeight="1" x14ac:dyDescent="0.2">
      <c r="A20" s="127" t="s">
        <v>127</v>
      </c>
      <c r="B20" s="258" t="s">
        <v>2036</v>
      </c>
      <c r="C20" s="289" t="s">
        <v>2037</v>
      </c>
      <c r="D20" s="116">
        <v>413</v>
      </c>
      <c r="E20" s="81"/>
      <c r="F20" s="81"/>
      <c r="G20" s="81"/>
      <c r="H20" s="81"/>
      <c r="I20" s="81"/>
      <c r="J20" s="81"/>
      <c r="K20" s="81"/>
      <c r="L20" s="81"/>
      <c r="M20" s="81">
        <v>97.4</v>
      </c>
      <c r="N20" s="81"/>
      <c r="O20" s="81"/>
      <c r="P20" s="81"/>
      <c r="Q20" s="145">
        <f t="shared" si="0"/>
        <v>97.4</v>
      </c>
      <c r="R20" s="151" t="str">
        <f t="shared" si="1"/>
        <v>NO</v>
      </c>
      <c r="S20" s="152" t="str">
        <f t="shared" si="2"/>
        <v>Inviable Sanitariamente</v>
      </c>
    </row>
    <row r="21" spans="1:19" s="305" customFormat="1" ht="32.1" customHeight="1" x14ac:dyDescent="0.2">
      <c r="A21" s="127" t="s">
        <v>127</v>
      </c>
      <c r="B21" s="258" t="s">
        <v>2038</v>
      </c>
      <c r="C21" s="289" t="s">
        <v>2039</v>
      </c>
      <c r="D21" s="116">
        <v>40</v>
      </c>
      <c r="E21" s="115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226" t="e">
        <f t="shared" si="0"/>
        <v>#DIV/0!</v>
      </c>
      <c r="R21" s="226" t="e">
        <f t="shared" si="1"/>
        <v>#DIV/0!</v>
      </c>
      <c r="S21" s="152" t="e">
        <f t="shared" si="2"/>
        <v>#DIV/0!</v>
      </c>
    </row>
    <row r="22" spans="1:19" s="305" customFormat="1" ht="32.1" customHeight="1" x14ac:dyDescent="0.2">
      <c r="A22" s="127" t="s">
        <v>127</v>
      </c>
      <c r="B22" s="258" t="s">
        <v>2040</v>
      </c>
      <c r="C22" s="258" t="s">
        <v>2041</v>
      </c>
      <c r="D22" s="121">
        <v>280</v>
      </c>
      <c r="E22" s="81"/>
      <c r="F22" s="81"/>
      <c r="G22" s="81"/>
      <c r="H22" s="81"/>
      <c r="I22" s="81">
        <v>97.35</v>
      </c>
      <c r="J22" s="81"/>
      <c r="K22" s="81"/>
      <c r="L22" s="81"/>
      <c r="M22" s="81"/>
      <c r="N22" s="81"/>
      <c r="O22" s="81"/>
      <c r="P22" s="81"/>
      <c r="Q22" s="145">
        <f t="shared" si="0"/>
        <v>97.35</v>
      </c>
      <c r="R22" s="151" t="str">
        <f t="shared" si="1"/>
        <v>NO</v>
      </c>
      <c r="S22" s="152" t="str">
        <f t="shared" si="2"/>
        <v>Inviable Sanitariamente</v>
      </c>
    </row>
    <row r="23" spans="1:19" s="305" customFormat="1" ht="32.1" customHeight="1" x14ac:dyDescent="0.2">
      <c r="A23" s="127" t="s">
        <v>127</v>
      </c>
      <c r="B23" s="258" t="s">
        <v>2042</v>
      </c>
      <c r="C23" s="289" t="s">
        <v>2043</v>
      </c>
      <c r="D23" s="116">
        <v>18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45" t="e">
        <f t="shared" si="0"/>
        <v>#DIV/0!</v>
      </c>
      <c r="R23" s="151" t="e">
        <f t="shared" si="1"/>
        <v>#DIV/0!</v>
      </c>
      <c r="S23" s="152" t="e">
        <f t="shared" si="2"/>
        <v>#DIV/0!</v>
      </c>
    </row>
    <row r="24" spans="1:19" s="305" customFormat="1" ht="32.1" customHeight="1" x14ac:dyDescent="0.2">
      <c r="A24" s="127" t="s">
        <v>127</v>
      </c>
      <c r="B24" s="258" t="s">
        <v>2044</v>
      </c>
      <c r="C24" s="289" t="s">
        <v>2045</v>
      </c>
      <c r="D24" s="121">
        <v>120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45" t="e">
        <f t="shared" si="0"/>
        <v>#DIV/0!</v>
      </c>
      <c r="R24" s="151" t="e">
        <f t="shared" si="1"/>
        <v>#DIV/0!</v>
      </c>
      <c r="S24" s="152" t="e">
        <f t="shared" si="2"/>
        <v>#DIV/0!</v>
      </c>
    </row>
    <row r="25" spans="1:19" s="305" customFormat="1" ht="32.1" customHeight="1" x14ac:dyDescent="0.2">
      <c r="A25" s="127" t="s">
        <v>127</v>
      </c>
      <c r="B25" s="258" t="s">
        <v>2046</v>
      </c>
      <c r="C25" s="289" t="s">
        <v>2047</v>
      </c>
      <c r="D25" s="121">
        <v>330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145" t="e">
        <f t="shared" si="0"/>
        <v>#DIV/0!</v>
      </c>
      <c r="R25" s="151" t="e">
        <f t="shared" si="1"/>
        <v>#DIV/0!</v>
      </c>
      <c r="S25" s="152" t="e">
        <f t="shared" si="2"/>
        <v>#DIV/0!</v>
      </c>
    </row>
    <row r="26" spans="1:19" s="305" customFormat="1" ht="32.1" customHeight="1" x14ac:dyDescent="0.2">
      <c r="A26" s="127" t="s">
        <v>127</v>
      </c>
      <c r="B26" s="258" t="s">
        <v>1049</v>
      </c>
      <c r="C26" s="289" t="s">
        <v>2048</v>
      </c>
      <c r="D26" s="116">
        <v>19</v>
      </c>
      <c r="E26" s="115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226" t="e">
        <f t="shared" si="0"/>
        <v>#DIV/0!</v>
      </c>
      <c r="R26" s="226" t="e">
        <f t="shared" si="1"/>
        <v>#DIV/0!</v>
      </c>
      <c r="S26" s="152" t="e">
        <f t="shared" si="2"/>
        <v>#DIV/0!</v>
      </c>
    </row>
    <row r="27" spans="1:19" s="305" customFormat="1" ht="32.1" customHeight="1" x14ac:dyDescent="0.2">
      <c r="A27" s="127" t="s">
        <v>127</v>
      </c>
      <c r="B27" s="258" t="s">
        <v>2049</v>
      </c>
      <c r="C27" s="289" t="s">
        <v>2050</v>
      </c>
      <c r="D27" s="121">
        <v>43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145" t="e">
        <f t="shared" si="0"/>
        <v>#DIV/0!</v>
      </c>
      <c r="R27" s="151" t="e">
        <f t="shared" si="1"/>
        <v>#DIV/0!</v>
      </c>
      <c r="S27" s="152" t="e">
        <f t="shared" si="2"/>
        <v>#DIV/0!</v>
      </c>
    </row>
    <row r="28" spans="1:19" s="305" customFormat="1" ht="32.1" customHeight="1" x14ac:dyDescent="0.2">
      <c r="A28" s="127" t="s">
        <v>127</v>
      </c>
      <c r="B28" s="258" t="s">
        <v>2051</v>
      </c>
      <c r="C28" s="289" t="s">
        <v>2052</v>
      </c>
      <c r="D28" s="116">
        <v>489</v>
      </c>
      <c r="E28" s="115"/>
      <c r="F28" s="81">
        <v>0</v>
      </c>
      <c r="G28" s="81"/>
      <c r="H28" s="81"/>
      <c r="I28" s="81">
        <v>98.06</v>
      </c>
      <c r="J28" s="81">
        <v>17.96</v>
      </c>
      <c r="K28" s="81"/>
      <c r="L28" s="81"/>
      <c r="M28" s="81">
        <v>19.350000000000001</v>
      </c>
      <c r="N28" s="81"/>
      <c r="O28" s="81"/>
      <c r="P28" s="81">
        <v>0</v>
      </c>
      <c r="Q28" s="225">
        <f t="shared" si="0"/>
        <v>27.074000000000002</v>
      </c>
      <c r="R28" s="225" t="str">
        <f t="shared" si="1"/>
        <v>NO</v>
      </c>
      <c r="S28" s="152" t="str">
        <f t="shared" si="2"/>
        <v>Medio</v>
      </c>
    </row>
    <row r="29" spans="1:19" s="305" customFormat="1" ht="32.1" customHeight="1" x14ac:dyDescent="0.2">
      <c r="A29" s="127" t="s">
        <v>127</v>
      </c>
      <c r="B29" s="258" t="s">
        <v>2053</v>
      </c>
      <c r="C29" s="289" t="s">
        <v>2054</v>
      </c>
      <c r="D29" s="121">
        <v>44</v>
      </c>
      <c r="E29" s="81"/>
      <c r="F29" s="81"/>
      <c r="G29" s="81"/>
      <c r="H29" s="81"/>
      <c r="I29" s="81"/>
      <c r="J29" s="81"/>
      <c r="K29" s="81"/>
      <c r="L29" s="81"/>
      <c r="M29" s="81"/>
      <c r="N29" s="81">
        <v>97.4</v>
      </c>
      <c r="O29" s="81"/>
      <c r="P29" s="81"/>
      <c r="Q29" s="145">
        <f t="shared" si="0"/>
        <v>97.4</v>
      </c>
      <c r="R29" s="151" t="str">
        <f t="shared" si="1"/>
        <v>NO</v>
      </c>
      <c r="S29" s="152" t="str">
        <f t="shared" si="2"/>
        <v>Inviable Sanitariamente</v>
      </c>
    </row>
    <row r="30" spans="1:19" s="305" customFormat="1" ht="32.1" customHeight="1" x14ac:dyDescent="0.2">
      <c r="A30" s="127" t="s">
        <v>127</v>
      </c>
      <c r="B30" s="258" t="s">
        <v>2055</v>
      </c>
      <c r="C30" s="289" t="s">
        <v>2056</v>
      </c>
      <c r="D30" s="121">
        <v>22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145" t="e">
        <f t="shared" si="0"/>
        <v>#DIV/0!</v>
      </c>
      <c r="R30" s="151" t="e">
        <f t="shared" si="1"/>
        <v>#DIV/0!</v>
      </c>
      <c r="S30" s="152" t="e">
        <f t="shared" si="2"/>
        <v>#DIV/0!</v>
      </c>
    </row>
    <row r="31" spans="1:19" s="305" customFormat="1" ht="32.1" customHeight="1" x14ac:dyDescent="0.2">
      <c r="A31" s="127" t="s">
        <v>127</v>
      </c>
      <c r="B31" s="258" t="s">
        <v>661</v>
      </c>
      <c r="C31" s="289" t="s">
        <v>2057</v>
      </c>
      <c r="D31" s="116">
        <v>22</v>
      </c>
      <c r="E31" s="115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226" t="e">
        <f t="shared" si="0"/>
        <v>#DIV/0!</v>
      </c>
      <c r="R31" s="226" t="e">
        <f t="shared" si="1"/>
        <v>#DIV/0!</v>
      </c>
      <c r="S31" s="152" t="e">
        <f t="shared" si="2"/>
        <v>#DIV/0!</v>
      </c>
    </row>
    <row r="32" spans="1:19" s="305" customFormat="1" ht="32.1" customHeight="1" x14ac:dyDescent="0.2">
      <c r="A32" s="127" t="s">
        <v>127</v>
      </c>
      <c r="B32" s="258" t="s">
        <v>2058</v>
      </c>
      <c r="C32" s="289" t="s">
        <v>2059</v>
      </c>
      <c r="D32" s="121">
        <v>32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145" t="e">
        <f t="shared" si="0"/>
        <v>#DIV/0!</v>
      </c>
      <c r="R32" s="151" t="e">
        <f t="shared" si="1"/>
        <v>#DIV/0!</v>
      </c>
      <c r="S32" s="152" t="e">
        <f t="shared" si="2"/>
        <v>#DIV/0!</v>
      </c>
    </row>
    <row r="33" spans="1:19" s="305" customFormat="1" ht="32.1" customHeight="1" x14ac:dyDescent="0.2">
      <c r="A33" s="127" t="s">
        <v>127</v>
      </c>
      <c r="B33" s="258" t="s">
        <v>2060</v>
      </c>
      <c r="C33" s="289" t="s">
        <v>2061</v>
      </c>
      <c r="D33" s="121">
        <v>155</v>
      </c>
      <c r="E33" s="81"/>
      <c r="F33" s="81"/>
      <c r="G33" s="81"/>
      <c r="H33" s="81"/>
      <c r="I33" s="81">
        <v>97.35</v>
      </c>
      <c r="J33" s="81"/>
      <c r="K33" s="81"/>
      <c r="L33" s="81"/>
      <c r="M33" s="81"/>
      <c r="N33" s="81"/>
      <c r="O33" s="81"/>
      <c r="P33" s="81"/>
      <c r="Q33" s="145">
        <f t="shared" si="0"/>
        <v>97.35</v>
      </c>
      <c r="R33" s="151" t="str">
        <f t="shared" si="1"/>
        <v>NO</v>
      </c>
      <c r="S33" s="152" t="str">
        <f t="shared" si="2"/>
        <v>Inviable Sanitariamente</v>
      </c>
    </row>
    <row r="34" spans="1:19" s="59" customFormat="1" ht="32.1" customHeight="1" x14ac:dyDescent="0.2">
      <c r="A34" s="127" t="s">
        <v>128</v>
      </c>
      <c r="B34" s="258" t="s">
        <v>3740</v>
      </c>
      <c r="C34" s="258" t="s">
        <v>3741</v>
      </c>
      <c r="D34" s="121">
        <v>95</v>
      </c>
      <c r="E34" s="401"/>
      <c r="F34" s="81"/>
      <c r="G34" s="81"/>
      <c r="H34" s="81"/>
      <c r="I34" s="81"/>
      <c r="J34" s="81"/>
      <c r="K34" s="81"/>
      <c r="L34" s="81"/>
      <c r="M34" s="81">
        <v>97.35</v>
      </c>
      <c r="N34" s="81"/>
      <c r="O34" s="81"/>
      <c r="P34" s="81"/>
      <c r="Q34" s="402">
        <f t="shared" si="0"/>
        <v>97.35</v>
      </c>
      <c r="R34" s="403" t="str">
        <f t="shared" si="1"/>
        <v>NO</v>
      </c>
      <c r="S34" s="152" t="str">
        <f t="shared" si="2"/>
        <v>Inviable Sanitariamente</v>
      </c>
    </row>
    <row r="35" spans="1:19" s="59" customFormat="1" ht="32.1" customHeight="1" x14ac:dyDescent="0.2">
      <c r="A35" s="127" t="s">
        <v>128</v>
      </c>
      <c r="B35" s="258" t="s">
        <v>1277</v>
      </c>
      <c r="C35" s="258" t="s">
        <v>3742</v>
      </c>
      <c r="D35" s="121">
        <v>52</v>
      </c>
      <c r="E35" s="401"/>
      <c r="F35" s="81"/>
      <c r="G35" s="81"/>
      <c r="H35" s="81"/>
      <c r="I35" s="81"/>
      <c r="J35" s="81">
        <v>2.65</v>
      </c>
      <c r="K35" s="81"/>
      <c r="L35" s="81"/>
      <c r="M35" s="81"/>
      <c r="N35" s="81"/>
      <c r="O35" s="81"/>
      <c r="P35" s="81">
        <v>2.65</v>
      </c>
      <c r="Q35" s="145">
        <f t="shared" si="0"/>
        <v>2.65</v>
      </c>
      <c r="R35" s="151" t="str">
        <f t="shared" si="1"/>
        <v>SI</v>
      </c>
      <c r="S35" s="152" t="str">
        <f t="shared" si="2"/>
        <v>Sin Riesgo</v>
      </c>
    </row>
    <row r="36" spans="1:19" s="59" customFormat="1" ht="32.1" customHeight="1" x14ac:dyDescent="0.2">
      <c r="A36" s="127" t="s">
        <v>128</v>
      </c>
      <c r="B36" s="258" t="s">
        <v>3743</v>
      </c>
      <c r="C36" s="258" t="s">
        <v>3744</v>
      </c>
      <c r="D36" s="121">
        <v>58</v>
      </c>
      <c r="E36" s="401"/>
      <c r="F36" s="81"/>
      <c r="G36" s="81"/>
      <c r="H36" s="81"/>
      <c r="I36" s="81"/>
      <c r="J36" s="81"/>
      <c r="K36" s="81"/>
      <c r="L36" s="81"/>
      <c r="M36" s="81">
        <v>97.35</v>
      </c>
      <c r="N36" s="81"/>
      <c r="O36" s="81"/>
      <c r="P36" s="81"/>
      <c r="Q36" s="145">
        <f t="shared" si="0"/>
        <v>97.35</v>
      </c>
      <c r="R36" s="151" t="str">
        <f t="shared" si="1"/>
        <v>NO</v>
      </c>
      <c r="S36" s="152" t="str">
        <f t="shared" si="2"/>
        <v>Inviable Sanitariamente</v>
      </c>
    </row>
    <row r="37" spans="1:19" s="59" customFormat="1" ht="32.1" customHeight="1" x14ac:dyDescent="0.2">
      <c r="A37" s="127" t="s">
        <v>128</v>
      </c>
      <c r="B37" s="258" t="s">
        <v>3745</v>
      </c>
      <c r="C37" s="258" t="s">
        <v>3746</v>
      </c>
      <c r="D37" s="121">
        <v>48</v>
      </c>
      <c r="E37" s="401"/>
      <c r="F37" s="81"/>
      <c r="G37" s="81"/>
      <c r="H37" s="81"/>
      <c r="I37" s="81"/>
      <c r="J37" s="81">
        <v>97.4</v>
      </c>
      <c r="K37" s="81"/>
      <c r="L37" s="81"/>
      <c r="M37" s="81">
        <v>97.35</v>
      </c>
      <c r="N37" s="81"/>
      <c r="O37" s="81"/>
      <c r="P37" s="81"/>
      <c r="Q37" s="145">
        <f t="shared" si="0"/>
        <v>97.375</v>
      </c>
      <c r="R37" s="151" t="str">
        <f t="shared" si="1"/>
        <v>NO</v>
      </c>
      <c r="S37" s="152" t="str">
        <f t="shared" si="2"/>
        <v>Inviable Sanitariamente</v>
      </c>
    </row>
    <row r="38" spans="1:19" s="59" customFormat="1" ht="32.1" customHeight="1" x14ac:dyDescent="0.2">
      <c r="A38" s="127" t="s">
        <v>128</v>
      </c>
      <c r="B38" s="258" t="s">
        <v>873</v>
      </c>
      <c r="C38" s="258" t="s">
        <v>3747</v>
      </c>
      <c r="D38" s="121">
        <v>63</v>
      </c>
      <c r="E38" s="401"/>
      <c r="F38" s="81"/>
      <c r="G38" s="81"/>
      <c r="H38" s="81"/>
      <c r="I38" s="81">
        <v>1.33</v>
      </c>
      <c r="J38" s="81"/>
      <c r="K38" s="81"/>
      <c r="L38" s="81"/>
      <c r="M38" s="81"/>
      <c r="N38" s="81"/>
      <c r="O38" s="81"/>
      <c r="P38" s="81">
        <v>2.65</v>
      </c>
      <c r="Q38" s="145">
        <f t="shared" si="0"/>
        <v>1.99</v>
      </c>
      <c r="R38" s="151" t="str">
        <f t="shared" si="1"/>
        <v>SI</v>
      </c>
      <c r="S38" s="152" t="str">
        <f t="shared" si="2"/>
        <v>Sin Riesgo</v>
      </c>
    </row>
    <row r="39" spans="1:19" s="59" customFormat="1" ht="32.1" customHeight="1" x14ac:dyDescent="0.2">
      <c r="A39" s="127" t="s">
        <v>128</v>
      </c>
      <c r="B39" s="258" t="s">
        <v>3748</v>
      </c>
      <c r="C39" s="258" t="s">
        <v>3749</v>
      </c>
      <c r="D39" s="121">
        <v>74</v>
      </c>
      <c r="E39" s="401"/>
      <c r="F39" s="81"/>
      <c r="G39" s="81"/>
      <c r="H39" s="81"/>
      <c r="I39" s="81"/>
      <c r="J39" s="81">
        <v>97.4</v>
      </c>
      <c r="K39" s="81"/>
      <c r="L39" s="81"/>
      <c r="M39" s="81"/>
      <c r="N39" s="81"/>
      <c r="O39" s="81"/>
      <c r="P39" s="81">
        <v>97.3</v>
      </c>
      <c r="Q39" s="402">
        <f t="shared" si="0"/>
        <v>97.35</v>
      </c>
      <c r="R39" s="403" t="str">
        <f t="shared" si="1"/>
        <v>NO</v>
      </c>
      <c r="S39" s="152" t="str">
        <f t="shared" si="2"/>
        <v>Inviable Sanitariamente</v>
      </c>
    </row>
    <row r="40" spans="1:19" s="59" customFormat="1" ht="32.1" customHeight="1" x14ac:dyDescent="0.2">
      <c r="A40" s="127" t="s">
        <v>128</v>
      </c>
      <c r="B40" s="258" t="s">
        <v>3750</v>
      </c>
      <c r="C40" s="258" t="s">
        <v>3751</v>
      </c>
      <c r="D40" s="116">
        <v>62</v>
      </c>
      <c r="E40" s="401"/>
      <c r="F40" s="81"/>
      <c r="G40" s="81"/>
      <c r="H40" s="81"/>
      <c r="I40" s="81"/>
      <c r="J40" s="81">
        <v>97.4</v>
      </c>
      <c r="K40" s="81"/>
      <c r="L40" s="81"/>
      <c r="M40" s="81"/>
      <c r="N40" s="81"/>
      <c r="O40" s="81"/>
      <c r="P40" s="81">
        <v>97.3</v>
      </c>
      <c r="Q40" s="402">
        <f t="shared" si="0"/>
        <v>97.35</v>
      </c>
      <c r="R40" s="403" t="str">
        <f t="shared" si="1"/>
        <v>NO</v>
      </c>
      <c r="S40" s="152" t="str">
        <f t="shared" si="2"/>
        <v>Inviable Sanitariamente</v>
      </c>
    </row>
    <row r="41" spans="1:19" s="59" customFormat="1" ht="32.1" customHeight="1" x14ac:dyDescent="0.2">
      <c r="A41" s="127" t="s">
        <v>128</v>
      </c>
      <c r="B41" s="258" t="s">
        <v>3752</v>
      </c>
      <c r="C41" s="258" t="s">
        <v>3753</v>
      </c>
      <c r="D41" s="121">
        <v>140</v>
      </c>
      <c r="E41" s="401"/>
      <c r="F41" s="81"/>
      <c r="G41" s="81"/>
      <c r="H41" s="81"/>
      <c r="I41" s="81"/>
      <c r="J41" s="81">
        <v>97.4</v>
      </c>
      <c r="K41" s="81"/>
      <c r="L41" s="81"/>
      <c r="M41" s="81"/>
      <c r="N41" s="81"/>
      <c r="O41" s="81">
        <v>97.35</v>
      </c>
      <c r="P41" s="81"/>
      <c r="Q41" s="402">
        <f t="shared" si="0"/>
        <v>97.375</v>
      </c>
      <c r="R41" s="403" t="str">
        <f t="shared" si="1"/>
        <v>NO</v>
      </c>
      <c r="S41" s="152" t="str">
        <f t="shared" si="2"/>
        <v>Inviable Sanitariamente</v>
      </c>
    </row>
    <row r="42" spans="1:19" s="59" customFormat="1" ht="32.1" customHeight="1" x14ac:dyDescent="0.2">
      <c r="A42" s="127" t="s">
        <v>128</v>
      </c>
      <c r="B42" s="258" t="s">
        <v>1315</v>
      </c>
      <c r="C42" s="258" t="s">
        <v>3754</v>
      </c>
      <c r="D42" s="121">
        <v>51</v>
      </c>
      <c r="E42" s="401"/>
      <c r="F42" s="81"/>
      <c r="G42" s="81"/>
      <c r="H42" s="81"/>
      <c r="I42" s="81"/>
      <c r="J42" s="81">
        <v>97.4</v>
      </c>
      <c r="K42" s="81"/>
      <c r="L42" s="81"/>
      <c r="M42" s="81"/>
      <c r="N42" s="81">
        <v>97.35</v>
      </c>
      <c r="O42" s="81"/>
      <c r="P42" s="81"/>
      <c r="Q42" s="402">
        <f t="shared" ref="Q42:Q73" si="3">AVERAGE(E42:P42)</f>
        <v>97.375</v>
      </c>
      <c r="R42" s="403" t="str">
        <f t="shared" si="1"/>
        <v>NO</v>
      </c>
      <c r="S42" s="152" t="str">
        <f t="shared" si="2"/>
        <v>Inviable Sanitariamente</v>
      </c>
    </row>
    <row r="43" spans="1:19" s="59" customFormat="1" ht="32.1" customHeight="1" x14ac:dyDescent="0.2">
      <c r="A43" s="127" t="s">
        <v>129</v>
      </c>
      <c r="B43" s="258" t="s">
        <v>1546</v>
      </c>
      <c r="C43" s="289" t="s">
        <v>3755</v>
      </c>
      <c r="D43" s="121">
        <v>36</v>
      </c>
      <c r="E43" s="81"/>
      <c r="F43" s="81">
        <v>97.35</v>
      </c>
      <c r="G43" s="81"/>
      <c r="H43" s="81"/>
      <c r="I43" s="81"/>
      <c r="J43" s="81"/>
      <c r="K43" s="81"/>
      <c r="L43" s="81"/>
      <c r="M43" s="81"/>
      <c r="N43" s="81"/>
      <c r="O43" s="81"/>
      <c r="P43" s="81">
        <v>55.7</v>
      </c>
      <c r="Q43" s="145">
        <f t="shared" si="3"/>
        <v>76.525000000000006</v>
      </c>
      <c r="R43" s="151" t="str">
        <f t="shared" si="1"/>
        <v>NO</v>
      </c>
      <c r="S43" s="152" t="str">
        <f t="shared" si="2"/>
        <v>Alto</v>
      </c>
    </row>
    <row r="44" spans="1:19" s="59" customFormat="1" ht="32.1" customHeight="1" x14ac:dyDescent="0.2">
      <c r="A44" s="127" t="s">
        <v>129</v>
      </c>
      <c r="B44" s="258" t="s">
        <v>3756</v>
      </c>
      <c r="C44" s="289" t="s">
        <v>3757</v>
      </c>
      <c r="D44" s="121">
        <v>39</v>
      </c>
      <c r="E44" s="81"/>
      <c r="F44" s="81"/>
      <c r="G44" s="81"/>
      <c r="H44" s="81"/>
      <c r="I44" s="81">
        <v>97.35</v>
      </c>
      <c r="J44" s="81"/>
      <c r="K44" s="81"/>
      <c r="L44" s="81"/>
      <c r="M44" s="81"/>
      <c r="N44" s="81"/>
      <c r="O44" s="81"/>
      <c r="P44" s="81">
        <v>97.3</v>
      </c>
      <c r="Q44" s="145">
        <f t="shared" si="3"/>
        <v>97.324999999999989</v>
      </c>
      <c r="R44" s="151" t="str">
        <f t="shared" si="1"/>
        <v>NO</v>
      </c>
      <c r="S44" s="152" t="str">
        <f t="shared" si="2"/>
        <v>Inviable Sanitariamente</v>
      </c>
    </row>
    <row r="45" spans="1:19" s="59" customFormat="1" ht="32.1" customHeight="1" x14ac:dyDescent="0.2">
      <c r="A45" s="127" t="s">
        <v>129</v>
      </c>
      <c r="B45" s="258" t="s">
        <v>3758</v>
      </c>
      <c r="C45" s="289" t="s">
        <v>3759</v>
      </c>
      <c r="D45" s="121">
        <v>19</v>
      </c>
      <c r="E45" s="81"/>
      <c r="F45" s="81"/>
      <c r="G45" s="81"/>
      <c r="H45" s="81"/>
      <c r="I45" s="81"/>
      <c r="J45" s="81">
        <v>53.1</v>
      </c>
      <c r="K45" s="81"/>
      <c r="L45" s="81"/>
      <c r="M45" s="81"/>
      <c r="N45" s="81"/>
      <c r="O45" s="81"/>
      <c r="P45" s="81">
        <v>53.1</v>
      </c>
      <c r="Q45" s="145">
        <f t="shared" si="3"/>
        <v>53.1</v>
      </c>
      <c r="R45" s="151" t="str">
        <f t="shared" si="1"/>
        <v>NO</v>
      </c>
      <c r="S45" s="152" t="str">
        <f t="shared" si="2"/>
        <v>Alto</v>
      </c>
    </row>
    <row r="46" spans="1:19" s="59" customFormat="1" ht="32.1" customHeight="1" x14ac:dyDescent="0.2">
      <c r="A46" s="127" t="s">
        <v>129</v>
      </c>
      <c r="B46" s="258" t="s">
        <v>3760</v>
      </c>
      <c r="C46" s="289" t="s">
        <v>3761</v>
      </c>
      <c r="D46" s="116">
        <v>20</v>
      </c>
      <c r="E46" s="81"/>
      <c r="F46" s="81"/>
      <c r="G46" s="81"/>
      <c r="H46" s="81"/>
      <c r="I46" s="81">
        <v>53.1</v>
      </c>
      <c r="J46" s="81"/>
      <c r="K46" s="81"/>
      <c r="L46" s="81"/>
      <c r="M46" s="81"/>
      <c r="N46" s="81"/>
      <c r="O46" s="81"/>
      <c r="P46" s="81">
        <v>97.3</v>
      </c>
      <c r="Q46" s="145">
        <f t="shared" si="3"/>
        <v>75.2</v>
      </c>
      <c r="R46" s="151" t="str">
        <f t="shared" si="1"/>
        <v>NO</v>
      </c>
      <c r="S46" s="152" t="str">
        <f t="shared" si="2"/>
        <v>Alto</v>
      </c>
    </row>
    <row r="47" spans="1:19" s="59" customFormat="1" ht="32.1" customHeight="1" x14ac:dyDescent="0.2">
      <c r="A47" s="127" t="s">
        <v>129</v>
      </c>
      <c r="B47" s="258" t="s">
        <v>3762</v>
      </c>
      <c r="C47" s="289" t="s">
        <v>3763</v>
      </c>
      <c r="D47" s="121">
        <v>80</v>
      </c>
      <c r="E47" s="81"/>
      <c r="F47" s="81"/>
      <c r="G47" s="81"/>
      <c r="H47" s="81"/>
      <c r="I47" s="81"/>
      <c r="J47" s="81">
        <v>53.1</v>
      </c>
      <c r="K47" s="81"/>
      <c r="L47" s="81"/>
      <c r="M47" s="81"/>
      <c r="N47" s="81"/>
      <c r="O47" s="81"/>
      <c r="P47" s="81">
        <v>53.1</v>
      </c>
      <c r="Q47" s="145">
        <f t="shared" si="3"/>
        <v>53.1</v>
      </c>
      <c r="R47" s="151" t="str">
        <f t="shared" si="1"/>
        <v>NO</v>
      </c>
      <c r="S47" s="152" t="str">
        <f t="shared" si="2"/>
        <v>Alto</v>
      </c>
    </row>
    <row r="48" spans="1:19" s="59" customFormat="1" ht="32.1" customHeight="1" x14ac:dyDescent="0.2">
      <c r="A48" s="127" t="s">
        <v>129</v>
      </c>
      <c r="B48" s="258" t="s">
        <v>480</v>
      </c>
      <c r="C48" s="289" t="s">
        <v>3764</v>
      </c>
      <c r="D48" s="121">
        <v>50</v>
      </c>
      <c r="E48" s="81"/>
      <c r="F48" s="81"/>
      <c r="G48" s="81"/>
      <c r="H48" s="81"/>
      <c r="I48" s="81">
        <v>97.35</v>
      </c>
      <c r="J48" s="81"/>
      <c r="K48" s="81"/>
      <c r="L48" s="81"/>
      <c r="M48" s="81"/>
      <c r="N48" s="81">
        <v>97.3</v>
      </c>
      <c r="O48" s="81"/>
      <c r="P48" s="81"/>
      <c r="Q48" s="145">
        <f t="shared" si="3"/>
        <v>97.324999999999989</v>
      </c>
      <c r="R48" s="151" t="str">
        <f t="shared" si="1"/>
        <v>NO</v>
      </c>
      <c r="S48" s="152" t="str">
        <f t="shared" si="2"/>
        <v>Inviable Sanitariamente</v>
      </c>
    </row>
    <row r="49" spans="1:19" s="59" customFormat="1" ht="32.1" customHeight="1" x14ac:dyDescent="0.2">
      <c r="A49" s="127" t="s">
        <v>129</v>
      </c>
      <c r="B49" s="258" t="s">
        <v>3765</v>
      </c>
      <c r="C49" s="289" t="s">
        <v>3766</v>
      </c>
      <c r="D49" s="306">
        <v>57</v>
      </c>
      <c r="E49" s="81"/>
      <c r="F49" s="81"/>
      <c r="G49" s="81"/>
      <c r="H49" s="81"/>
      <c r="I49" s="81"/>
      <c r="J49" s="81"/>
      <c r="K49" s="81">
        <v>97.3</v>
      </c>
      <c r="L49" s="81"/>
      <c r="M49" s="81"/>
      <c r="N49" s="81"/>
      <c r="O49" s="81"/>
      <c r="P49" s="81"/>
      <c r="Q49" s="145">
        <f t="shared" si="3"/>
        <v>97.3</v>
      </c>
      <c r="R49" s="151" t="str">
        <f t="shared" si="1"/>
        <v>NO</v>
      </c>
      <c r="S49" s="152" t="str">
        <f t="shared" si="2"/>
        <v>Inviable Sanitariamente</v>
      </c>
    </row>
    <row r="50" spans="1:19" s="59" customFormat="1" ht="32.1" customHeight="1" x14ac:dyDescent="0.2">
      <c r="A50" s="127" t="s">
        <v>129</v>
      </c>
      <c r="B50" s="258" t="s">
        <v>329</v>
      </c>
      <c r="C50" s="289" t="s">
        <v>3767</v>
      </c>
      <c r="D50" s="121">
        <v>27</v>
      </c>
      <c r="E50" s="81"/>
      <c r="F50" s="81"/>
      <c r="G50" s="81"/>
      <c r="H50" s="81"/>
      <c r="I50" s="81">
        <v>97.35</v>
      </c>
      <c r="J50" s="81"/>
      <c r="K50" s="81"/>
      <c r="L50" s="81"/>
      <c r="M50" s="81"/>
      <c r="N50" s="81">
        <v>97.4</v>
      </c>
      <c r="O50" s="81"/>
      <c r="P50" s="81"/>
      <c r="Q50" s="145">
        <f t="shared" si="3"/>
        <v>97.375</v>
      </c>
      <c r="R50" s="151" t="str">
        <f t="shared" si="1"/>
        <v>NO</v>
      </c>
      <c r="S50" s="152" t="str">
        <f t="shared" si="2"/>
        <v>Inviable Sanitariamente</v>
      </c>
    </row>
    <row r="51" spans="1:19" s="59" customFormat="1" ht="32.1" customHeight="1" x14ac:dyDescent="0.2">
      <c r="A51" s="127" t="s">
        <v>129</v>
      </c>
      <c r="B51" s="258" t="s">
        <v>3768</v>
      </c>
      <c r="C51" s="289" t="s">
        <v>3769</v>
      </c>
      <c r="D51" s="121">
        <v>70</v>
      </c>
      <c r="E51" s="81"/>
      <c r="F51" s="81"/>
      <c r="G51" s="81"/>
      <c r="H51" s="81">
        <v>53.1</v>
      </c>
      <c r="I51" s="81"/>
      <c r="J51" s="81"/>
      <c r="K51" s="81"/>
      <c r="L51" s="81"/>
      <c r="M51" s="81"/>
      <c r="N51" s="81"/>
      <c r="O51" s="81">
        <v>53.1</v>
      </c>
      <c r="P51" s="81"/>
      <c r="Q51" s="145">
        <f t="shared" si="3"/>
        <v>53.1</v>
      </c>
      <c r="R51" s="151" t="str">
        <f t="shared" si="1"/>
        <v>NO</v>
      </c>
      <c r="S51" s="152" t="str">
        <f t="shared" si="2"/>
        <v>Alto</v>
      </c>
    </row>
    <row r="52" spans="1:19" s="59" customFormat="1" ht="32.1" customHeight="1" x14ac:dyDescent="0.2">
      <c r="A52" s="127" t="s">
        <v>129</v>
      </c>
      <c r="B52" s="258" t="s">
        <v>3770</v>
      </c>
      <c r="C52" s="289" t="s">
        <v>3771</v>
      </c>
      <c r="D52" s="121">
        <v>80</v>
      </c>
      <c r="E52" s="81"/>
      <c r="F52" s="81"/>
      <c r="G52" s="81"/>
      <c r="H52" s="81"/>
      <c r="I52" s="81">
        <v>97.35</v>
      </c>
      <c r="J52" s="81"/>
      <c r="K52" s="81"/>
      <c r="L52" s="81"/>
      <c r="M52" s="81"/>
      <c r="N52" s="81"/>
      <c r="O52" s="81"/>
      <c r="P52" s="81"/>
      <c r="Q52" s="145">
        <f t="shared" si="3"/>
        <v>97.35</v>
      </c>
      <c r="R52" s="151" t="str">
        <f t="shared" si="1"/>
        <v>NO</v>
      </c>
      <c r="S52" s="152" t="str">
        <f t="shared" si="2"/>
        <v>Inviable Sanitariamente</v>
      </c>
    </row>
    <row r="53" spans="1:19" s="59" customFormat="1" ht="32.1" customHeight="1" x14ac:dyDescent="0.2">
      <c r="A53" s="127" t="s">
        <v>129</v>
      </c>
      <c r="B53" s="258" t="s">
        <v>3772</v>
      </c>
      <c r="C53" s="289" t="s">
        <v>3773</v>
      </c>
      <c r="D53" s="121">
        <v>150</v>
      </c>
      <c r="E53" s="81"/>
      <c r="F53" s="81">
        <v>53.1</v>
      </c>
      <c r="G53" s="81"/>
      <c r="H53" s="81"/>
      <c r="I53" s="81"/>
      <c r="J53" s="81"/>
      <c r="K53" s="81"/>
      <c r="L53" s="81"/>
      <c r="M53" s="81"/>
      <c r="N53" s="81"/>
      <c r="O53" s="81"/>
      <c r="P53" s="81">
        <v>97.3</v>
      </c>
      <c r="Q53" s="145">
        <f t="shared" si="3"/>
        <v>75.2</v>
      </c>
      <c r="R53" s="151" t="str">
        <f t="shared" si="1"/>
        <v>NO</v>
      </c>
      <c r="S53" s="152" t="str">
        <f t="shared" si="2"/>
        <v>Alto</v>
      </c>
    </row>
    <row r="54" spans="1:19" s="59" customFormat="1" ht="32.1" customHeight="1" x14ac:dyDescent="0.2">
      <c r="A54" s="127" t="s">
        <v>129</v>
      </c>
      <c r="B54" s="258" t="s">
        <v>3774</v>
      </c>
      <c r="C54" s="289" t="s">
        <v>3775</v>
      </c>
      <c r="D54" s="121">
        <v>15</v>
      </c>
      <c r="E54" s="81"/>
      <c r="F54" s="81"/>
      <c r="G54" s="81"/>
      <c r="H54" s="81">
        <v>97.35</v>
      </c>
      <c r="I54" s="81"/>
      <c r="J54" s="81"/>
      <c r="K54" s="81"/>
      <c r="L54" s="81"/>
      <c r="M54" s="81"/>
      <c r="N54" s="81"/>
      <c r="O54" s="81"/>
      <c r="P54" s="81">
        <v>97.3</v>
      </c>
      <c r="Q54" s="145">
        <f t="shared" si="3"/>
        <v>97.324999999999989</v>
      </c>
      <c r="R54" s="151" t="str">
        <f t="shared" si="1"/>
        <v>NO</v>
      </c>
      <c r="S54" s="152" t="str">
        <f t="shared" si="2"/>
        <v>Inviable Sanitariamente</v>
      </c>
    </row>
    <row r="55" spans="1:19" s="59" customFormat="1" ht="50.1" customHeight="1" x14ac:dyDescent="0.2">
      <c r="A55" s="127" t="s">
        <v>130</v>
      </c>
      <c r="B55" s="307" t="s">
        <v>18</v>
      </c>
      <c r="C55" s="308" t="s">
        <v>4417</v>
      </c>
      <c r="D55" s="293">
        <v>48</v>
      </c>
      <c r="E55" s="11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145" t="e">
        <f t="shared" si="3"/>
        <v>#DIV/0!</v>
      </c>
      <c r="R55" s="151" t="e">
        <f t="shared" si="1"/>
        <v>#DIV/0!</v>
      </c>
      <c r="S55" s="152" t="e">
        <f t="shared" si="2"/>
        <v>#DIV/0!</v>
      </c>
    </row>
    <row r="56" spans="1:19" s="59" customFormat="1" ht="50.1" customHeight="1" x14ac:dyDescent="0.2">
      <c r="A56" s="127" t="s">
        <v>130</v>
      </c>
      <c r="B56" s="307" t="s">
        <v>78</v>
      </c>
      <c r="C56" s="308" t="s">
        <v>4418</v>
      </c>
      <c r="D56" s="293">
        <v>15</v>
      </c>
      <c r="E56" s="11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145" t="e">
        <f t="shared" si="3"/>
        <v>#DIV/0!</v>
      </c>
      <c r="R56" s="151" t="e">
        <f t="shared" si="1"/>
        <v>#DIV/0!</v>
      </c>
      <c r="S56" s="152" t="e">
        <f t="shared" si="2"/>
        <v>#DIV/0!</v>
      </c>
    </row>
    <row r="57" spans="1:19" s="59" customFormat="1" ht="50.1" customHeight="1" x14ac:dyDescent="0.2">
      <c r="A57" s="127" t="s">
        <v>130</v>
      </c>
      <c r="B57" s="307" t="s">
        <v>3776</v>
      </c>
      <c r="C57" s="308" t="s">
        <v>4419</v>
      </c>
      <c r="D57" s="293">
        <v>45</v>
      </c>
      <c r="E57" s="11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145" t="e">
        <f t="shared" si="3"/>
        <v>#DIV/0!</v>
      </c>
      <c r="R57" s="151" t="e">
        <f t="shared" si="1"/>
        <v>#DIV/0!</v>
      </c>
      <c r="S57" s="152" t="e">
        <f t="shared" si="2"/>
        <v>#DIV/0!</v>
      </c>
    </row>
    <row r="58" spans="1:19" s="59" customFormat="1" ht="50.1" customHeight="1" x14ac:dyDescent="0.2">
      <c r="A58" s="127" t="s">
        <v>130</v>
      </c>
      <c r="B58" s="307" t="s">
        <v>2449</v>
      </c>
      <c r="C58" s="308" t="s">
        <v>4420</v>
      </c>
      <c r="D58" s="293">
        <v>80</v>
      </c>
      <c r="E58" s="11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145" t="e">
        <f t="shared" si="3"/>
        <v>#DIV/0!</v>
      </c>
      <c r="R58" s="151" t="e">
        <f t="shared" si="1"/>
        <v>#DIV/0!</v>
      </c>
      <c r="S58" s="152" t="e">
        <f t="shared" si="2"/>
        <v>#DIV/0!</v>
      </c>
    </row>
    <row r="59" spans="1:19" s="59" customFormat="1" ht="50.1" customHeight="1" x14ac:dyDescent="0.2">
      <c r="A59" s="127" t="s">
        <v>130</v>
      </c>
      <c r="B59" s="307" t="s">
        <v>3777</v>
      </c>
      <c r="C59" s="308" t="s">
        <v>4421</v>
      </c>
      <c r="D59" s="293">
        <v>13</v>
      </c>
      <c r="E59" s="11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145" t="e">
        <f t="shared" si="3"/>
        <v>#DIV/0!</v>
      </c>
      <c r="R59" s="151" t="e">
        <f t="shared" si="1"/>
        <v>#DIV/0!</v>
      </c>
      <c r="S59" s="152" t="e">
        <f t="shared" si="2"/>
        <v>#DIV/0!</v>
      </c>
    </row>
    <row r="60" spans="1:19" s="59" customFormat="1" ht="50.1" customHeight="1" x14ac:dyDescent="0.2">
      <c r="A60" s="127" t="s">
        <v>130</v>
      </c>
      <c r="B60" s="307" t="s">
        <v>3778</v>
      </c>
      <c r="C60" s="308" t="s">
        <v>4423</v>
      </c>
      <c r="D60" s="293">
        <v>32</v>
      </c>
      <c r="E60" s="11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145" t="e">
        <f t="shared" si="3"/>
        <v>#DIV/0!</v>
      </c>
      <c r="R60" s="151" t="e">
        <f t="shared" si="1"/>
        <v>#DIV/0!</v>
      </c>
      <c r="S60" s="152" t="e">
        <f t="shared" si="2"/>
        <v>#DIV/0!</v>
      </c>
    </row>
    <row r="61" spans="1:19" s="59" customFormat="1" ht="50.1" customHeight="1" x14ac:dyDescent="0.2">
      <c r="A61" s="127" t="s">
        <v>130</v>
      </c>
      <c r="B61" s="307" t="s">
        <v>3779</v>
      </c>
      <c r="C61" s="308" t="s">
        <v>4422</v>
      </c>
      <c r="D61" s="293">
        <v>25</v>
      </c>
      <c r="E61" s="11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145" t="e">
        <f t="shared" si="3"/>
        <v>#DIV/0!</v>
      </c>
      <c r="R61" s="151" t="e">
        <f t="shared" si="1"/>
        <v>#DIV/0!</v>
      </c>
      <c r="S61" s="152" t="e">
        <f t="shared" si="2"/>
        <v>#DIV/0!</v>
      </c>
    </row>
    <row r="62" spans="1:19" s="59" customFormat="1" ht="50.1" customHeight="1" x14ac:dyDescent="0.2">
      <c r="A62" s="127" t="s">
        <v>130</v>
      </c>
      <c r="B62" s="307" t="s">
        <v>1807</v>
      </c>
      <c r="C62" s="308" t="s">
        <v>1808</v>
      </c>
      <c r="D62" s="293">
        <v>68</v>
      </c>
      <c r="E62" s="11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145" t="e">
        <f t="shared" si="3"/>
        <v>#DIV/0!</v>
      </c>
      <c r="R62" s="151" t="e">
        <f t="shared" si="1"/>
        <v>#DIV/0!</v>
      </c>
      <c r="S62" s="152" t="e">
        <f t="shared" si="2"/>
        <v>#DIV/0!</v>
      </c>
    </row>
    <row r="63" spans="1:19" s="59" customFormat="1" ht="50.1" customHeight="1" x14ac:dyDescent="0.2">
      <c r="A63" s="127" t="s">
        <v>130</v>
      </c>
      <c r="B63" s="307" t="s">
        <v>2723</v>
      </c>
      <c r="C63" s="308" t="s">
        <v>4392</v>
      </c>
      <c r="D63" s="293">
        <v>34</v>
      </c>
      <c r="E63" s="11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145" t="e">
        <f t="shared" si="3"/>
        <v>#DIV/0!</v>
      </c>
      <c r="R63" s="151" t="e">
        <f t="shared" si="1"/>
        <v>#DIV/0!</v>
      </c>
      <c r="S63" s="152" t="e">
        <f t="shared" si="2"/>
        <v>#DIV/0!</v>
      </c>
    </row>
    <row r="64" spans="1:19" s="59" customFormat="1" ht="50.1" customHeight="1" x14ac:dyDescent="0.2">
      <c r="A64" s="127" t="s">
        <v>130</v>
      </c>
      <c r="B64" s="307" t="s">
        <v>828</v>
      </c>
      <c r="C64" s="308" t="s">
        <v>4424</v>
      </c>
      <c r="D64" s="292">
        <v>34</v>
      </c>
      <c r="E64" s="11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145" t="e">
        <f t="shared" si="3"/>
        <v>#DIV/0!</v>
      </c>
      <c r="R64" s="151" t="e">
        <f t="shared" si="1"/>
        <v>#DIV/0!</v>
      </c>
      <c r="S64" s="152" t="e">
        <f t="shared" si="2"/>
        <v>#DIV/0!</v>
      </c>
    </row>
    <row r="65" spans="1:19" s="59" customFormat="1" ht="50.1" customHeight="1" x14ac:dyDescent="0.2">
      <c r="A65" s="127" t="s">
        <v>130</v>
      </c>
      <c r="B65" s="307" t="s">
        <v>3780</v>
      </c>
      <c r="C65" s="308" t="s">
        <v>4425</v>
      </c>
      <c r="D65" s="293">
        <v>88</v>
      </c>
      <c r="E65" s="115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145" t="e">
        <f t="shared" si="3"/>
        <v>#DIV/0!</v>
      </c>
      <c r="R65" s="151" t="e">
        <f t="shared" si="1"/>
        <v>#DIV/0!</v>
      </c>
      <c r="S65" s="152" t="e">
        <f t="shared" si="2"/>
        <v>#DIV/0!</v>
      </c>
    </row>
    <row r="66" spans="1:19" s="59" customFormat="1" ht="50.1" customHeight="1" x14ac:dyDescent="0.2">
      <c r="A66" s="127" t="s">
        <v>130</v>
      </c>
      <c r="B66" s="307" t="s">
        <v>3781</v>
      </c>
      <c r="C66" s="308" t="s">
        <v>4426</v>
      </c>
      <c r="D66" s="293">
        <v>81</v>
      </c>
      <c r="E66" s="115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145" t="e">
        <f t="shared" si="3"/>
        <v>#DIV/0!</v>
      </c>
      <c r="R66" s="151" t="e">
        <f t="shared" si="1"/>
        <v>#DIV/0!</v>
      </c>
      <c r="S66" s="152" t="e">
        <f t="shared" si="2"/>
        <v>#DIV/0!</v>
      </c>
    </row>
    <row r="67" spans="1:19" s="59" customFormat="1" ht="50.1" customHeight="1" x14ac:dyDescent="0.2">
      <c r="A67" s="127" t="s">
        <v>130</v>
      </c>
      <c r="B67" s="307" t="s">
        <v>3782</v>
      </c>
      <c r="C67" s="308" t="s">
        <v>4427</v>
      </c>
      <c r="D67" s="293">
        <v>35</v>
      </c>
      <c r="E67" s="115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145" t="e">
        <f t="shared" si="3"/>
        <v>#DIV/0!</v>
      </c>
      <c r="R67" s="151" t="e">
        <f t="shared" si="1"/>
        <v>#DIV/0!</v>
      </c>
      <c r="S67" s="152" t="e">
        <f t="shared" si="2"/>
        <v>#DIV/0!</v>
      </c>
    </row>
    <row r="68" spans="1:19" s="59" customFormat="1" ht="50.1" customHeight="1" x14ac:dyDescent="0.2">
      <c r="A68" s="127" t="s">
        <v>130</v>
      </c>
      <c r="B68" s="307" t="s">
        <v>3783</v>
      </c>
      <c r="C68" s="308" t="s">
        <v>4428</v>
      </c>
      <c r="D68" s="293">
        <v>20</v>
      </c>
      <c r="E68" s="115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145" t="e">
        <f t="shared" si="3"/>
        <v>#DIV/0!</v>
      </c>
      <c r="R68" s="151" t="e">
        <f t="shared" si="1"/>
        <v>#DIV/0!</v>
      </c>
      <c r="S68" s="152" t="e">
        <f t="shared" si="2"/>
        <v>#DIV/0!</v>
      </c>
    </row>
    <row r="69" spans="1:19" s="59" customFormat="1" ht="50.1" customHeight="1" x14ac:dyDescent="0.2">
      <c r="A69" s="127" t="s">
        <v>130</v>
      </c>
      <c r="B69" s="307" t="s">
        <v>3784</v>
      </c>
      <c r="C69" s="308" t="s">
        <v>4429</v>
      </c>
      <c r="D69" s="293">
        <v>45</v>
      </c>
      <c r="E69" s="115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145" t="e">
        <f t="shared" si="3"/>
        <v>#DIV/0!</v>
      </c>
      <c r="R69" s="151" t="e">
        <f t="shared" si="1"/>
        <v>#DIV/0!</v>
      </c>
      <c r="S69" s="152" t="e">
        <f t="shared" si="2"/>
        <v>#DIV/0!</v>
      </c>
    </row>
    <row r="70" spans="1:19" s="59" customFormat="1" ht="50.1" customHeight="1" x14ac:dyDescent="0.2">
      <c r="A70" s="127" t="s">
        <v>130</v>
      </c>
      <c r="B70" s="307" t="s">
        <v>2066</v>
      </c>
      <c r="C70" s="308" t="s">
        <v>3785</v>
      </c>
      <c r="D70" s="293">
        <v>30</v>
      </c>
      <c r="E70" s="115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145" t="e">
        <f t="shared" si="3"/>
        <v>#DIV/0!</v>
      </c>
      <c r="R70" s="151" t="e">
        <f t="shared" si="1"/>
        <v>#DIV/0!</v>
      </c>
      <c r="S70" s="152" t="e">
        <f t="shared" si="2"/>
        <v>#DIV/0!</v>
      </c>
    </row>
    <row r="71" spans="1:19" s="59" customFormat="1" ht="50.1" customHeight="1" x14ac:dyDescent="0.2">
      <c r="A71" s="127" t="s">
        <v>130</v>
      </c>
      <c r="B71" s="307" t="s">
        <v>2260</v>
      </c>
      <c r="C71" s="308" t="s">
        <v>2849</v>
      </c>
      <c r="D71" s="293">
        <v>55</v>
      </c>
      <c r="E71" s="115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145" t="e">
        <f t="shared" si="3"/>
        <v>#DIV/0!</v>
      </c>
      <c r="R71" s="151" t="e">
        <f t="shared" si="1"/>
        <v>#DIV/0!</v>
      </c>
      <c r="S71" s="152" t="e">
        <f t="shared" si="2"/>
        <v>#DIV/0!</v>
      </c>
    </row>
    <row r="72" spans="1:19" s="59" customFormat="1" ht="32.1" customHeight="1" x14ac:dyDescent="0.2">
      <c r="A72" s="488" t="s">
        <v>131</v>
      </c>
      <c r="B72" s="258" t="s">
        <v>3787</v>
      </c>
      <c r="C72" s="289" t="s">
        <v>3788</v>
      </c>
      <c r="D72" s="121">
        <v>19</v>
      </c>
      <c r="E72" s="81"/>
      <c r="F72" s="81"/>
      <c r="G72" s="81">
        <v>0</v>
      </c>
      <c r="H72" s="81"/>
      <c r="I72" s="81"/>
      <c r="J72" s="81"/>
      <c r="K72" s="81"/>
      <c r="L72" s="81"/>
      <c r="M72" s="81">
        <v>26.5</v>
      </c>
      <c r="N72" s="81"/>
      <c r="O72" s="81"/>
      <c r="P72" s="81"/>
      <c r="Q72" s="145">
        <f t="shared" si="3"/>
        <v>13.25</v>
      </c>
      <c r="R72" s="151" t="str">
        <f t="shared" si="1"/>
        <v>NO</v>
      </c>
      <c r="S72" s="152" t="str">
        <f t="shared" si="2"/>
        <v>Bajo</v>
      </c>
    </row>
    <row r="73" spans="1:19" s="59" customFormat="1" ht="32.1" customHeight="1" x14ac:dyDescent="0.2">
      <c r="A73" s="488" t="s">
        <v>131</v>
      </c>
      <c r="B73" s="258" t="s">
        <v>3789</v>
      </c>
      <c r="C73" s="289" t="s">
        <v>3790</v>
      </c>
      <c r="D73" s="121">
        <v>20</v>
      </c>
      <c r="E73" s="81"/>
      <c r="F73" s="81"/>
      <c r="G73" s="81">
        <v>97.3</v>
      </c>
      <c r="H73" s="81"/>
      <c r="I73" s="81"/>
      <c r="J73" s="81"/>
      <c r="K73" s="81"/>
      <c r="L73" s="81"/>
      <c r="M73" s="81">
        <v>97.3</v>
      </c>
      <c r="N73" s="81"/>
      <c r="O73" s="81"/>
      <c r="P73" s="81"/>
      <c r="Q73" s="145">
        <f t="shared" si="3"/>
        <v>97.3</v>
      </c>
      <c r="R73" s="151" t="str">
        <f t="shared" si="1"/>
        <v>NO</v>
      </c>
      <c r="S73" s="152" t="str">
        <f t="shared" si="2"/>
        <v>Inviable Sanitariamente</v>
      </c>
    </row>
    <row r="74" spans="1:19" s="59" customFormat="1" ht="32.1" customHeight="1" x14ac:dyDescent="0.2">
      <c r="A74" s="488" t="s">
        <v>131</v>
      </c>
      <c r="B74" s="258" t="s">
        <v>3791</v>
      </c>
      <c r="C74" s="289" t="s">
        <v>3792</v>
      </c>
      <c r="D74" s="121">
        <v>28</v>
      </c>
      <c r="E74" s="81"/>
      <c r="F74" s="81"/>
      <c r="G74" s="81">
        <v>26.5</v>
      </c>
      <c r="H74" s="81"/>
      <c r="I74" s="81"/>
      <c r="J74" s="81"/>
      <c r="K74" s="81"/>
      <c r="L74" s="81"/>
      <c r="M74" s="81">
        <v>97.3</v>
      </c>
      <c r="N74" s="81"/>
      <c r="O74" s="81"/>
      <c r="P74" s="81"/>
      <c r="Q74" s="145">
        <f t="shared" ref="Q74:Q105" si="4">AVERAGE(E74:P74)</f>
        <v>61.9</v>
      </c>
      <c r="R74" s="151" t="str">
        <f t="shared" ref="R74:R137" si="5">IF(Q74&lt;5,"SI","NO")</f>
        <v>NO</v>
      </c>
      <c r="S74" s="152" t="str">
        <f t="shared" ref="S74:S137" si="6">IF(Q74&lt;=5,"Sin Riesgo",IF(Q74 &lt;=14,"Bajo",IF(Q74&lt;=35,"Medio",IF(Q74&lt;=80,"Alto","Inviable Sanitariamente"))))</f>
        <v>Alto</v>
      </c>
    </row>
    <row r="75" spans="1:19" s="59" customFormat="1" ht="32.1" customHeight="1" x14ac:dyDescent="0.2">
      <c r="A75" s="488" t="s">
        <v>131</v>
      </c>
      <c r="B75" s="258" t="s">
        <v>2802</v>
      </c>
      <c r="C75" s="289" t="s">
        <v>3793</v>
      </c>
      <c r="D75" s="121">
        <v>10</v>
      </c>
      <c r="E75" s="81"/>
      <c r="F75" s="81"/>
      <c r="G75" s="81">
        <v>0</v>
      </c>
      <c r="H75" s="81"/>
      <c r="I75" s="81"/>
      <c r="J75" s="81"/>
      <c r="K75" s="81"/>
      <c r="L75" s="81"/>
      <c r="M75" s="81">
        <v>0</v>
      </c>
      <c r="N75" s="81"/>
      <c r="O75" s="81"/>
      <c r="P75" s="81"/>
      <c r="Q75" s="145">
        <f t="shared" si="4"/>
        <v>0</v>
      </c>
      <c r="R75" s="151" t="str">
        <f t="shared" si="5"/>
        <v>SI</v>
      </c>
      <c r="S75" s="152" t="str">
        <f t="shared" si="6"/>
        <v>Sin Riesgo</v>
      </c>
    </row>
    <row r="76" spans="1:19" s="59" customFormat="1" ht="32.1" customHeight="1" x14ac:dyDescent="0.2">
      <c r="A76" s="488" t="s">
        <v>131</v>
      </c>
      <c r="B76" s="258" t="s">
        <v>3794</v>
      </c>
      <c r="C76" s="289" t="s">
        <v>3795</v>
      </c>
      <c r="D76" s="121">
        <v>18</v>
      </c>
      <c r="E76" s="81"/>
      <c r="F76" s="81"/>
      <c r="G76" s="81">
        <v>96.4</v>
      </c>
      <c r="H76" s="81"/>
      <c r="I76" s="81"/>
      <c r="J76" s="81"/>
      <c r="K76" s="81"/>
      <c r="L76" s="81"/>
      <c r="M76" s="81">
        <v>96.3</v>
      </c>
      <c r="N76" s="81"/>
      <c r="O76" s="81"/>
      <c r="P76" s="81"/>
      <c r="Q76" s="145">
        <f t="shared" si="4"/>
        <v>96.35</v>
      </c>
      <c r="R76" s="151" t="str">
        <f t="shared" si="5"/>
        <v>NO</v>
      </c>
      <c r="S76" s="152" t="str">
        <f t="shared" si="6"/>
        <v>Inviable Sanitariamente</v>
      </c>
    </row>
    <row r="77" spans="1:19" s="59" customFormat="1" ht="32.1" customHeight="1" x14ac:dyDescent="0.2">
      <c r="A77" s="488" t="s">
        <v>131</v>
      </c>
      <c r="B77" s="258" t="s">
        <v>3796</v>
      </c>
      <c r="C77" s="289" t="s">
        <v>3797</v>
      </c>
      <c r="D77" s="121">
        <v>11</v>
      </c>
      <c r="E77" s="81"/>
      <c r="F77" s="81"/>
      <c r="G77" s="81"/>
      <c r="H77" s="81"/>
      <c r="I77" s="81"/>
      <c r="J77" s="81">
        <v>97.3</v>
      </c>
      <c r="K77" s="81"/>
      <c r="L77" s="81"/>
      <c r="M77" s="81">
        <v>97.3</v>
      </c>
      <c r="N77" s="81"/>
      <c r="O77" s="81"/>
      <c r="P77" s="81"/>
      <c r="Q77" s="145">
        <f t="shared" si="4"/>
        <v>97.3</v>
      </c>
      <c r="R77" s="151" t="str">
        <f t="shared" si="5"/>
        <v>NO</v>
      </c>
      <c r="S77" s="152" t="str">
        <f t="shared" si="6"/>
        <v>Inviable Sanitariamente</v>
      </c>
    </row>
    <row r="78" spans="1:19" s="59" customFormat="1" ht="32.1" customHeight="1" x14ac:dyDescent="0.2">
      <c r="A78" s="488" t="s">
        <v>131</v>
      </c>
      <c r="B78" s="258" t="s">
        <v>1312</v>
      </c>
      <c r="C78" s="289" t="s">
        <v>3798</v>
      </c>
      <c r="D78" s="116">
        <v>40</v>
      </c>
      <c r="E78" s="81"/>
      <c r="F78" s="81"/>
      <c r="G78" s="81"/>
      <c r="H78" s="81"/>
      <c r="I78" s="81"/>
      <c r="J78" s="81"/>
      <c r="K78" s="81"/>
      <c r="L78" s="81"/>
      <c r="M78" s="81">
        <v>0</v>
      </c>
      <c r="N78" s="81"/>
      <c r="O78" s="81"/>
      <c r="P78" s="81"/>
      <c r="Q78" s="145">
        <f t="shared" si="4"/>
        <v>0</v>
      </c>
      <c r="R78" s="151" t="str">
        <f t="shared" si="5"/>
        <v>SI</v>
      </c>
      <c r="S78" s="152" t="str">
        <f t="shared" si="6"/>
        <v>Sin Riesgo</v>
      </c>
    </row>
    <row r="79" spans="1:19" s="59" customFormat="1" ht="32.1" customHeight="1" x14ac:dyDescent="0.2">
      <c r="A79" s="488" t="s">
        <v>132</v>
      </c>
      <c r="B79" s="258" t="s">
        <v>98</v>
      </c>
      <c r="C79" s="289" t="s">
        <v>3799</v>
      </c>
      <c r="D79" s="121">
        <v>62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>
        <v>97.3</v>
      </c>
      <c r="P79" s="81"/>
      <c r="Q79" s="145">
        <f t="shared" si="4"/>
        <v>97.3</v>
      </c>
      <c r="R79" s="151" t="str">
        <f t="shared" si="5"/>
        <v>NO</v>
      </c>
      <c r="S79" s="152" t="str">
        <f t="shared" si="6"/>
        <v>Inviable Sanitariamente</v>
      </c>
    </row>
    <row r="80" spans="1:19" s="59" customFormat="1" ht="32.1" customHeight="1" x14ac:dyDescent="0.2">
      <c r="A80" s="488" t="s">
        <v>132</v>
      </c>
      <c r="B80" s="258" t="s">
        <v>3800</v>
      </c>
      <c r="C80" s="289" t="s">
        <v>3801</v>
      </c>
      <c r="D80" s="121">
        <v>316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>
        <v>0</v>
      </c>
      <c r="P80" s="81"/>
      <c r="Q80" s="145">
        <f t="shared" si="4"/>
        <v>0</v>
      </c>
      <c r="R80" s="151" t="str">
        <f t="shared" si="5"/>
        <v>SI</v>
      </c>
      <c r="S80" s="152" t="str">
        <f t="shared" si="6"/>
        <v>Sin Riesgo</v>
      </c>
    </row>
    <row r="81" spans="1:19" s="59" customFormat="1" ht="32.1" customHeight="1" x14ac:dyDescent="0.2">
      <c r="A81" s="488" t="s">
        <v>132</v>
      </c>
      <c r="B81" s="258" t="s">
        <v>3802</v>
      </c>
      <c r="C81" s="289" t="s">
        <v>3803</v>
      </c>
      <c r="D81" s="121">
        <v>96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>
        <v>97.3</v>
      </c>
      <c r="P81" s="81"/>
      <c r="Q81" s="145">
        <f t="shared" si="4"/>
        <v>97.3</v>
      </c>
      <c r="R81" s="151" t="str">
        <f t="shared" si="5"/>
        <v>NO</v>
      </c>
      <c r="S81" s="152" t="str">
        <f t="shared" si="6"/>
        <v>Inviable Sanitariamente</v>
      </c>
    </row>
    <row r="82" spans="1:19" s="59" customFormat="1" ht="32.1" customHeight="1" x14ac:dyDescent="0.2">
      <c r="A82" s="488" t="s">
        <v>132</v>
      </c>
      <c r="B82" s="258" t="s">
        <v>3804</v>
      </c>
      <c r="C82" s="289" t="s">
        <v>3785</v>
      </c>
      <c r="D82" s="121">
        <v>143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>
        <v>0</v>
      </c>
      <c r="P82" s="81"/>
      <c r="Q82" s="145">
        <f t="shared" si="4"/>
        <v>0</v>
      </c>
      <c r="R82" s="151" t="str">
        <f t="shared" si="5"/>
        <v>SI</v>
      </c>
      <c r="S82" s="152" t="str">
        <f t="shared" si="6"/>
        <v>Sin Riesgo</v>
      </c>
    </row>
    <row r="83" spans="1:19" s="59" customFormat="1" ht="32.1" customHeight="1" x14ac:dyDescent="0.2">
      <c r="A83" s="488" t="s">
        <v>132</v>
      </c>
      <c r="B83" s="258" t="s">
        <v>3805</v>
      </c>
      <c r="C83" s="289" t="s">
        <v>3806</v>
      </c>
      <c r="D83" s="121">
        <v>95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>
        <v>0</v>
      </c>
      <c r="P83" s="81"/>
      <c r="Q83" s="145">
        <f t="shared" si="4"/>
        <v>0</v>
      </c>
      <c r="R83" s="151" t="str">
        <f t="shared" si="5"/>
        <v>SI</v>
      </c>
      <c r="S83" s="152" t="str">
        <f t="shared" si="6"/>
        <v>Sin Riesgo</v>
      </c>
    </row>
    <row r="84" spans="1:19" s="59" customFormat="1" ht="32.1" customHeight="1" x14ac:dyDescent="0.2">
      <c r="A84" s="127" t="s">
        <v>4120</v>
      </c>
      <c r="B84" s="258" t="s">
        <v>3807</v>
      </c>
      <c r="C84" s="289" t="s">
        <v>3808</v>
      </c>
      <c r="D84" s="121">
        <v>107</v>
      </c>
      <c r="E84" s="81"/>
      <c r="F84" s="81">
        <v>0</v>
      </c>
      <c r="G84" s="81"/>
      <c r="H84" s="81"/>
      <c r="I84" s="81"/>
      <c r="J84" s="81"/>
      <c r="K84" s="81"/>
      <c r="L84" s="81"/>
      <c r="M84" s="81"/>
      <c r="N84" s="81"/>
      <c r="O84" s="81">
        <v>2.65</v>
      </c>
      <c r="P84" s="81">
        <v>0</v>
      </c>
      <c r="Q84" s="145">
        <f t="shared" si="4"/>
        <v>0.8833333333333333</v>
      </c>
      <c r="R84" s="151" t="str">
        <f t="shared" si="5"/>
        <v>SI</v>
      </c>
      <c r="S84" s="152" t="str">
        <f t="shared" si="6"/>
        <v>Sin Riesgo</v>
      </c>
    </row>
    <row r="85" spans="1:19" s="59" customFormat="1" ht="32.1" customHeight="1" x14ac:dyDescent="0.2">
      <c r="A85" s="127" t="s">
        <v>4120</v>
      </c>
      <c r="B85" s="258" t="s">
        <v>3809</v>
      </c>
      <c r="C85" s="289" t="s">
        <v>3810</v>
      </c>
      <c r="D85" s="121">
        <v>73</v>
      </c>
      <c r="E85" s="81"/>
      <c r="F85" s="81"/>
      <c r="G85" s="81"/>
      <c r="H85" s="81">
        <v>2.65</v>
      </c>
      <c r="I85" s="81"/>
      <c r="J85" s="81"/>
      <c r="K85" s="81"/>
      <c r="L85" s="81"/>
      <c r="M85" s="81"/>
      <c r="N85" s="81"/>
      <c r="O85" s="81">
        <v>100</v>
      </c>
      <c r="P85" s="81">
        <v>0</v>
      </c>
      <c r="Q85" s="145">
        <f t="shared" si="4"/>
        <v>34.216666666666669</v>
      </c>
      <c r="R85" s="151" t="str">
        <f t="shared" si="5"/>
        <v>NO</v>
      </c>
      <c r="S85" s="152" t="str">
        <f t="shared" si="6"/>
        <v>Medio</v>
      </c>
    </row>
    <row r="86" spans="1:19" s="59" customFormat="1" ht="32.1" customHeight="1" x14ac:dyDescent="0.2">
      <c r="A86" s="127" t="s">
        <v>4120</v>
      </c>
      <c r="B86" s="258" t="s">
        <v>1312</v>
      </c>
      <c r="C86" s="289" t="s">
        <v>3811</v>
      </c>
      <c r="D86" s="121">
        <v>156</v>
      </c>
      <c r="E86" s="81"/>
      <c r="F86" s="81"/>
      <c r="G86" s="81"/>
      <c r="H86" s="81">
        <v>53.1</v>
      </c>
      <c r="I86" s="81">
        <v>2.65</v>
      </c>
      <c r="J86" s="81"/>
      <c r="K86" s="81"/>
      <c r="L86" s="81"/>
      <c r="M86" s="81"/>
      <c r="N86" s="81"/>
      <c r="O86" s="81"/>
      <c r="P86" s="81">
        <v>2.65</v>
      </c>
      <c r="Q86" s="145">
        <f t="shared" si="4"/>
        <v>19.466666666666665</v>
      </c>
      <c r="R86" s="151" t="str">
        <f t="shared" si="5"/>
        <v>NO</v>
      </c>
      <c r="S86" s="152" t="str">
        <f t="shared" si="6"/>
        <v>Medio</v>
      </c>
    </row>
    <row r="87" spans="1:19" s="59" customFormat="1" ht="32.1" customHeight="1" x14ac:dyDescent="0.2">
      <c r="A87" s="127" t="s">
        <v>4120</v>
      </c>
      <c r="B87" s="258" t="s">
        <v>3812</v>
      </c>
      <c r="C87" s="289" t="s">
        <v>3813</v>
      </c>
      <c r="D87" s="121">
        <v>104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>
        <v>0</v>
      </c>
      <c r="Q87" s="145">
        <f t="shared" si="4"/>
        <v>0</v>
      </c>
      <c r="R87" s="151" t="str">
        <f t="shared" si="5"/>
        <v>SI</v>
      </c>
      <c r="S87" s="152" t="str">
        <f t="shared" si="6"/>
        <v>Sin Riesgo</v>
      </c>
    </row>
    <row r="88" spans="1:19" s="59" customFormat="1" ht="32.1" customHeight="1" x14ac:dyDescent="0.2">
      <c r="A88" s="127" t="s">
        <v>4120</v>
      </c>
      <c r="B88" s="258" t="s">
        <v>3295</v>
      </c>
      <c r="C88" s="289" t="s">
        <v>3814</v>
      </c>
      <c r="D88" s="121">
        <v>82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>
        <v>0</v>
      </c>
      <c r="Q88" s="145">
        <f t="shared" si="4"/>
        <v>0</v>
      </c>
      <c r="R88" s="151" t="str">
        <f t="shared" si="5"/>
        <v>SI</v>
      </c>
      <c r="S88" s="152" t="str">
        <f t="shared" si="6"/>
        <v>Sin Riesgo</v>
      </c>
    </row>
    <row r="89" spans="1:19" s="59" customFormat="1" ht="32.1" customHeight="1" x14ac:dyDescent="0.2">
      <c r="A89" s="127" t="s">
        <v>4120</v>
      </c>
      <c r="B89" s="258" t="s">
        <v>3365</v>
      </c>
      <c r="C89" s="289" t="s">
        <v>3815</v>
      </c>
      <c r="D89" s="121">
        <v>156</v>
      </c>
      <c r="E89" s="81"/>
      <c r="F89" s="81"/>
      <c r="G89" s="81"/>
      <c r="H89" s="81"/>
      <c r="I89" s="81">
        <v>2.65</v>
      </c>
      <c r="J89" s="81"/>
      <c r="K89" s="81"/>
      <c r="L89" s="81"/>
      <c r="M89" s="81"/>
      <c r="N89" s="81"/>
      <c r="O89" s="81"/>
      <c r="P89" s="81">
        <v>2.65</v>
      </c>
      <c r="Q89" s="145">
        <f t="shared" si="4"/>
        <v>2.65</v>
      </c>
      <c r="R89" s="151" t="str">
        <f t="shared" si="5"/>
        <v>SI</v>
      </c>
      <c r="S89" s="152" t="str">
        <f t="shared" si="6"/>
        <v>Sin Riesgo</v>
      </c>
    </row>
    <row r="90" spans="1:19" s="59" customFormat="1" ht="32.1" customHeight="1" x14ac:dyDescent="0.2">
      <c r="A90" s="127" t="s">
        <v>4120</v>
      </c>
      <c r="B90" s="258" t="s">
        <v>3816</v>
      </c>
      <c r="C90" s="289" t="s">
        <v>3817</v>
      </c>
      <c r="D90" s="121">
        <v>90</v>
      </c>
      <c r="E90" s="81"/>
      <c r="F90" s="81"/>
      <c r="G90" s="81"/>
      <c r="H90" s="81"/>
      <c r="I90" s="81"/>
      <c r="J90" s="81">
        <v>26.55</v>
      </c>
      <c r="K90" s="81"/>
      <c r="L90" s="81"/>
      <c r="M90" s="81"/>
      <c r="N90" s="81"/>
      <c r="O90" s="81"/>
      <c r="P90" s="81">
        <v>53.1</v>
      </c>
      <c r="Q90" s="145">
        <f t="shared" si="4"/>
        <v>39.825000000000003</v>
      </c>
      <c r="R90" s="151" t="str">
        <f t="shared" si="5"/>
        <v>NO</v>
      </c>
      <c r="S90" s="152" t="str">
        <f t="shared" si="6"/>
        <v>Alto</v>
      </c>
    </row>
    <row r="91" spans="1:19" s="59" customFormat="1" ht="32.1" customHeight="1" x14ac:dyDescent="0.2">
      <c r="A91" s="127" t="s">
        <v>4120</v>
      </c>
      <c r="B91" s="258" t="s">
        <v>3818</v>
      </c>
      <c r="C91" s="289" t="s">
        <v>3819</v>
      </c>
      <c r="D91" s="116">
        <v>60</v>
      </c>
      <c r="E91" s="81"/>
      <c r="F91" s="81"/>
      <c r="G91" s="81"/>
      <c r="H91" s="81"/>
      <c r="I91" s="81"/>
      <c r="J91" s="81">
        <v>26.55</v>
      </c>
      <c r="K91" s="81"/>
      <c r="L91" s="81"/>
      <c r="M91" s="81"/>
      <c r="N91" s="81"/>
      <c r="O91" s="81"/>
      <c r="P91" s="81">
        <v>53.1</v>
      </c>
      <c r="Q91" s="145">
        <f t="shared" si="4"/>
        <v>39.825000000000003</v>
      </c>
      <c r="R91" s="151" t="str">
        <f t="shared" si="5"/>
        <v>NO</v>
      </c>
      <c r="S91" s="152" t="str">
        <f t="shared" si="6"/>
        <v>Alto</v>
      </c>
    </row>
    <row r="92" spans="1:19" s="59" customFormat="1" ht="32.1" customHeight="1" x14ac:dyDescent="0.2">
      <c r="A92" s="127" t="s">
        <v>4120</v>
      </c>
      <c r="B92" s="258" t="s">
        <v>3820</v>
      </c>
      <c r="C92" s="289" t="s">
        <v>3821</v>
      </c>
      <c r="D92" s="121">
        <v>60</v>
      </c>
      <c r="E92" s="81"/>
      <c r="F92" s="81"/>
      <c r="G92" s="81"/>
      <c r="H92" s="81"/>
      <c r="I92" s="81"/>
      <c r="J92" s="81">
        <v>26.6</v>
      </c>
      <c r="K92" s="81"/>
      <c r="L92" s="81"/>
      <c r="M92" s="81"/>
      <c r="N92" s="81"/>
      <c r="O92" s="81"/>
      <c r="P92" s="81">
        <v>53.1</v>
      </c>
      <c r="Q92" s="145">
        <f t="shared" si="4"/>
        <v>39.85</v>
      </c>
      <c r="R92" s="151" t="str">
        <f t="shared" si="5"/>
        <v>NO</v>
      </c>
      <c r="S92" s="152" t="str">
        <f t="shared" si="6"/>
        <v>Alto</v>
      </c>
    </row>
    <row r="93" spans="1:19" s="59" customFormat="1" ht="32.1" customHeight="1" x14ac:dyDescent="0.2">
      <c r="A93" s="127" t="s">
        <v>4120</v>
      </c>
      <c r="B93" s="258" t="s">
        <v>3822</v>
      </c>
      <c r="C93" s="289" t="s">
        <v>3823</v>
      </c>
      <c r="D93" s="121">
        <v>14</v>
      </c>
      <c r="E93" s="81"/>
      <c r="F93" s="81"/>
      <c r="G93" s="81"/>
      <c r="H93" s="81"/>
      <c r="I93" s="81"/>
      <c r="J93" s="81">
        <v>26.6</v>
      </c>
      <c r="K93" s="81"/>
      <c r="L93" s="81"/>
      <c r="M93" s="81"/>
      <c r="N93" s="81"/>
      <c r="O93" s="81"/>
      <c r="P93" s="81">
        <v>0</v>
      </c>
      <c r="Q93" s="145">
        <f t="shared" si="4"/>
        <v>13.3</v>
      </c>
      <c r="R93" s="151" t="str">
        <f t="shared" si="5"/>
        <v>NO</v>
      </c>
      <c r="S93" s="152" t="str">
        <f t="shared" si="6"/>
        <v>Bajo</v>
      </c>
    </row>
    <row r="94" spans="1:19" s="59" customFormat="1" ht="32.1" customHeight="1" x14ac:dyDescent="0.2">
      <c r="A94" s="127" t="s">
        <v>4120</v>
      </c>
      <c r="B94" s="258" t="s">
        <v>65</v>
      </c>
      <c r="C94" s="258" t="s">
        <v>3824</v>
      </c>
      <c r="D94" s="116">
        <v>176</v>
      </c>
      <c r="E94" s="81"/>
      <c r="F94" s="81"/>
      <c r="G94" s="81"/>
      <c r="H94" s="81"/>
      <c r="I94" s="81"/>
      <c r="J94" s="81">
        <v>13.25</v>
      </c>
      <c r="K94" s="81"/>
      <c r="L94" s="81"/>
      <c r="M94" s="81">
        <v>0</v>
      </c>
      <c r="N94" s="81"/>
      <c r="O94" s="81"/>
      <c r="P94" s="81">
        <v>2.65</v>
      </c>
      <c r="Q94" s="145">
        <f t="shared" si="4"/>
        <v>5.3</v>
      </c>
      <c r="R94" s="151" t="str">
        <f t="shared" si="5"/>
        <v>NO</v>
      </c>
      <c r="S94" s="152" t="str">
        <f t="shared" si="6"/>
        <v>Bajo</v>
      </c>
    </row>
    <row r="95" spans="1:19" s="59" customFormat="1" ht="32.1" customHeight="1" x14ac:dyDescent="0.2">
      <c r="A95" s="127" t="s">
        <v>133</v>
      </c>
      <c r="B95" s="289" t="s">
        <v>1074</v>
      </c>
      <c r="C95" s="258" t="s">
        <v>3826</v>
      </c>
      <c r="D95" s="121">
        <v>164</v>
      </c>
      <c r="E95" s="81"/>
      <c r="F95" s="81"/>
      <c r="G95" s="81"/>
      <c r="H95" s="81"/>
      <c r="I95" s="81"/>
      <c r="J95" s="81">
        <v>97.3</v>
      </c>
      <c r="K95" s="81"/>
      <c r="L95" s="81"/>
      <c r="M95" s="81"/>
      <c r="N95" s="81"/>
      <c r="O95" s="81">
        <v>97.3</v>
      </c>
      <c r="P95" s="81"/>
      <c r="Q95" s="145">
        <f t="shared" si="4"/>
        <v>97.3</v>
      </c>
      <c r="R95" s="151" t="str">
        <f t="shared" si="5"/>
        <v>NO</v>
      </c>
      <c r="S95" s="152" t="str">
        <f t="shared" si="6"/>
        <v>Inviable Sanitariamente</v>
      </c>
    </row>
    <row r="96" spans="1:19" s="59" customFormat="1" ht="32.1" customHeight="1" x14ac:dyDescent="0.2">
      <c r="A96" s="127" t="s">
        <v>133</v>
      </c>
      <c r="B96" s="289" t="s">
        <v>3827</v>
      </c>
      <c r="C96" s="258" t="s">
        <v>3828</v>
      </c>
      <c r="D96" s="121">
        <v>62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>
        <v>97.3</v>
      </c>
      <c r="P96" s="81"/>
      <c r="Q96" s="145">
        <f t="shared" si="4"/>
        <v>97.3</v>
      </c>
      <c r="R96" s="151" t="str">
        <f t="shared" si="5"/>
        <v>NO</v>
      </c>
      <c r="S96" s="152" t="str">
        <f t="shared" si="6"/>
        <v>Inviable Sanitariamente</v>
      </c>
    </row>
    <row r="97" spans="1:19" s="59" customFormat="1" ht="32.1" customHeight="1" x14ac:dyDescent="0.2">
      <c r="A97" s="127" t="s">
        <v>133</v>
      </c>
      <c r="B97" s="289" t="s">
        <v>3829</v>
      </c>
      <c r="C97" s="289" t="s">
        <v>3830</v>
      </c>
      <c r="D97" s="121">
        <v>44</v>
      </c>
      <c r="E97" s="81"/>
      <c r="F97" s="81"/>
      <c r="G97" s="81">
        <v>97.3</v>
      </c>
      <c r="H97" s="81"/>
      <c r="I97" s="81"/>
      <c r="J97" s="81"/>
      <c r="K97" s="81"/>
      <c r="L97" s="81"/>
      <c r="M97" s="81"/>
      <c r="N97" s="81"/>
      <c r="O97" s="81">
        <v>97.3</v>
      </c>
      <c r="P97" s="81"/>
      <c r="Q97" s="145">
        <f t="shared" si="4"/>
        <v>97.3</v>
      </c>
      <c r="R97" s="151" t="str">
        <f t="shared" si="5"/>
        <v>NO</v>
      </c>
      <c r="S97" s="152" t="str">
        <f t="shared" si="6"/>
        <v>Inviable Sanitariamente</v>
      </c>
    </row>
    <row r="98" spans="1:19" s="59" customFormat="1" ht="32.1" customHeight="1" x14ac:dyDescent="0.2">
      <c r="A98" s="127" t="s">
        <v>133</v>
      </c>
      <c r="B98" s="289" t="s">
        <v>3831</v>
      </c>
      <c r="C98" s="289" t="s">
        <v>3832</v>
      </c>
      <c r="D98" s="121">
        <v>48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145" t="e">
        <f t="shared" si="4"/>
        <v>#DIV/0!</v>
      </c>
      <c r="R98" s="151" t="e">
        <f t="shared" si="5"/>
        <v>#DIV/0!</v>
      </c>
      <c r="S98" s="152" t="e">
        <f t="shared" si="6"/>
        <v>#DIV/0!</v>
      </c>
    </row>
    <row r="99" spans="1:19" s="59" customFormat="1" ht="32.1" customHeight="1" x14ac:dyDescent="0.2">
      <c r="A99" s="127" t="s">
        <v>133</v>
      </c>
      <c r="B99" s="289" t="s">
        <v>3833</v>
      </c>
      <c r="C99" s="258" t="s">
        <v>3834</v>
      </c>
      <c r="D99" s="121">
        <v>98</v>
      </c>
      <c r="E99" s="81"/>
      <c r="F99" s="81"/>
      <c r="G99" s="81">
        <v>26.6</v>
      </c>
      <c r="H99" s="81"/>
      <c r="I99" s="81"/>
      <c r="J99" s="81"/>
      <c r="K99" s="81"/>
      <c r="L99" s="81"/>
      <c r="M99" s="81">
        <v>0</v>
      </c>
      <c r="N99" s="81"/>
      <c r="O99" s="81"/>
      <c r="P99" s="81"/>
      <c r="Q99" s="145">
        <f t="shared" si="4"/>
        <v>13.3</v>
      </c>
      <c r="R99" s="151" t="str">
        <f t="shared" si="5"/>
        <v>NO</v>
      </c>
      <c r="S99" s="152" t="str">
        <f t="shared" si="6"/>
        <v>Bajo</v>
      </c>
    </row>
    <row r="100" spans="1:19" s="59" customFormat="1" ht="32.1" customHeight="1" x14ac:dyDescent="0.2">
      <c r="A100" s="127" t="s">
        <v>133</v>
      </c>
      <c r="B100" s="289" t="s">
        <v>3835</v>
      </c>
      <c r="C100" s="258" t="s">
        <v>3836</v>
      </c>
      <c r="D100" s="121">
        <v>30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145" t="e">
        <f t="shared" si="4"/>
        <v>#DIV/0!</v>
      </c>
      <c r="R100" s="151" t="e">
        <f t="shared" si="5"/>
        <v>#DIV/0!</v>
      </c>
      <c r="S100" s="152" t="e">
        <f t="shared" si="6"/>
        <v>#DIV/0!</v>
      </c>
    </row>
    <row r="101" spans="1:19" s="59" customFormat="1" ht="32.1" customHeight="1" x14ac:dyDescent="0.2">
      <c r="A101" s="127" t="s">
        <v>133</v>
      </c>
      <c r="B101" s="289" t="s">
        <v>855</v>
      </c>
      <c r="C101" s="289" t="s">
        <v>3837</v>
      </c>
      <c r="D101" s="121">
        <v>38</v>
      </c>
      <c r="E101" s="81"/>
      <c r="F101" s="81"/>
      <c r="G101" s="81">
        <v>97.3</v>
      </c>
      <c r="H101" s="81"/>
      <c r="I101" s="81"/>
      <c r="J101" s="81"/>
      <c r="K101" s="81"/>
      <c r="L101" s="81">
        <v>97.3</v>
      </c>
      <c r="M101" s="81"/>
      <c r="N101" s="81"/>
      <c r="O101" s="81"/>
      <c r="P101" s="81"/>
      <c r="Q101" s="145">
        <f t="shared" si="4"/>
        <v>97.3</v>
      </c>
      <c r="R101" s="151" t="str">
        <f t="shared" si="5"/>
        <v>NO</v>
      </c>
      <c r="S101" s="152" t="str">
        <f t="shared" si="6"/>
        <v>Inviable Sanitariamente</v>
      </c>
    </row>
    <row r="102" spans="1:19" s="59" customFormat="1" ht="32.1" customHeight="1" x14ac:dyDescent="0.2">
      <c r="A102" s="127" t="s">
        <v>133</v>
      </c>
      <c r="B102" s="289" t="s">
        <v>3838</v>
      </c>
      <c r="C102" s="289" t="s">
        <v>3839</v>
      </c>
      <c r="D102" s="116">
        <v>20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>
        <v>53.1</v>
      </c>
      <c r="P102" s="81"/>
      <c r="Q102" s="145">
        <f t="shared" si="4"/>
        <v>53.1</v>
      </c>
      <c r="R102" s="151" t="str">
        <f t="shared" si="5"/>
        <v>NO</v>
      </c>
      <c r="S102" s="152" t="str">
        <f t="shared" si="6"/>
        <v>Alto</v>
      </c>
    </row>
    <row r="103" spans="1:19" s="59" customFormat="1" ht="32.1" customHeight="1" x14ac:dyDescent="0.2">
      <c r="A103" s="127" t="s">
        <v>133</v>
      </c>
      <c r="B103" s="289" t="s">
        <v>3840</v>
      </c>
      <c r="C103" s="289" t="s">
        <v>3841</v>
      </c>
      <c r="D103" s="121">
        <v>20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145" t="e">
        <f t="shared" si="4"/>
        <v>#DIV/0!</v>
      </c>
      <c r="R103" s="151" t="e">
        <f t="shared" si="5"/>
        <v>#DIV/0!</v>
      </c>
      <c r="S103" s="152" t="e">
        <f t="shared" si="6"/>
        <v>#DIV/0!</v>
      </c>
    </row>
    <row r="104" spans="1:19" s="59" customFormat="1" ht="32.1" customHeight="1" x14ac:dyDescent="0.2">
      <c r="A104" s="127" t="s">
        <v>133</v>
      </c>
      <c r="B104" s="289" t="s">
        <v>63</v>
      </c>
      <c r="C104" s="289" t="s">
        <v>3842</v>
      </c>
      <c r="D104" s="121">
        <v>20</v>
      </c>
      <c r="E104" s="81"/>
      <c r="F104" s="81"/>
      <c r="G104" s="81"/>
      <c r="H104" s="81"/>
      <c r="I104" s="81"/>
      <c r="J104" s="81"/>
      <c r="K104" s="81"/>
      <c r="L104" s="81">
        <v>97.3</v>
      </c>
      <c r="M104" s="81"/>
      <c r="N104" s="81"/>
      <c r="O104" s="81"/>
      <c r="P104" s="81"/>
      <c r="Q104" s="145">
        <f t="shared" si="4"/>
        <v>97.3</v>
      </c>
      <c r="R104" s="151" t="str">
        <f t="shared" si="5"/>
        <v>NO</v>
      </c>
      <c r="S104" s="152" t="str">
        <f t="shared" si="6"/>
        <v>Inviable Sanitariamente</v>
      </c>
    </row>
    <row r="105" spans="1:19" s="59" customFormat="1" ht="32.1" customHeight="1" x14ac:dyDescent="0.2">
      <c r="A105" s="127" t="s">
        <v>133</v>
      </c>
      <c r="B105" s="289" t="s">
        <v>1938</v>
      </c>
      <c r="C105" s="289" t="s">
        <v>3843</v>
      </c>
      <c r="D105" s="116">
        <v>18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>
        <v>53.1</v>
      </c>
      <c r="P105" s="81"/>
      <c r="Q105" s="145">
        <f t="shared" si="4"/>
        <v>53.1</v>
      </c>
      <c r="R105" s="151" t="str">
        <f t="shared" si="5"/>
        <v>NO</v>
      </c>
      <c r="S105" s="152" t="str">
        <f t="shared" si="6"/>
        <v>Alto</v>
      </c>
    </row>
    <row r="106" spans="1:19" s="59" customFormat="1" ht="32.1" customHeight="1" x14ac:dyDescent="0.2">
      <c r="A106" s="127" t="s">
        <v>133</v>
      </c>
      <c r="B106" s="289" t="s">
        <v>44</v>
      </c>
      <c r="C106" s="289" t="s">
        <v>3844</v>
      </c>
      <c r="D106" s="121">
        <v>22</v>
      </c>
      <c r="E106" s="81"/>
      <c r="F106" s="81"/>
      <c r="G106" s="81">
        <v>97.3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145">
        <f t="shared" ref="Q106:Q137" si="7">AVERAGE(E106:P106)</f>
        <v>97.3</v>
      </c>
      <c r="R106" s="151" t="str">
        <f t="shared" si="5"/>
        <v>NO</v>
      </c>
      <c r="S106" s="152" t="str">
        <f t="shared" si="6"/>
        <v>Inviable Sanitariamente</v>
      </c>
    </row>
    <row r="107" spans="1:19" s="59" customFormat="1" ht="32.1" customHeight="1" x14ac:dyDescent="0.2">
      <c r="A107" s="127" t="s">
        <v>133</v>
      </c>
      <c r="B107" s="289" t="s">
        <v>78</v>
      </c>
      <c r="C107" s="289" t="s">
        <v>3845</v>
      </c>
      <c r="D107" s="121">
        <v>38</v>
      </c>
      <c r="E107" s="81"/>
      <c r="F107" s="81"/>
      <c r="G107" s="81">
        <v>53.1</v>
      </c>
      <c r="H107" s="81"/>
      <c r="I107" s="81"/>
      <c r="J107" s="81"/>
      <c r="K107" s="81"/>
      <c r="L107" s="81"/>
      <c r="M107" s="81"/>
      <c r="N107" s="81">
        <v>53.1</v>
      </c>
      <c r="O107" s="81"/>
      <c r="P107" s="81"/>
      <c r="Q107" s="145">
        <f t="shared" si="7"/>
        <v>53.1</v>
      </c>
      <c r="R107" s="151" t="str">
        <f t="shared" si="5"/>
        <v>NO</v>
      </c>
      <c r="S107" s="152" t="str">
        <f t="shared" si="6"/>
        <v>Alto</v>
      </c>
    </row>
    <row r="108" spans="1:19" s="59" customFormat="1" ht="32.1" customHeight="1" x14ac:dyDescent="0.2">
      <c r="A108" s="127" t="s">
        <v>133</v>
      </c>
      <c r="B108" s="289" t="s">
        <v>3846</v>
      </c>
      <c r="C108" s="289" t="s">
        <v>3847</v>
      </c>
      <c r="D108" s="116">
        <v>22</v>
      </c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145" t="e">
        <f t="shared" si="7"/>
        <v>#DIV/0!</v>
      </c>
      <c r="R108" s="151" t="e">
        <f t="shared" si="5"/>
        <v>#DIV/0!</v>
      </c>
      <c r="S108" s="152" t="e">
        <f t="shared" si="6"/>
        <v>#DIV/0!</v>
      </c>
    </row>
    <row r="109" spans="1:19" s="59" customFormat="1" ht="32.1" customHeight="1" x14ac:dyDescent="0.2">
      <c r="A109" s="127" t="s">
        <v>133</v>
      </c>
      <c r="B109" s="289" t="s">
        <v>3848</v>
      </c>
      <c r="C109" s="289" t="s">
        <v>3849</v>
      </c>
      <c r="D109" s="121">
        <v>115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>
        <v>97.3</v>
      </c>
      <c r="P109" s="81"/>
      <c r="Q109" s="145">
        <f t="shared" si="7"/>
        <v>97.3</v>
      </c>
      <c r="R109" s="151" t="str">
        <f t="shared" si="5"/>
        <v>NO</v>
      </c>
      <c r="S109" s="152" t="str">
        <f t="shared" si="6"/>
        <v>Inviable Sanitariamente</v>
      </c>
    </row>
    <row r="110" spans="1:19" s="59" customFormat="1" ht="32.1" customHeight="1" x14ac:dyDescent="0.2">
      <c r="A110" s="127" t="s">
        <v>133</v>
      </c>
      <c r="B110" s="289" t="s">
        <v>239</v>
      </c>
      <c r="C110" s="289" t="s">
        <v>3850</v>
      </c>
      <c r="D110" s="121">
        <v>20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145" t="e">
        <f t="shared" si="7"/>
        <v>#DIV/0!</v>
      </c>
      <c r="R110" s="151" t="e">
        <f t="shared" si="5"/>
        <v>#DIV/0!</v>
      </c>
      <c r="S110" s="152" t="e">
        <f t="shared" si="6"/>
        <v>#DIV/0!</v>
      </c>
    </row>
    <row r="111" spans="1:19" s="59" customFormat="1" ht="32.1" customHeight="1" x14ac:dyDescent="0.2">
      <c r="A111" s="127" t="s">
        <v>133</v>
      </c>
      <c r="B111" s="289" t="s">
        <v>3851</v>
      </c>
      <c r="C111" s="289" t="s">
        <v>3852</v>
      </c>
      <c r="D111" s="121">
        <v>21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>
        <v>96.4</v>
      </c>
      <c r="Q111" s="145">
        <f t="shared" si="7"/>
        <v>96.4</v>
      </c>
      <c r="R111" s="151" t="str">
        <f t="shared" si="5"/>
        <v>NO</v>
      </c>
      <c r="S111" s="152" t="str">
        <f t="shared" si="6"/>
        <v>Inviable Sanitariamente</v>
      </c>
    </row>
    <row r="112" spans="1:19" s="59" customFormat="1" ht="32.1" customHeight="1" x14ac:dyDescent="0.2">
      <c r="A112" s="127" t="s">
        <v>133</v>
      </c>
      <c r="B112" s="289" t="s">
        <v>3853</v>
      </c>
      <c r="C112" s="289" t="s">
        <v>3854</v>
      </c>
      <c r="D112" s="121">
        <v>16</v>
      </c>
      <c r="E112" s="81"/>
      <c r="F112" s="81"/>
      <c r="G112" s="81"/>
      <c r="H112" s="81"/>
      <c r="I112" s="81"/>
      <c r="J112" s="81"/>
      <c r="K112" s="81"/>
      <c r="L112" s="81"/>
      <c r="M112" s="81">
        <v>53.1</v>
      </c>
      <c r="N112" s="81"/>
      <c r="O112" s="81"/>
      <c r="P112" s="81"/>
      <c r="Q112" s="145">
        <f t="shared" si="7"/>
        <v>53.1</v>
      </c>
      <c r="R112" s="151" t="str">
        <f t="shared" si="5"/>
        <v>NO</v>
      </c>
      <c r="S112" s="152" t="str">
        <f t="shared" si="6"/>
        <v>Alto</v>
      </c>
    </row>
    <row r="113" spans="1:19" s="59" customFormat="1" ht="32.1" customHeight="1" x14ac:dyDescent="0.2">
      <c r="A113" s="127" t="s">
        <v>133</v>
      </c>
      <c r="B113" s="289" t="s">
        <v>3855</v>
      </c>
      <c r="C113" s="258" t="s">
        <v>3856</v>
      </c>
      <c r="D113" s="121">
        <v>27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145" t="e">
        <f t="shared" si="7"/>
        <v>#DIV/0!</v>
      </c>
      <c r="R113" s="151" t="e">
        <f t="shared" si="5"/>
        <v>#DIV/0!</v>
      </c>
      <c r="S113" s="152" t="e">
        <f t="shared" si="6"/>
        <v>#DIV/0!</v>
      </c>
    </row>
    <row r="114" spans="1:19" s="59" customFormat="1" ht="32.1" customHeight="1" x14ac:dyDescent="0.2">
      <c r="A114" s="127" t="s">
        <v>133</v>
      </c>
      <c r="B114" s="289" t="s">
        <v>3857</v>
      </c>
      <c r="C114" s="258" t="s">
        <v>3858</v>
      </c>
      <c r="D114" s="121">
        <v>26</v>
      </c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145" t="e">
        <f t="shared" si="7"/>
        <v>#DIV/0!</v>
      </c>
      <c r="R114" s="151" t="e">
        <f t="shared" si="5"/>
        <v>#DIV/0!</v>
      </c>
      <c r="S114" s="152" t="e">
        <f t="shared" si="6"/>
        <v>#DIV/0!</v>
      </c>
    </row>
    <row r="115" spans="1:19" s="59" customFormat="1" ht="32.1" customHeight="1" x14ac:dyDescent="0.2">
      <c r="A115" s="127" t="s">
        <v>133</v>
      </c>
      <c r="B115" s="289" t="s">
        <v>3859</v>
      </c>
      <c r="C115" s="289" t="s">
        <v>3860</v>
      </c>
      <c r="D115" s="121">
        <v>18</v>
      </c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>
        <v>53.1</v>
      </c>
      <c r="P115" s="81"/>
      <c r="Q115" s="145">
        <f t="shared" si="7"/>
        <v>53.1</v>
      </c>
      <c r="R115" s="151" t="str">
        <f t="shared" si="5"/>
        <v>NO</v>
      </c>
      <c r="S115" s="152" t="str">
        <f t="shared" si="6"/>
        <v>Alto</v>
      </c>
    </row>
    <row r="116" spans="1:19" s="322" customFormat="1" ht="32.1" customHeight="1" x14ac:dyDescent="0.2">
      <c r="A116" s="127" t="s">
        <v>134</v>
      </c>
      <c r="B116" s="258" t="s">
        <v>3861</v>
      </c>
      <c r="C116" s="258" t="s">
        <v>3862</v>
      </c>
      <c r="D116" s="121">
        <v>17</v>
      </c>
      <c r="E116" s="81">
        <v>0</v>
      </c>
      <c r="F116" s="81"/>
      <c r="G116" s="81"/>
      <c r="H116" s="81">
        <v>0</v>
      </c>
      <c r="I116" s="81"/>
      <c r="J116" s="81">
        <v>0</v>
      </c>
      <c r="K116" s="81"/>
      <c r="L116" s="81">
        <v>0</v>
      </c>
      <c r="M116" s="81"/>
      <c r="N116" s="81"/>
      <c r="O116" s="81"/>
      <c r="P116" s="81">
        <v>0</v>
      </c>
      <c r="Q116" s="145">
        <f t="shared" si="7"/>
        <v>0</v>
      </c>
      <c r="R116" s="151" t="str">
        <f t="shared" si="5"/>
        <v>SI</v>
      </c>
      <c r="S116" s="152" t="str">
        <f t="shared" si="6"/>
        <v>Sin Riesgo</v>
      </c>
    </row>
    <row r="117" spans="1:19" s="322" customFormat="1" ht="32.1" customHeight="1" x14ac:dyDescent="0.2">
      <c r="A117" s="127" t="s">
        <v>134</v>
      </c>
      <c r="B117" s="258" t="s">
        <v>3863</v>
      </c>
      <c r="C117" s="258" t="s">
        <v>3864</v>
      </c>
      <c r="D117" s="121">
        <v>35</v>
      </c>
      <c r="E117" s="81"/>
      <c r="F117" s="81"/>
      <c r="G117" s="81">
        <v>0</v>
      </c>
      <c r="H117" s="81"/>
      <c r="I117" s="81"/>
      <c r="J117" s="81"/>
      <c r="K117" s="81"/>
      <c r="L117" s="81"/>
      <c r="M117" s="81"/>
      <c r="N117" s="81">
        <v>0</v>
      </c>
      <c r="O117" s="81">
        <v>0</v>
      </c>
      <c r="P117" s="81"/>
      <c r="Q117" s="145">
        <f t="shared" si="7"/>
        <v>0</v>
      </c>
      <c r="R117" s="151" t="str">
        <f t="shared" si="5"/>
        <v>SI</v>
      </c>
      <c r="S117" s="152" t="str">
        <f t="shared" si="6"/>
        <v>Sin Riesgo</v>
      </c>
    </row>
    <row r="118" spans="1:19" s="322" customFormat="1" ht="32.1" customHeight="1" x14ac:dyDescent="0.2">
      <c r="A118" s="127" t="s">
        <v>134</v>
      </c>
      <c r="B118" s="258" t="s">
        <v>1354</v>
      </c>
      <c r="C118" s="258" t="s">
        <v>3865</v>
      </c>
      <c r="D118" s="121">
        <v>19</v>
      </c>
      <c r="E118" s="81"/>
      <c r="F118" s="81">
        <v>0</v>
      </c>
      <c r="G118" s="81"/>
      <c r="H118" s="81">
        <v>0</v>
      </c>
      <c r="I118" s="81"/>
      <c r="J118" s="81">
        <v>0</v>
      </c>
      <c r="K118" s="81"/>
      <c r="L118" s="81">
        <v>0</v>
      </c>
      <c r="M118" s="81"/>
      <c r="N118" s="81"/>
      <c r="O118" s="81">
        <v>0</v>
      </c>
      <c r="P118" s="81"/>
      <c r="Q118" s="145">
        <f t="shared" si="7"/>
        <v>0</v>
      </c>
      <c r="R118" s="151" t="str">
        <f t="shared" si="5"/>
        <v>SI</v>
      </c>
      <c r="S118" s="152" t="str">
        <f t="shared" si="6"/>
        <v>Sin Riesgo</v>
      </c>
    </row>
    <row r="119" spans="1:19" s="322" customFormat="1" ht="32.1" customHeight="1" x14ac:dyDescent="0.2">
      <c r="A119" s="127" t="s">
        <v>134</v>
      </c>
      <c r="B119" s="258" t="s">
        <v>3866</v>
      </c>
      <c r="C119" s="258" t="s">
        <v>3867</v>
      </c>
      <c r="D119" s="121">
        <v>21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>
        <v>97.34</v>
      </c>
      <c r="Q119" s="145">
        <f t="shared" si="7"/>
        <v>97.34</v>
      </c>
      <c r="R119" s="151" t="str">
        <f t="shared" si="5"/>
        <v>NO</v>
      </c>
      <c r="S119" s="152" t="str">
        <f t="shared" si="6"/>
        <v>Inviable Sanitariamente</v>
      </c>
    </row>
    <row r="120" spans="1:19" s="322" customFormat="1" ht="32.1" customHeight="1" x14ac:dyDescent="0.2">
      <c r="A120" s="127" t="s">
        <v>134</v>
      </c>
      <c r="B120" s="258" t="s">
        <v>3868</v>
      </c>
      <c r="C120" s="258" t="s">
        <v>3869</v>
      </c>
      <c r="D120" s="121">
        <v>53</v>
      </c>
      <c r="E120" s="81"/>
      <c r="F120" s="81"/>
      <c r="G120" s="81">
        <v>97.34</v>
      </c>
      <c r="H120" s="81"/>
      <c r="I120" s="81"/>
      <c r="J120" s="81"/>
      <c r="K120" s="81">
        <v>97.34</v>
      </c>
      <c r="L120" s="81"/>
      <c r="M120" s="81"/>
      <c r="N120" s="81"/>
      <c r="O120" s="81">
        <v>97.34</v>
      </c>
      <c r="P120" s="81"/>
      <c r="Q120" s="145">
        <f t="shared" si="7"/>
        <v>97.339999999999989</v>
      </c>
      <c r="R120" s="151" t="str">
        <f t="shared" si="5"/>
        <v>NO</v>
      </c>
      <c r="S120" s="152" t="str">
        <f t="shared" si="6"/>
        <v>Inviable Sanitariamente</v>
      </c>
    </row>
    <row r="121" spans="1:19" s="322" customFormat="1" ht="32.1" customHeight="1" x14ac:dyDescent="0.2">
      <c r="A121" s="127" t="s">
        <v>134</v>
      </c>
      <c r="B121" s="258" t="s">
        <v>3870</v>
      </c>
      <c r="C121" s="258" t="s">
        <v>3871</v>
      </c>
      <c r="D121" s="121">
        <v>127</v>
      </c>
      <c r="E121" s="81"/>
      <c r="F121" s="81">
        <v>97.34</v>
      </c>
      <c r="G121" s="81"/>
      <c r="H121" s="81"/>
      <c r="I121" s="81"/>
      <c r="J121" s="81"/>
      <c r="K121" s="81"/>
      <c r="L121" s="81">
        <v>97.34</v>
      </c>
      <c r="M121" s="81"/>
      <c r="N121" s="81"/>
      <c r="O121" s="81"/>
      <c r="P121" s="81"/>
      <c r="Q121" s="145">
        <f t="shared" si="7"/>
        <v>97.34</v>
      </c>
      <c r="R121" s="151" t="str">
        <f t="shared" si="5"/>
        <v>NO</v>
      </c>
      <c r="S121" s="152" t="str">
        <f t="shared" si="6"/>
        <v>Inviable Sanitariamente</v>
      </c>
    </row>
    <row r="122" spans="1:19" s="322" customFormat="1" ht="32.1" customHeight="1" x14ac:dyDescent="0.2">
      <c r="A122" s="127" t="s">
        <v>134</v>
      </c>
      <c r="B122" s="258" t="s">
        <v>3872</v>
      </c>
      <c r="C122" s="258" t="s">
        <v>3873</v>
      </c>
      <c r="D122" s="121">
        <v>30</v>
      </c>
      <c r="E122" s="81"/>
      <c r="F122" s="81">
        <v>97.34</v>
      </c>
      <c r="G122" s="81"/>
      <c r="H122" s="81"/>
      <c r="I122" s="81"/>
      <c r="J122" s="81"/>
      <c r="K122" s="81"/>
      <c r="L122" s="81">
        <v>97.34</v>
      </c>
      <c r="M122" s="81"/>
      <c r="N122" s="81"/>
      <c r="O122" s="81">
        <v>97.34</v>
      </c>
      <c r="P122" s="81"/>
      <c r="Q122" s="145">
        <f t="shared" si="7"/>
        <v>97.339999999999989</v>
      </c>
      <c r="R122" s="151" t="str">
        <f t="shared" si="5"/>
        <v>NO</v>
      </c>
      <c r="S122" s="152" t="str">
        <f t="shared" si="6"/>
        <v>Inviable Sanitariamente</v>
      </c>
    </row>
    <row r="123" spans="1:19" s="322" customFormat="1" ht="32.1" customHeight="1" x14ac:dyDescent="0.2">
      <c r="A123" s="127" t="s">
        <v>134</v>
      </c>
      <c r="B123" s="258" t="s">
        <v>3874</v>
      </c>
      <c r="C123" s="258" t="s">
        <v>3875</v>
      </c>
      <c r="D123" s="116">
        <v>45</v>
      </c>
      <c r="E123" s="81"/>
      <c r="F123" s="81">
        <v>0</v>
      </c>
      <c r="G123" s="81"/>
      <c r="H123" s="81"/>
      <c r="I123" s="81"/>
      <c r="J123" s="81"/>
      <c r="K123" s="81"/>
      <c r="L123" s="81"/>
      <c r="M123" s="81"/>
      <c r="N123" s="81"/>
      <c r="O123" s="81">
        <v>0</v>
      </c>
      <c r="P123" s="81"/>
      <c r="Q123" s="145">
        <f t="shared" si="7"/>
        <v>0</v>
      </c>
      <c r="R123" s="151" t="str">
        <f t="shared" si="5"/>
        <v>SI</v>
      </c>
      <c r="S123" s="152" t="str">
        <f t="shared" si="6"/>
        <v>Sin Riesgo</v>
      </c>
    </row>
    <row r="124" spans="1:19" s="322" customFormat="1" ht="32.1" customHeight="1" x14ac:dyDescent="0.2">
      <c r="A124" s="127" t="s">
        <v>134</v>
      </c>
      <c r="B124" s="258" t="s">
        <v>3876</v>
      </c>
      <c r="C124" s="258" t="s">
        <v>3877</v>
      </c>
      <c r="D124" s="121">
        <v>17</v>
      </c>
      <c r="E124" s="81"/>
      <c r="F124" s="81"/>
      <c r="G124" s="81">
        <v>97.34</v>
      </c>
      <c r="H124" s="81"/>
      <c r="I124" s="81"/>
      <c r="J124" s="81"/>
      <c r="K124" s="81"/>
      <c r="L124" s="81"/>
      <c r="M124" s="81">
        <v>97.34</v>
      </c>
      <c r="N124" s="81"/>
      <c r="O124" s="81"/>
      <c r="P124" s="81">
        <v>43</v>
      </c>
      <c r="Q124" s="145">
        <f t="shared" si="7"/>
        <v>79.226666666666674</v>
      </c>
      <c r="R124" s="151" t="str">
        <f t="shared" si="5"/>
        <v>NO</v>
      </c>
      <c r="S124" s="152" t="str">
        <f t="shared" si="6"/>
        <v>Alto</v>
      </c>
    </row>
    <row r="125" spans="1:19" s="322" customFormat="1" ht="32.1" customHeight="1" x14ac:dyDescent="0.2">
      <c r="A125" s="127" t="s">
        <v>134</v>
      </c>
      <c r="B125" s="258" t="s">
        <v>3878</v>
      </c>
      <c r="C125" s="258" t="s">
        <v>3879</v>
      </c>
      <c r="D125" s="121">
        <v>12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>
        <v>97.34</v>
      </c>
      <c r="P125" s="81"/>
      <c r="Q125" s="145">
        <f t="shared" si="7"/>
        <v>97.34</v>
      </c>
      <c r="R125" s="151" t="str">
        <f t="shared" si="5"/>
        <v>NO</v>
      </c>
      <c r="S125" s="152" t="str">
        <f t="shared" si="6"/>
        <v>Inviable Sanitariamente</v>
      </c>
    </row>
    <row r="126" spans="1:19" s="322" customFormat="1" ht="32.1" customHeight="1" x14ac:dyDescent="0.2">
      <c r="A126" s="127" t="s">
        <v>134</v>
      </c>
      <c r="B126" s="258" t="s">
        <v>3880</v>
      </c>
      <c r="C126" s="258" t="s">
        <v>3881</v>
      </c>
      <c r="D126" s="116">
        <v>34</v>
      </c>
      <c r="E126" s="81"/>
      <c r="F126" s="81">
        <v>97.34</v>
      </c>
      <c r="G126" s="81">
        <v>97.34</v>
      </c>
      <c r="H126" s="81"/>
      <c r="I126" s="81"/>
      <c r="J126" s="81"/>
      <c r="K126" s="81"/>
      <c r="L126" s="81"/>
      <c r="M126" s="81"/>
      <c r="N126" s="81"/>
      <c r="O126" s="81">
        <v>97.34</v>
      </c>
      <c r="P126" s="81"/>
      <c r="Q126" s="145">
        <f t="shared" si="7"/>
        <v>97.339999999999989</v>
      </c>
      <c r="R126" s="151" t="str">
        <f t="shared" si="5"/>
        <v>NO</v>
      </c>
      <c r="S126" s="152" t="str">
        <f t="shared" si="6"/>
        <v>Inviable Sanitariamente</v>
      </c>
    </row>
    <row r="127" spans="1:19" s="322" customFormat="1" ht="32.1" customHeight="1" x14ac:dyDescent="0.2">
      <c r="A127" s="127" t="s">
        <v>134</v>
      </c>
      <c r="B127" s="258" t="s">
        <v>3882</v>
      </c>
      <c r="C127" s="258" t="s">
        <v>3883</v>
      </c>
      <c r="D127" s="121">
        <v>18</v>
      </c>
      <c r="E127" s="81"/>
      <c r="F127" s="81"/>
      <c r="G127" s="81"/>
      <c r="H127" s="81"/>
      <c r="I127" s="81"/>
      <c r="J127" s="81"/>
      <c r="K127" s="81"/>
      <c r="L127" s="81">
        <v>0</v>
      </c>
      <c r="M127" s="81"/>
      <c r="N127" s="81"/>
      <c r="O127" s="81"/>
      <c r="P127" s="81">
        <v>0</v>
      </c>
      <c r="Q127" s="145">
        <f t="shared" si="7"/>
        <v>0</v>
      </c>
      <c r="R127" s="151" t="str">
        <f t="shared" si="5"/>
        <v>SI</v>
      </c>
      <c r="S127" s="152" t="str">
        <f t="shared" si="6"/>
        <v>Sin Riesgo</v>
      </c>
    </row>
    <row r="128" spans="1:19" s="322" customFormat="1" ht="32.1" customHeight="1" x14ac:dyDescent="0.2">
      <c r="A128" s="127" t="s">
        <v>134</v>
      </c>
      <c r="B128" s="258" t="s">
        <v>1745</v>
      </c>
      <c r="C128" s="258" t="s">
        <v>3884</v>
      </c>
      <c r="D128" s="121">
        <v>15</v>
      </c>
      <c r="E128" s="81"/>
      <c r="F128" s="81">
        <v>0</v>
      </c>
      <c r="G128" s="81"/>
      <c r="H128" s="81">
        <v>0</v>
      </c>
      <c r="I128" s="81"/>
      <c r="J128" s="81">
        <v>0</v>
      </c>
      <c r="K128" s="81"/>
      <c r="L128" s="81">
        <v>0</v>
      </c>
      <c r="M128" s="81"/>
      <c r="N128" s="81"/>
      <c r="O128" s="81"/>
      <c r="P128" s="81">
        <v>0</v>
      </c>
      <c r="Q128" s="145">
        <f t="shared" si="7"/>
        <v>0</v>
      </c>
      <c r="R128" s="151" t="str">
        <f t="shared" si="5"/>
        <v>SI</v>
      </c>
      <c r="S128" s="152" t="str">
        <f t="shared" si="6"/>
        <v>Sin Riesgo</v>
      </c>
    </row>
    <row r="129" spans="1:19" s="322" customFormat="1" ht="32.1" customHeight="1" x14ac:dyDescent="0.2">
      <c r="A129" s="127" t="s">
        <v>134</v>
      </c>
      <c r="B129" s="258" t="s">
        <v>16</v>
      </c>
      <c r="C129" s="258" t="s">
        <v>3885</v>
      </c>
      <c r="D129" s="116">
        <v>18</v>
      </c>
      <c r="E129" s="81"/>
      <c r="F129" s="81"/>
      <c r="G129" s="81">
        <v>97.34</v>
      </c>
      <c r="H129" s="81"/>
      <c r="I129" s="81"/>
      <c r="J129" s="81"/>
      <c r="K129" s="81"/>
      <c r="L129" s="81"/>
      <c r="M129" s="81">
        <v>97.34</v>
      </c>
      <c r="N129" s="81"/>
      <c r="O129" s="81"/>
      <c r="P129" s="81">
        <v>97.34</v>
      </c>
      <c r="Q129" s="145">
        <f t="shared" si="7"/>
        <v>97.339999999999989</v>
      </c>
      <c r="R129" s="151" t="str">
        <f t="shared" si="5"/>
        <v>NO</v>
      </c>
      <c r="S129" s="152" t="str">
        <f t="shared" si="6"/>
        <v>Inviable Sanitariamente</v>
      </c>
    </row>
    <row r="130" spans="1:19" s="59" customFormat="1" ht="32.1" customHeight="1" x14ac:dyDescent="0.2">
      <c r="A130" s="127" t="s">
        <v>135</v>
      </c>
      <c r="B130" s="258" t="s">
        <v>3886</v>
      </c>
      <c r="C130" s="258" t="s">
        <v>3887</v>
      </c>
      <c r="D130" s="121">
        <v>180</v>
      </c>
      <c r="E130" s="81"/>
      <c r="F130" s="81"/>
      <c r="G130" s="81"/>
      <c r="H130" s="81"/>
      <c r="I130" s="81"/>
      <c r="J130" s="81"/>
      <c r="K130" s="81"/>
      <c r="L130" s="81"/>
      <c r="M130" s="81">
        <v>97.3</v>
      </c>
      <c r="N130" s="81"/>
      <c r="O130" s="81"/>
      <c r="P130" s="81"/>
      <c r="Q130" s="145">
        <f t="shared" si="7"/>
        <v>97.3</v>
      </c>
      <c r="R130" s="151" t="str">
        <f t="shared" si="5"/>
        <v>NO</v>
      </c>
      <c r="S130" s="152" t="str">
        <f t="shared" si="6"/>
        <v>Inviable Sanitariamente</v>
      </c>
    </row>
    <row r="131" spans="1:19" s="59" customFormat="1" ht="32.1" customHeight="1" x14ac:dyDescent="0.2">
      <c r="A131" s="127" t="s">
        <v>135</v>
      </c>
      <c r="B131" s="258" t="s">
        <v>3</v>
      </c>
      <c r="C131" s="258" t="s">
        <v>3888</v>
      </c>
      <c r="D131" s="121">
        <v>49</v>
      </c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145" t="e">
        <f t="shared" si="7"/>
        <v>#DIV/0!</v>
      </c>
      <c r="R131" s="151" t="e">
        <f t="shared" si="5"/>
        <v>#DIV/0!</v>
      </c>
      <c r="S131" s="152" t="e">
        <f t="shared" si="6"/>
        <v>#DIV/0!</v>
      </c>
    </row>
    <row r="132" spans="1:19" s="59" customFormat="1" ht="32.1" customHeight="1" x14ac:dyDescent="0.2">
      <c r="A132" s="127" t="s">
        <v>135</v>
      </c>
      <c r="B132" s="258" t="s">
        <v>3889</v>
      </c>
      <c r="C132" s="258" t="s">
        <v>3890</v>
      </c>
      <c r="D132" s="121">
        <v>49</v>
      </c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145" t="e">
        <f t="shared" si="7"/>
        <v>#DIV/0!</v>
      </c>
      <c r="R132" s="151" t="e">
        <f t="shared" si="5"/>
        <v>#DIV/0!</v>
      </c>
      <c r="S132" s="152" t="e">
        <f t="shared" si="6"/>
        <v>#DIV/0!</v>
      </c>
    </row>
    <row r="133" spans="1:19" s="59" customFormat="1" ht="32.1" customHeight="1" x14ac:dyDescent="0.2">
      <c r="A133" s="127" t="s">
        <v>135</v>
      </c>
      <c r="B133" s="258" t="s">
        <v>3891</v>
      </c>
      <c r="C133" s="258" t="s">
        <v>3892</v>
      </c>
      <c r="D133" s="121">
        <v>30</v>
      </c>
      <c r="E133" s="81"/>
      <c r="F133" s="81"/>
      <c r="G133" s="81"/>
      <c r="H133" s="81"/>
      <c r="I133" s="81">
        <v>97.3</v>
      </c>
      <c r="J133" s="81"/>
      <c r="K133" s="81"/>
      <c r="L133" s="81"/>
      <c r="M133" s="81"/>
      <c r="N133" s="81"/>
      <c r="O133" s="81"/>
      <c r="P133" s="81"/>
      <c r="Q133" s="145">
        <f t="shared" si="7"/>
        <v>97.3</v>
      </c>
      <c r="R133" s="151" t="str">
        <f t="shared" si="5"/>
        <v>NO</v>
      </c>
      <c r="S133" s="152" t="str">
        <f t="shared" si="6"/>
        <v>Inviable Sanitariamente</v>
      </c>
    </row>
    <row r="134" spans="1:19" s="59" customFormat="1" ht="32.1" customHeight="1" x14ac:dyDescent="0.2">
      <c r="A134" s="127" t="s">
        <v>135</v>
      </c>
      <c r="B134" s="258" t="s">
        <v>2710</v>
      </c>
      <c r="C134" s="258" t="s">
        <v>3893</v>
      </c>
      <c r="D134" s="121">
        <v>35</v>
      </c>
      <c r="E134" s="81"/>
      <c r="F134" s="81"/>
      <c r="G134" s="81"/>
      <c r="H134" s="81"/>
      <c r="I134" s="81">
        <v>97.3</v>
      </c>
      <c r="J134" s="81"/>
      <c r="K134" s="81"/>
      <c r="L134" s="81"/>
      <c r="M134" s="81"/>
      <c r="N134" s="81"/>
      <c r="O134" s="81"/>
      <c r="P134" s="81"/>
      <c r="Q134" s="145">
        <f t="shared" si="7"/>
        <v>97.3</v>
      </c>
      <c r="R134" s="151" t="str">
        <f t="shared" si="5"/>
        <v>NO</v>
      </c>
      <c r="S134" s="152" t="str">
        <f t="shared" si="6"/>
        <v>Inviable Sanitariamente</v>
      </c>
    </row>
    <row r="135" spans="1:19" s="59" customFormat="1" ht="32.1" customHeight="1" x14ac:dyDescent="0.2">
      <c r="A135" s="127" t="s">
        <v>135</v>
      </c>
      <c r="B135" s="258" t="s">
        <v>1912</v>
      </c>
      <c r="C135" s="258" t="s">
        <v>3894</v>
      </c>
      <c r="D135" s="121">
        <v>425</v>
      </c>
      <c r="E135" s="81"/>
      <c r="F135" s="81"/>
      <c r="G135" s="81"/>
      <c r="H135" s="81"/>
      <c r="I135" s="81"/>
      <c r="J135" s="81">
        <v>100</v>
      </c>
      <c r="K135" s="81"/>
      <c r="L135" s="81"/>
      <c r="M135" s="81"/>
      <c r="N135" s="81"/>
      <c r="O135" s="81"/>
      <c r="P135" s="81"/>
      <c r="Q135" s="145">
        <f t="shared" si="7"/>
        <v>100</v>
      </c>
      <c r="R135" s="151" t="str">
        <f t="shared" si="5"/>
        <v>NO</v>
      </c>
      <c r="S135" s="152" t="str">
        <f t="shared" si="6"/>
        <v>Inviable Sanitariamente</v>
      </c>
    </row>
    <row r="136" spans="1:19" s="59" customFormat="1" ht="32.1" customHeight="1" x14ac:dyDescent="0.2">
      <c r="A136" s="127" t="s">
        <v>135</v>
      </c>
      <c r="B136" s="258" t="s">
        <v>2710</v>
      </c>
      <c r="C136" s="258" t="s">
        <v>3895</v>
      </c>
      <c r="D136" s="121">
        <v>103</v>
      </c>
      <c r="E136" s="81"/>
      <c r="F136" s="81"/>
      <c r="G136" s="81"/>
      <c r="H136" s="81"/>
      <c r="I136" s="81"/>
      <c r="J136" s="81"/>
      <c r="K136" s="81"/>
      <c r="L136" s="81"/>
      <c r="M136" s="81">
        <v>97.3</v>
      </c>
      <c r="N136" s="81"/>
      <c r="O136" s="81"/>
      <c r="P136" s="81"/>
      <c r="Q136" s="145">
        <f t="shared" si="7"/>
        <v>97.3</v>
      </c>
      <c r="R136" s="151" t="str">
        <f t="shared" si="5"/>
        <v>NO</v>
      </c>
      <c r="S136" s="152" t="str">
        <f t="shared" si="6"/>
        <v>Inviable Sanitariamente</v>
      </c>
    </row>
    <row r="137" spans="1:19" s="59" customFormat="1" ht="38.25" customHeight="1" x14ac:dyDescent="0.2">
      <c r="A137" s="127" t="s">
        <v>135</v>
      </c>
      <c r="B137" s="258" t="s">
        <v>3896</v>
      </c>
      <c r="C137" s="258" t="s">
        <v>3897</v>
      </c>
      <c r="D137" s="116">
        <v>38</v>
      </c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145" t="e">
        <f t="shared" si="7"/>
        <v>#DIV/0!</v>
      </c>
      <c r="R137" s="151" t="e">
        <f t="shared" si="5"/>
        <v>#DIV/0!</v>
      </c>
      <c r="S137" s="152" t="e">
        <f t="shared" si="6"/>
        <v>#DIV/0!</v>
      </c>
    </row>
    <row r="138" spans="1:19" s="59" customFormat="1" ht="37.5" customHeight="1" x14ac:dyDescent="0.2">
      <c r="A138" s="127" t="s">
        <v>135</v>
      </c>
      <c r="B138" s="258" t="s">
        <v>1995</v>
      </c>
      <c r="C138" s="258" t="s">
        <v>3898</v>
      </c>
      <c r="D138" s="121">
        <v>40</v>
      </c>
      <c r="E138" s="81"/>
      <c r="F138" s="81"/>
      <c r="G138" s="81"/>
      <c r="H138" s="81"/>
      <c r="I138" s="81"/>
      <c r="J138" s="81">
        <v>100</v>
      </c>
      <c r="K138" s="81"/>
      <c r="L138" s="81"/>
      <c r="M138" s="81"/>
      <c r="N138" s="81"/>
      <c r="O138" s="81"/>
      <c r="P138" s="81"/>
      <c r="Q138" s="145">
        <f t="shared" ref="Q138:Q154" si="8">AVERAGE(E138:P138)</f>
        <v>100</v>
      </c>
      <c r="R138" s="151" t="str">
        <f t="shared" ref="R138:R201" si="9">IF(Q138&lt;5,"SI","NO")</f>
        <v>NO</v>
      </c>
      <c r="S138" s="152" t="str">
        <f t="shared" ref="S138:S201" si="10">IF(Q138&lt;=5,"Sin Riesgo",IF(Q138 &lt;=14,"Bajo",IF(Q138&lt;=35,"Medio",IF(Q138&lt;=80,"Alto","Inviable Sanitariamente"))))</f>
        <v>Inviable Sanitariamente</v>
      </c>
    </row>
    <row r="139" spans="1:19" s="59" customFormat="1" ht="32.1" customHeight="1" x14ac:dyDescent="0.2">
      <c r="A139" s="127" t="s">
        <v>135</v>
      </c>
      <c r="B139" s="258" t="s">
        <v>822</v>
      </c>
      <c r="C139" s="258" t="s">
        <v>3899</v>
      </c>
      <c r="D139" s="121">
        <v>45</v>
      </c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145" t="e">
        <f t="shared" si="8"/>
        <v>#DIV/0!</v>
      </c>
      <c r="R139" s="151" t="e">
        <f t="shared" si="9"/>
        <v>#DIV/0!</v>
      </c>
      <c r="S139" s="152" t="e">
        <f t="shared" si="10"/>
        <v>#DIV/0!</v>
      </c>
    </row>
    <row r="140" spans="1:19" s="59" customFormat="1" ht="32.1" customHeight="1" x14ac:dyDescent="0.2">
      <c r="A140" s="127" t="s">
        <v>135</v>
      </c>
      <c r="B140" s="258" t="s">
        <v>0</v>
      </c>
      <c r="C140" s="258" t="s">
        <v>3900</v>
      </c>
      <c r="D140" s="116">
        <v>30</v>
      </c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145" t="e">
        <f t="shared" si="8"/>
        <v>#DIV/0!</v>
      </c>
      <c r="R140" s="151" t="e">
        <f t="shared" si="9"/>
        <v>#DIV/0!</v>
      </c>
      <c r="S140" s="152" t="e">
        <f t="shared" si="10"/>
        <v>#DIV/0!</v>
      </c>
    </row>
    <row r="141" spans="1:19" s="59" customFormat="1" ht="32.1" customHeight="1" x14ac:dyDescent="0.2">
      <c r="A141" s="127" t="s">
        <v>135</v>
      </c>
      <c r="B141" s="258" t="s">
        <v>3901</v>
      </c>
      <c r="C141" s="258" t="s">
        <v>3902</v>
      </c>
      <c r="D141" s="121">
        <v>73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145" t="e">
        <f t="shared" si="8"/>
        <v>#DIV/0!</v>
      </c>
      <c r="R141" s="151" t="e">
        <f t="shared" si="9"/>
        <v>#DIV/0!</v>
      </c>
      <c r="S141" s="152" t="e">
        <f t="shared" si="10"/>
        <v>#DIV/0!</v>
      </c>
    </row>
    <row r="142" spans="1:19" s="59" customFormat="1" ht="32.1" customHeight="1" x14ac:dyDescent="0.2">
      <c r="A142" s="127" t="s">
        <v>135</v>
      </c>
      <c r="B142" s="258" t="s">
        <v>1428</v>
      </c>
      <c r="C142" s="258" t="s">
        <v>3903</v>
      </c>
      <c r="D142" s="121">
        <v>13</v>
      </c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145" t="e">
        <f t="shared" si="8"/>
        <v>#DIV/0!</v>
      </c>
      <c r="R142" s="151" t="e">
        <f t="shared" si="9"/>
        <v>#DIV/0!</v>
      </c>
      <c r="S142" s="152" t="e">
        <f t="shared" si="10"/>
        <v>#DIV/0!</v>
      </c>
    </row>
    <row r="143" spans="1:19" s="59" customFormat="1" ht="32.1" customHeight="1" x14ac:dyDescent="0.2">
      <c r="A143" s="127" t="s">
        <v>135</v>
      </c>
      <c r="B143" s="258" t="s">
        <v>3904</v>
      </c>
      <c r="C143" s="258" t="s">
        <v>3905</v>
      </c>
      <c r="D143" s="116">
        <v>16</v>
      </c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145" t="e">
        <f t="shared" si="8"/>
        <v>#DIV/0!</v>
      </c>
      <c r="R143" s="151" t="e">
        <f t="shared" si="9"/>
        <v>#DIV/0!</v>
      </c>
      <c r="S143" s="152" t="e">
        <f t="shared" si="10"/>
        <v>#DIV/0!</v>
      </c>
    </row>
    <row r="144" spans="1:19" s="59" customFormat="1" ht="32.1" customHeight="1" x14ac:dyDescent="0.2">
      <c r="A144" s="127" t="s">
        <v>135</v>
      </c>
      <c r="B144" s="258" t="s">
        <v>3906</v>
      </c>
      <c r="C144" s="258" t="s">
        <v>3907</v>
      </c>
      <c r="D144" s="121">
        <v>28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145" t="e">
        <f t="shared" si="8"/>
        <v>#DIV/0!</v>
      </c>
      <c r="R144" s="151" t="e">
        <f t="shared" si="9"/>
        <v>#DIV/0!</v>
      </c>
      <c r="S144" s="152" t="e">
        <f t="shared" si="10"/>
        <v>#DIV/0!</v>
      </c>
    </row>
    <row r="145" spans="1:19" s="59" customFormat="1" ht="32.1" customHeight="1" x14ac:dyDescent="0.2">
      <c r="A145" s="127" t="s">
        <v>135</v>
      </c>
      <c r="B145" s="258" t="s">
        <v>3908</v>
      </c>
      <c r="C145" s="258" t="s">
        <v>3909</v>
      </c>
      <c r="D145" s="121">
        <v>40</v>
      </c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145" t="e">
        <f t="shared" si="8"/>
        <v>#DIV/0!</v>
      </c>
      <c r="R145" s="151" t="e">
        <f t="shared" si="9"/>
        <v>#DIV/0!</v>
      </c>
      <c r="S145" s="152" t="e">
        <f t="shared" si="10"/>
        <v>#DIV/0!</v>
      </c>
    </row>
    <row r="146" spans="1:19" s="59" customFormat="1" ht="32.1" customHeight="1" x14ac:dyDescent="0.2">
      <c r="A146" s="127" t="s">
        <v>135</v>
      </c>
      <c r="B146" s="258" t="s">
        <v>3910</v>
      </c>
      <c r="C146" s="258" t="s">
        <v>3911</v>
      </c>
      <c r="D146" s="121">
        <v>72</v>
      </c>
      <c r="E146" s="81"/>
      <c r="F146" s="81"/>
      <c r="G146" s="81"/>
      <c r="H146" s="81">
        <v>97.3</v>
      </c>
      <c r="I146" s="81"/>
      <c r="J146" s="81"/>
      <c r="K146" s="81"/>
      <c r="L146" s="81"/>
      <c r="M146" s="81"/>
      <c r="N146" s="81"/>
      <c r="O146" s="81"/>
      <c r="P146" s="81"/>
      <c r="Q146" s="145">
        <f t="shared" si="8"/>
        <v>97.3</v>
      </c>
      <c r="R146" s="151" t="str">
        <f t="shared" si="9"/>
        <v>NO</v>
      </c>
      <c r="S146" s="152" t="str">
        <f t="shared" si="10"/>
        <v>Inviable Sanitariamente</v>
      </c>
    </row>
    <row r="147" spans="1:19" s="59" customFormat="1" ht="32.1" customHeight="1" x14ac:dyDescent="0.2">
      <c r="A147" s="127" t="s">
        <v>135</v>
      </c>
      <c r="B147" s="258" t="s">
        <v>3912</v>
      </c>
      <c r="C147" s="258" t="s">
        <v>3913</v>
      </c>
      <c r="D147" s="121">
        <v>34</v>
      </c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145" t="e">
        <f t="shared" si="8"/>
        <v>#DIV/0!</v>
      </c>
      <c r="R147" s="151" t="e">
        <f t="shared" si="9"/>
        <v>#DIV/0!</v>
      </c>
      <c r="S147" s="152" t="e">
        <f t="shared" si="10"/>
        <v>#DIV/0!</v>
      </c>
    </row>
    <row r="148" spans="1:19" s="59" customFormat="1" ht="32.1" customHeight="1" x14ac:dyDescent="0.2">
      <c r="A148" s="127" t="s">
        <v>135</v>
      </c>
      <c r="B148" s="258" t="s">
        <v>1891</v>
      </c>
      <c r="C148" s="258" t="s">
        <v>3914</v>
      </c>
      <c r="D148" s="121">
        <v>49</v>
      </c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145" t="e">
        <f t="shared" si="8"/>
        <v>#DIV/0!</v>
      </c>
      <c r="R148" s="151" t="e">
        <f t="shared" si="9"/>
        <v>#DIV/0!</v>
      </c>
      <c r="S148" s="152" t="e">
        <f t="shared" si="10"/>
        <v>#DIV/0!</v>
      </c>
    </row>
    <row r="149" spans="1:19" s="59" customFormat="1" ht="32.1" customHeight="1" x14ac:dyDescent="0.2">
      <c r="A149" s="127" t="s">
        <v>135</v>
      </c>
      <c r="B149" s="258" t="s">
        <v>3915</v>
      </c>
      <c r="C149" s="258" t="s">
        <v>3916</v>
      </c>
      <c r="D149" s="121">
        <v>27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145" t="e">
        <f t="shared" si="8"/>
        <v>#DIV/0!</v>
      </c>
      <c r="R149" s="151" t="e">
        <f t="shared" si="9"/>
        <v>#DIV/0!</v>
      </c>
      <c r="S149" s="152" t="e">
        <f t="shared" si="10"/>
        <v>#DIV/0!</v>
      </c>
    </row>
    <row r="150" spans="1:19" s="59" customFormat="1" ht="32.1" customHeight="1" x14ac:dyDescent="0.2">
      <c r="A150" s="127" t="s">
        <v>135</v>
      </c>
      <c r="B150" s="258" t="s">
        <v>3141</v>
      </c>
      <c r="C150" s="258" t="s">
        <v>3917</v>
      </c>
      <c r="D150" s="121">
        <v>73</v>
      </c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145" t="e">
        <f t="shared" si="8"/>
        <v>#DIV/0!</v>
      </c>
      <c r="R150" s="151" t="e">
        <f t="shared" si="9"/>
        <v>#DIV/0!</v>
      </c>
      <c r="S150" s="152" t="e">
        <f t="shared" si="10"/>
        <v>#DIV/0!</v>
      </c>
    </row>
    <row r="151" spans="1:19" s="59" customFormat="1" ht="32.1" customHeight="1" x14ac:dyDescent="0.2">
      <c r="A151" s="127" t="s">
        <v>135</v>
      </c>
      <c r="B151" s="258" t="s">
        <v>3918</v>
      </c>
      <c r="C151" s="258" t="s">
        <v>3919</v>
      </c>
      <c r="D151" s="121">
        <v>45</v>
      </c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145" t="e">
        <f t="shared" si="8"/>
        <v>#DIV/0!</v>
      </c>
      <c r="R151" s="151" t="e">
        <f t="shared" si="9"/>
        <v>#DIV/0!</v>
      </c>
      <c r="S151" s="152" t="e">
        <f t="shared" si="10"/>
        <v>#DIV/0!</v>
      </c>
    </row>
    <row r="152" spans="1:19" s="59" customFormat="1" ht="32.1" customHeight="1" x14ac:dyDescent="0.2">
      <c r="A152" s="127" t="s">
        <v>135</v>
      </c>
      <c r="B152" s="258" t="s">
        <v>3920</v>
      </c>
      <c r="C152" s="258" t="s">
        <v>3921</v>
      </c>
      <c r="D152" s="121">
        <v>25</v>
      </c>
      <c r="E152" s="81"/>
      <c r="F152" s="81"/>
      <c r="G152" s="81"/>
      <c r="H152" s="81"/>
      <c r="I152" s="81"/>
      <c r="J152" s="81"/>
      <c r="K152" s="81"/>
      <c r="L152" s="81"/>
      <c r="M152" s="81">
        <v>97.3</v>
      </c>
      <c r="N152" s="81"/>
      <c r="O152" s="81"/>
      <c r="P152" s="81"/>
      <c r="Q152" s="145">
        <f t="shared" si="8"/>
        <v>97.3</v>
      </c>
      <c r="R152" s="151" t="str">
        <f t="shared" si="9"/>
        <v>NO</v>
      </c>
      <c r="S152" s="152" t="str">
        <f t="shared" si="10"/>
        <v>Inviable Sanitariamente</v>
      </c>
    </row>
    <row r="153" spans="1:19" s="59" customFormat="1" ht="32.1" customHeight="1" x14ac:dyDescent="0.2">
      <c r="A153" s="127" t="s">
        <v>135</v>
      </c>
      <c r="B153" s="258" t="s">
        <v>3922</v>
      </c>
      <c r="C153" s="258" t="s">
        <v>3923</v>
      </c>
      <c r="D153" s="121">
        <v>20</v>
      </c>
      <c r="E153" s="81"/>
      <c r="F153" s="81"/>
      <c r="G153" s="81"/>
      <c r="H153" s="81"/>
      <c r="I153" s="81"/>
      <c r="J153" s="81"/>
      <c r="K153" s="81"/>
      <c r="L153" s="81"/>
      <c r="M153" s="81">
        <v>97.3</v>
      </c>
      <c r="N153" s="81"/>
      <c r="O153" s="81"/>
      <c r="P153" s="81"/>
      <c r="Q153" s="145">
        <f t="shared" si="8"/>
        <v>97.3</v>
      </c>
      <c r="R153" s="151" t="str">
        <f t="shared" si="9"/>
        <v>NO</v>
      </c>
      <c r="S153" s="152" t="str">
        <f t="shared" si="10"/>
        <v>Inviable Sanitariamente</v>
      </c>
    </row>
    <row r="154" spans="1:19" s="59" customFormat="1" ht="32.1" customHeight="1" x14ac:dyDescent="0.2">
      <c r="A154" s="127" t="s">
        <v>135</v>
      </c>
      <c r="B154" s="258" t="s">
        <v>1545</v>
      </c>
      <c r="C154" s="258" t="s">
        <v>3924</v>
      </c>
      <c r="D154" s="121">
        <v>10</v>
      </c>
      <c r="E154" s="81"/>
      <c r="F154" s="81"/>
      <c r="G154" s="81"/>
      <c r="H154" s="81"/>
      <c r="I154" s="81"/>
      <c r="J154" s="81"/>
      <c r="K154" s="81"/>
      <c r="L154" s="81"/>
      <c r="M154" s="81">
        <v>97.3</v>
      </c>
      <c r="N154" s="81"/>
      <c r="O154" s="81"/>
      <c r="P154" s="81"/>
      <c r="Q154" s="145">
        <f t="shared" si="8"/>
        <v>97.3</v>
      </c>
      <c r="R154" s="151" t="str">
        <f t="shared" si="9"/>
        <v>NO</v>
      </c>
      <c r="S154" s="152" t="str">
        <f t="shared" si="10"/>
        <v>Inviable Sanitariamente</v>
      </c>
    </row>
    <row r="155" spans="1:19" s="59" customFormat="1" ht="32.1" customHeight="1" x14ac:dyDescent="0.2">
      <c r="A155" s="127" t="s">
        <v>135</v>
      </c>
      <c r="B155" s="258" t="s">
        <v>3925</v>
      </c>
      <c r="C155" s="258" t="s">
        <v>3926</v>
      </c>
      <c r="D155" s="121">
        <v>12</v>
      </c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145" t="e">
        <f t="shared" ref="Q155:Q161" si="11">AVERAGE(E157:P157)</f>
        <v>#DIV/0!</v>
      </c>
      <c r="R155" s="151" t="e">
        <f t="shared" si="9"/>
        <v>#DIV/0!</v>
      </c>
      <c r="S155" s="152" t="e">
        <f t="shared" si="10"/>
        <v>#DIV/0!</v>
      </c>
    </row>
    <row r="156" spans="1:19" s="59" customFormat="1" ht="32.1" customHeight="1" x14ac:dyDescent="0.2">
      <c r="A156" s="127" t="s">
        <v>135</v>
      </c>
      <c r="B156" s="258" t="s">
        <v>2</v>
      </c>
      <c r="C156" s="258" t="s">
        <v>3927</v>
      </c>
      <c r="D156" s="121">
        <v>21</v>
      </c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145" t="e">
        <f t="shared" si="11"/>
        <v>#DIV/0!</v>
      </c>
      <c r="R156" s="151" t="e">
        <f t="shared" si="9"/>
        <v>#DIV/0!</v>
      </c>
      <c r="S156" s="152" t="e">
        <f t="shared" si="10"/>
        <v>#DIV/0!</v>
      </c>
    </row>
    <row r="157" spans="1:19" s="59" customFormat="1" ht="32.1" customHeight="1" x14ac:dyDescent="0.2">
      <c r="A157" s="127" t="s">
        <v>135</v>
      </c>
      <c r="B157" s="258" t="s">
        <v>3928</v>
      </c>
      <c r="C157" s="258" t="s">
        <v>3929</v>
      </c>
      <c r="D157" s="121">
        <v>17</v>
      </c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145" t="e">
        <f t="shared" si="11"/>
        <v>#DIV/0!</v>
      </c>
      <c r="R157" s="151" t="e">
        <f t="shared" si="9"/>
        <v>#DIV/0!</v>
      </c>
      <c r="S157" s="152" t="e">
        <f t="shared" si="10"/>
        <v>#DIV/0!</v>
      </c>
    </row>
    <row r="158" spans="1:19" s="59" customFormat="1" ht="32.1" customHeight="1" x14ac:dyDescent="0.2">
      <c r="A158" s="127" t="s">
        <v>135</v>
      </c>
      <c r="B158" s="258" t="s">
        <v>3930</v>
      </c>
      <c r="C158" s="258" t="s">
        <v>3931</v>
      </c>
      <c r="D158" s="121">
        <v>98</v>
      </c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145" t="e">
        <f t="shared" si="11"/>
        <v>#DIV/0!</v>
      </c>
      <c r="R158" s="151" t="e">
        <f t="shared" si="9"/>
        <v>#DIV/0!</v>
      </c>
      <c r="S158" s="152" t="e">
        <f t="shared" si="10"/>
        <v>#DIV/0!</v>
      </c>
    </row>
    <row r="159" spans="1:19" s="59" customFormat="1" ht="32.1" customHeight="1" x14ac:dyDescent="0.2">
      <c r="A159" s="127" t="s">
        <v>135</v>
      </c>
      <c r="B159" s="258" t="s">
        <v>1550</v>
      </c>
      <c r="C159" s="258" t="s">
        <v>3932</v>
      </c>
      <c r="D159" s="121">
        <v>35</v>
      </c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145" t="e">
        <f t="shared" si="11"/>
        <v>#DIV/0!</v>
      </c>
      <c r="R159" s="151" t="e">
        <f t="shared" si="9"/>
        <v>#DIV/0!</v>
      </c>
      <c r="S159" s="152" t="e">
        <f t="shared" si="10"/>
        <v>#DIV/0!</v>
      </c>
    </row>
    <row r="160" spans="1:19" s="59" customFormat="1" ht="32.1" customHeight="1" x14ac:dyDescent="0.2">
      <c r="A160" s="127" t="s">
        <v>135</v>
      </c>
      <c r="B160" s="258" t="s">
        <v>3933</v>
      </c>
      <c r="C160" s="258" t="s">
        <v>3934</v>
      </c>
      <c r="D160" s="121">
        <v>20</v>
      </c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145" t="e">
        <f t="shared" si="11"/>
        <v>#DIV/0!</v>
      </c>
      <c r="R160" s="151" t="e">
        <f t="shared" si="9"/>
        <v>#DIV/0!</v>
      </c>
      <c r="S160" s="152" t="e">
        <f t="shared" si="10"/>
        <v>#DIV/0!</v>
      </c>
    </row>
    <row r="161" spans="1:20" s="59" customFormat="1" ht="32.1" customHeight="1" x14ac:dyDescent="0.2">
      <c r="A161" s="127" t="s">
        <v>135</v>
      </c>
      <c r="B161" s="258" t="s">
        <v>3935</v>
      </c>
      <c r="C161" s="258" t="s">
        <v>3936</v>
      </c>
      <c r="D161" s="121">
        <v>32</v>
      </c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145" t="e">
        <f t="shared" si="11"/>
        <v>#DIV/0!</v>
      </c>
      <c r="R161" s="151" t="e">
        <f t="shared" si="9"/>
        <v>#DIV/0!</v>
      </c>
      <c r="S161" s="152" t="e">
        <f t="shared" si="10"/>
        <v>#DIV/0!</v>
      </c>
    </row>
    <row r="162" spans="1:20" s="59" customFormat="1" ht="32.1" customHeight="1" x14ac:dyDescent="0.2">
      <c r="A162" s="127" t="s">
        <v>135</v>
      </c>
      <c r="B162" s="258" t="s">
        <v>2856</v>
      </c>
      <c r="C162" s="258" t="s">
        <v>3937</v>
      </c>
      <c r="D162" s="121">
        <v>45</v>
      </c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145" t="e">
        <f>AVERAGE(E162:P162)</f>
        <v>#DIV/0!</v>
      </c>
      <c r="R162" s="151" t="e">
        <f t="shared" si="9"/>
        <v>#DIV/0!</v>
      </c>
      <c r="S162" s="152" t="e">
        <f t="shared" si="10"/>
        <v>#DIV/0!</v>
      </c>
    </row>
    <row r="163" spans="1:20" s="59" customFormat="1" ht="32.1" customHeight="1" x14ac:dyDescent="0.2">
      <c r="A163" s="127" t="s">
        <v>135</v>
      </c>
      <c r="B163" s="258" t="s">
        <v>3938</v>
      </c>
      <c r="C163" s="258" t="s">
        <v>3939</v>
      </c>
      <c r="D163" s="121">
        <v>160</v>
      </c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145" t="e">
        <f>AVERAGE(E163:P163)</f>
        <v>#DIV/0!</v>
      </c>
      <c r="R163" s="151" t="e">
        <f t="shared" si="9"/>
        <v>#DIV/0!</v>
      </c>
      <c r="S163" s="152" t="e">
        <f t="shared" si="10"/>
        <v>#DIV/0!</v>
      </c>
    </row>
    <row r="164" spans="1:20" s="59" customFormat="1" ht="32.1" customHeight="1" x14ac:dyDescent="0.2">
      <c r="A164" s="127" t="s">
        <v>135</v>
      </c>
      <c r="B164" s="258" t="s">
        <v>3940</v>
      </c>
      <c r="C164" s="258" t="s">
        <v>3941</v>
      </c>
      <c r="D164" s="121">
        <v>20</v>
      </c>
      <c r="E164" s="81">
        <v>90.32</v>
      </c>
      <c r="F164" s="81">
        <v>90.32</v>
      </c>
      <c r="G164" s="81">
        <v>70.97</v>
      </c>
      <c r="H164" s="81">
        <v>70.97</v>
      </c>
      <c r="I164" s="81">
        <v>98.06</v>
      </c>
      <c r="J164" s="81">
        <v>89.94</v>
      </c>
      <c r="K164" s="81">
        <v>90.3</v>
      </c>
      <c r="L164" s="81">
        <v>90.3</v>
      </c>
      <c r="M164" s="81">
        <v>90.3</v>
      </c>
      <c r="N164" s="81">
        <v>90.3</v>
      </c>
      <c r="O164" s="81">
        <v>90.3</v>
      </c>
      <c r="P164" s="81">
        <v>90.3</v>
      </c>
      <c r="Q164" s="145">
        <v>87.7</v>
      </c>
      <c r="R164" s="151" t="str">
        <f t="shared" si="9"/>
        <v>NO</v>
      </c>
      <c r="S164" s="152" t="str">
        <f t="shared" si="10"/>
        <v>Inviable Sanitariamente</v>
      </c>
    </row>
    <row r="165" spans="1:20" s="59" customFormat="1" ht="32.1" customHeight="1" x14ac:dyDescent="0.2">
      <c r="A165" s="127" t="s">
        <v>135</v>
      </c>
      <c r="B165" s="258" t="s">
        <v>2226</v>
      </c>
      <c r="C165" s="258" t="s">
        <v>3942</v>
      </c>
      <c r="D165" s="121">
        <v>40</v>
      </c>
      <c r="E165" s="81"/>
      <c r="F165" s="81"/>
      <c r="G165" s="81"/>
      <c r="H165" s="81"/>
      <c r="I165" s="81">
        <v>97.3</v>
      </c>
      <c r="J165" s="81"/>
      <c r="K165" s="81"/>
      <c r="L165" s="81"/>
      <c r="M165" s="81"/>
      <c r="N165" s="81"/>
      <c r="O165" s="81"/>
      <c r="P165" s="81"/>
      <c r="Q165" s="145">
        <v>97.3</v>
      </c>
      <c r="R165" s="151" t="str">
        <f t="shared" si="9"/>
        <v>NO</v>
      </c>
      <c r="S165" s="152" t="str">
        <f t="shared" si="10"/>
        <v>Inviable Sanitariamente</v>
      </c>
    </row>
    <row r="166" spans="1:20" s="59" customFormat="1" ht="32.1" customHeight="1" x14ac:dyDescent="0.2">
      <c r="A166" s="127" t="s">
        <v>135</v>
      </c>
      <c r="B166" s="258" t="s">
        <v>3943</v>
      </c>
      <c r="C166" s="258" t="s">
        <v>3944</v>
      </c>
      <c r="D166" s="121">
        <v>60</v>
      </c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145">
        <v>97.3</v>
      </c>
      <c r="R166" s="151" t="str">
        <f t="shared" si="9"/>
        <v>NO</v>
      </c>
      <c r="S166" s="152" t="str">
        <f t="shared" si="10"/>
        <v>Inviable Sanitariamente</v>
      </c>
    </row>
    <row r="167" spans="1:20" s="59" customFormat="1" ht="32.1" customHeight="1" x14ac:dyDescent="0.2">
      <c r="A167" s="127" t="s">
        <v>136</v>
      </c>
      <c r="B167" s="258" t="s">
        <v>3945</v>
      </c>
      <c r="C167" s="289" t="s">
        <v>3946</v>
      </c>
      <c r="D167" s="121">
        <v>28</v>
      </c>
      <c r="E167" s="81"/>
      <c r="F167" s="81"/>
      <c r="G167" s="81">
        <v>53.1</v>
      </c>
      <c r="H167" s="81"/>
      <c r="I167" s="81"/>
      <c r="J167" s="81"/>
      <c r="K167" s="81"/>
      <c r="L167" s="81"/>
      <c r="M167" s="81"/>
      <c r="N167" s="81"/>
      <c r="O167" s="81"/>
      <c r="P167" s="81"/>
      <c r="Q167" s="145">
        <f t="shared" ref="Q167:Q198" si="12">AVERAGE(E167:P167)</f>
        <v>53.1</v>
      </c>
      <c r="R167" s="151" t="str">
        <f t="shared" si="9"/>
        <v>NO</v>
      </c>
      <c r="S167" s="152" t="str">
        <f t="shared" si="10"/>
        <v>Alto</v>
      </c>
    </row>
    <row r="168" spans="1:20" s="59" customFormat="1" ht="32.1" customHeight="1" x14ac:dyDescent="0.2">
      <c r="A168" s="127" t="s">
        <v>136</v>
      </c>
      <c r="B168" s="258" t="s">
        <v>3947</v>
      </c>
      <c r="C168" s="289" t="s">
        <v>3948</v>
      </c>
      <c r="D168" s="121">
        <v>65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145" t="e">
        <f t="shared" si="12"/>
        <v>#DIV/0!</v>
      </c>
      <c r="R168" s="151" t="e">
        <f t="shared" si="9"/>
        <v>#DIV/0!</v>
      </c>
      <c r="S168" s="152" t="e">
        <f t="shared" si="10"/>
        <v>#DIV/0!</v>
      </c>
    </row>
    <row r="169" spans="1:20" s="59" customFormat="1" ht="32.1" customHeight="1" x14ac:dyDescent="0.2">
      <c r="A169" s="127" t="s">
        <v>136</v>
      </c>
      <c r="B169" s="258" t="s">
        <v>1745</v>
      </c>
      <c r="C169" s="289" t="s">
        <v>3949</v>
      </c>
      <c r="D169" s="121">
        <v>19</v>
      </c>
      <c r="E169" s="81"/>
      <c r="F169" s="81"/>
      <c r="G169" s="81"/>
      <c r="H169" s="81"/>
      <c r="I169" s="81"/>
      <c r="J169" s="81"/>
      <c r="K169" s="81"/>
      <c r="L169" s="81"/>
      <c r="M169" s="81">
        <v>53.1</v>
      </c>
      <c r="N169" s="81"/>
      <c r="O169" s="81"/>
      <c r="P169" s="81"/>
      <c r="Q169" s="145">
        <f t="shared" si="12"/>
        <v>53.1</v>
      </c>
      <c r="R169" s="151" t="str">
        <f t="shared" si="9"/>
        <v>NO</v>
      </c>
      <c r="S169" s="152" t="str">
        <f t="shared" si="10"/>
        <v>Alto</v>
      </c>
    </row>
    <row r="170" spans="1:20" s="59" customFormat="1" ht="32.1" customHeight="1" x14ac:dyDescent="0.2">
      <c r="A170" s="127" t="s">
        <v>136</v>
      </c>
      <c r="B170" s="258" t="s">
        <v>3950</v>
      </c>
      <c r="C170" s="289" t="s">
        <v>3951</v>
      </c>
      <c r="D170" s="121">
        <v>38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145" t="e">
        <f t="shared" si="12"/>
        <v>#DIV/0!</v>
      </c>
      <c r="R170" s="151" t="e">
        <f t="shared" si="9"/>
        <v>#DIV/0!</v>
      </c>
      <c r="S170" s="152" t="e">
        <f t="shared" si="10"/>
        <v>#DIV/0!</v>
      </c>
      <c r="T170" s="60"/>
    </row>
    <row r="171" spans="1:20" s="59" customFormat="1" ht="32.1" customHeight="1" x14ac:dyDescent="0.2">
      <c r="A171" s="127" t="s">
        <v>136</v>
      </c>
      <c r="B171" s="258" t="s">
        <v>908</v>
      </c>
      <c r="C171" s="289" t="s">
        <v>3952</v>
      </c>
      <c r="D171" s="121">
        <v>28</v>
      </c>
      <c r="E171" s="81"/>
      <c r="F171" s="81"/>
      <c r="G171" s="81"/>
      <c r="H171" s="81"/>
      <c r="I171" s="81"/>
      <c r="J171" s="81"/>
      <c r="K171" s="81"/>
      <c r="L171" s="81">
        <v>55.75</v>
      </c>
      <c r="M171" s="81"/>
      <c r="N171" s="81"/>
      <c r="O171" s="81"/>
      <c r="P171" s="81"/>
      <c r="Q171" s="145">
        <f t="shared" si="12"/>
        <v>55.75</v>
      </c>
      <c r="R171" s="151" t="str">
        <f t="shared" si="9"/>
        <v>NO</v>
      </c>
      <c r="S171" s="152" t="str">
        <f t="shared" si="10"/>
        <v>Alto</v>
      </c>
      <c r="T171" s="60"/>
    </row>
    <row r="172" spans="1:20" s="59" customFormat="1" ht="32.1" customHeight="1" x14ac:dyDescent="0.2">
      <c r="A172" s="127" t="s">
        <v>136</v>
      </c>
      <c r="B172" s="258" t="s">
        <v>1270</v>
      </c>
      <c r="C172" s="289" t="s">
        <v>3953</v>
      </c>
      <c r="D172" s="121">
        <v>49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145" t="e">
        <f t="shared" si="12"/>
        <v>#DIV/0!</v>
      </c>
      <c r="R172" s="151" t="e">
        <f t="shared" si="9"/>
        <v>#DIV/0!</v>
      </c>
      <c r="S172" s="152" t="e">
        <f t="shared" si="10"/>
        <v>#DIV/0!</v>
      </c>
      <c r="T172" s="60"/>
    </row>
    <row r="173" spans="1:20" s="59" customFormat="1" ht="32.1" customHeight="1" x14ac:dyDescent="0.2">
      <c r="A173" s="127" t="s">
        <v>136</v>
      </c>
      <c r="B173" s="258" t="s">
        <v>1546</v>
      </c>
      <c r="C173" s="289" t="s">
        <v>3954</v>
      </c>
      <c r="D173" s="121">
        <v>30</v>
      </c>
      <c r="E173" s="81"/>
      <c r="F173" s="81"/>
      <c r="G173" s="81"/>
      <c r="H173" s="81"/>
      <c r="I173" s="81"/>
      <c r="J173" s="81"/>
      <c r="K173" s="81"/>
      <c r="L173" s="81">
        <v>55.75</v>
      </c>
      <c r="M173" s="81"/>
      <c r="N173" s="81"/>
      <c r="O173" s="81"/>
      <c r="P173" s="81"/>
      <c r="Q173" s="145">
        <f t="shared" si="12"/>
        <v>55.75</v>
      </c>
      <c r="R173" s="151" t="str">
        <f t="shared" si="9"/>
        <v>NO</v>
      </c>
      <c r="S173" s="152" t="str">
        <f t="shared" si="10"/>
        <v>Alto</v>
      </c>
      <c r="T173" s="60"/>
    </row>
    <row r="174" spans="1:20" s="59" customFormat="1" ht="32.1" customHeight="1" x14ac:dyDescent="0.2">
      <c r="A174" s="127" t="s">
        <v>136</v>
      </c>
      <c r="B174" s="258" t="s">
        <v>3234</v>
      </c>
      <c r="C174" s="289" t="s">
        <v>3955</v>
      </c>
      <c r="D174" s="116">
        <v>11</v>
      </c>
      <c r="E174" s="81"/>
      <c r="F174" s="81"/>
      <c r="G174" s="81"/>
      <c r="H174" s="81">
        <v>97.35</v>
      </c>
      <c r="I174" s="81"/>
      <c r="J174" s="81"/>
      <c r="K174" s="81"/>
      <c r="L174" s="81"/>
      <c r="M174" s="81"/>
      <c r="N174" s="81"/>
      <c r="O174" s="81"/>
      <c r="P174" s="81"/>
      <c r="Q174" s="145">
        <f t="shared" si="12"/>
        <v>97.35</v>
      </c>
      <c r="R174" s="151" t="str">
        <f t="shared" si="9"/>
        <v>NO</v>
      </c>
      <c r="S174" s="152" t="str">
        <f t="shared" si="10"/>
        <v>Inviable Sanitariamente</v>
      </c>
      <c r="T174" s="60"/>
    </row>
    <row r="175" spans="1:20" s="59" customFormat="1" ht="32.1" customHeight="1" x14ac:dyDescent="0.2">
      <c r="A175" s="127" t="s">
        <v>136</v>
      </c>
      <c r="B175" s="258" t="s">
        <v>701</v>
      </c>
      <c r="C175" s="289" t="s">
        <v>3956</v>
      </c>
      <c r="D175" s="121">
        <v>28</v>
      </c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145" t="e">
        <f t="shared" si="12"/>
        <v>#DIV/0!</v>
      </c>
      <c r="R175" s="151" t="e">
        <f t="shared" si="9"/>
        <v>#DIV/0!</v>
      </c>
      <c r="S175" s="152" t="e">
        <f t="shared" si="10"/>
        <v>#DIV/0!</v>
      </c>
      <c r="T175" s="60"/>
    </row>
    <row r="176" spans="1:20" s="59" customFormat="1" ht="32.1" customHeight="1" x14ac:dyDescent="0.2">
      <c r="A176" s="127" t="s">
        <v>136</v>
      </c>
      <c r="B176" s="258" t="s">
        <v>3957</v>
      </c>
      <c r="C176" s="289" t="s">
        <v>2849</v>
      </c>
      <c r="D176" s="121">
        <v>28</v>
      </c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145" t="e">
        <f t="shared" si="12"/>
        <v>#DIV/0!</v>
      </c>
      <c r="R176" s="151" t="e">
        <f t="shared" si="9"/>
        <v>#DIV/0!</v>
      </c>
      <c r="S176" s="152" t="e">
        <f t="shared" si="10"/>
        <v>#DIV/0!</v>
      </c>
      <c r="T176" s="60"/>
    </row>
    <row r="177" spans="1:20" s="59" customFormat="1" ht="32.1" customHeight="1" x14ac:dyDescent="0.2">
      <c r="A177" s="127" t="s">
        <v>136</v>
      </c>
      <c r="B177" s="258" t="s">
        <v>735</v>
      </c>
      <c r="C177" s="289" t="s">
        <v>3491</v>
      </c>
      <c r="D177" s="116">
        <v>17</v>
      </c>
      <c r="E177" s="81"/>
      <c r="F177" s="81"/>
      <c r="G177" s="81"/>
      <c r="H177" s="81">
        <v>53.1</v>
      </c>
      <c r="I177" s="81"/>
      <c r="J177" s="81"/>
      <c r="K177" s="81"/>
      <c r="L177" s="81"/>
      <c r="M177" s="81"/>
      <c r="N177" s="81"/>
      <c r="O177" s="81"/>
      <c r="P177" s="81"/>
      <c r="Q177" s="145">
        <f t="shared" si="12"/>
        <v>53.1</v>
      </c>
      <c r="R177" s="151" t="str">
        <f t="shared" si="9"/>
        <v>NO</v>
      </c>
      <c r="S177" s="152" t="str">
        <f t="shared" si="10"/>
        <v>Alto</v>
      </c>
      <c r="T177" s="60"/>
    </row>
    <row r="178" spans="1:20" s="59" customFormat="1" ht="32.1" customHeight="1" x14ac:dyDescent="0.2">
      <c r="A178" s="127" t="s">
        <v>136</v>
      </c>
      <c r="B178" s="258" t="s">
        <v>3958</v>
      </c>
      <c r="C178" s="289" t="s">
        <v>3959</v>
      </c>
      <c r="D178" s="121">
        <v>35</v>
      </c>
      <c r="E178" s="81"/>
      <c r="F178" s="81"/>
      <c r="G178" s="81">
        <v>26.55</v>
      </c>
      <c r="H178" s="81"/>
      <c r="I178" s="81"/>
      <c r="J178" s="81"/>
      <c r="K178" s="81"/>
      <c r="L178" s="81"/>
      <c r="M178" s="81"/>
      <c r="N178" s="81"/>
      <c r="O178" s="81"/>
      <c r="P178" s="81"/>
      <c r="Q178" s="145">
        <f t="shared" si="12"/>
        <v>26.55</v>
      </c>
      <c r="R178" s="151" t="str">
        <f t="shared" si="9"/>
        <v>NO</v>
      </c>
      <c r="S178" s="152" t="str">
        <f t="shared" si="10"/>
        <v>Medio</v>
      </c>
      <c r="T178" s="60"/>
    </row>
    <row r="179" spans="1:20" s="59" customFormat="1" ht="32.1" customHeight="1" x14ac:dyDescent="0.2">
      <c r="A179" s="127" t="s">
        <v>136</v>
      </c>
      <c r="B179" s="258" t="s">
        <v>965</v>
      </c>
      <c r="C179" s="289" t="s">
        <v>3960</v>
      </c>
      <c r="D179" s="121">
        <v>16</v>
      </c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145" t="e">
        <f t="shared" si="12"/>
        <v>#DIV/0!</v>
      </c>
      <c r="R179" s="151" t="e">
        <f t="shared" si="9"/>
        <v>#DIV/0!</v>
      </c>
      <c r="S179" s="152" t="e">
        <f t="shared" si="10"/>
        <v>#DIV/0!</v>
      </c>
      <c r="T179" s="60"/>
    </row>
    <row r="180" spans="1:20" s="59" customFormat="1" ht="32.1" customHeight="1" x14ac:dyDescent="0.2">
      <c r="A180" s="127" t="s">
        <v>136</v>
      </c>
      <c r="B180" s="258" t="s">
        <v>68</v>
      </c>
      <c r="C180" s="289" t="s">
        <v>3961</v>
      </c>
      <c r="D180" s="116">
        <v>25</v>
      </c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145" t="e">
        <f t="shared" si="12"/>
        <v>#DIV/0!</v>
      </c>
      <c r="R180" s="151" t="e">
        <f t="shared" si="9"/>
        <v>#DIV/0!</v>
      </c>
      <c r="S180" s="152" t="e">
        <f t="shared" si="10"/>
        <v>#DIV/0!</v>
      </c>
      <c r="T180" s="60"/>
    </row>
    <row r="181" spans="1:20" s="59" customFormat="1" ht="32.1" customHeight="1" x14ac:dyDescent="0.2">
      <c r="A181" s="127" t="s">
        <v>136</v>
      </c>
      <c r="B181" s="258" t="s">
        <v>3962</v>
      </c>
      <c r="C181" s="289" t="s">
        <v>3963</v>
      </c>
      <c r="D181" s="121">
        <v>29</v>
      </c>
      <c r="E181" s="81"/>
      <c r="F181" s="81"/>
      <c r="G181" s="81"/>
      <c r="H181" s="81"/>
      <c r="I181" s="81"/>
      <c r="J181" s="81"/>
      <c r="K181" s="81"/>
      <c r="L181" s="81">
        <v>55.75</v>
      </c>
      <c r="M181" s="81"/>
      <c r="N181" s="81"/>
      <c r="O181" s="81"/>
      <c r="P181" s="81"/>
      <c r="Q181" s="145">
        <f t="shared" si="12"/>
        <v>55.75</v>
      </c>
      <c r="R181" s="151" t="str">
        <f t="shared" si="9"/>
        <v>NO</v>
      </c>
      <c r="S181" s="152" t="str">
        <f t="shared" si="10"/>
        <v>Alto</v>
      </c>
      <c r="T181" s="60"/>
    </row>
    <row r="182" spans="1:20" s="59" customFormat="1" ht="32.1" customHeight="1" x14ac:dyDescent="0.2">
      <c r="A182" s="127" t="s">
        <v>136</v>
      </c>
      <c r="B182" s="258" t="s">
        <v>3964</v>
      </c>
      <c r="C182" s="289" t="s">
        <v>3965</v>
      </c>
      <c r="D182" s="121">
        <v>49</v>
      </c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145" t="e">
        <f t="shared" si="12"/>
        <v>#DIV/0!</v>
      </c>
      <c r="R182" s="151" t="e">
        <f t="shared" si="9"/>
        <v>#DIV/0!</v>
      </c>
      <c r="S182" s="152" t="e">
        <f t="shared" si="10"/>
        <v>#DIV/0!</v>
      </c>
      <c r="T182" s="60"/>
    </row>
    <row r="183" spans="1:20" s="59" customFormat="1" ht="32.1" customHeight="1" x14ac:dyDescent="0.2">
      <c r="A183" s="127" t="s">
        <v>136</v>
      </c>
      <c r="B183" s="258" t="s">
        <v>3966</v>
      </c>
      <c r="C183" s="289" t="s">
        <v>3967</v>
      </c>
      <c r="D183" s="121">
        <v>25</v>
      </c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145" t="e">
        <f t="shared" si="12"/>
        <v>#DIV/0!</v>
      </c>
      <c r="R183" s="151" t="e">
        <f t="shared" si="9"/>
        <v>#DIV/0!</v>
      </c>
      <c r="S183" s="152" t="e">
        <f t="shared" si="10"/>
        <v>#DIV/0!</v>
      </c>
      <c r="T183" s="60"/>
    </row>
    <row r="184" spans="1:20" s="59" customFormat="1" ht="32.1" customHeight="1" x14ac:dyDescent="0.2">
      <c r="A184" s="127" t="s">
        <v>136</v>
      </c>
      <c r="B184" s="258" t="s">
        <v>3968</v>
      </c>
      <c r="C184" s="289" t="s">
        <v>3969</v>
      </c>
      <c r="D184" s="121">
        <v>11</v>
      </c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145" t="e">
        <f t="shared" si="12"/>
        <v>#DIV/0!</v>
      </c>
      <c r="R184" s="151" t="e">
        <f t="shared" si="9"/>
        <v>#DIV/0!</v>
      </c>
      <c r="S184" s="152" t="e">
        <f t="shared" si="10"/>
        <v>#DIV/0!</v>
      </c>
      <c r="T184" s="60"/>
    </row>
    <row r="185" spans="1:20" s="59" customFormat="1" ht="32.1" customHeight="1" x14ac:dyDescent="0.2">
      <c r="A185" s="127" t="s">
        <v>3976</v>
      </c>
      <c r="B185" s="258" t="s">
        <v>3970</v>
      </c>
      <c r="C185" s="289" t="s">
        <v>3971</v>
      </c>
      <c r="D185" s="121">
        <v>35</v>
      </c>
      <c r="E185" s="81"/>
      <c r="F185" s="81"/>
      <c r="G185" s="81"/>
      <c r="H185" s="81"/>
      <c r="I185" s="81">
        <v>53.9</v>
      </c>
      <c r="J185" s="81"/>
      <c r="K185" s="81"/>
      <c r="L185" s="81"/>
      <c r="M185" s="81">
        <v>53.9</v>
      </c>
      <c r="N185" s="81"/>
      <c r="O185" s="81"/>
      <c r="P185" s="81"/>
      <c r="Q185" s="145">
        <f t="shared" si="12"/>
        <v>53.9</v>
      </c>
      <c r="R185" s="151" t="str">
        <f t="shared" si="9"/>
        <v>NO</v>
      </c>
      <c r="S185" s="152" t="str">
        <f t="shared" si="10"/>
        <v>Alto</v>
      </c>
      <c r="T185" s="60"/>
    </row>
    <row r="186" spans="1:20" s="59" customFormat="1" ht="32.1" customHeight="1" x14ac:dyDescent="0.2">
      <c r="A186" s="127" t="s">
        <v>3976</v>
      </c>
      <c r="B186" s="258" t="s">
        <v>3972</v>
      </c>
      <c r="C186" s="289" t="s">
        <v>3973</v>
      </c>
      <c r="D186" s="121">
        <v>72</v>
      </c>
      <c r="E186" s="81"/>
      <c r="F186" s="81"/>
      <c r="G186" s="81">
        <v>53.9</v>
      </c>
      <c r="H186" s="81"/>
      <c r="I186" s="81"/>
      <c r="J186" s="81"/>
      <c r="K186" s="81"/>
      <c r="L186" s="81"/>
      <c r="M186" s="81">
        <v>53.9</v>
      </c>
      <c r="N186" s="81"/>
      <c r="O186" s="81"/>
      <c r="P186" s="81"/>
      <c r="Q186" s="145">
        <f t="shared" si="12"/>
        <v>53.9</v>
      </c>
      <c r="R186" s="151" t="str">
        <f t="shared" si="9"/>
        <v>NO</v>
      </c>
      <c r="S186" s="152" t="str">
        <f t="shared" si="10"/>
        <v>Alto</v>
      </c>
      <c r="T186" s="60"/>
    </row>
    <row r="187" spans="1:20" s="59" customFormat="1" ht="32.1" customHeight="1" x14ac:dyDescent="0.2">
      <c r="A187" s="127" t="s">
        <v>3976</v>
      </c>
      <c r="B187" s="258" t="s">
        <v>3974</v>
      </c>
      <c r="C187" s="289" t="s">
        <v>3975</v>
      </c>
      <c r="D187" s="121">
        <v>14</v>
      </c>
      <c r="E187" s="81"/>
      <c r="F187" s="81"/>
      <c r="G187" s="81"/>
      <c r="H187" s="81"/>
      <c r="I187" s="81">
        <v>26.5</v>
      </c>
      <c r="J187" s="81"/>
      <c r="K187" s="81"/>
      <c r="L187" s="81">
        <v>26.5</v>
      </c>
      <c r="M187" s="81"/>
      <c r="N187" s="81"/>
      <c r="O187" s="81"/>
      <c r="P187" s="81"/>
      <c r="Q187" s="145">
        <f t="shared" si="12"/>
        <v>26.5</v>
      </c>
      <c r="R187" s="151" t="str">
        <f t="shared" si="9"/>
        <v>NO</v>
      </c>
      <c r="S187" s="152" t="str">
        <f t="shared" si="10"/>
        <v>Medio</v>
      </c>
      <c r="T187" s="60"/>
    </row>
    <row r="188" spans="1:20" s="59" customFormat="1" ht="32.1" customHeight="1" x14ac:dyDescent="0.2">
      <c r="A188" s="127" t="s">
        <v>3976</v>
      </c>
      <c r="B188" s="258" t="s">
        <v>865</v>
      </c>
      <c r="C188" s="289" t="s">
        <v>734</v>
      </c>
      <c r="D188" s="121">
        <v>20</v>
      </c>
      <c r="E188" s="81"/>
      <c r="F188" s="81"/>
      <c r="G188" s="81"/>
      <c r="H188" s="81">
        <v>53.9</v>
      </c>
      <c r="I188" s="81"/>
      <c r="J188" s="81"/>
      <c r="K188" s="81"/>
      <c r="L188" s="81">
        <v>53.9</v>
      </c>
      <c r="M188" s="81"/>
      <c r="N188" s="81"/>
      <c r="O188" s="81"/>
      <c r="P188" s="81"/>
      <c r="Q188" s="145">
        <f t="shared" si="12"/>
        <v>53.9</v>
      </c>
      <c r="R188" s="151" t="str">
        <f t="shared" si="9"/>
        <v>NO</v>
      </c>
      <c r="S188" s="152" t="str">
        <f t="shared" si="10"/>
        <v>Alto</v>
      </c>
      <c r="T188" s="60"/>
    </row>
    <row r="189" spans="1:20" s="59" customFormat="1" ht="32.1" customHeight="1" x14ac:dyDescent="0.2">
      <c r="A189" s="127" t="s">
        <v>138</v>
      </c>
      <c r="B189" s="258" t="s">
        <v>3977</v>
      </c>
      <c r="C189" s="258" t="s">
        <v>3978</v>
      </c>
      <c r="D189" s="121">
        <v>89</v>
      </c>
      <c r="E189" s="81"/>
      <c r="F189" s="81"/>
      <c r="G189" s="81"/>
      <c r="H189" s="81"/>
      <c r="I189" s="81"/>
      <c r="J189" s="81">
        <v>0</v>
      </c>
      <c r="K189" s="81"/>
      <c r="L189" s="81"/>
      <c r="M189" s="81"/>
      <c r="N189" s="81"/>
      <c r="O189" s="81">
        <v>0</v>
      </c>
      <c r="P189" s="81"/>
      <c r="Q189" s="145">
        <f t="shared" si="12"/>
        <v>0</v>
      </c>
      <c r="R189" s="151" t="str">
        <f t="shared" si="9"/>
        <v>SI</v>
      </c>
      <c r="S189" s="152" t="str">
        <f t="shared" si="10"/>
        <v>Sin Riesgo</v>
      </c>
      <c r="T189" s="60"/>
    </row>
    <row r="190" spans="1:20" s="59" customFormat="1" ht="32.1" customHeight="1" x14ac:dyDescent="0.2">
      <c r="A190" s="127" t="s">
        <v>138</v>
      </c>
      <c r="B190" s="258" t="s">
        <v>3979</v>
      </c>
      <c r="C190" s="258" t="s">
        <v>3980</v>
      </c>
      <c r="D190" s="121">
        <v>112</v>
      </c>
      <c r="E190" s="81"/>
      <c r="F190" s="81"/>
      <c r="G190" s="81"/>
      <c r="H190" s="81"/>
      <c r="I190" s="81"/>
      <c r="J190" s="81">
        <v>0</v>
      </c>
      <c r="K190" s="81"/>
      <c r="L190" s="81"/>
      <c r="M190" s="81">
        <v>26.6</v>
      </c>
      <c r="N190" s="81"/>
      <c r="O190" s="81"/>
      <c r="P190" s="81"/>
      <c r="Q190" s="145">
        <f t="shared" si="12"/>
        <v>13.3</v>
      </c>
      <c r="R190" s="151" t="str">
        <f t="shared" si="9"/>
        <v>NO</v>
      </c>
      <c r="S190" s="152" t="str">
        <f t="shared" si="10"/>
        <v>Bajo</v>
      </c>
      <c r="T190" s="60"/>
    </row>
    <row r="191" spans="1:20" s="59" customFormat="1" ht="32.1" customHeight="1" x14ac:dyDescent="0.2">
      <c r="A191" s="127" t="s">
        <v>138</v>
      </c>
      <c r="B191" s="258" t="s">
        <v>3981</v>
      </c>
      <c r="C191" s="258" t="s">
        <v>3982</v>
      </c>
      <c r="D191" s="121">
        <v>375</v>
      </c>
      <c r="E191" s="81"/>
      <c r="F191" s="81"/>
      <c r="G191" s="81">
        <v>97.4</v>
      </c>
      <c r="H191" s="81"/>
      <c r="I191" s="81">
        <v>0</v>
      </c>
      <c r="J191" s="81"/>
      <c r="K191" s="81"/>
      <c r="L191" s="81"/>
      <c r="M191" s="81">
        <v>97.4</v>
      </c>
      <c r="N191" s="81">
        <v>97.4</v>
      </c>
      <c r="O191" s="81"/>
      <c r="P191" s="81"/>
      <c r="Q191" s="145">
        <f t="shared" si="12"/>
        <v>73.050000000000011</v>
      </c>
      <c r="R191" s="151" t="str">
        <f t="shared" si="9"/>
        <v>NO</v>
      </c>
      <c r="S191" s="152" t="str">
        <f t="shared" si="10"/>
        <v>Alto</v>
      </c>
      <c r="T191" s="60"/>
    </row>
    <row r="192" spans="1:20" s="59" customFormat="1" ht="32.1" customHeight="1" x14ac:dyDescent="0.2">
      <c r="A192" s="127" t="s">
        <v>138</v>
      </c>
      <c r="B192" s="258" t="s">
        <v>3983</v>
      </c>
      <c r="C192" s="258" t="s">
        <v>3984</v>
      </c>
      <c r="D192" s="121">
        <v>168</v>
      </c>
      <c r="E192" s="81"/>
      <c r="F192" s="81"/>
      <c r="G192" s="81"/>
      <c r="H192" s="81"/>
      <c r="I192" s="81"/>
      <c r="J192" s="81">
        <v>97.4</v>
      </c>
      <c r="K192" s="81"/>
      <c r="L192" s="81"/>
      <c r="M192" s="81"/>
      <c r="N192" s="81"/>
      <c r="O192" s="81">
        <v>97.4</v>
      </c>
      <c r="P192" s="81"/>
      <c r="Q192" s="145">
        <f t="shared" si="12"/>
        <v>97.4</v>
      </c>
      <c r="R192" s="151" t="str">
        <f t="shared" si="9"/>
        <v>NO</v>
      </c>
      <c r="S192" s="152" t="str">
        <f t="shared" si="10"/>
        <v>Inviable Sanitariamente</v>
      </c>
      <c r="T192" s="60"/>
    </row>
    <row r="193" spans="1:20" s="59" customFormat="1" ht="32.1" customHeight="1" x14ac:dyDescent="0.2">
      <c r="A193" s="127" t="s">
        <v>138</v>
      </c>
      <c r="B193" s="258" t="s">
        <v>3985</v>
      </c>
      <c r="C193" s="258" t="s">
        <v>3986</v>
      </c>
      <c r="D193" s="121">
        <v>150</v>
      </c>
      <c r="E193" s="81"/>
      <c r="F193" s="81"/>
      <c r="G193" s="81"/>
      <c r="H193" s="81"/>
      <c r="I193" s="81"/>
      <c r="J193" s="81">
        <v>0</v>
      </c>
      <c r="K193" s="81"/>
      <c r="L193" s="81"/>
      <c r="M193" s="81"/>
      <c r="N193" s="81">
        <v>0</v>
      </c>
      <c r="O193" s="81"/>
      <c r="P193" s="81"/>
      <c r="Q193" s="145">
        <f t="shared" si="12"/>
        <v>0</v>
      </c>
      <c r="R193" s="151" t="str">
        <f t="shared" si="9"/>
        <v>SI</v>
      </c>
      <c r="S193" s="152" t="str">
        <f t="shared" si="10"/>
        <v>Sin Riesgo</v>
      </c>
      <c r="T193" s="60"/>
    </row>
    <row r="194" spans="1:20" s="59" customFormat="1" ht="32.1" customHeight="1" x14ac:dyDescent="0.2">
      <c r="A194" s="127" t="s">
        <v>138</v>
      </c>
      <c r="B194" s="258" t="s">
        <v>3987</v>
      </c>
      <c r="C194" s="258" t="s">
        <v>3988</v>
      </c>
      <c r="D194" s="121">
        <v>100</v>
      </c>
      <c r="E194" s="81"/>
      <c r="F194" s="81">
        <v>97.4</v>
      </c>
      <c r="G194" s="81"/>
      <c r="H194" s="81"/>
      <c r="I194" s="81"/>
      <c r="J194" s="81"/>
      <c r="K194" s="81"/>
      <c r="L194" s="81"/>
      <c r="M194" s="81"/>
      <c r="N194" s="81"/>
      <c r="O194" s="81">
        <v>97.4</v>
      </c>
      <c r="P194" s="81"/>
      <c r="Q194" s="145">
        <f t="shared" si="12"/>
        <v>97.4</v>
      </c>
      <c r="R194" s="151" t="str">
        <f t="shared" si="9"/>
        <v>NO</v>
      </c>
      <c r="S194" s="152" t="str">
        <f t="shared" si="10"/>
        <v>Inviable Sanitariamente</v>
      </c>
      <c r="T194" s="60"/>
    </row>
    <row r="195" spans="1:20" s="59" customFormat="1" ht="32.1" customHeight="1" x14ac:dyDescent="0.2">
      <c r="A195" s="127" t="s">
        <v>138</v>
      </c>
      <c r="B195" s="258" t="s">
        <v>3989</v>
      </c>
      <c r="C195" s="258" t="s">
        <v>3990</v>
      </c>
      <c r="D195" s="121">
        <v>22</v>
      </c>
      <c r="E195" s="81"/>
      <c r="F195" s="81"/>
      <c r="G195" s="81">
        <v>97.4</v>
      </c>
      <c r="H195" s="81"/>
      <c r="I195" s="81"/>
      <c r="J195" s="81"/>
      <c r="K195" s="81"/>
      <c r="L195" s="81"/>
      <c r="M195" s="81"/>
      <c r="N195" s="81"/>
      <c r="O195" s="81">
        <v>97.4</v>
      </c>
      <c r="P195" s="81"/>
      <c r="Q195" s="145">
        <f t="shared" si="12"/>
        <v>97.4</v>
      </c>
      <c r="R195" s="151" t="str">
        <f t="shared" si="9"/>
        <v>NO</v>
      </c>
      <c r="S195" s="152" t="str">
        <f t="shared" si="10"/>
        <v>Inviable Sanitariamente</v>
      </c>
      <c r="T195" s="60"/>
    </row>
    <row r="196" spans="1:20" s="323" customFormat="1" ht="32.1" customHeight="1" x14ac:dyDescent="0.2">
      <c r="A196" s="127" t="s">
        <v>138</v>
      </c>
      <c r="B196" s="258" t="s">
        <v>3991</v>
      </c>
      <c r="C196" s="258" t="s">
        <v>3992</v>
      </c>
      <c r="D196" s="116">
        <v>235</v>
      </c>
      <c r="E196" s="81"/>
      <c r="F196" s="81"/>
      <c r="G196" s="81"/>
      <c r="H196" s="81"/>
      <c r="I196" s="81">
        <v>0</v>
      </c>
      <c r="J196" s="81"/>
      <c r="K196" s="81"/>
      <c r="L196" s="81"/>
      <c r="M196" s="81"/>
      <c r="N196" s="81"/>
      <c r="O196" s="81">
        <v>0</v>
      </c>
      <c r="P196" s="81"/>
      <c r="Q196" s="145">
        <f t="shared" si="12"/>
        <v>0</v>
      </c>
      <c r="R196" s="151" t="str">
        <f t="shared" si="9"/>
        <v>SI</v>
      </c>
      <c r="S196" s="152" t="str">
        <f t="shared" si="10"/>
        <v>Sin Riesgo</v>
      </c>
    </row>
    <row r="197" spans="1:20" s="323" customFormat="1" ht="32.1" customHeight="1" x14ac:dyDescent="0.2">
      <c r="A197" s="127" t="s">
        <v>138</v>
      </c>
      <c r="B197" s="258" t="s">
        <v>3993</v>
      </c>
      <c r="C197" s="258" t="s">
        <v>3994</v>
      </c>
      <c r="D197" s="121">
        <v>200</v>
      </c>
      <c r="E197" s="81"/>
      <c r="F197" s="81"/>
      <c r="G197" s="81"/>
      <c r="H197" s="81"/>
      <c r="I197" s="81"/>
      <c r="J197" s="81">
        <v>0</v>
      </c>
      <c r="K197" s="81"/>
      <c r="L197" s="81"/>
      <c r="M197" s="81"/>
      <c r="N197" s="81"/>
      <c r="O197" s="81">
        <v>0</v>
      </c>
      <c r="P197" s="81"/>
      <c r="Q197" s="145">
        <f t="shared" si="12"/>
        <v>0</v>
      </c>
      <c r="R197" s="151" t="str">
        <f t="shared" si="9"/>
        <v>SI</v>
      </c>
      <c r="S197" s="152" t="str">
        <f t="shared" si="10"/>
        <v>Sin Riesgo</v>
      </c>
    </row>
    <row r="198" spans="1:20" s="59" customFormat="1" ht="32.1" customHeight="1" x14ac:dyDescent="0.2">
      <c r="A198" s="127" t="s">
        <v>138</v>
      </c>
      <c r="B198" s="258" t="s">
        <v>3995</v>
      </c>
      <c r="C198" s="258" t="s">
        <v>3996</v>
      </c>
      <c r="D198" s="121">
        <v>58</v>
      </c>
      <c r="E198" s="81"/>
      <c r="F198" s="81"/>
      <c r="G198" s="81"/>
      <c r="H198" s="81"/>
      <c r="I198" s="81">
        <v>97.4</v>
      </c>
      <c r="J198" s="81"/>
      <c r="K198" s="81"/>
      <c r="L198" s="81"/>
      <c r="M198" s="81"/>
      <c r="N198" s="81"/>
      <c r="O198" s="81">
        <v>97.4</v>
      </c>
      <c r="P198" s="81"/>
      <c r="Q198" s="145">
        <f t="shared" si="12"/>
        <v>97.4</v>
      </c>
      <c r="R198" s="151" t="str">
        <f t="shared" si="9"/>
        <v>NO</v>
      </c>
      <c r="S198" s="152" t="str">
        <f t="shared" si="10"/>
        <v>Inviable Sanitariamente</v>
      </c>
      <c r="T198" s="60"/>
    </row>
    <row r="199" spans="1:20" s="59" customFormat="1" ht="32.1" customHeight="1" x14ac:dyDescent="0.2">
      <c r="A199" s="127" t="s">
        <v>138</v>
      </c>
      <c r="B199" s="258" t="s">
        <v>3997</v>
      </c>
      <c r="C199" s="258" t="s">
        <v>3998</v>
      </c>
      <c r="D199" s="116">
        <v>197</v>
      </c>
      <c r="E199" s="81"/>
      <c r="F199" s="81"/>
      <c r="G199" s="81">
        <v>97.4</v>
      </c>
      <c r="H199" s="81"/>
      <c r="I199" s="81">
        <v>97.4</v>
      </c>
      <c r="J199" s="81"/>
      <c r="K199" s="81"/>
      <c r="L199" s="81"/>
      <c r="M199" s="81">
        <v>97.4</v>
      </c>
      <c r="N199" s="81"/>
      <c r="O199" s="81"/>
      <c r="P199" s="81"/>
      <c r="Q199" s="145">
        <f t="shared" ref="Q199:Q230" si="13">AVERAGE(E199:P199)</f>
        <v>97.40000000000002</v>
      </c>
      <c r="R199" s="151" t="str">
        <f t="shared" si="9"/>
        <v>NO</v>
      </c>
      <c r="S199" s="152" t="str">
        <f t="shared" si="10"/>
        <v>Inviable Sanitariamente</v>
      </c>
      <c r="T199" s="60"/>
    </row>
    <row r="200" spans="1:20" s="59" customFormat="1" ht="32.1" customHeight="1" x14ac:dyDescent="0.2">
      <c r="A200" s="127" t="s">
        <v>138</v>
      </c>
      <c r="B200" s="258" t="s">
        <v>3999</v>
      </c>
      <c r="C200" s="258" t="s">
        <v>4000</v>
      </c>
      <c r="D200" s="121">
        <v>32</v>
      </c>
      <c r="E200" s="81"/>
      <c r="F200" s="81"/>
      <c r="G200" s="81"/>
      <c r="H200" s="81"/>
      <c r="I200" s="81"/>
      <c r="J200" s="81">
        <v>97.4</v>
      </c>
      <c r="K200" s="81"/>
      <c r="L200" s="81"/>
      <c r="M200" s="81"/>
      <c r="N200" s="81">
        <v>97.4</v>
      </c>
      <c r="O200" s="81"/>
      <c r="P200" s="81"/>
      <c r="Q200" s="145">
        <f t="shared" si="13"/>
        <v>97.4</v>
      </c>
      <c r="R200" s="151" t="str">
        <f t="shared" si="9"/>
        <v>NO</v>
      </c>
      <c r="S200" s="152" t="str">
        <f t="shared" si="10"/>
        <v>Inviable Sanitariamente</v>
      </c>
      <c r="T200" s="60"/>
    </row>
    <row r="201" spans="1:20" s="59" customFormat="1" ht="32.1" customHeight="1" x14ac:dyDescent="0.2">
      <c r="A201" s="127" t="s">
        <v>138</v>
      </c>
      <c r="B201" s="258" t="s">
        <v>4001</v>
      </c>
      <c r="C201" s="258" t="s">
        <v>4002</v>
      </c>
      <c r="D201" s="121">
        <v>177</v>
      </c>
      <c r="E201" s="81"/>
      <c r="F201" s="81"/>
      <c r="G201" s="81"/>
      <c r="H201" s="81"/>
      <c r="I201" s="81">
        <v>0</v>
      </c>
      <c r="J201" s="81"/>
      <c r="K201" s="81"/>
      <c r="L201" s="81"/>
      <c r="M201" s="81"/>
      <c r="N201" s="81"/>
      <c r="O201" s="81">
        <v>0</v>
      </c>
      <c r="P201" s="81"/>
      <c r="Q201" s="145">
        <f t="shared" si="13"/>
        <v>0</v>
      </c>
      <c r="R201" s="151" t="str">
        <f t="shared" si="9"/>
        <v>SI</v>
      </c>
      <c r="S201" s="152" t="str">
        <f t="shared" si="10"/>
        <v>Sin Riesgo</v>
      </c>
      <c r="T201" s="60"/>
    </row>
    <row r="202" spans="1:20" s="59" customFormat="1" ht="32.1" customHeight="1" x14ac:dyDescent="0.2">
      <c r="A202" s="127" t="s">
        <v>138</v>
      </c>
      <c r="B202" s="258" t="s">
        <v>4003</v>
      </c>
      <c r="C202" s="258" t="s">
        <v>4004</v>
      </c>
      <c r="D202" s="116">
        <v>247</v>
      </c>
      <c r="E202" s="81"/>
      <c r="F202" s="81"/>
      <c r="G202" s="81"/>
      <c r="H202" s="81"/>
      <c r="I202" s="81"/>
      <c r="J202" s="81">
        <v>0</v>
      </c>
      <c r="K202" s="81"/>
      <c r="L202" s="81"/>
      <c r="M202" s="81">
        <v>0</v>
      </c>
      <c r="N202" s="81"/>
      <c r="O202" s="81"/>
      <c r="P202" s="81"/>
      <c r="Q202" s="145">
        <f t="shared" si="13"/>
        <v>0</v>
      </c>
      <c r="R202" s="151" t="str">
        <f t="shared" ref="R202:R264" si="14">IF(Q202&lt;5,"SI","NO")</f>
        <v>SI</v>
      </c>
      <c r="S202" s="152" t="str">
        <f t="shared" ref="S202:S264" si="15">IF(Q202&lt;=5,"Sin Riesgo",IF(Q202 &lt;=14,"Bajo",IF(Q202&lt;=35,"Medio",IF(Q202&lt;=80,"Alto","Inviable Sanitariamente"))))</f>
        <v>Sin Riesgo</v>
      </c>
      <c r="T202" s="60"/>
    </row>
    <row r="203" spans="1:20" s="59" customFormat="1" ht="32.1" customHeight="1" x14ac:dyDescent="0.2">
      <c r="A203" s="127" t="s">
        <v>138</v>
      </c>
      <c r="B203" s="258" t="s">
        <v>4005</v>
      </c>
      <c r="C203" s="258" t="s">
        <v>4006</v>
      </c>
      <c r="D203" s="121">
        <v>50</v>
      </c>
      <c r="E203" s="81"/>
      <c r="F203" s="81"/>
      <c r="G203" s="81"/>
      <c r="H203" s="81"/>
      <c r="I203" s="81"/>
      <c r="J203" s="81"/>
      <c r="K203" s="81"/>
      <c r="L203" s="81"/>
      <c r="M203" s="81">
        <v>97.4</v>
      </c>
      <c r="N203" s="81"/>
      <c r="O203" s="81"/>
      <c r="P203" s="81"/>
      <c r="Q203" s="145">
        <f t="shared" si="13"/>
        <v>97.4</v>
      </c>
      <c r="R203" s="151" t="str">
        <f t="shared" si="14"/>
        <v>NO</v>
      </c>
      <c r="S203" s="152" t="str">
        <f t="shared" si="15"/>
        <v>Inviable Sanitariamente</v>
      </c>
      <c r="T203" s="60"/>
    </row>
    <row r="204" spans="1:20" s="59" customFormat="1" ht="32.1" customHeight="1" x14ac:dyDescent="0.2">
      <c r="A204" s="127" t="s">
        <v>138</v>
      </c>
      <c r="B204" s="258" t="s">
        <v>4007</v>
      </c>
      <c r="C204" s="258" t="s">
        <v>4008</v>
      </c>
      <c r="D204" s="121">
        <v>33</v>
      </c>
      <c r="E204" s="81"/>
      <c r="F204" s="81"/>
      <c r="G204" s="81"/>
      <c r="H204" s="81"/>
      <c r="I204" s="81"/>
      <c r="J204" s="81">
        <v>97.4</v>
      </c>
      <c r="K204" s="81"/>
      <c r="L204" s="81"/>
      <c r="M204" s="81"/>
      <c r="N204" s="81"/>
      <c r="O204" s="81">
        <v>97.4</v>
      </c>
      <c r="P204" s="81"/>
      <c r="Q204" s="145">
        <f t="shared" si="13"/>
        <v>97.4</v>
      </c>
      <c r="R204" s="151" t="str">
        <f t="shared" si="14"/>
        <v>NO</v>
      </c>
      <c r="S204" s="152" t="str">
        <f t="shared" si="15"/>
        <v>Inviable Sanitariamente</v>
      </c>
      <c r="T204" s="60"/>
    </row>
    <row r="205" spans="1:20" s="59" customFormat="1" ht="32.1" customHeight="1" x14ac:dyDescent="0.2">
      <c r="A205" s="127" t="s">
        <v>139</v>
      </c>
      <c r="B205" s="258" t="s">
        <v>4009</v>
      </c>
      <c r="C205" s="258" t="s">
        <v>4010</v>
      </c>
      <c r="D205" s="121">
        <v>48</v>
      </c>
      <c r="E205" s="81"/>
      <c r="F205" s="81"/>
      <c r="G205" s="81"/>
      <c r="H205" s="81"/>
      <c r="I205" s="81"/>
      <c r="J205" s="81">
        <v>53.1</v>
      </c>
      <c r="K205" s="81"/>
      <c r="L205" s="81"/>
      <c r="M205" s="81"/>
      <c r="N205" s="81"/>
      <c r="O205" s="81">
        <v>53.1</v>
      </c>
      <c r="P205" s="81"/>
      <c r="Q205" s="145">
        <f t="shared" si="13"/>
        <v>53.1</v>
      </c>
      <c r="R205" s="151" t="str">
        <f t="shared" si="14"/>
        <v>NO</v>
      </c>
      <c r="S205" s="152" t="str">
        <f t="shared" si="15"/>
        <v>Alto</v>
      </c>
      <c r="T205" s="60"/>
    </row>
    <row r="206" spans="1:20" s="59" customFormat="1" ht="32.1" customHeight="1" x14ac:dyDescent="0.2">
      <c r="A206" s="127" t="s">
        <v>139</v>
      </c>
      <c r="B206" s="261" t="s">
        <v>4011</v>
      </c>
      <c r="C206" s="258" t="s">
        <v>4012</v>
      </c>
      <c r="D206" s="121">
        <v>153</v>
      </c>
      <c r="E206" s="81"/>
      <c r="F206" s="81"/>
      <c r="G206" s="81">
        <v>53.1</v>
      </c>
      <c r="H206" s="81"/>
      <c r="I206" s="81"/>
      <c r="J206" s="81">
        <v>53.1</v>
      </c>
      <c r="K206" s="81"/>
      <c r="L206" s="81">
        <v>0</v>
      </c>
      <c r="M206" s="81">
        <v>26.6</v>
      </c>
      <c r="N206" s="81"/>
      <c r="O206" s="81"/>
      <c r="P206" s="81"/>
      <c r="Q206" s="145">
        <f t="shared" si="13"/>
        <v>33.200000000000003</v>
      </c>
      <c r="R206" s="151" t="str">
        <f t="shared" si="14"/>
        <v>NO</v>
      </c>
      <c r="S206" s="152" t="str">
        <f t="shared" si="15"/>
        <v>Medio</v>
      </c>
      <c r="T206" s="60"/>
    </row>
    <row r="207" spans="1:20" s="59" customFormat="1" ht="32.1" customHeight="1" x14ac:dyDescent="0.2">
      <c r="A207" s="127" t="s">
        <v>139</v>
      </c>
      <c r="B207" s="258" t="s">
        <v>4013</v>
      </c>
      <c r="C207" s="258" t="s">
        <v>4014</v>
      </c>
      <c r="D207" s="121">
        <v>151</v>
      </c>
      <c r="E207" s="81"/>
      <c r="F207" s="81">
        <v>0</v>
      </c>
      <c r="G207" s="81"/>
      <c r="H207" s="81">
        <v>0</v>
      </c>
      <c r="I207" s="81"/>
      <c r="J207" s="81"/>
      <c r="K207" s="81"/>
      <c r="L207" s="81"/>
      <c r="M207" s="81">
        <v>0</v>
      </c>
      <c r="N207" s="81"/>
      <c r="O207" s="81"/>
      <c r="P207" s="81">
        <v>0</v>
      </c>
      <c r="Q207" s="145">
        <f t="shared" si="13"/>
        <v>0</v>
      </c>
      <c r="R207" s="151" t="str">
        <f t="shared" si="14"/>
        <v>SI</v>
      </c>
      <c r="S207" s="152" t="str">
        <f t="shared" si="15"/>
        <v>Sin Riesgo</v>
      </c>
      <c r="T207" s="60"/>
    </row>
    <row r="208" spans="1:20" s="59" customFormat="1" ht="32.1" customHeight="1" x14ac:dyDescent="0.2">
      <c r="A208" s="127" t="s">
        <v>139</v>
      </c>
      <c r="B208" s="261" t="s">
        <v>4015</v>
      </c>
      <c r="C208" s="258" t="s">
        <v>4016</v>
      </c>
      <c r="D208" s="121">
        <v>180</v>
      </c>
      <c r="E208" s="81"/>
      <c r="F208" s="81"/>
      <c r="G208" s="81"/>
      <c r="H208" s="81"/>
      <c r="I208" s="81"/>
      <c r="J208" s="81"/>
      <c r="K208" s="81"/>
      <c r="L208" s="81">
        <v>53.1</v>
      </c>
      <c r="M208" s="81"/>
      <c r="N208" s="81"/>
      <c r="O208" s="81"/>
      <c r="P208" s="81"/>
      <c r="Q208" s="145">
        <f t="shared" si="13"/>
        <v>53.1</v>
      </c>
      <c r="R208" s="151" t="str">
        <f t="shared" si="14"/>
        <v>NO</v>
      </c>
      <c r="S208" s="152" t="str">
        <f t="shared" si="15"/>
        <v>Alto</v>
      </c>
      <c r="T208" s="60"/>
    </row>
    <row r="209" spans="1:20" s="59" customFormat="1" ht="32.1" customHeight="1" x14ac:dyDescent="0.2">
      <c r="A209" s="127" t="s">
        <v>139</v>
      </c>
      <c r="B209" s="261" t="s">
        <v>4017</v>
      </c>
      <c r="C209" s="258" t="s">
        <v>4018</v>
      </c>
      <c r="D209" s="121">
        <v>134</v>
      </c>
      <c r="E209" s="81"/>
      <c r="F209" s="81"/>
      <c r="G209" s="81"/>
      <c r="H209" s="81">
        <v>0</v>
      </c>
      <c r="I209" s="81"/>
      <c r="J209" s="81"/>
      <c r="K209" s="81"/>
      <c r="L209" s="81">
        <v>0</v>
      </c>
      <c r="M209" s="81"/>
      <c r="N209" s="81"/>
      <c r="O209" s="81"/>
      <c r="P209" s="81"/>
      <c r="Q209" s="145">
        <f t="shared" si="13"/>
        <v>0</v>
      </c>
      <c r="R209" s="151" t="str">
        <f t="shared" si="14"/>
        <v>SI</v>
      </c>
      <c r="S209" s="152" t="str">
        <f t="shared" si="15"/>
        <v>Sin Riesgo</v>
      </c>
      <c r="T209" s="60"/>
    </row>
    <row r="210" spans="1:20" s="59" customFormat="1" ht="32.1" customHeight="1" x14ac:dyDescent="0.2">
      <c r="A210" s="127" t="s">
        <v>139</v>
      </c>
      <c r="B210" s="258" t="s">
        <v>4019</v>
      </c>
      <c r="C210" s="258" t="s">
        <v>4020</v>
      </c>
      <c r="D210" s="121">
        <v>178</v>
      </c>
      <c r="E210" s="81"/>
      <c r="F210" s="81"/>
      <c r="G210" s="81">
        <v>53.1</v>
      </c>
      <c r="H210" s="81"/>
      <c r="I210" s="81"/>
      <c r="J210" s="81"/>
      <c r="K210" s="81"/>
      <c r="L210" s="81"/>
      <c r="M210" s="81"/>
      <c r="N210" s="81"/>
      <c r="O210" s="81"/>
      <c r="P210" s="81"/>
      <c r="Q210" s="145">
        <f t="shared" si="13"/>
        <v>53.1</v>
      </c>
      <c r="R210" s="151" t="str">
        <f t="shared" si="14"/>
        <v>NO</v>
      </c>
      <c r="S210" s="152" t="str">
        <f t="shared" si="15"/>
        <v>Alto</v>
      </c>
      <c r="T210" s="60"/>
    </row>
    <row r="211" spans="1:20" s="59" customFormat="1" ht="32.1" customHeight="1" x14ac:dyDescent="0.2">
      <c r="A211" s="127" t="s">
        <v>139</v>
      </c>
      <c r="B211" s="258" t="s">
        <v>4021</v>
      </c>
      <c r="C211" s="258" t="s">
        <v>4022</v>
      </c>
      <c r="D211" s="121">
        <v>48</v>
      </c>
      <c r="E211" s="81"/>
      <c r="F211" s="81"/>
      <c r="G211" s="81"/>
      <c r="H211" s="81"/>
      <c r="I211" s="81">
        <v>53.1</v>
      </c>
      <c r="J211" s="81"/>
      <c r="K211" s="81"/>
      <c r="L211" s="81"/>
      <c r="M211" s="81"/>
      <c r="N211" s="81"/>
      <c r="O211" s="81">
        <v>53.1</v>
      </c>
      <c r="P211" s="81"/>
      <c r="Q211" s="145">
        <f t="shared" si="13"/>
        <v>53.1</v>
      </c>
      <c r="R211" s="151" t="str">
        <f t="shared" si="14"/>
        <v>NO</v>
      </c>
      <c r="S211" s="152" t="str">
        <f t="shared" si="15"/>
        <v>Alto</v>
      </c>
      <c r="T211" s="60"/>
    </row>
    <row r="212" spans="1:20" s="59" customFormat="1" ht="32.1" customHeight="1" x14ac:dyDescent="0.2">
      <c r="A212" s="127" t="s">
        <v>139</v>
      </c>
      <c r="B212" s="258" t="s">
        <v>481</v>
      </c>
      <c r="C212" s="258" t="s">
        <v>4023</v>
      </c>
      <c r="D212" s="116">
        <v>54</v>
      </c>
      <c r="E212" s="81"/>
      <c r="F212" s="81"/>
      <c r="G212" s="81"/>
      <c r="H212" s="81"/>
      <c r="I212" s="81"/>
      <c r="J212" s="81">
        <v>53.1</v>
      </c>
      <c r="K212" s="81"/>
      <c r="L212" s="81"/>
      <c r="M212" s="81"/>
      <c r="N212" s="81"/>
      <c r="O212" s="81">
        <v>53.1</v>
      </c>
      <c r="P212" s="81"/>
      <c r="Q212" s="145">
        <f t="shared" si="13"/>
        <v>53.1</v>
      </c>
      <c r="R212" s="151" t="str">
        <f t="shared" si="14"/>
        <v>NO</v>
      </c>
      <c r="S212" s="152" t="str">
        <f t="shared" si="15"/>
        <v>Alto</v>
      </c>
      <c r="T212" s="60"/>
    </row>
    <row r="213" spans="1:20" s="59" customFormat="1" ht="32.1" customHeight="1" x14ac:dyDescent="0.2">
      <c r="A213" s="127" t="s">
        <v>139</v>
      </c>
      <c r="B213" s="261" t="s">
        <v>4024</v>
      </c>
      <c r="C213" s="258" t="s">
        <v>4025</v>
      </c>
      <c r="D213" s="121">
        <v>70</v>
      </c>
      <c r="E213" s="81"/>
      <c r="F213" s="81"/>
      <c r="G213" s="81"/>
      <c r="H213" s="81">
        <v>53.1</v>
      </c>
      <c r="I213" s="81"/>
      <c r="J213" s="81"/>
      <c r="K213" s="81"/>
      <c r="L213" s="81"/>
      <c r="M213" s="81">
        <v>53.1</v>
      </c>
      <c r="N213" s="81"/>
      <c r="O213" s="81"/>
      <c r="P213" s="81"/>
      <c r="Q213" s="145">
        <f t="shared" si="13"/>
        <v>53.1</v>
      </c>
      <c r="R213" s="151" t="str">
        <f t="shared" si="14"/>
        <v>NO</v>
      </c>
      <c r="S213" s="152" t="str">
        <f t="shared" si="15"/>
        <v>Alto</v>
      </c>
      <c r="T213" s="60"/>
    </row>
    <row r="214" spans="1:20" s="59" customFormat="1" ht="32.1" customHeight="1" x14ac:dyDescent="0.2">
      <c r="A214" s="127" t="s">
        <v>139</v>
      </c>
      <c r="B214" s="258" t="s">
        <v>9</v>
      </c>
      <c r="C214" s="258" t="s">
        <v>4026</v>
      </c>
      <c r="D214" s="121">
        <v>304</v>
      </c>
      <c r="E214" s="81"/>
      <c r="F214" s="81"/>
      <c r="G214" s="81"/>
      <c r="H214" s="81">
        <v>53.1</v>
      </c>
      <c r="I214" s="81"/>
      <c r="J214" s="81"/>
      <c r="K214" s="81"/>
      <c r="L214" s="81"/>
      <c r="M214" s="81">
        <v>53.1</v>
      </c>
      <c r="N214" s="81"/>
      <c r="O214" s="81"/>
      <c r="P214" s="81"/>
      <c r="Q214" s="145">
        <f t="shared" si="13"/>
        <v>53.1</v>
      </c>
      <c r="R214" s="151" t="str">
        <f t="shared" si="14"/>
        <v>NO</v>
      </c>
      <c r="S214" s="152" t="str">
        <f t="shared" si="15"/>
        <v>Alto</v>
      </c>
      <c r="T214" s="60"/>
    </row>
    <row r="215" spans="1:20" s="59" customFormat="1" ht="32.1" customHeight="1" x14ac:dyDescent="0.2">
      <c r="A215" s="127" t="s">
        <v>139</v>
      </c>
      <c r="B215" s="258" t="s">
        <v>3167</v>
      </c>
      <c r="C215" s="258" t="s">
        <v>4027</v>
      </c>
      <c r="D215" s="116">
        <v>41</v>
      </c>
      <c r="E215" s="81"/>
      <c r="F215" s="81">
        <v>53.1</v>
      </c>
      <c r="G215" s="81"/>
      <c r="H215" s="81">
        <v>53.1</v>
      </c>
      <c r="I215" s="81"/>
      <c r="J215" s="81"/>
      <c r="K215" s="81"/>
      <c r="L215" s="81"/>
      <c r="M215" s="81"/>
      <c r="N215" s="81">
        <v>0</v>
      </c>
      <c r="O215" s="81"/>
      <c r="P215" s="81"/>
      <c r="Q215" s="145">
        <f t="shared" si="13"/>
        <v>35.4</v>
      </c>
      <c r="R215" s="151" t="str">
        <f t="shared" si="14"/>
        <v>NO</v>
      </c>
      <c r="S215" s="152" t="str">
        <f t="shared" si="15"/>
        <v>Alto</v>
      </c>
      <c r="T215" s="60"/>
    </row>
    <row r="216" spans="1:20" s="59" customFormat="1" ht="32.1" customHeight="1" x14ac:dyDescent="0.2">
      <c r="A216" s="127" t="s">
        <v>139</v>
      </c>
      <c r="B216" s="258" t="s">
        <v>4028</v>
      </c>
      <c r="C216" s="258" t="s">
        <v>4029</v>
      </c>
      <c r="D216" s="121">
        <v>41</v>
      </c>
      <c r="E216" s="81"/>
      <c r="F216" s="81"/>
      <c r="G216" s="81"/>
      <c r="H216" s="81"/>
      <c r="I216" s="81"/>
      <c r="J216" s="81">
        <v>53.1</v>
      </c>
      <c r="K216" s="81"/>
      <c r="L216" s="81"/>
      <c r="M216" s="81">
        <v>53.1</v>
      </c>
      <c r="N216" s="81"/>
      <c r="O216" s="81"/>
      <c r="P216" s="81"/>
      <c r="Q216" s="145">
        <f t="shared" si="13"/>
        <v>53.1</v>
      </c>
      <c r="R216" s="151" t="str">
        <f t="shared" si="14"/>
        <v>NO</v>
      </c>
      <c r="S216" s="152" t="str">
        <f t="shared" si="15"/>
        <v>Alto</v>
      </c>
      <c r="T216" s="60"/>
    </row>
    <row r="217" spans="1:20" s="59" customFormat="1" ht="32.1" customHeight="1" x14ac:dyDescent="0.2">
      <c r="A217" s="127" t="s">
        <v>139</v>
      </c>
      <c r="B217" s="258" t="s">
        <v>4030</v>
      </c>
      <c r="C217" s="258" t="s">
        <v>4031</v>
      </c>
      <c r="D217" s="121">
        <v>39</v>
      </c>
      <c r="E217" s="81"/>
      <c r="F217" s="81"/>
      <c r="G217" s="81"/>
      <c r="H217" s="81">
        <v>53.1</v>
      </c>
      <c r="I217" s="81"/>
      <c r="J217" s="81"/>
      <c r="K217" s="81"/>
      <c r="L217" s="81"/>
      <c r="M217" s="81"/>
      <c r="N217" s="81">
        <v>53.1</v>
      </c>
      <c r="O217" s="81"/>
      <c r="P217" s="81"/>
      <c r="Q217" s="145">
        <f t="shared" si="13"/>
        <v>53.1</v>
      </c>
      <c r="R217" s="151" t="str">
        <f t="shared" si="14"/>
        <v>NO</v>
      </c>
      <c r="S217" s="152" t="str">
        <f t="shared" si="15"/>
        <v>Alto</v>
      </c>
      <c r="T217" s="60"/>
    </row>
    <row r="218" spans="1:20" s="59" customFormat="1" ht="32.1" customHeight="1" x14ac:dyDescent="0.2">
      <c r="A218" s="127" t="s">
        <v>139</v>
      </c>
      <c r="B218" s="258" t="s">
        <v>4032</v>
      </c>
      <c r="C218" s="258" t="s">
        <v>4033</v>
      </c>
      <c r="D218" s="116">
        <v>14</v>
      </c>
      <c r="E218" s="81"/>
      <c r="F218" s="81"/>
      <c r="G218" s="81">
        <v>53.1</v>
      </c>
      <c r="H218" s="81"/>
      <c r="I218" s="81"/>
      <c r="J218" s="81"/>
      <c r="K218" s="81"/>
      <c r="L218" s="81"/>
      <c r="M218" s="81"/>
      <c r="N218" s="81"/>
      <c r="O218" s="81">
        <v>53.1</v>
      </c>
      <c r="P218" s="81"/>
      <c r="Q218" s="145">
        <f t="shared" si="13"/>
        <v>53.1</v>
      </c>
      <c r="R218" s="151" t="str">
        <f t="shared" si="14"/>
        <v>NO</v>
      </c>
      <c r="S218" s="152" t="str">
        <f t="shared" si="15"/>
        <v>Alto</v>
      </c>
      <c r="T218" s="60"/>
    </row>
    <row r="219" spans="1:20" s="59" customFormat="1" ht="32.1" customHeight="1" x14ac:dyDescent="0.2">
      <c r="A219" s="127" t="s">
        <v>139</v>
      </c>
      <c r="B219" s="258" t="s">
        <v>64</v>
      </c>
      <c r="C219" s="258" t="s">
        <v>4034</v>
      </c>
      <c r="D219" s="121">
        <v>132</v>
      </c>
      <c r="E219" s="81"/>
      <c r="F219" s="81"/>
      <c r="G219" s="81"/>
      <c r="H219" s="81">
        <v>53.1</v>
      </c>
      <c r="I219" s="81"/>
      <c r="J219" s="81"/>
      <c r="K219" s="81"/>
      <c r="L219" s="81"/>
      <c r="M219" s="81"/>
      <c r="N219" s="81">
        <v>53.1</v>
      </c>
      <c r="O219" s="81"/>
      <c r="P219" s="81"/>
      <c r="Q219" s="145">
        <f t="shared" si="13"/>
        <v>53.1</v>
      </c>
      <c r="R219" s="151" t="str">
        <f t="shared" si="14"/>
        <v>NO</v>
      </c>
      <c r="S219" s="152" t="str">
        <f t="shared" si="15"/>
        <v>Alto</v>
      </c>
      <c r="T219" s="60"/>
    </row>
    <row r="220" spans="1:20" s="59" customFormat="1" ht="32.1" customHeight="1" x14ac:dyDescent="0.2">
      <c r="A220" s="127" t="s">
        <v>139</v>
      </c>
      <c r="B220" s="258" t="s">
        <v>4035</v>
      </c>
      <c r="C220" s="258" t="s">
        <v>4036</v>
      </c>
      <c r="D220" s="121">
        <v>128</v>
      </c>
      <c r="E220" s="81"/>
      <c r="F220" s="81">
        <v>0</v>
      </c>
      <c r="G220" s="81"/>
      <c r="H220" s="81">
        <v>0</v>
      </c>
      <c r="I220" s="81"/>
      <c r="J220" s="81"/>
      <c r="K220" s="81"/>
      <c r="L220" s="81"/>
      <c r="M220" s="81">
        <v>0</v>
      </c>
      <c r="N220" s="81"/>
      <c r="O220" s="81"/>
      <c r="P220" s="81">
        <v>0</v>
      </c>
      <c r="Q220" s="145">
        <f t="shared" si="13"/>
        <v>0</v>
      </c>
      <c r="R220" s="151" t="str">
        <f t="shared" si="14"/>
        <v>SI</v>
      </c>
      <c r="S220" s="152" t="str">
        <f t="shared" si="15"/>
        <v>Sin Riesgo</v>
      </c>
      <c r="T220" s="60"/>
    </row>
    <row r="221" spans="1:20" s="59" customFormat="1" ht="32.1" customHeight="1" x14ac:dyDescent="0.2">
      <c r="A221" s="127" t="s">
        <v>139</v>
      </c>
      <c r="B221" s="258" t="s">
        <v>4037</v>
      </c>
      <c r="C221" s="258" t="s">
        <v>4038</v>
      </c>
      <c r="D221" s="121">
        <v>31</v>
      </c>
      <c r="E221" s="81"/>
      <c r="F221" s="81"/>
      <c r="G221" s="81">
        <v>0</v>
      </c>
      <c r="H221" s="81">
        <v>0</v>
      </c>
      <c r="I221" s="81"/>
      <c r="J221" s="81"/>
      <c r="K221" s="81"/>
      <c r="L221" s="81"/>
      <c r="M221" s="81">
        <v>0</v>
      </c>
      <c r="N221" s="81"/>
      <c r="O221" s="81"/>
      <c r="P221" s="81">
        <v>0</v>
      </c>
      <c r="Q221" s="145">
        <f t="shared" si="13"/>
        <v>0</v>
      </c>
      <c r="R221" s="151" t="str">
        <f t="shared" si="14"/>
        <v>SI</v>
      </c>
      <c r="S221" s="152" t="str">
        <f t="shared" si="15"/>
        <v>Sin Riesgo</v>
      </c>
      <c r="T221" s="60"/>
    </row>
    <row r="222" spans="1:20" s="59" customFormat="1" ht="32.1" customHeight="1" x14ac:dyDescent="0.2">
      <c r="A222" s="127" t="s">
        <v>139</v>
      </c>
      <c r="B222" s="258" t="s">
        <v>2019</v>
      </c>
      <c r="C222" s="258" t="s">
        <v>4039</v>
      </c>
      <c r="D222" s="121">
        <v>213</v>
      </c>
      <c r="E222" s="81"/>
      <c r="F222" s="81">
        <v>0</v>
      </c>
      <c r="G222" s="81"/>
      <c r="H222" s="81">
        <v>0</v>
      </c>
      <c r="I222" s="81"/>
      <c r="J222" s="81"/>
      <c r="K222" s="81"/>
      <c r="L222" s="81"/>
      <c r="M222" s="81">
        <v>0</v>
      </c>
      <c r="N222" s="81"/>
      <c r="O222" s="81"/>
      <c r="P222" s="81">
        <v>0</v>
      </c>
      <c r="Q222" s="145">
        <f t="shared" si="13"/>
        <v>0</v>
      </c>
      <c r="R222" s="151" t="str">
        <f t="shared" si="14"/>
        <v>SI</v>
      </c>
      <c r="S222" s="152" t="str">
        <f t="shared" si="15"/>
        <v>Sin Riesgo</v>
      </c>
      <c r="T222" s="60"/>
    </row>
    <row r="223" spans="1:20" s="59" customFormat="1" ht="32.1" customHeight="1" x14ac:dyDescent="0.2">
      <c r="A223" s="127" t="s">
        <v>139</v>
      </c>
      <c r="B223" s="258" t="s">
        <v>4040</v>
      </c>
      <c r="C223" s="258" t="s">
        <v>4041</v>
      </c>
      <c r="D223" s="121">
        <v>160</v>
      </c>
      <c r="E223" s="81"/>
      <c r="F223" s="81"/>
      <c r="G223" s="81">
        <v>53.1</v>
      </c>
      <c r="H223" s="81"/>
      <c r="I223" s="81"/>
      <c r="J223" s="81"/>
      <c r="K223" s="81"/>
      <c r="L223" s="81"/>
      <c r="M223" s="81">
        <v>53.1</v>
      </c>
      <c r="N223" s="81"/>
      <c r="O223" s="81"/>
      <c r="P223" s="81"/>
      <c r="Q223" s="145">
        <f t="shared" si="13"/>
        <v>53.1</v>
      </c>
      <c r="R223" s="151" t="str">
        <f t="shared" si="14"/>
        <v>NO</v>
      </c>
      <c r="S223" s="152" t="str">
        <f t="shared" si="15"/>
        <v>Alto</v>
      </c>
      <c r="T223" s="60"/>
    </row>
    <row r="224" spans="1:20" s="59" customFormat="1" ht="32.1" customHeight="1" x14ac:dyDescent="0.2">
      <c r="A224" s="127" t="s">
        <v>139</v>
      </c>
      <c r="B224" s="258" t="s">
        <v>4042</v>
      </c>
      <c r="C224" s="258" t="s">
        <v>4043</v>
      </c>
      <c r="D224" s="121">
        <v>116</v>
      </c>
      <c r="E224" s="81"/>
      <c r="F224" s="81">
        <v>0</v>
      </c>
      <c r="G224" s="81"/>
      <c r="H224" s="81">
        <v>0</v>
      </c>
      <c r="I224" s="81"/>
      <c r="J224" s="81"/>
      <c r="K224" s="81"/>
      <c r="L224" s="81"/>
      <c r="M224" s="81">
        <v>0</v>
      </c>
      <c r="N224" s="81"/>
      <c r="O224" s="81"/>
      <c r="P224" s="81">
        <v>0</v>
      </c>
      <c r="Q224" s="145">
        <f t="shared" si="13"/>
        <v>0</v>
      </c>
      <c r="R224" s="151" t="str">
        <f t="shared" si="14"/>
        <v>SI</v>
      </c>
      <c r="S224" s="152" t="str">
        <f t="shared" si="15"/>
        <v>Sin Riesgo</v>
      </c>
      <c r="T224" s="60"/>
    </row>
    <row r="225" spans="1:20" s="59" customFormat="1" ht="32.1" customHeight="1" x14ac:dyDescent="0.2">
      <c r="A225" s="127" t="s">
        <v>139</v>
      </c>
      <c r="B225" s="258" t="s">
        <v>20</v>
      </c>
      <c r="C225" s="258" t="s">
        <v>4044</v>
      </c>
      <c r="D225" s="121">
        <v>15</v>
      </c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>
        <v>53.1</v>
      </c>
      <c r="Q225" s="145">
        <f t="shared" si="13"/>
        <v>53.1</v>
      </c>
      <c r="R225" s="151" t="str">
        <f t="shared" si="14"/>
        <v>NO</v>
      </c>
      <c r="S225" s="152" t="str">
        <f t="shared" si="15"/>
        <v>Alto</v>
      </c>
      <c r="T225" s="60"/>
    </row>
    <row r="226" spans="1:20" s="59" customFormat="1" ht="32.1" customHeight="1" x14ac:dyDescent="0.2">
      <c r="A226" s="127" t="s">
        <v>139</v>
      </c>
      <c r="B226" s="258" t="s">
        <v>4045</v>
      </c>
      <c r="C226" s="258" t="s">
        <v>4046</v>
      </c>
      <c r="D226" s="121">
        <v>139</v>
      </c>
      <c r="E226" s="81"/>
      <c r="F226" s="81"/>
      <c r="G226" s="81"/>
      <c r="H226" s="81">
        <v>26.5</v>
      </c>
      <c r="I226" s="81"/>
      <c r="J226" s="81"/>
      <c r="K226" s="81"/>
      <c r="L226" s="81">
        <v>53.1</v>
      </c>
      <c r="M226" s="81"/>
      <c r="N226" s="81"/>
      <c r="O226" s="81"/>
      <c r="P226" s="81"/>
      <c r="Q226" s="145">
        <f t="shared" si="13"/>
        <v>39.799999999999997</v>
      </c>
      <c r="R226" s="151" t="str">
        <f t="shared" si="14"/>
        <v>NO</v>
      </c>
      <c r="S226" s="152" t="str">
        <f t="shared" si="15"/>
        <v>Alto</v>
      </c>
      <c r="T226" s="60"/>
    </row>
    <row r="227" spans="1:20" s="59" customFormat="1" ht="32.1" customHeight="1" x14ac:dyDescent="0.2">
      <c r="A227" s="127" t="s">
        <v>139</v>
      </c>
      <c r="B227" s="258" t="s">
        <v>3574</v>
      </c>
      <c r="C227" s="258" t="s">
        <v>4047</v>
      </c>
      <c r="D227" s="121">
        <v>65</v>
      </c>
      <c r="E227" s="81"/>
      <c r="F227" s="81"/>
      <c r="G227" s="81"/>
      <c r="H227" s="81"/>
      <c r="I227" s="81"/>
      <c r="J227" s="81">
        <v>0</v>
      </c>
      <c r="K227" s="81"/>
      <c r="L227" s="81"/>
      <c r="M227" s="81">
        <v>26.6</v>
      </c>
      <c r="N227" s="81"/>
      <c r="O227" s="81"/>
      <c r="P227" s="81"/>
      <c r="Q227" s="145">
        <f t="shared" si="13"/>
        <v>13.3</v>
      </c>
      <c r="R227" s="151" t="str">
        <f t="shared" si="14"/>
        <v>NO</v>
      </c>
      <c r="S227" s="152" t="str">
        <f t="shared" si="15"/>
        <v>Bajo</v>
      </c>
      <c r="T227" s="60"/>
    </row>
    <row r="228" spans="1:20" s="59" customFormat="1" ht="32.1" customHeight="1" x14ac:dyDescent="0.2">
      <c r="A228" s="127" t="s">
        <v>139</v>
      </c>
      <c r="B228" s="258" t="s">
        <v>4048</v>
      </c>
      <c r="C228" s="258" t="s">
        <v>4049</v>
      </c>
      <c r="D228" s="121">
        <v>105</v>
      </c>
      <c r="E228" s="81"/>
      <c r="F228" s="81"/>
      <c r="G228" s="81"/>
      <c r="H228" s="81"/>
      <c r="I228" s="81"/>
      <c r="J228" s="81">
        <v>26.5</v>
      </c>
      <c r="K228" s="81"/>
      <c r="L228" s="81"/>
      <c r="M228" s="81">
        <v>0</v>
      </c>
      <c r="N228" s="81"/>
      <c r="O228" s="81"/>
      <c r="P228" s="81"/>
      <c r="Q228" s="145">
        <f t="shared" si="13"/>
        <v>13.25</v>
      </c>
      <c r="R228" s="151" t="str">
        <f t="shared" si="14"/>
        <v>NO</v>
      </c>
      <c r="S228" s="152" t="str">
        <f t="shared" si="15"/>
        <v>Bajo</v>
      </c>
      <c r="T228" s="60"/>
    </row>
    <row r="229" spans="1:20" s="59" customFormat="1" ht="32.1" customHeight="1" x14ac:dyDescent="0.2">
      <c r="A229" s="127" t="s">
        <v>139</v>
      </c>
      <c r="B229" s="258" t="s">
        <v>4050</v>
      </c>
      <c r="C229" s="258" t="s">
        <v>4051</v>
      </c>
      <c r="D229" s="121">
        <v>160</v>
      </c>
      <c r="E229" s="81"/>
      <c r="F229" s="81"/>
      <c r="G229" s="81"/>
      <c r="H229" s="81">
        <v>53.1</v>
      </c>
      <c r="I229" s="81"/>
      <c r="J229" s="81"/>
      <c r="K229" s="81"/>
      <c r="L229" s="81"/>
      <c r="M229" s="81"/>
      <c r="N229" s="81"/>
      <c r="O229" s="81"/>
      <c r="P229" s="81"/>
      <c r="Q229" s="145">
        <f t="shared" si="13"/>
        <v>53.1</v>
      </c>
      <c r="R229" s="151" t="str">
        <f t="shared" si="14"/>
        <v>NO</v>
      </c>
      <c r="S229" s="152" t="str">
        <f t="shared" si="15"/>
        <v>Alto</v>
      </c>
      <c r="T229" s="60"/>
    </row>
    <row r="230" spans="1:20" s="59" customFormat="1" ht="32.1" customHeight="1" x14ac:dyDescent="0.2">
      <c r="A230" s="127" t="s">
        <v>139</v>
      </c>
      <c r="B230" s="258" t="s">
        <v>4052</v>
      </c>
      <c r="C230" s="258" t="s">
        <v>4053</v>
      </c>
      <c r="D230" s="121">
        <v>89</v>
      </c>
      <c r="E230" s="81"/>
      <c r="F230" s="81"/>
      <c r="G230" s="81"/>
      <c r="H230" s="81">
        <v>53.1</v>
      </c>
      <c r="I230" s="81"/>
      <c r="J230" s="81"/>
      <c r="K230" s="81"/>
      <c r="L230" s="81"/>
      <c r="M230" s="81"/>
      <c r="N230" s="81"/>
      <c r="O230" s="81"/>
      <c r="P230" s="81"/>
      <c r="Q230" s="145">
        <f t="shared" si="13"/>
        <v>53.1</v>
      </c>
      <c r="R230" s="151" t="str">
        <f t="shared" si="14"/>
        <v>NO</v>
      </c>
      <c r="S230" s="152" t="str">
        <f t="shared" si="15"/>
        <v>Alto</v>
      </c>
      <c r="T230" s="60"/>
    </row>
    <row r="231" spans="1:20" s="59" customFormat="1" ht="32.1" customHeight="1" x14ac:dyDescent="0.2">
      <c r="A231" s="127" t="s">
        <v>139</v>
      </c>
      <c r="B231" s="258" t="s">
        <v>709</v>
      </c>
      <c r="C231" s="258" t="s">
        <v>4054</v>
      </c>
      <c r="D231" s="121">
        <v>26</v>
      </c>
      <c r="E231" s="81"/>
      <c r="F231" s="81"/>
      <c r="G231" s="81"/>
      <c r="H231" s="81"/>
      <c r="I231" s="81"/>
      <c r="J231" s="81">
        <v>53.1</v>
      </c>
      <c r="K231" s="81"/>
      <c r="L231" s="81"/>
      <c r="M231" s="81"/>
      <c r="N231" s="81"/>
      <c r="O231" s="81"/>
      <c r="P231" s="81"/>
      <c r="Q231" s="145">
        <f t="shared" ref="Q231:Q262" si="16">AVERAGE(E231:P231)</f>
        <v>53.1</v>
      </c>
      <c r="R231" s="151" t="str">
        <f t="shared" si="14"/>
        <v>NO</v>
      </c>
      <c r="S231" s="152" t="str">
        <f t="shared" si="15"/>
        <v>Alto</v>
      </c>
      <c r="T231" s="60"/>
    </row>
    <row r="232" spans="1:20" s="59" customFormat="1" ht="32.1" customHeight="1" x14ac:dyDescent="0.2">
      <c r="A232" s="127" t="s">
        <v>139</v>
      </c>
      <c r="B232" s="258" t="s">
        <v>3187</v>
      </c>
      <c r="C232" s="258" t="s">
        <v>4055</v>
      </c>
      <c r="D232" s="121">
        <v>17</v>
      </c>
      <c r="E232" s="81"/>
      <c r="F232" s="81"/>
      <c r="G232" s="81"/>
      <c r="H232" s="81"/>
      <c r="I232" s="81"/>
      <c r="J232" s="81">
        <v>53.1</v>
      </c>
      <c r="K232" s="81"/>
      <c r="L232" s="81"/>
      <c r="M232" s="81"/>
      <c r="N232" s="81"/>
      <c r="O232" s="81"/>
      <c r="P232" s="81"/>
      <c r="Q232" s="145">
        <f t="shared" si="16"/>
        <v>53.1</v>
      </c>
      <c r="R232" s="151" t="str">
        <f t="shared" si="14"/>
        <v>NO</v>
      </c>
      <c r="S232" s="152" t="str">
        <f t="shared" si="15"/>
        <v>Alto</v>
      </c>
      <c r="T232" s="60"/>
    </row>
    <row r="233" spans="1:20" s="233" customFormat="1" ht="32.1" customHeight="1" x14ac:dyDescent="0.2">
      <c r="A233" s="127" t="s">
        <v>140</v>
      </c>
      <c r="B233" s="258" t="s">
        <v>4056</v>
      </c>
      <c r="C233" s="258" t="s">
        <v>4057</v>
      </c>
      <c r="D233" s="121">
        <v>64</v>
      </c>
      <c r="E233" s="401"/>
      <c r="F233" s="81"/>
      <c r="G233" s="81"/>
      <c r="H233" s="81"/>
      <c r="I233" s="81"/>
      <c r="J233" s="81"/>
      <c r="K233" s="81">
        <v>0</v>
      </c>
      <c r="L233" s="81"/>
      <c r="M233" s="81"/>
      <c r="N233" s="81"/>
      <c r="O233" s="81"/>
      <c r="P233" s="81"/>
      <c r="Q233" s="145">
        <f t="shared" si="16"/>
        <v>0</v>
      </c>
      <c r="R233" s="151" t="str">
        <f t="shared" si="14"/>
        <v>SI</v>
      </c>
      <c r="S233" s="152" t="str">
        <f t="shared" si="15"/>
        <v>Sin Riesgo</v>
      </c>
      <c r="T233" s="237"/>
    </row>
    <row r="234" spans="1:20" s="59" customFormat="1" ht="32.1" customHeight="1" x14ac:dyDescent="0.2">
      <c r="A234" s="127" t="s">
        <v>140</v>
      </c>
      <c r="B234" s="258" t="s">
        <v>4058</v>
      </c>
      <c r="C234" s="258" t="s">
        <v>4059</v>
      </c>
      <c r="D234" s="121">
        <v>100</v>
      </c>
      <c r="E234" s="81"/>
      <c r="F234" s="81"/>
      <c r="G234" s="81"/>
      <c r="H234" s="81"/>
      <c r="I234" s="81"/>
      <c r="J234" s="81"/>
      <c r="K234" s="81"/>
      <c r="L234" s="81">
        <v>90.9</v>
      </c>
      <c r="M234" s="81"/>
      <c r="N234" s="81"/>
      <c r="O234" s="81"/>
      <c r="P234" s="81"/>
      <c r="Q234" s="145">
        <f t="shared" si="16"/>
        <v>90.9</v>
      </c>
      <c r="R234" s="151" t="str">
        <f t="shared" si="14"/>
        <v>NO</v>
      </c>
      <c r="S234" s="152" t="str">
        <f t="shared" si="15"/>
        <v>Inviable Sanitariamente</v>
      </c>
      <c r="T234" s="60"/>
    </row>
    <row r="235" spans="1:20" s="59" customFormat="1" ht="32.1" customHeight="1" x14ac:dyDescent="0.2">
      <c r="A235" s="127" t="s">
        <v>140</v>
      </c>
      <c r="B235" s="258" t="s">
        <v>3187</v>
      </c>
      <c r="C235" s="258" t="s">
        <v>4060</v>
      </c>
      <c r="D235" s="121">
        <v>25</v>
      </c>
      <c r="E235" s="81"/>
      <c r="F235" s="81"/>
      <c r="G235" s="81"/>
      <c r="H235" s="81">
        <v>90.9</v>
      </c>
      <c r="I235" s="81"/>
      <c r="J235" s="81"/>
      <c r="K235" s="81"/>
      <c r="L235" s="81"/>
      <c r="M235" s="81"/>
      <c r="N235" s="81"/>
      <c r="O235" s="81"/>
      <c r="P235" s="81"/>
      <c r="Q235" s="145">
        <f t="shared" si="16"/>
        <v>90.9</v>
      </c>
      <c r="R235" s="151" t="str">
        <f t="shared" si="14"/>
        <v>NO</v>
      </c>
      <c r="S235" s="152" t="str">
        <f t="shared" si="15"/>
        <v>Inviable Sanitariamente</v>
      </c>
      <c r="T235" s="60"/>
    </row>
    <row r="236" spans="1:20" s="59" customFormat="1" ht="32.1" customHeight="1" x14ac:dyDescent="0.2">
      <c r="A236" s="127" t="s">
        <v>140</v>
      </c>
      <c r="B236" s="258" t="s">
        <v>4061</v>
      </c>
      <c r="C236" s="258" t="s">
        <v>4062</v>
      </c>
      <c r="D236" s="121">
        <v>30</v>
      </c>
      <c r="E236" s="81"/>
      <c r="F236" s="81"/>
      <c r="G236" s="81"/>
      <c r="H236" s="81"/>
      <c r="I236" s="81"/>
      <c r="J236" s="81"/>
      <c r="K236" s="81"/>
      <c r="L236" s="81">
        <v>90.9</v>
      </c>
      <c r="M236" s="81"/>
      <c r="N236" s="81"/>
      <c r="O236" s="81"/>
      <c r="P236" s="81"/>
      <c r="Q236" s="145">
        <f t="shared" si="16"/>
        <v>90.9</v>
      </c>
      <c r="R236" s="151" t="str">
        <f t="shared" si="14"/>
        <v>NO</v>
      </c>
      <c r="S236" s="152" t="str">
        <f t="shared" si="15"/>
        <v>Inviable Sanitariamente</v>
      </c>
      <c r="T236" s="60"/>
    </row>
    <row r="237" spans="1:20" s="59" customFormat="1" ht="32.1" customHeight="1" x14ac:dyDescent="0.2">
      <c r="A237" s="127" t="s">
        <v>140</v>
      </c>
      <c r="B237" s="258" t="s">
        <v>4063</v>
      </c>
      <c r="C237" s="258" t="s">
        <v>4064</v>
      </c>
      <c r="D237" s="121">
        <v>176</v>
      </c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>
        <v>0</v>
      </c>
      <c r="P237" s="81"/>
      <c r="Q237" s="145">
        <f t="shared" si="16"/>
        <v>0</v>
      </c>
      <c r="R237" s="151" t="str">
        <f t="shared" si="14"/>
        <v>SI</v>
      </c>
      <c r="S237" s="152" t="str">
        <f t="shared" si="15"/>
        <v>Sin Riesgo</v>
      </c>
      <c r="T237" s="60"/>
    </row>
    <row r="238" spans="1:20" s="59" customFormat="1" ht="32.1" customHeight="1" x14ac:dyDescent="0.2">
      <c r="A238" s="127" t="s">
        <v>140</v>
      </c>
      <c r="B238" s="324" t="s">
        <v>4065</v>
      </c>
      <c r="C238" s="324" t="s">
        <v>4066</v>
      </c>
      <c r="D238" s="121">
        <v>16</v>
      </c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145" t="e">
        <f t="shared" si="16"/>
        <v>#DIV/0!</v>
      </c>
      <c r="R238" s="151" t="e">
        <f t="shared" si="14"/>
        <v>#DIV/0!</v>
      </c>
      <c r="S238" s="152" t="e">
        <f t="shared" si="15"/>
        <v>#DIV/0!</v>
      </c>
      <c r="T238" s="60"/>
    </row>
    <row r="239" spans="1:20" s="59" customFormat="1" ht="32.1" customHeight="1" x14ac:dyDescent="0.2">
      <c r="A239" s="127" t="s">
        <v>140</v>
      </c>
      <c r="B239" s="324" t="s">
        <v>4067</v>
      </c>
      <c r="C239" s="324" t="s">
        <v>4068</v>
      </c>
      <c r="D239" s="121">
        <v>76</v>
      </c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145" t="e">
        <f t="shared" si="16"/>
        <v>#DIV/0!</v>
      </c>
      <c r="R239" s="151" t="e">
        <f t="shared" si="14"/>
        <v>#DIV/0!</v>
      </c>
      <c r="S239" s="152" t="e">
        <f t="shared" si="15"/>
        <v>#DIV/0!</v>
      </c>
      <c r="T239" s="60"/>
    </row>
    <row r="240" spans="1:20" s="59" customFormat="1" ht="32.1" customHeight="1" x14ac:dyDescent="0.2">
      <c r="A240" s="127" t="s">
        <v>140</v>
      </c>
      <c r="B240" s="258" t="s">
        <v>4069</v>
      </c>
      <c r="C240" s="258" t="s">
        <v>4070</v>
      </c>
      <c r="D240" s="116">
        <v>90</v>
      </c>
      <c r="E240" s="81"/>
      <c r="F240" s="81"/>
      <c r="G240" s="81"/>
      <c r="H240" s="81"/>
      <c r="I240" s="81"/>
      <c r="J240" s="81"/>
      <c r="K240" s="81"/>
      <c r="L240" s="81">
        <v>90.9</v>
      </c>
      <c r="M240" s="81"/>
      <c r="N240" s="81"/>
      <c r="O240" s="81"/>
      <c r="P240" s="81"/>
      <c r="Q240" s="145">
        <f t="shared" si="16"/>
        <v>90.9</v>
      </c>
      <c r="R240" s="151" t="str">
        <f t="shared" si="14"/>
        <v>NO</v>
      </c>
      <c r="S240" s="152" t="str">
        <f t="shared" si="15"/>
        <v>Inviable Sanitariamente</v>
      </c>
      <c r="T240" s="60"/>
    </row>
    <row r="241" spans="1:20" s="59" customFormat="1" ht="32.1" customHeight="1" x14ac:dyDescent="0.2">
      <c r="A241" s="127" t="s">
        <v>140</v>
      </c>
      <c r="B241" s="258" t="s">
        <v>1</v>
      </c>
      <c r="C241" s="258" t="s">
        <v>4071</v>
      </c>
      <c r="D241" s="121">
        <v>16</v>
      </c>
      <c r="E241" s="81"/>
      <c r="F241" s="81"/>
      <c r="G241" s="81"/>
      <c r="H241" s="81"/>
      <c r="I241" s="81">
        <v>90.9</v>
      </c>
      <c r="J241" s="81"/>
      <c r="K241" s="81"/>
      <c r="L241" s="81">
        <v>90.85</v>
      </c>
      <c r="M241" s="81"/>
      <c r="N241" s="81"/>
      <c r="O241" s="81"/>
      <c r="P241" s="81"/>
      <c r="Q241" s="145">
        <f t="shared" si="16"/>
        <v>90.875</v>
      </c>
      <c r="R241" s="151" t="str">
        <f t="shared" si="14"/>
        <v>NO</v>
      </c>
      <c r="S241" s="152" t="str">
        <f t="shared" si="15"/>
        <v>Inviable Sanitariamente</v>
      </c>
      <c r="T241" s="60"/>
    </row>
    <row r="242" spans="1:20" s="59" customFormat="1" ht="32.1" customHeight="1" x14ac:dyDescent="0.2">
      <c r="A242" s="127" t="s">
        <v>140</v>
      </c>
      <c r="B242" s="258" t="s">
        <v>4072</v>
      </c>
      <c r="C242" s="258" t="s">
        <v>4073</v>
      </c>
      <c r="D242" s="121">
        <v>16</v>
      </c>
      <c r="E242" s="81"/>
      <c r="F242" s="81"/>
      <c r="G242" s="81"/>
      <c r="H242" s="81"/>
      <c r="I242" s="81"/>
      <c r="J242" s="81"/>
      <c r="K242" s="81"/>
      <c r="L242" s="81">
        <v>90.9</v>
      </c>
      <c r="M242" s="81"/>
      <c r="N242" s="81"/>
      <c r="O242" s="81"/>
      <c r="P242" s="81"/>
      <c r="Q242" s="145">
        <f t="shared" si="16"/>
        <v>90.9</v>
      </c>
      <c r="R242" s="151" t="str">
        <f t="shared" si="14"/>
        <v>NO</v>
      </c>
      <c r="S242" s="152" t="str">
        <f t="shared" si="15"/>
        <v>Inviable Sanitariamente</v>
      </c>
      <c r="T242" s="60"/>
    </row>
    <row r="243" spans="1:20" s="59" customFormat="1" ht="32.1" customHeight="1" x14ac:dyDescent="0.2">
      <c r="A243" s="127" t="s">
        <v>140</v>
      </c>
      <c r="B243" s="258" t="s">
        <v>4074</v>
      </c>
      <c r="C243" s="258" t="s">
        <v>4075</v>
      </c>
      <c r="D243" s="116">
        <v>55</v>
      </c>
      <c r="E243" s="81"/>
      <c r="F243" s="81">
        <v>90.9</v>
      </c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145">
        <f t="shared" si="16"/>
        <v>90.9</v>
      </c>
      <c r="R243" s="151" t="str">
        <f t="shared" si="14"/>
        <v>NO</v>
      </c>
      <c r="S243" s="152" t="str">
        <f t="shared" si="15"/>
        <v>Inviable Sanitariamente</v>
      </c>
      <c r="T243" s="60"/>
    </row>
    <row r="244" spans="1:20" s="59" customFormat="1" ht="32.1" customHeight="1" x14ac:dyDescent="0.2">
      <c r="A244" s="127" t="s">
        <v>140</v>
      </c>
      <c r="B244" s="258" t="s">
        <v>4076</v>
      </c>
      <c r="C244" s="258" t="s">
        <v>4077</v>
      </c>
      <c r="D244" s="121">
        <v>82</v>
      </c>
      <c r="E244" s="81"/>
      <c r="F244" s="81"/>
      <c r="G244" s="81"/>
      <c r="H244" s="81"/>
      <c r="I244" s="81"/>
      <c r="J244" s="81"/>
      <c r="K244" s="81">
        <v>0</v>
      </c>
      <c r="L244" s="81"/>
      <c r="M244" s="81"/>
      <c r="N244" s="81"/>
      <c r="O244" s="81"/>
      <c r="P244" s="81"/>
      <c r="Q244" s="145">
        <f t="shared" si="16"/>
        <v>0</v>
      </c>
      <c r="R244" s="151" t="str">
        <f t="shared" si="14"/>
        <v>SI</v>
      </c>
      <c r="S244" s="152" t="str">
        <f t="shared" si="15"/>
        <v>Sin Riesgo</v>
      </c>
      <c r="T244" s="60"/>
    </row>
    <row r="245" spans="1:20" s="59" customFormat="1" ht="32.1" customHeight="1" x14ac:dyDescent="0.2">
      <c r="A245" s="127" t="s">
        <v>141</v>
      </c>
      <c r="B245" s="258" t="s">
        <v>4078</v>
      </c>
      <c r="C245" s="289" t="s">
        <v>4079</v>
      </c>
      <c r="D245" s="121">
        <v>302</v>
      </c>
      <c r="E245" s="81"/>
      <c r="F245" s="81"/>
      <c r="G245" s="81"/>
      <c r="H245" s="81">
        <v>48</v>
      </c>
      <c r="I245" s="81"/>
      <c r="J245" s="81"/>
      <c r="K245" s="81"/>
      <c r="L245" s="81"/>
      <c r="M245" s="81"/>
      <c r="N245" s="81"/>
      <c r="O245" s="81"/>
      <c r="P245" s="81">
        <v>48</v>
      </c>
      <c r="Q245" s="145">
        <f t="shared" si="16"/>
        <v>48</v>
      </c>
      <c r="R245" s="151" t="str">
        <f t="shared" si="14"/>
        <v>NO</v>
      </c>
      <c r="S245" s="152" t="str">
        <f t="shared" si="15"/>
        <v>Alto</v>
      </c>
      <c r="T245" s="60"/>
    </row>
    <row r="246" spans="1:20" s="59" customFormat="1" ht="32.1" customHeight="1" x14ac:dyDescent="0.2">
      <c r="A246" s="127" t="s">
        <v>141</v>
      </c>
      <c r="B246" s="258" t="s">
        <v>4080</v>
      </c>
      <c r="C246" s="289" t="s">
        <v>4081</v>
      </c>
      <c r="D246" s="121">
        <v>70</v>
      </c>
      <c r="E246" s="81"/>
      <c r="F246" s="81"/>
      <c r="G246" s="81"/>
      <c r="H246" s="81"/>
      <c r="I246" s="81"/>
      <c r="J246" s="81">
        <v>0</v>
      </c>
      <c r="K246" s="81"/>
      <c r="L246" s="81"/>
      <c r="M246" s="81"/>
      <c r="N246" s="81"/>
      <c r="O246" s="81"/>
      <c r="P246" s="81">
        <v>0</v>
      </c>
      <c r="Q246" s="145">
        <f t="shared" si="16"/>
        <v>0</v>
      </c>
      <c r="R246" s="151" t="str">
        <f t="shared" si="14"/>
        <v>SI</v>
      </c>
      <c r="S246" s="152" t="str">
        <f t="shared" si="15"/>
        <v>Sin Riesgo</v>
      </c>
      <c r="T246" s="60"/>
    </row>
    <row r="247" spans="1:20" s="59" customFormat="1" ht="32.1" customHeight="1" x14ac:dyDescent="0.2">
      <c r="A247" s="127" t="s">
        <v>141</v>
      </c>
      <c r="B247" s="258" t="s">
        <v>4082</v>
      </c>
      <c r="C247" s="289" t="s">
        <v>4083</v>
      </c>
      <c r="D247" s="121">
        <v>40</v>
      </c>
      <c r="E247" s="81"/>
      <c r="F247" s="81"/>
      <c r="G247" s="81"/>
      <c r="H247" s="81"/>
      <c r="I247" s="81"/>
      <c r="J247" s="81">
        <v>53.5</v>
      </c>
      <c r="K247" s="81"/>
      <c r="L247" s="81"/>
      <c r="M247" s="81"/>
      <c r="N247" s="81"/>
      <c r="O247" s="81"/>
      <c r="P247" s="81">
        <v>48</v>
      </c>
      <c r="Q247" s="145">
        <f t="shared" si="16"/>
        <v>50.75</v>
      </c>
      <c r="R247" s="151" t="str">
        <f t="shared" si="14"/>
        <v>NO</v>
      </c>
      <c r="S247" s="152" t="str">
        <f t="shared" si="15"/>
        <v>Alto</v>
      </c>
      <c r="T247" s="60"/>
    </row>
    <row r="248" spans="1:20" s="59" customFormat="1" ht="32.1" customHeight="1" x14ac:dyDescent="0.2">
      <c r="A248" s="127" t="s">
        <v>141</v>
      </c>
      <c r="B248" s="258" t="s">
        <v>4084</v>
      </c>
      <c r="C248" s="289" t="s">
        <v>4085</v>
      </c>
      <c r="D248" s="121">
        <v>90</v>
      </c>
      <c r="E248" s="81"/>
      <c r="F248" s="81"/>
      <c r="G248" s="81"/>
      <c r="H248" s="81">
        <v>48</v>
      </c>
      <c r="I248" s="81"/>
      <c r="J248" s="81"/>
      <c r="K248" s="81"/>
      <c r="L248" s="81"/>
      <c r="M248" s="81"/>
      <c r="N248" s="81"/>
      <c r="O248" s="81"/>
      <c r="P248" s="81">
        <v>48</v>
      </c>
      <c r="Q248" s="145">
        <f t="shared" si="16"/>
        <v>48</v>
      </c>
      <c r="R248" s="151" t="str">
        <f t="shared" si="14"/>
        <v>NO</v>
      </c>
      <c r="S248" s="152" t="str">
        <f t="shared" si="15"/>
        <v>Alto</v>
      </c>
      <c r="T248" s="60"/>
    </row>
    <row r="249" spans="1:20" s="59" customFormat="1" ht="32.1" customHeight="1" x14ac:dyDescent="0.2">
      <c r="A249" s="127" t="s">
        <v>141</v>
      </c>
      <c r="B249" s="258" t="s">
        <v>4086</v>
      </c>
      <c r="C249" s="289" t="s">
        <v>4087</v>
      </c>
      <c r="D249" s="121">
        <v>120</v>
      </c>
      <c r="E249" s="81"/>
      <c r="F249" s="81"/>
      <c r="G249" s="81"/>
      <c r="H249" s="81">
        <v>48</v>
      </c>
      <c r="I249" s="81"/>
      <c r="J249" s="81"/>
      <c r="K249" s="81"/>
      <c r="L249" s="81"/>
      <c r="M249" s="81"/>
      <c r="N249" s="81"/>
      <c r="O249" s="81"/>
      <c r="P249" s="81">
        <v>48</v>
      </c>
      <c r="Q249" s="145">
        <f t="shared" si="16"/>
        <v>48</v>
      </c>
      <c r="R249" s="151" t="str">
        <f t="shared" si="14"/>
        <v>NO</v>
      </c>
      <c r="S249" s="152" t="str">
        <f t="shared" si="15"/>
        <v>Alto</v>
      </c>
      <c r="T249" s="60"/>
    </row>
    <row r="250" spans="1:20" s="59" customFormat="1" ht="32.1" customHeight="1" x14ac:dyDescent="0.2">
      <c r="A250" s="127" t="s">
        <v>141</v>
      </c>
      <c r="B250" s="258" t="s">
        <v>4088</v>
      </c>
      <c r="C250" s="289" t="s">
        <v>4089</v>
      </c>
      <c r="D250" s="121">
        <v>641</v>
      </c>
      <c r="E250" s="81"/>
      <c r="F250" s="81"/>
      <c r="G250" s="81"/>
      <c r="H250" s="81">
        <v>48</v>
      </c>
      <c r="I250" s="81"/>
      <c r="J250" s="81"/>
      <c r="K250" s="81"/>
      <c r="L250" s="81"/>
      <c r="M250" s="81"/>
      <c r="N250" s="81"/>
      <c r="O250" s="81"/>
      <c r="P250" s="81">
        <v>48</v>
      </c>
      <c r="Q250" s="145">
        <f t="shared" si="16"/>
        <v>48</v>
      </c>
      <c r="R250" s="151" t="str">
        <f t="shared" si="14"/>
        <v>NO</v>
      </c>
      <c r="S250" s="152" t="str">
        <f t="shared" si="15"/>
        <v>Alto</v>
      </c>
      <c r="T250" s="60"/>
    </row>
    <row r="251" spans="1:20" s="59" customFormat="1" ht="32.1" customHeight="1" x14ac:dyDescent="0.2">
      <c r="A251" s="127" t="s">
        <v>141</v>
      </c>
      <c r="B251" s="258" t="s">
        <v>4090</v>
      </c>
      <c r="C251" s="289" t="s">
        <v>4091</v>
      </c>
      <c r="D251" s="121">
        <v>156</v>
      </c>
      <c r="E251" s="81"/>
      <c r="F251" s="81"/>
      <c r="G251" s="81"/>
      <c r="H251" s="81">
        <v>48</v>
      </c>
      <c r="I251" s="81"/>
      <c r="J251" s="81"/>
      <c r="K251" s="81"/>
      <c r="L251" s="81"/>
      <c r="M251" s="81"/>
      <c r="N251" s="81"/>
      <c r="O251" s="81"/>
      <c r="P251" s="81">
        <v>48</v>
      </c>
      <c r="Q251" s="145">
        <f t="shared" si="16"/>
        <v>48</v>
      </c>
      <c r="R251" s="151" t="str">
        <f t="shared" si="14"/>
        <v>NO</v>
      </c>
      <c r="S251" s="152" t="str">
        <f t="shared" si="15"/>
        <v>Alto</v>
      </c>
      <c r="T251" s="60"/>
    </row>
    <row r="252" spans="1:20" s="59" customFormat="1" ht="32.1" customHeight="1" x14ac:dyDescent="0.2">
      <c r="A252" s="127" t="s">
        <v>141</v>
      </c>
      <c r="B252" s="258" t="s">
        <v>4092</v>
      </c>
      <c r="C252" s="289" t="s">
        <v>4093</v>
      </c>
      <c r="D252" s="116">
        <v>120</v>
      </c>
      <c r="E252" s="81"/>
      <c r="F252" s="81"/>
      <c r="G252" s="81"/>
      <c r="H252" s="81">
        <v>48</v>
      </c>
      <c r="I252" s="81"/>
      <c r="J252" s="81"/>
      <c r="K252" s="81"/>
      <c r="L252" s="81"/>
      <c r="M252" s="81"/>
      <c r="N252" s="81"/>
      <c r="O252" s="81"/>
      <c r="P252" s="81">
        <v>48</v>
      </c>
      <c r="Q252" s="145">
        <f t="shared" si="16"/>
        <v>48</v>
      </c>
      <c r="R252" s="151" t="str">
        <f t="shared" si="14"/>
        <v>NO</v>
      </c>
      <c r="S252" s="152" t="str">
        <f t="shared" si="15"/>
        <v>Alto</v>
      </c>
      <c r="T252" s="60"/>
    </row>
    <row r="253" spans="1:20" s="59" customFormat="1" ht="32.1" customHeight="1" x14ac:dyDescent="0.2">
      <c r="A253" s="127" t="s">
        <v>142</v>
      </c>
      <c r="B253" s="258" t="s">
        <v>4094</v>
      </c>
      <c r="C253" s="289" t="s">
        <v>4095</v>
      </c>
      <c r="D253" s="121">
        <v>1184</v>
      </c>
      <c r="E253" s="81">
        <v>0</v>
      </c>
      <c r="F253" s="81"/>
      <c r="G253" s="81">
        <v>0</v>
      </c>
      <c r="H253" s="81">
        <v>19.350000000000001</v>
      </c>
      <c r="I253" s="81"/>
      <c r="J253" s="81"/>
      <c r="K253" s="81">
        <v>65.81</v>
      </c>
      <c r="L253" s="81">
        <v>19.350000000000001</v>
      </c>
      <c r="M253" s="81"/>
      <c r="N253" s="81">
        <v>19.350000000000001</v>
      </c>
      <c r="O253" s="81">
        <v>0</v>
      </c>
      <c r="P253" s="81"/>
      <c r="Q253" s="145">
        <f t="shared" si="16"/>
        <v>17.694285714285712</v>
      </c>
      <c r="R253" s="151" t="str">
        <f t="shared" si="14"/>
        <v>NO</v>
      </c>
      <c r="S253" s="152" t="str">
        <f t="shared" si="15"/>
        <v>Medio</v>
      </c>
      <c r="T253" s="60"/>
    </row>
    <row r="254" spans="1:20" s="59" customFormat="1" ht="32.1" customHeight="1" x14ac:dyDescent="0.2">
      <c r="A254" s="127" t="s">
        <v>142</v>
      </c>
      <c r="B254" s="258" t="s">
        <v>4096</v>
      </c>
      <c r="C254" s="289" t="s">
        <v>4097</v>
      </c>
      <c r="D254" s="121">
        <v>29</v>
      </c>
      <c r="E254" s="81"/>
      <c r="F254" s="81"/>
      <c r="G254" s="81"/>
      <c r="H254" s="81"/>
      <c r="I254" s="81"/>
      <c r="J254" s="81">
        <v>97.35</v>
      </c>
      <c r="K254" s="81"/>
      <c r="L254" s="81"/>
      <c r="M254" s="81"/>
      <c r="N254" s="81"/>
      <c r="O254" s="81"/>
      <c r="P254" s="81"/>
      <c r="Q254" s="145">
        <f t="shared" si="16"/>
        <v>97.35</v>
      </c>
      <c r="R254" s="151" t="str">
        <f t="shared" si="14"/>
        <v>NO</v>
      </c>
      <c r="S254" s="152" t="str">
        <f t="shared" si="15"/>
        <v>Inviable Sanitariamente</v>
      </c>
      <c r="T254" s="60"/>
    </row>
    <row r="255" spans="1:20" s="59" customFormat="1" ht="32.1" customHeight="1" x14ac:dyDescent="0.2">
      <c r="A255" s="127" t="s">
        <v>142</v>
      </c>
      <c r="B255" s="258" t="s">
        <v>586</v>
      </c>
      <c r="C255" s="289" t="s">
        <v>3157</v>
      </c>
      <c r="D255" s="121">
        <v>45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145" t="e">
        <f t="shared" si="16"/>
        <v>#DIV/0!</v>
      </c>
      <c r="R255" s="151" t="e">
        <f t="shared" si="14"/>
        <v>#DIV/0!</v>
      </c>
      <c r="S255" s="152" t="e">
        <f t="shared" si="15"/>
        <v>#DIV/0!</v>
      </c>
      <c r="T255" s="60"/>
    </row>
    <row r="256" spans="1:20" s="59" customFormat="1" ht="32.1" customHeight="1" x14ac:dyDescent="0.2">
      <c r="A256" s="127" t="s">
        <v>142</v>
      </c>
      <c r="B256" s="258" t="s">
        <v>4098</v>
      </c>
      <c r="C256" s="289" t="s">
        <v>4099</v>
      </c>
      <c r="D256" s="121">
        <v>130</v>
      </c>
      <c r="E256" s="81"/>
      <c r="F256" s="81"/>
      <c r="G256" s="81"/>
      <c r="H256" s="81"/>
      <c r="I256" s="81"/>
      <c r="J256" s="81"/>
      <c r="K256" s="81"/>
      <c r="L256" s="81">
        <v>98.37</v>
      </c>
      <c r="M256" s="81"/>
      <c r="N256" s="81"/>
      <c r="O256" s="81"/>
      <c r="P256" s="81"/>
      <c r="Q256" s="145">
        <f t="shared" si="16"/>
        <v>98.37</v>
      </c>
      <c r="R256" s="151" t="str">
        <f t="shared" si="14"/>
        <v>NO</v>
      </c>
      <c r="S256" s="152" t="str">
        <f t="shared" si="15"/>
        <v>Inviable Sanitariamente</v>
      </c>
      <c r="T256" s="60"/>
    </row>
    <row r="257" spans="1:20" s="59" customFormat="1" ht="32.1" customHeight="1" x14ac:dyDescent="0.2">
      <c r="A257" s="127" t="s">
        <v>142</v>
      </c>
      <c r="B257" s="258" t="s">
        <v>4100</v>
      </c>
      <c r="C257" s="289" t="s">
        <v>4101</v>
      </c>
      <c r="D257" s="121">
        <v>240</v>
      </c>
      <c r="E257" s="81"/>
      <c r="F257" s="81"/>
      <c r="G257" s="81"/>
      <c r="H257" s="81"/>
      <c r="I257" s="81"/>
      <c r="J257" s="81"/>
      <c r="K257" s="81">
        <v>97.4</v>
      </c>
      <c r="L257" s="81"/>
      <c r="M257" s="81"/>
      <c r="N257" s="81"/>
      <c r="O257" s="81"/>
      <c r="P257" s="81"/>
      <c r="Q257" s="145">
        <f t="shared" si="16"/>
        <v>97.4</v>
      </c>
      <c r="R257" s="151" t="str">
        <f t="shared" si="14"/>
        <v>NO</v>
      </c>
      <c r="S257" s="152" t="str">
        <f t="shared" si="15"/>
        <v>Inviable Sanitariamente</v>
      </c>
      <c r="T257" s="60"/>
    </row>
    <row r="258" spans="1:20" s="59" customFormat="1" ht="32.1" customHeight="1" x14ac:dyDescent="0.2">
      <c r="A258" s="127" t="s">
        <v>142</v>
      </c>
      <c r="B258" s="258" t="s">
        <v>4102</v>
      </c>
      <c r="C258" s="289" t="s">
        <v>4103</v>
      </c>
      <c r="D258" s="121">
        <v>110</v>
      </c>
      <c r="E258" s="81"/>
      <c r="F258" s="81"/>
      <c r="G258" s="81"/>
      <c r="H258" s="81"/>
      <c r="I258" s="81"/>
      <c r="J258" s="81"/>
      <c r="K258" s="81"/>
      <c r="L258" s="81">
        <v>97.4</v>
      </c>
      <c r="M258" s="81"/>
      <c r="N258" s="81"/>
      <c r="O258" s="81"/>
      <c r="P258" s="81"/>
      <c r="Q258" s="145">
        <f t="shared" si="16"/>
        <v>97.4</v>
      </c>
      <c r="R258" s="151" t="str">
        <f t="shared" si="14"/>
        <v>NO</v>
      </c>
      <c r="S258" s="152" t="str">
        <f t="shared" si="15"/>
        <v>Inviable Sanitariamente</v>
      </c>
      <c r="T258" s="60"/>
    </row>
    <row r="259" spans="1:20" s="59" customFormat="1" ht="32.1" customHeight="1" x14ac:dyDescent="0.2">
      <c r="A259" s="127" t="s">
        <v>142</v>
      </c>
      <c r="B259" s="258" t="s">
        <v>4104</v>
      </c>
      <c r="C259" s="289" t="s">
        <v>4105</v>
      </c>
      <c r="D259" s="121">
        <v>170</v>
      </c>
      <c r="E259" s="81"/>
      <c r="F259" s="81"/>
      <c r="G259" s="81"/>
      <c r="H259" s="81"/>
      <c r="I259" s="81"/>
      <c r="J259" s="81"/>
      <c r="K259" s="81">
        <v>94.37</v>
      </c>
      <c r="L259" s="81"/>
      <c r="M259" s="81"/>
      <c r="N259" s="81"/>
      <c r="O259" s="81"/>
      <c r="P259" s="81"/>
      <c r="Q259" s="145">
        <f t="shared" si="16"/>
        <v>94.37</v>
      </c>
      <c r="R259" s="151" t="str">
        <f t="shared" si="14"/>
        <v>NO</v>
      </c>
      <c r="S259" s="152" t="str">
        <f t="shared" si="15"/>
        <v>Inviable Sanitariamente</v>
      </c>
      <c r="T259" s="60"/>
    </row>
    <row r="260" spans="1:20" s="59" customFormat="1" ht="32.1" customHeight="1" x14ac:dyDescent="0.2">
      <c r="A260" s="127" t="s">
        <v>142</v>
      </c>
      <c r="B260" s="258" t="s">
        <v>4106</v>
      </c>
      <c r="C260" s="289" t="s">
        <v>4107</v>
      </c>
      <c r="D260" s="121">
        <v>135</v>
      </c>
      <c r="E260" s="81"/>
      <c r="F260" s="81"/>
      <c r="G260" s="81"/>
      <c r="H260" s="81"/>
      <c r="I260" s="81"/>
      <c r="J260" s="81">
        <v>97.4</v>
      </c>
      <c r="K260" s="81"/>
      <c r="L260" s="81"/>
      <c r="M260" s="81"/>
      <c r="N260" s="81"/>
      <c r="O260" s="81"/>
      <c r="P260" s="81"/>
      <c r="Q260" s="145">
        <f t="shared" si="16"/>
        <v>97.4</v>
      </c>
      <c r="R260" s="151" t="str">
        <f t="shared" si="14"/>
        <v>NO</v>
      </c>
      <c r="S260" s="152" t="str">
        <f t="shared" si="15"/>
        <v>Inviable Sanitariamente</v>
      </c>
      <c r="T260" s="60"/>
    </row>
    <row r="261" spans="1:20" s="59" customFormat="1" ht="32.1" customHeight="1" x14ac:dyDescent="0.2">
      <c r="A261" s="127" t="s">
        <v>142</v>
      </c>
      <c r="B261" s="258" t="s">
        <v>4108</v>
      </c>
      <c r="C261" s="289" t="s">
        <v>4109</v>
      </c>
      <c r="D261" s="121">
        <v>55</v>
      </c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145" t="e">
        <f t="shared" si="16"/>
        <v>#DIV/0!</v>
      </c>
      <c r="R261" s="151" t="e">
        <f t="shared" si="14"/>
        <v>#DIV/0!</v>
      </c>
      <c r="S261" s="152" t="e">
        <f t="shared" si="15"/>
        <v>#DIV/0!</v>
      </c>
      <c r="T261" s="60"/>
    </row>
    <row r="262" spans="1:20" s="59" customFormat="1" ht="32.1" customHeight="1" x14ac:dyDescent="0.2">
      <c r="A262" s="127" t="s">
        <v>142</v>
      </c>
      <c r="B262" s="258" t="s">
        <v>4110</v>
      </c>
      <c r="C262" s="289" t="s">
        <v>4111</v>
      </c>
      <c r="D262" s="116">
        <v>120</v>
      </c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145" t="e">
        <f t="shared" si="16"/>
        <v>#DIV/0!</v>
      </c>
      <c r="R262" s="151" t="e">
        <f t="shared" si="14"/>
        <v>#DIV/0!</v>
      </c>
      <c r="S262" s="152" t="e">
        <f t="shared" si="15"/>
        <v>#DIV/0!</v>
      </c>
      <c r="T262" s="60"/>
    </row>
    <row r="263" spans="1:20" s="59" customFormat="1" ht="32.1" customHeight="1" x14ac:dyDescent="0.2">
      <c r="A263" s="127" t="s">
        <v>142</v>
      </c>
      <c r="B263" s="258" t="s">
        <v>4112</v>
      </c>
      <c r="C263" s="289" t="s">
        <v>4113</v>
      </c>
      <c r="D263" s="121">
        <v>160</v>
      </c>
      <c r="E263" s="81"/>
      <c r="F263" s="81"/>
      <c r="G263" s="81"/>
      <c r="H263" s="81"/>
      <c r="I263" s="81"/>
      <c r="J263" s="81"/>
      <c r="K263" s="81">
        <v>94.07</v>
      </c>
      <c r="L263" s="81"/>
      <c r="M263" s="81"/>
      <c r="N263" s="81"/>
      <c r="O263" s="81"/>
      <c r="P263" s="81"/>
      <c r="Q263" s="145">
        <f t="shared" ref="Q263:Q264" si="17">AVERAGE(E263:P263)</f>
        <v>94.07</v>
      </c>
      <c r="R263" s="151" t="str">
        <f t="shared" si="14"/>
        <v>NO</v>
      </c>
      <c r="S263" s="152" t="str">
        <f t="shared" si="15"/>
        <v>Inviable Sanitariamente</v>
      </c>
      <c r="T263" s="60"/>
    </row>
    <row r="264" spans="1:20" s="326" customFormat="1" ht="32.1" customHeight="1" x14ac:dyDescent="0.2">
      <c r="A264" s="127" t="s">
        <v>142</v>
      </c>
      <c r="B264" s="258" t="s">
        <v>4114</v>
      </c>
      <c r="C264" s="289" t="s">
        <v>4115</v>
      </c>
      <c r="D264" s="121">
        <v>22</v>
      </c>
      <c r="E264" s="81"/>
      <c r="F264" s="81"/>
      <c r="G264" s="81"/>
      <c r="H264" s="81"/>
      <c r="I264" s="81"/>
      <c r="J264" s="81">
        <v>97.35</v>
      </c>
      <c r="K264" s="81"/>
      <c r="L264" s="81"/>
      <c r="M264" s="81"/>
      <c r="N264" s="81"/>
      <c r="O264" s="81"/>
      <c r="P264" s="81"/>
      <c r="Q264" s="145">
        <f t="shared" si="17"/>
        <v>97.35</v>
      </c>
      <c r="R264" s="151" t="str">
        <f t="shared" si="14"/>
        <v>NO</v>
      </c>
      <c r="S264" s="152" t="str">
        <f t="shared" si="15"/>
        <v>Inviable Sanitariamente</v>
      </c>
      <c r="T264" s="325"/>
    </row>
    <row r="265" spans="1:20" s="1" customFormat="1" ht="32.1" customHeight="1" x14ac:dyDescent="0.2">
      <c r="A265" s="134"/>
      <c r="B265" s="328"/>
      <c r="C265" s="433"/>
      <c r="D265" s="431"/>
      <c r="E265" s="432"/>
      <c r="F265" s="432"/>
      <c r="G265" s="432"/>
      <c r="H265" s="432"/>
      <c r="I265" s="432"/>
      <c r="J265" s="432"/>
      <c r="K265" s="432"/>
      <c r="L265" s="432"/>
      <c r="M265" s="432"/>
      <c r="N265" s="432"/>
      <c r="O265" s="432"/>
      <c r="P265" s="432"/>
      <c r="Q265" s="215"/>
      <c r="R265" s="216"/>
      <c r="S265" s="217"/>
      <c r="T265" s="2"/>
    </row>
    <row r="266" spans="1:20" s="1" customFormat="1" ht="32.1" customHeight="1" x14ac:dyDescent="0.2">
      <c r="A266" s="134"/>
      <c r="B266" s="328"/>
      <c r="C266" s="328"/>
      <c r="D266" s="329"/>
      <c r="E266" s="330"/>
      <c r="F266" s="330"/>
      <c r="G266" s="330"/>
      <c r="H266" s="330"/>
      <c r="I266" s="330"/>
      <c r="J266" s="330"/>
      <c r="K266" s="330"/>
      <c r="L266" s="330"/>
      <c r="M266" s="330"/>
      <c r="N266" s="330"/>
      <c r="O266" s="330"/>
      <c r="P266" s="330"/>
      <c r="Q266" s="331"/>
      <c r="R266" s="331"/>
      <c r="S266" s="332"/>
      <c r="T266" s="2"/>
    </row>
    <row r="267" spans="1:20" s="1" customFormat="1" ht="32.1" customHeight="1" x14ac:dyDescent="0.2">
      <c r="A267" s="512" t="s">
        <v>4430</v>
      </c>
      <c r="B267" s="512" t="s">
        <v>4478</v>
      </c>
      <c r="D267" s="329"/>
      <c r="E267" s="330"/>
      <c r="F267" s="330"/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  <c r="Q267" s="331"/>
      <c r="R267" s="331"/>
      <c r="S267" s="332"/>
      <c r="T267" s="2"/>
    </row>
    <row r="268" spans="1:20" s="1" customFormat="1" ht="32.1" customHeight="1" x14ac:dyDescent="0.2">
      <c r="A268" s="501" t="s">
        <v>4358</v>
      </c>
      <c r="B268" s="509">
        <f>COUNTIF(E10:P264,"&lt;=5")</f>
        <v>98</v>
      </c>
      <c r="D268" s="329"/>
      <c r="E268" s="330"/>
      <c r="F268" s="330"/>
      <c r="G268" s="330"/>
      <c r="H268" s="330"/>
      <c r="I268" s="330"/>
      <c r="J268" s="330"/>
      <c r="K268" s="330"/>
      <c r="L268" s="330"/>
      <c r="M268" s="330"/>
      <c r="N268" s="330"/>
      <c r="O268" s="330"/>
      <c r="P268" s="330"/>
      <c r="Q268" s="331"/>
      <c r="R268" s="331"/>
      <c r="S268" s="332"/>
      <c r="T268" s="2"/>
    </row>
    <row r="269" spans="1:20" s="1" customFormat="1" ht="32.1" customHeight="1" x14ac:dyDescent="0.2">
      <c r="A269" s="502" t="s">
        <v>4359</v>
      </c>
      <c r="B269" s="515">
        <f>COUNTIFS(E10:P264,"&gt;5",E10:P264,"&lt;=14")</f>
        <v>1</v>
      </c>
      <c r="D269" s="329"/>
      <c r="E269" s="330"/>
      <c r="F269" s="330"/>
      <c r="G269" s="330"/>
      <c r="H269" s="330"/>
      <c r="I269" s="330"/>
      <c r="J269" s="330"/>
      <c r="K269" s="330"/>
      <c r="L269" s="330"/>
      <c r="M269" s="330"/>
      <c r="N269" s="330"/>
      <c r="O269" s="330"/>
      <c r="P269" s="330"/>
      <c r="Q269" s="331"/>
      <c r="R269" s="331"/>
      <c r="S269" s="332"/>
      <c r="T269" s="2"/>
    </row>
    <row r="270" spans="1:20" s="1" customFormat="1" ht="32.1" customHeight="1" x14ac:dyDescent="0.2">
      <c r="A270" s="503" t="s">
        <v>4360</v>
      </c>
      <c r="B270" s="509">
        <f>COUNTIFS(E10:P264,"&gt;14",E10:P264,"&lt;=35")</f>
        <v>20</v>
      </c>
      <c r="D270" s="329"/>
      <c r="E270" s="330"/>
      <c r="F270" s="330"/>
      <c r="G270" s="330"/>
      <c r="H270" s="330"/>
      <c r="I270" s="330"/>
      <c r="J270" s="330"/>
      <c r="K270" s="330"/>
      <c r="L270" s="330"/>
      <c r="M270" s="330"/>
      <c r="N270" s="330"/>
      <c r="O270" s="330"/>
      <c r="P270" s="330"/>
      <c r="Q270" s="331"/>
      <c r="R270" s="331"/>
      <c r="S270" s="332"/>
      <c r="T270" s="2"/>
    </row>
    <row r="271" spans="1:20" s="1" customFormat="1" ht="32.1" customHeight="1" x14ac:dyDescent="0.2">
      <c r="A271" s="504" t="s">
        <v>4361</v>
      </c>
      <c r="B271" s="509">
        <f>COUNTIFS(E10:P264,"&gt;35",E10:P264,"&lt;=80")</f>
        <v>81</v>
      </c>
      <c r="D271" s="329"/>
      <c r="E271" s="330"/>
      <c r="F271" s="330"/>
      <c r="G271" s="330"/>
      <c r="H271" s="330"/>
      <c r="I271" s="330"/>
      <c r="J271" s="330"/>
      <c r="K271" s="330"/>
      <c r="L271" s="330"/>
      <c r="M271" s="330"/>
      <c r="N271" s="330"/>
      <c r="O271" s="330"/>
      <c r="P271" s="330"/>
      <c r="Q271" s="331"/>
      <c r="R271" s="331"/>
      <c r="S271" s="332"/>
      <c r="T271" s="2"/>
    </row>
    <row r="272" spans="1:20" s="1" customFormat="1" ht="39" customHeight="1" x14ac:dyDescent="0.2">
      <c r="A272" s="505" t="s">
        <v>4362</v>
      </c>
      <c r="B272" s="509">
        <f>COUNTIFS(E10:P264,"&gt;80",E10:P264,"&lt;=100")</f>
        <v>128</v>
      </c>
      <c r="D272" s="329"/>
      <c r="E272" s="330"/>
      <c r="F272" s="330"/>
      <c r="G272" s="330"/>
      <c r="H272" s="330"/>
      <c r="I272" s="330"/>
      <c r="J272" s="330"/>
      <c r="K272" s="330"/>
      <c r="L272" s="330"/>
      <c r="M272" s="330"/>
      <c r="N272" s="330"/>
      <c r="O272" s="330"/>
      <c r="P272" s="330"/>
      <c r="Q272" s="331"/>
      <c r="R272" s="331"/>
      <c r="S272" s="332"/>
      <c r="T272" s="2"/>
    </row>
    <row r="273" spans="1:20" s="1" customFormat="1" ht="32.1" customHeight="1" x14ac:dyDescent="0.2">
      <c r="A273" s="533" t="s">
        <v>4363</v>
      </c>
      <c r="B273" s="534">
        <f>COUNT(E10:P264)</f>
        <v>328</v>
      </c>
      <c r="D273" s="329"/>
      <c r="E273" s="330"/>
      <c r="F273" s="330"/>
      <c r="G273" s="330"/>
      <c r="H273" s="330"/>
      <c r="I273" s="330"/>
      <c r="J273" s="330"/>
      <c r="K273" s="330"/>
      <c r="L273" s="330"/>
      <c r="M273" s="330"/>
      <c r="N273" s="330"/>
      <c r="O273" s="330"/>
      <c r="P273" s="330"/>
      <c r="Q273" s="331"/>
      <c r="R273" s="331"/>
      <c r="S273" s="332"/>
      <c r="T273" s="2"/>
    </row>
    <row r="274" spans="1:20" s="1" customFormat="1" ht="36.75" customHeight="1" x14ac:dyDescent="0.2">
      <c r="A274" s="508" t="s">
        <v>4366</v>
      </c>
      <c r="B274" s="510">
        <f>B273-B268</f>
        <v>230</v>
      </c>
      <c r="C274" s="328"/>
      <c r="D274" s="329"/>
      <c r="E274" s="330"/>
      <c r="F274" s="330"/>
      <c r="G274" s="330"/>
      <c r="H274" s="330"/>
      <c r="I274" s="330"/>
      <c r="J274" s="330"/>
      <c r="K274" s="330"/>
      <c r="L274" s="330"/>
      <c r="M274" s="330"/>
      <c r="N274" s="330"/>
      <c r="O274" s="330"/>
      <c r="P274" s="330"/>
      <c r="Q274" s="331"/>
      <c r="R274" s="331"/>
      <c r="S274" s="332"/>
      <c r="T274" s="2"/>
    </row>
    <row r="275" spans="1:20" s="1" customFormat="1" ht="32.1" customHeight="1" x14ac:dyDescent="0.2">
      <c r="A275" s="134"/>
      <c r="B275" s="328"/>
      <c r="E275" s="330"/>
      <c r="F275" s="330"/>
      <c r="G275" s="330"/>
      <c r="H275" s="330"/>
      <c r="I275" s="330"/>
      <c r="J275" s="330"/>
      <c r="K275" s="330"/>
      <c r="L275" s="330"/>
      <c r="M275" s="330"/>
      <c r="N275" s="330"/>
      <c r="O275" s="330"/>
      <c r="P275" s="330"/>
      <c r="Q275" s="331"/>
      <c r="R275" s="331"/>
      <c r="S275" s="332"/>
      <c r="T275" s="2"/>
    </row>
    <row r="276" spans="1:20" s="1" customFormat="1" ht="32.1" customHeight="1" x14ac:dyDescent="0.2">
      <c r="A276" s="134"/>
      <c r="B276" s="328"/>
      <c r="E276" s="330"/>
      <c r="F276" s="330"/>
      <c r="G276" s="330"/>
      <c r="H276" s="330"/>
      <c r="I276" s="330"/>
      <c r="J276" s="330"/>
      <c r="K276" s="330"/>
      <c r="L276" s="330"/>
      <c r="M276" s="330"/>
      <c r="N276" s="330"/>
      <c r="O276" s="330"/>
      <c r="P276" s="330"/>
      <c r="Q276" s="331"/>
      <c r="R276" s="331"/>
      <c r="S276" s="332"/>
      <c r="T276" s="2"/>
    </row>
    <row r="277" spans="1:20" s="1" customFormat="1" ht="32.1" customHeight="1" x14ac:dyDescent="0.2">
      <c r="A277" s="134"/>
      <c r="B277" s="328"/>
      <c r="E277" s="330"/>
      <c r="F277" s="330"/>
      <c r="G277" s="330"/>
      <c r="H277" s="330"/>
      <c r="I277" s="330"/>
      <c r="J277" s="330"/>
      <c r="K277" s="330"/>
      <c r="L277" s="330"/>
      <c r="M277" s="330"/>
      <c r="N277" s="330"/>
      <c r="O277" s="330"/>
      <c r="P277" s="330"/>
      <c r="Q277" s="331"/>
      <c r="R277" s="331"/>
      <c r="S277" s="332"/>
      <c r="T277" s="2"/>
    </row>
    <row r="278" spans="1:20" s="1" customFormat="1" ht="32.1" customHeight="1" x14ac:dyDescent="0.2">
      <c r="A278" s="134"/>
      <c r="B278" s="328"/>
      <c r="E278" s="330"/>
      <c r="F278" s="330"/>
      <c r="G278" s="330"/>
      <c r="H278" s="330"/>
      <c r="I278" s="330"/>
      <c r="J278" s="330"/>
      <c r="K278" s="330"/>
      <c r="L278" s="330"/>
      <c r="M278" s="330"/>
      <c r="N278" s="330"/>
      <c r="O278" s="330"/>
      <c r="P278" s="330"/>
      <c r="Q278" s="331"/>
      <c r="R278" s="331"/>
      <c r="S278" s="332"/>
      <c r="T278" s="2"/>
    </row>
    <row r="279" spans="1:20" s="1" customFormat="1" ht="32.1" customHeight="1" x14ac:dyDescent="0.2">
      <c r="A279" s="134"/>
      <c r="B279" s="328"/>
      <c r="E279" s="330"/>
      <c r="F279" s="330"/>
      <c r="G279" s="330"/>
      <c r="H279" s="330"/>
      <c r="I279" s="330"/>
      <c r="J279" s="330"/>
      <c r="K279" s="330"/>
      <c r="L279" s="330"/>
      <c r="M279" s="330"/>
      <c r="N279" s="330"/>
      <c r="O279" s="330"/>
      <c r="P279" s="330"/>
      <c r="Q279" s="331"/>
      <c r="R279" s="331"/>
      <c r="S279" s="332"/>
      <c r="T279" s="2"/>
    </row>
    <row r="280" spans="1:20" s="1" customFormat="1" ht="32.1" customHeight="1" x14ac:dyDescent="0.2">
      <c r="A280" s="134"/>
      <c r="B280" s="328"/>
      <c r="E280" s="330"/>
      <c r="F280" s="330"/>
      <c r="G280" s="330"/>
      <c r="H280" s="330"/>
      <c r="I280" s="330"/>
      <c r="J280" s="330"/>
      <c r="K280" s="330"/>
      <c r="L280" s="330"/>
      <c r="M280" s="330"/>
      <c r="N280" s="330"/>
      <c r="O280" s="330"/>
      <c r="P280" s="330"/>
      <c r="Q280" s="331"/>
      <c r="R280" s="331"/>
      <c r="S280" s="332"/>
      <c r="T280" s="2"/>
    </row>
    <row r="281" spans="1:20" s="1" customFormat="1" ht="32.1" customHeight="1" x14ac:dyDescent="0.2">
      <c r="A281" s="134"/>
      <c r="B281" s="328"/>
      <c r="E281" s="330"/>
      <c r="F281" s="330"/>
      <c r="G281" s="330"/>
      <c r="H281" s="330"/>
      <c r="I281" s="330"/>
      <c r="J281" s="330"/>
      <c r="K281" s="330"/>
      <c r="L281" s="330"/>
      <c r="M281" s="330"/>
      <c r="N281" s="330"/>
      <c r="O281" s="330"/>
      <c r="P281" s="330"/>
      <c r="Q281" s="331"/>
      <c r="R281" s="331"/>
      <c r="S281" s="332"/>
      <c r="T281" s="2"/>
    </row>
    <row r="282" spans="1:20" s="1" customFormat="1" ht="32.1" customHeight="1" x14ac:dyDescent="0.2">
      <c r="A282" s="134"/>
      <c r="B282" s="328"/>
      <c r="C282" s="328"/>
      <c r="D282" s="329"/>
      <c r="E282" s="330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1"/>
      <c r="R282" s="331"/>
      <c r="S282" s="332"/>
      <c r="T282" s="2"/>
    </row>
    <row r="283" spans="1:20" s="1" customFormat="1" ht="32.1" customHeight="1" x14ac:dyDescent="0.2">
      <c r="A283" s="134"/>
      <c r="B283" s="328"/>
      <c r="C283" s="328"/>
      <c r="D283" s="329"/>
      <c r="E283" s="330"/>
      <c r="F283" s="330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1"/>
      <c r="R283" s="331"/>
      <c r="S283" s="332"/>
      <c r="T283" s="2"/>
    </row>
    <row r="284" spans="1:20" s="1" customFormat="1" ht="32.1" customHeight="1" x14ac:dyDescent="0.2">
      <c r="A284" s="134"/>
      <c r="B284" s="328"/>
      <c r="C284" s="328"/>
      <c r="D284" s="329"/>
      <c r="E284" s="330"/>
      <c r="F284" s="330"/>
      <c r="G284" s="333"/>
      <c r="H284" s="330"/>
      <c r="I284" s="330"/>
      <c r="J284" s="330"/>
      <c r="K284" s="330"/>
      <c r="L284" s="330"/>
      <c r="M284" s="330"/>
      <c r="N284" s="330"/>
      <c r="O284" s="330"/>
      <c r="P284" s="330"/>
      <c r="Q284" s="331"/>
      <c r="R284" s="331"/>
      <c r="S284" s="332"/>
      <c r="T284" s="2"/>
    </row>
    <row r="285" spans="1:20" s="1" customFormat="1" ht="32.1" customHeight="1" x14ac:dyDescent="0.2">
      <c r="A285" s="134"/>
      <c r="B285" s="328"/>
      <c r="C285" s="328"/>
      <c r="D285" s="329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1"/>
      <c r="R285" s="331"/>
      <c r="S285" s="332"/>
      <c r="T285" s="2"/>
    </row>
    <row r="286" spans="1:20" s="1" customFormat="1" ht="32.1" customHeight="1" x14ac:dyDescent="0.2">
      <c r="A286" s="134"/>
      <c r="B286" s="328"/>
      <c r="C286" s="328"/>
      <c r="D286" s="329"/>
      <c r="E286" s="330"/>
      <c r="F286" s="330"/>
      <c r="G286" s="330"/>
      <c r="H286" s="330"/>
      <c r="I286" s="330"/>
      <c r="J286" s="330"/>
      <c r="K286" s="330"/>
      <c r="L286" s="330"/>
      <c r="M286" s="330"/>
      <c r="N286" s="330"/>
      <c r="O286" s="330"/>
      <c r="P286" s="330"/>
      <c r="Q286" s="331"/>
      <c r="R286" s="331"/>
      <c r="S286" s="332"/>
      <c r="T286" s="2"/>
    </row>
    <row r="287" spans="1:20" s="1" customFormat="1" ht="32.1" customHeight="1" x14ac:dyDescent="0.2">
      <c r="A287" s="134"/>
      <c r="B287" s="328"/>
      <c r="C287" s="328"/>
      <c r="D287" s="329"/>
      <c r="E287" s="330"/>
      <c r="F287" s="330"/>
      <c r="G287" s="330"/>
      <c r="H287" s="330"/>
      <c r="I287" s="330"/>
      <c r="J287" s="330"/>
      <c r="K287" s="330"/>
      <c r="L287" s="330"/>
      <c r="M287" s="330"/>
      <c r="N287" s="330"/>
      <c r="O287" s="330"/>
      <c r="P287" s="330"/>
      <c r="Q287" s="331"/>
      <c r="R287" s="331"/>
      <c r="S287" s="332"/>
      <c r="T287" s="2"/>
    </row>
    <row r="288" spans="1:20" s="1" customFormat="1" ht="32.1" customHeight="1" x14ac:dyDescent="0.2">
      <c r="A288" s="134"/>
      <c r="B288" s="328"/>
      <c r="C288" s="328"/>
      <c r="D288" s="329"/>
      <c r="E288" s="330"/>
      <c r="F288" s="330"/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  <c r="Q288" s="331"/>
      <c r="R288" s="331"/>
      <c r="S288" s="332"/>
      <c r="T288" s="2"/>
    </row>
    <row r="289" spans="1:20" s="1" customFormat="1" ht="32.1" customHeight="1" x14ac:dyDescent="0.2">
      <c r="A289" s="134"/>
      <c r="B289" s="328"/>
      <c r="C289" s="328"/>
      <c r="D289" s="329"/>
      <c r="E289" s="330"/>
      <c r="F289" s="330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1"/>
      <c r="R289" s="331"/>
      <c r="S289" s="332"/>
      <c r="T289" s="2"/>
    </row>
    <row r="290" spans="1:20" s="1" customFormat="1" ht="32.1" customHeight="1" x14ac:dyDescent="0.2">
      <c r="A290" s="134"/>
      <c r="B290" s="328"/>
      <c r="C290" s="328"/>
      <c r="D290" s="329"/>
      <c r="E290" s="330"/>
      <c r="F290" s="330"/>
      <c r="G290" s="330"/>
      <c r="H290" s="330"/>
      <c r="I290" s="330"/>
      <c r="J290" s="330"/>
      <c r="K290" s="330"/>
      <c r="L290" s="330"/>
      <c r="M290" s="330"/>
      <c r="N290" s="330"/>
      <c r="O290" s="330"/>
      <c r="P290" s="330"/>
      <c r="Q290" s="331"/>
      <c r="R290" s="331"/>
      <c r="S290" s="332"/>
      <c r="T290" s="2"/>
    </row>
    <row r="291" spans="1:20" s="1" customFormat="1" ht="32.1" customHeight="1" x14ac:dyDescent="0.2">
      <c r="A291" s="134"/>
      <c r="B291" s="328"/>
      <c r="C291" s="328"/>
      <c r="D291" s="329"/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1"/>
      <c r="R291" s="331"/>
      <c r="S291" s="332"/>
      <c r="T291" s="2"/>
    </row>
    <row r="292" spans="1:20" s="1" customFormat="1" ht="32.1" customHeight="1" x14ac:dyDescent="0.2">
      <c r="A292" s="134"/>
      <c r="B292" s="328"/>
      <c r="C292" s="328"/>
      <c r="D292" s="329"/>
      <c r="E292" s="330"/>
      <c r="F292" s="330"/>
      <c r="G292" s="330"/>
      <c r="H292" s="330"/>
      <c r="I292" s="330"/>
      <c r="J292" s="330"/>
      <c r="K292" s="330"/>
      <c r="L292" s="330"/>
      <c r="M292" s="330"/>
      <c r="N292" s="330"/>
      <c r="O292" s="330"/>
      <c r="P292" s="330"/>
      <c r="Q292" s="331"/>
      <c r="R292" s="331"/>
      <c r="S292" s="332"/>
      <c r="T292" s="2"/>
    </row>
    <row r="293" spans="1:20" s="1" customFormat="1" ht="32.1" customHeight="1" x14ac:dyDescent="0.2">
      <c r="A293" s="134"/>
      <c r="B293" s="328"/>
      <c r="C293" s="328"/>
      <c r="D293" s="329"/>
      <c r="E293" s="330"/>
      <c r="F293" s="330"/>
      <c r="G293" s="330"/>
      <c r="H293" s="330"/>
      <c r="I293" s="330"/>
      <c r="J293" s="330"/>
      <c r="K293" s="330"/>
      <c r="L293" s="330"/>
      <c r="M293" s="330"/>
      <c r="N293" s="330"/>
      <c r="O293" s="330"/>
      <c r="P293" s="330"/>
      <c r="Q293" s="331"/>
      <c r="R293" s="331"/>
      <c r="S293" s="332"/>
      <c r="T293" s="2"/>
    </row>
    <row r="294" spans="1:20" s="1" customFormat="1" ht="32.1" customHeight="1" x14ac:dyDescent="0.2">
      <c r="A294" s="134"/>
      <c r="B294" s="328"/>
      <c r="C294" s="328"/>
      <c r="D294" s="329"/>
      <c r="E294" s="330"/>
      <c r="F294" s="330"/>
      <c r="G294" s="330"/>
      <c r="H294" s="330"/>
      <c r="I294" s="330"/>
      <c r="J294" s="330"/>
      <c r="K294" s="330"/>
      <c r="L294" s="330"/>
      <c r="M294" s="330"/>
      <c r="N294" s="330"/>
      <c r="O294" s="330"/>
      <c r="P294" s="330"/>
      <c r="Q294" s="331"/>
      <c r="R294" s="331"/>
      <c r="S294" s="332"/>
      <c r="T294" s="2"/>
    </row>
    <row r="295" spans="1:20" s="1" customFormat="1" ht="32.1" customHeight="1" x14ac:dyDescent="0.2">
      <c r="A295" s="134"/>
      <c r="B295" s="328"/>
      <c r="C295" s="328"/>
      <c r="D295" s="329"/>
      <c r="E295" s="330"/>
      <c r="F295" s="330"/>
      <c r="G295" s="330"/>
      <c r="H295" s="330"/>
      <c r="I295" s="330"/>
      <c r="J295" s="330"/>
      <c r="K295" s="330"/>
      <c r="L295" s="330"/>
      <c r="M295" s="330"/>
      <c r="N295" s="330"/>
      <c r="O295" s="330"/>
      <c r="P295" s="330"/>
      <c r="Q295" s="331"/>
      <c r="R295" s="331"/>
      <c r="S295" s="332"/>
      <c r="T295" s="2"/>
    </row>
    <row r="296" spans="1:20" s="1" customFormat="1" ht="32.1" customHeight="1" x14ac:dyDescent="0.2">
      <c r="A296" s="134"/>
      <c r="B296" s="328"/>
      <c r="C296" s="328"/>
      <c r="D296" s="329"/>
      <c r="E296" s="330"/>
      <c r="F296" s="330"/>
      <c r="G296" s="330"/>
      <c r="H296" s="330"/>
      <c r="I296" s="330"/>
      <c r="J296" s="330"/>
      <c r="K296" s="330"/>
      <c r="L296" s="330"/>
      <c r="M296" s="330"/>
      <c r="N296" s="330"/>
      <c r="O296" s="330"/>
      <c r="P296" s="330"/>
      <c r="Q296" s="331"/>
      <c r="R296" s="331"/>
      <c r="S296" s="332"/>
      <c r="T296" s="2"/>
    </row>
    <row r="297" spans="1:20" s="1" customFormat="1" ht="32.1" customHeight="1" x14ac:dyDescent="0.2">
      <c r="A297" s="134"/>
      <c r="B297" s="328"/>
      <c r="C297" s="328"/>
      <c r="D297" s="329"/>
      <c r="E297" s="330"/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1"/>
      <c r="R297" s="331"/>
      <c r="S297" s="332"/>
      <c r="T297" s="2"/>
    </row>
    <row r="298" spans="1:20" s="1" customFormat="1" ht="32.1" customHeight="1" x14ac:dyDescent="0.2">
      <c r="A298" s="134"/>
      <c r="B298" s="328"/>
      <c r="C298" s="328"/>
      <c r="D298" s="329"/>
      <c r="E298" s="330"/>
      <c r="F298" s="330"/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  <c r="Q298" s="331"/>
      <c r="R298" s="331"/>
      <c r="S298" s="332"/>
      <c r="T298" s="2"/>
    </row>
    <row r="299" spans="1:20" s="1" customFormat="1" ht="32.1" customHeight="1" x14ac:dyDescent="0.2">
      <c r="A299" s="134"/>
      <c r="B299" s="328"/>
      <c r="C299" s="328"/>
      <c r="D299" s="329"/>
      <c r="E299" s="330"/>
      <c r="F299" s="330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1"/>
      <c r="R299" s="331"/>
      <c r="S299" s="332"/>
      <c r="T299" s="2"/>
    </row>
    <row r="300" spans="1:20" s="1" customFormat="1" ht="32.1" customHeight="1" x14ac:dyDescent="0.2">
      <c r="A300" s="134"/>
      <c r="B300" s="328"/>
      <c r="C300" s="328"/>
      <c r="D300" s="329"/>
      <c r="E300" s="330"/>
      <c r="F300" s="330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1"/>
      <c r="R300" s="331"/>
      <c r="S300" s="332"/>
      <c r="T300" s="2"/>
    </row>
    <row r="301" spans="1:20" s="1" customFormat="1" ht="32.1" customHeight="1" x14ac:dyDescent="0.2">
      <c r="A301" s="134"/>
      <c r="B301" s="328"/>
      <c r="C301" s="328"/>
      <c r="D301" s="329"/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1"/>
      <c r="R301" s="331"/>
      <c r="S301" s="332"/>
      <c r="T301" s="2"/>
    </row>
    <row r="302" spans="1:20" s="1" customFormat="1" ht="32.1" customHeight="1" x14ac:dyDescent="0.2">
      <c r="A302" s="134"/>
      <c r="B302" s="328"/>
      <c r="C302" s="328"/>
      <c r="D302" s="329"/>
      <c r="E302" s="330"/>
      <c r="F302" s="330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1"/>
      <c r="R302" s="331"/>
      <c r="S302" s="332"/>
      <c r="T302" s="2"/>
    </row>
    <row r="303" spans="1:20" s="1" customFormat="1" ht="32.1" customHeight="1" x14ac:dyDescent="0.2">
      <c r="A303" s="134"/>
      <c r="B303" s="328"/>
      <c r="C303" s="328"/>
      <c r="D303" s="329"/>
      <c r="E303" s="330"/>
      <c r="F303" s="330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1"/>
      <c r="R303" s="331"/>
      <c r="S303" s="332"/>
      <c r="T303" s="2"/>
    </row>
    <row r="304" spans="1:20" s="1" customFormat="1" ht="32.1" customHeight="1" x14ac:dyDescent="0.2">
      <c r="A304" s="134"/>
      <c r="B304" s="328"/>
      <c r="C304" s="328"/>
      <c r="D304" s="329"/>
      <c r="E304" s="330"/>
      <c r="F304" s="330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1"/>
      <c r="R304" s="331"/>
      <c r="S304" s="332"/>
      <c r="T304" s="2"/>
    </row>
    <row r="305" spans="1:20" s="1" customFormat="1" ht="32.1" customHeight="1" x14ac:dyDescent="0.2">
      <c r="A305" s="134"/>
      <c r="B305" s="328"/>
      <c r="C305" s="328"/>
      <c r="D305" s="329"/>
      <c r="E305" s="330"/>
      <c r="F305" s="330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1"/>
      <c r="R305" s="331"/>
      <c r="S305" s="332"/>
      <c r="T305" s="2"/>
    </row>
    <row r="306" spans="1:20" s="1" customFormat="1" ht="32.1" customHeight="1" x14ac:dyDescent="0.2">
      <c r="A306" s="134"/>
      <c r="B306" s="328"/>
      <c r="C306" s="328"/>
      <c r="D306" s="329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1"/>
      <c r="R306" s="331"/>
      <c r="S306" s="332"/>
      <c r="T306" s="2"/>
    </row>
    <row r="307" spans="1:20" s="1" customFormat="1" ht="32.1" customHeight="1" x14ac:dyDescent="0.2">
      <c r="A307" s="134"/>
      <c r="B307" s="328"/>
      <c r="C307" s="328"/>
      <c r="D307" s="329"/>
      <c r="E307" s="330"/>
      <c r="F307" s="330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1"/>
      <c r="R307" s="331"/>
      <c r="S307" s="332"/>
      <c r="T307" s="2"/>
    </row>
    <row r="308" spans="1:20" s="1" customFormat="1" ht="32.1" customHeight="1" x14ac:dyDescent="0.2">
      <c r="A308" s="134"/>
      <c r="B308" s="328"/>
      <c r="C308" s="328"/>
      <c r="D308" s="329"/>
      <c r="E308" s="330"/>
      <c r="F308" s="330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1"/>
      <c r="R308" s="331"/>
      <c r="S308" s="332"/>
      <c r="T308" s="2"/>
    </row>
    <row r="309" spans="1:20" s="1" customFormat="1" ht="32.1" customHeight="1" x14ac:dyDescent="0.2">
      <c r="A309" s="134"/>
      <c r="B309" s="328"/>
      <c r="C309" s="328"/>
      <c r="D309" s="329"/>
      <c r="E309" s="330"/>
      <c r="F309" s="330"/>
      <c r="G309" s="330"/>
      <c r="H309" s="330"/>
      <c r="I309" s="330"/>
      <c r="J309" s="330"/>
      <c r="K309" s="330"/>
      <c r="L309" s="330"/>
      <c r="M309" s="330"/>
      <c r="N309" s="330"/>
      <c r="O309" s="333"/>
      <c r="P309" s="330"/>
      <c r="Q309" s="331"/>
      <c r="R309" s="331"/>
      <c r="S309" s="332"/>
      <c r="T309" s="2"/>
    </row>
    <row r="310" spans="1:20" s="1" customFormat="1" ht="32.1" customHeight="1" x14ac:dyDescent="0.2">
      <c r="A310" s="134"/>
      <c r="B310" s="328"/>
      <c r="C310" s="328"/>
      <c r="D310" s="329"/>
      <c r="E310" s="330"/>
      <c r="F310" s="330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1"/>
      <c r="R310" s="331"/>
      <c r="S310" s="332"/>
      <c r="T310" s="2"/>
    </row>
    <row r="311" spans="1:20" s="1" customFormat="1" ht="32.1" customHeight="1" x14ac:dyDescent="0.2">
      <c r="A311" s="134"/>
      <c r="B311" s="328"/>
      <c r="C311" s="328"/>
      <c r="D311" s="329"/>
      <c r="E311" s="330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1"/>
      <c r="R311" s="331"/>
      <c r="S311" s="332"/>
      <c r="T311" s="2"/>
    </row>
    <row r="312" spans="1:20" s="1" customFormat="1" ht="32.1" customHeight="1" x14ac:dyDescent="0.2">
      <c r="A312" s="134"/>
      <c r="B312" s="328"/>
      <c r="C312" s="328"/>
      <c r="D312" s="329"/>
      <c r="E312" s="330"/>
      <c r="F312" s="330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1"/>
      <c r="R312" s="331"/>
      <c r="S312" s="332"/>
      <c r="T312" s="2"/>
    </row>
    <row r="313" spans="1:20" s="1" customFormat="1" ht="32.1" customHeight="1" x14ac:dyDescent="0.2">
      <c r="A313" s="134"/>
      <c r="B313" s="328"/>
      <c r="C313" s="328"/>
      <c r="D313" s="329"/>
      <c r="E313" s="330"/>
      <c r="F313" s="330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1"/>
      <c r="R313" s="331"/>
      <c r="S313" s="332"/>
      <c r="T313" s="2"/>
    </row>
    <row r="314" spans="1:20" s="1" customFormat="1" ht="32.1" customHeight="1" x14ac:dyDescent="0.2">
      <c r="A314" s="134"/>
      <c r="B314" s="328"/>
      <c r="C314" s="328"/>
      <c r="D314" s="329"/>
      <c r="E314" s="330"/>
      <c r="F314" s="330"/>
      <c r="G314" s="330"/>
      <c r="H314" s="330"/>
      <c r="I314" s="330"/>
      <c r="J314" s="330"/>
      <c r="K314" s="330"/>
      <c r="L314" s="330"/>
      <c r="M314" s="330"/>
      <c r="N314" s="330"/>
      <c r="O314" s="330"/>
      <c r="P314" s="330"/>
      <c r="Q314" s="331"/>
      <c r="R314" s="331"/>
      <c r="S314" s="332"/>
      <c r="T314" s="2"/>
    </row>
    <row r="315" spans="1:20" s="1" customFormat="1" ht="32.1" customHeight="1" x14ac:dyDescent="0.2">
      <c r="A315" s="134"/>
      <c r="B315" s="328"/>
      <c r="C315" s="328"/>
      <c r="D315" s="329"/>
      <c r="E315" s="330"/>
      <c r="F315" s="330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331"/>
      <c r="R315" s="331"/>
      <c r="S315" s="332"/>
      <c r="T315" s="2"/>
    </row>
    <row r="316" spans="1:20" s="1" customFormat="1" ht="32.1" customHeight="1" x14ac:dyDescent="0.2">
      <c r="A316" s="134"/>
      <c r="B316" s="328"/>
      <c r="C316" s="328"/>
      <c r="D316" s="329"/>
      <c r="E316" s="330"/>
      <c r="F316" s="330"/>
      <c r="G316" s="330"/>
      <c r="H316" s="330"/>
      <c r="I316" s="330"/>
      <c r="J316" s="330"/>
      <c r="K316" s="330"/>
      <c r="L316" s="330"/>
      <c r="M316" s="330"/>
      <c r="N316" s="330"/>
      <c r="O316" s="333"/>
      <c r="P316" s="330"/>
      <c r="Q316" s="331"/>
      <c r="R316" s="331"/>
      <c r="S316" s="332"/>
      <c r="T316" s="2"/>
    </row>
    <row r="317" spans="1:20" s="1" customFormat="1" ht="32.1" customHeight="1" x14ac:dyDescent="0.2">
      <c r="A317" s="134"/>
      <c r="B317" s="328"/>
      <c r="C317" s="328"/>
      <c r="D317" s="329"/>
      <c r="E317" s="330"/>
      <c r="F317" s="330"/>
      <c r="G317" s="333"/>
      <c r="H317" s="330"/>
      <c r="I317" s="330"/>
      <c r="J317" s="330"/>
      <c r="K317" s="330"/>
      <c r="L317" s="330"/>
      <c r="M317" s="330"/>
      <c r="N317" s="330"/>
      <c r="O317" s="330"/>
      <c r="P317" s="330"/>
      <c r="Q317" s="331"/>
      <c r="R317" s="331"/>
      <c r="S317" s="332"/>
      <c r="T317" s="2"/>
    </row>
    <row r="318" spans="1:20" s="1" customFormat="1" ht="32.1" customHeight="1" x14ac:dyDescent="0.2">
      <c r="A318" s="134"/>
      <c r="B318" s="328"/>
      <c r="C318" s="328"/>
      <c r="D318" s="329"/>
      <c r="E318" s="330"/>
      <c r="F318" s="330"/>
      <c r="G318" s="330"/>
      <c r="H318" s="330"/>
      <c r="I318" s="330"/>
      <c r="J318" s="330"/>
      <c r="K318" s="330"/>
      <c r="L318" s="330"/>
      <c r="M318" s="330"/>
      <c r="N318" s="330"/>
      <c r="O318" s="333"/>
      <c r="P318" s="330"/>
      <c r="Q318" s="331"/>
      <c r="R318" s="331"/>
      <c r="S318" s="332"/>
      <c r="T318" s="2"/>
    </row>
    <row r="319" spans="1:20" s="1" customFormat="1" ht="32.1" customHeight="1" x14ac:dyDescent="0.2">
      <c r="A319" s="134"/>
      <c r="B319" s="328"/>
      <c r="C319" s="328"/>
      <c r="D319" s="329"/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1"/>
      <c r="R319" s="331"/>
      <c r="S319" s="332"/>
      <c r="T319" s="2"/>
    </row>
    <row r="320" spans="1:20" s="1" customFormat="1" ht="32.1" customHeight="1" x14ac:dyDescent="0.2">
      <c r="A320" s="134"/>
      <c r="B320" s="328"/>
      <c r="C320" s="328"/>
      <c r="D320" s="329"/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1"/>
      <c r="R320" s="331"/>
      <c r="S320" s="332"/>
      <c r="T320" s="2"/>
    </row>
    <row r="321" spans="1:20" s="1" customFormat="1" ht="32.1" customHeight="1" x14ac:dyDescent="0.2">
      <c r="A321" s="134"/>
      <c r="B321" s="328"/>
      <c r="C321" s="328"/>
      <c r="D321" s="329"/>
      <c r="E321" s="330"/>
      <c r="F321" s="330"/>
      <c r="G321" s="330"/>
      <c r="H321" s="330"/>
      <c r="I321" s="330"/>
      <c r="J321" s="330"/>
      <c r="K321" s="330"/>
      <c r="L321" s="330"/>
      <c r="M321" s="330"/>
      <c r="N321" s="330"/>
      <c r="O321" s="330"/>
      <c r="P321" s="330"/>
      <c r="Q321" s="331"/>
      <c r="R321" s="331"/>
      <c r="S321" s="332"/>
      <c r="T321" s="2"/>
    </row>
    <row r="322" spans="1:20" s="1" customFormat="1" ht="32.1" customHeight="1" x14ac:dyDescent="0.2">
      <c r="A322" s="134"/>
      <c r="B322" s="328"/>
      <c r="C322" s="328"/>
      <c r="D322" s="329"/>
      <c r="E322" s="330"/>
      <c r="F322" s="330"/>
      <c r="G322" s="330"/>
      <c r="H322" s="330"/>
      <c r="I322" s="330"/>
      <c r="J322" s="330"/>
      <c r="K322" s="330"/>
      <c r="L322" s="330"/>
      <c r="M322" s="330"/>
      <c r="N322" s="330"/>
      <c r="O322" s="330"/>
      <c r="P322" s="330"/>
      <c r="Q322" s="331"/>
      <c r="R322" s="331"/>
      <c r="S322" s="332"/>
      <c r="T322" s="2"/>
    </row>
    <row r="323" spans="1:20" s="1" customFormat="1" ht="32.1" customHeight="1" x14ac:dyDescent="0.2">
      <c r="A323" s="134"/>
      <c r="B323" s="328"/>
      <c r="C323" s="328"/>
      <c r="D323" s="329"/>
      <c r="E323" s="330"/>
      <c r="F323" s="330"/>
      <c r="G323" s="330"/>
      <c r="H323" s="330"/>
      <c r="I323" s="330"/>
      <c r="J323" s="330"/>
      <c r="K323" s="330"/>
      <c r="L323" s="330"/>
      <c r="M323" s="330"/>
      <c r="N323" s="330"/>
      <c r="O323" s="333"/>
      <c r="P323" s="330"/>
      <c r="Q323" s="331"/>
      <c r="R323" s="331"/>
      <c r="S323" s="332"/>
      <c r="T323" s="2"/>
    </row>
    <row r="324" spans="1:20" s="1" customFormat="1" ht="32.1" customHeight="1" x14ac:dyDescent="0.2">
      <c r="A324" s="134"/>
      <c r="B324" s="328"/>
      <c r="C324" s="328"/>
      <c r="D324" s="329"/>
      <c r="E324" s="330"/>
      <c r="F324" s="330"/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  <c r="Q324" s="331"/>
      <c r="R324" s="331"/>
      <c r="S324" s="332"/>
      <c r="T324" s="2"/>
    </row>
    <row r="325" spans="1:20" s="1" customFormat="1" ht="32.1" customHeight="1" x14ac:dyDescent="0.2">
      <c r="A325" s="134"/>
      <c r="B325" s="328"/>
      <c r="C325" s="328"/>
      <c r="D325" s="329"/>
      <c r="E325" s="330"/>
      <c r="F325" s="330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1"/>
      <c r="R325" s="331"/>
      <c r="S325" s="332"/>
      <c r="T325" s="2"/>
    </row>
    <row r="326" spans="1:20" s="1" customFormat="1" ht="32.1" customHeight="1" x14ac:dyDescent="0.2">
      <c r="A326" s="134"/>
      <c r="B326" s="328"/>
      <c r="C326" s="328"/>
      <c r="D326" s="329"/>
      <c r="E326" s="330"/>
      <c r="F326" s="330"/>
      <c r="G326" s="330"/>
      <c r="H326" s="330"/>
      <c r="I326" s="330"/>
      <c r="J326" s="330"/>
      <c r="K326" s="330"/>
      <c r="L326" s="330"/>
      <c r="M326" s="330"/>
      <c r="N326" s="330"/>
      <c r="O326" s="330"/>
      <c r="P326" s="330"/>
      <c r="Q326" s="331"/>
      <c r="R326" s="331"/>
      <c r="S326" s="332"/>
      <c r="T326" s="2"/>
    </row>
    <row r="327" spans="1:20" ht="32.1" hidden="1" customHeight="1" x14ac:dyDescent="0.2">
      <c r="A327" s="114" t="s">
        <v>3518</v>
      </c>
      <c r="B327" s="258" t="s">
        <v>3538</v>
      </c>
      <c r="C327" s="258" t="s">
        <v>3539</v>
      </c>
      <c r="D327" s="116">
        <v>102</v>
      </c>
      <c r="E327" s="126"/>
      <c r="F327" s="126"/>
      <c r="G327" s="126"/>
      <c r="H327" s="126"/>
      <c r="I327" s="273">
        <v>21</v>
      </c>
      <c r="J327" s="126"/>
      <c r="K327" s="126"/>
      <c r="L327" s="126"/>
      <c r="M327" s="126"/>
      <c r="N327" s="126"/>
      <c r="O327" s="126"/>
      <c r="P327" s="264">
        <v>0</v>
      </c>
      <c r="Q327" s="276">
        <f t="shared" ref="Q327:Q343" si="18">AVERAGE(E327:P327)</f>
        <v>10.5</v>
      </c>
      <c r="R327" s="268" t="str">
        <f t="shared" ref="R327:R360" si="19">IF(Q327&lt;5,"SI","NO")</f>
        <v>NO</v>
      </c>
      <c r="S327" s="277" t="str">
        <f t="shared" ref="S327:S343" si="20">IF(Q327&lt;5,"Sin Riesgo",IF(Q327 &lt;=14,"Bajo",IF(Q327&lt;=35,"Medio",IF(Q327&lt;=80,"Alto","Inviable Sanitariamente"))))</f>
        <v>Bajo</v>
      </c>
    </row>
    <row r="328" spans="1:20" ht="32.1" hidden="1" customHeight="1" x14ac:dyDescent="0.2">
      <c r="A328" s="114" t="s">
        <v>3518</v>
      </c>
      <c r="B328" s="258" t="s">
        <v>3540</v>
      </c>
      <c r="C328" s="258" t="s">
        <v>3541</v>
      </c>
      <c r="D328" s="121">
        <v>65</v>
      </c>
      <c r="E328" s="126"/>
      <c r="F328" s="126"/>
      <c r="G328" s="126"/>
      <c r="H328" s="126"/>
      <c r="I328" s="126"/>
      <c r="J328" s="126"/>
      <c r="K328" s="126"/>
      <c r="L328" s="263">
        <v>97.4</v>
      </c>
      <c r="M328" s="126"/>
      <c r="N328" s="126"/>
      <c r="O328" s="264"/>
      <c r="P328" s="126"/>
      <c r="Q328" s="267">
        <f t="shared" si="18"/>
        <v>97.4</v>
      </c>
      <c r="R328" s="268" t="str">
        <f t="shared" si="19"/>
        <v>NO</v>
      </c>
      <c r="S328" s="269" t="str">
        <f t="shared" si="20"/>
        <v>Inviable Sanitariamente</v>
      </c>
    </row>
    <row r="329" spans="1:20" ht="32.1" hidden="1" customHeight="1" x14ac:dyDescent="0.2">
      <c r="A329" s="114" t="s">
        <v>3518</v>
      </c>
      <c r="B329" s="258" t="s">
        <v>478</v>
      </c>
      <c r="C329" s="258" t="s">
        <v>3542</v>
      </c>
      <c r="D329" s="121">
        <v>15</v>
      </c>
      <c r="E329" s="126"/>
      <c r="F329" s="126"/>
      <c r="G329" s="126"/>
      <c r="H329" s="126"/>
      <c r="I329" s="126"/>
      <c r="J329" s="126"/>
      <c r="K329" s="126"/>
      <c r="L329" s="263">
        <v>97.4</v>
      </c>
      <c r="M329" s="273"/>
      <c r="N329" s="126"/>
      <c r="O329" s="126"/>
      <c r="P329" s="126"/>
      <c r="Q329" s="267">
        <f t="shared" si="18"/>
        <v>97.4</v>
      </c>
      <c r="R329" s="268" t="str">
        <f t="shared" si="19"/>
        <v>NO</v>
      </c>
      <c r="S329" s="269" t="str">
        <f t="shared" si="20"/>
        <v>Inviable Sanitariamente</v>
      </c>
    </row>
    <row r="330" spans="1:20" ht="32.1" hidden="1" customHeight="1" x14ac:dyDescent="0.2">
      <c r="A330" s="114" t="s">
        <v>3518</v>
      </c>
      <c r="B330" s="258" t="s">
        <v>3108</v>
      </c>
      <c r="C330" s="258" t="s">
        <v>3109</v>
      </c>
      <c r="D330" s="116">
        <v>32</v>
      </c>
      <c r="E330" s="126"/>
      <c r="F330" s="126"/>
      <c r="G330" s="126"/>
      <c r="H330" s="126"/>
      <c r="I330" s="126"/>
      <c r="J330" s="126"/>
      <c r="K330" s="126"/>
      <c r="L330" s="270">
        <v>53.1</v>
      </c>
      <c r="M330" s="126"/>
      <c r="N330" s="126"/>
      <c r="O330" s="126"/>
      <c r="P330" s="126"/>
      <c r="Q330" s="271">
        <f t="shared" si="18"/>
        <v>53.1</v>
      </c>
      <c r="R330" s="268" t="str">
        <f t="shared" si="19"/>
        <v>NO</v>
      </c>
      <c r="S330" s="272" t="str">
        <f t="shared" si="20"/>
        <v>Alto</v>
      </c>
    </row>
    <row r="331" spans="1:20" ht="32.1" hidden="1" customHeight="1" x14ac:dyDescent="0.2">
      <c r="A331" s="114" t="s">
        <v>3518</v>
      </c>
      <c r="B331" s="258" t="s">
        <v>3543</v>
      </c>
      <c r="C331" s="258" t="s">
        <v>3544</v>
      </c>
      <c r="D331" s="121">
        <v>86</v>
      </c>
      <c r="E331" s="126"/>
      <c r="F331" s="264">
        <v>0</v>
      </c>
      <c r="G331" s="270">
        <v>70.8</v>
      </c>
      <c r="H331" s="264">
        <v>0</v>
      </c>
      <c r="I331" s="264">
        <v>0</v>
      </c>
      <c r="J331" s="126"/>
      <c r="K331" s="264">
        <v>0</v>
      </c>
      <c r="L331" s="126"/>
      <c r="M331" s="126"/>
      <c r="N331" s="126"/>
      <c r="O331" s="270">
        <v>55.94</v>
      </c>
      <c r="P331" s="264">
        <v>0</v>
      </c>
      <c r="Q331" s="274">
        <f t="shared" si="18"/>
        <v>18.105714285714285</v>
      </c>
      <c r="R331" s="268" t="str">
        <f t="shared" si="19"/>
        <v>NO</v>
      </c>
      <c r="S331" s="275" t="str">
        <f t="shared" si="20"/>
        <v>Medio</v>
      </c>
    </row>
    <row r="332" spans="1:20" ht="32.1" hidden="1" customHeight="1" x14ac:dyDescent="0.2">
      <c r="A332" s="114" t="s">
        <v>3518</v>
      </c>
      <c r="B332" s="258" t="s">
        <v>3545</v>
      </c>
      <c r="C332" s="258" t="s">
        <v>3546</v>
      </c>
      <c r="D332" s="121">
        <v>93</v>
      </c>
      <c r="E332" s="263">
        <v>97.4</v>
      </c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267">
        <f t="shared" si="18"/>
        <v>97.4</v>
      </c>
      <c r="R332" s="268" t="str">
        <f t="shared" si="19"/>
        <v>NO</v>
      </c>
      <c r="S332" s="269" t="str">
        <f t="shared" si="20"/>
        <v>Inviable Sanitariamente</v>
      </c>
    </row>
    <row r="333" spans="1:20" ht="32.1" hidden="1" customHeight="1" x14ac:dyDescent="0.2">
      <c r="A333" s="114" t="s">
        <v>3518</v>
      </c>
      <c r="B333" s="258" t="s">
        <v>3547</v>
      </c>
      <c r="C333" s="258" t="s">
        <v>3548</v>
      </c>
      <c r="D333" s="121">
        <v>55</v>
      </c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205" t="e">
        <f t="shared" si="18"/>
        <v>#DIV/0!</v>
      </c>
      <c r="R333" s="206" t="e">
        <f t="shared" si="19"/>
        <v>#DIV/0!</v>
      </c>
      <c r="S333" s="207" t="e">
        <f t="shared" si="20"/>
        <v>#DIV/0!</v>
      </c>
    </row>
    <row r="334" spans="1:20" ht="32.1" hidden="1" customHeight="1" x14ac:dyDescent="0.2">
      <c r="A334" s="114" t="s">
        <v>3518</v>
      </c>
      <c r="B334" s="258" t="s">
        <v>3549</v>
      </c>
      <c r="C334" s="258" t="s">
        <v>3550</v>
      </c>
      <c r="D334" s="121">
        <v>30</v>
      </c>
      <c r="E334" s="126"/>
      <c r="F334" s="126"/>
      <c r="G334" s="259"/>
      <c r="H334" s="126"/>
      <c r="I334" s="126"/>
      <c r="J334" s="126"/>
      <c r="K334" s="126"/>
      <c r="L334" s="263">
        <v>97.4</v>
      </c>
      <c r="M334" s="126"/>
      <c r="N334" s="126"/>
      <c r="O334" s="270"/>
      <c r="P334" s="126"/>
      <c r="Q334" s="267">
        <f t="shared" si="18"/>
        <v>97.4</v>
      </c>
      <c r="R334" s="268" t="str">
        <f t="shared" si="19"/>
        <v>NO</v>
      </c>
      <c r="S334" s="269" t="str">
        <f t="shared" si="20"/>
        <v>Inviable Sanitariamente</v>
      </c>
    </row>
    <row r="335" spans="1:20" ht="32.1" hidden="1" customHeight="1" x14ac:dyDescent="0.2">
      <c r="A335" s="114" t="s">
        <v>3518</v>
      </c>
      <c r="B335" s="258" t="s">
        <v>3551</v>
      </c>
      <c r="C335" s="258" t="s">
        <v>3552</v>
      </c>
      <c r="D335" s="121">
        <v>15</v>
      </c>
      <c r="E335" s="126"/>
      <c r="F335" s="126"/>
      <c r="G335" s="126"/>
      <c r="H335" s="126"/>
      <c r="I335" s="126"/>
      <c r="J335" s="126"/>
      <c r="K335" s="126"/>
      <c r="L335" s="126"/>
      <c r="M335" s="126"/>
      <c r="N335" s="270">
        <v>53.1</v>
      </c>
      <c r="O335" s="126"/>
      <c r="P335" s="126"/>
      <c r="Q335" s="271">
        <f t="shared" si="18"/>
        <v>53.1</v>
      </c>
      <c r="R335" s="268" t="str">
        <f t="shared" si="19"/>
        <v>NO</v>
      </c>
      <c r="S335" s="272" t="str">
        <f t="shared" si="20"/>
        <v>Alto</v>
      </c>
    </row>
    <row r="336" spans="1:20" ht="32.1" hidden="1" customHeight="1" x14ac:dyDescent="0.2">
      <c r="A336" s="114" t="s">
        <v>3518</v>
      </c>
      <c r="B336" s="258" t="s">
        <v>3457</v>
      </c>
      <c r="C336" s="258" t="s">
        <v>3553</v>
      </c>
      <c r="D336" s="121"/>
      <c r="E336" s="126"/>
      <c r="F336" s="264">
        <v>0</v>
      </c>
      <c r="G336" s="264">
        <v>0</v>
      </c>
      <c r="H336" s="264">
        <v>0</v>
      </c>
      <c r="I336" s="264">
        <v>0</v>
      </c>
      <c r="J336" s="264">
        <v>0</v>
      </c>
      <c r="K336" s="126"/>
      <c r="L336" s="126"/>
      <c r="M336" s="126"/>
      <c r="N336" s="126"/>
      <c r="O336" s="126"/>
      <c r="P336" s="264">
        <v>0</v>
      </c>
      <c r="Q336" s="265">
        <f t="shared" si="18"/>
        <v>0</v>
      </c>
      <c r="R336" s="206" t="str">
        <f t="shared" si="19"/>
        <v>SI</v>
      </c>
      <c r="S336" s="266" t="str">
        <f t="shared" si="20"/>
        <v>Sin Riesgo</v>
      </c>
    </row>
    <row r="337" spans="1:19" ht="32.1" hidden="1" customHeight="1" x14ac:dyDescent="0.2">
      <c r="A337" s="114" t="s">
        <v>3518</v>
      </c>
      <c r="B337" s="258" t="s">
        <v>3554</v>
      </c>
      <c r="C337" s="258" t="s">
        <v>3555</v>
      </c>
      <c r="D337" s="121">
        <v>118</v>
      </c>
      <c r="E337" s="126"/>
      <c r="F337" s="126"/>
      <c r="G337" s="126"/>
      <c r="H337" s="126"/>
      <c r="I337" s="126"/>
      <c r="J337" s="126"/>
      <c r="K337" s="263">
        <v>97.35</v>
      </c>
      <c r="L337" s="126"/>
      <c r="M337" s="126"/>
      <c r="N337" s="126"/>
      <c r="O337" s="126"/>
      <c r="P337" s="126"/>
      <c r="Q337" s="265">
        <f t="shared" si="18"/>
        <v>97.35</v>
      </c>
      <c r="R337" s="268" t="str">
        <f t="shared" si="19"/>
        <v>NO</v>
      </c>
      <c r="S337" s="269" t="str">
        <f t="shared" si="20"/>
        <v>Inviable Sanitariamente</v>
      </c>
    </row>
    <row r="338" spans="1:19" ht="32.1" hidden="1" customHeight="1" x14ac:dyDescent="0.2">
      <c r="A338" s="114" t="s">
        <v>3518</v>
      </c>
      <c r="B338" s="258" t="s">
        <v>3556</v>
      </c>
      <c r="C338" s="258" t="s">
        <v>3557</v>
      </c>
      <c r="D338" s="121">
        <v>271</v>
      </c>
      <c r="E338" s="126"/>
      <c r="F338" s="126"/>
      <c r="G338" s="264">
        <v>0</v>
      </c>
      <c r="H338" s="126"/>
      <c r="I338" s="126"/>
      <c r="J338" s="126"/>
      <c r="K338" s="126"/>
      <c r="L338" s="126"/>
      <c r="M338" s="126"/>
      <c r="N338" s="126"/>
      <c r="O338" s="264">
        <v>0</v>
      </c>
      <c r="P338" s="264">
        <v>0</v>
      </c>
      <c r="Q338" s="265">
        <f t="shared" si="18"/>
        <v>0</v>
      </c>
      <c r="R338" s="206" t="str">
        <f t="shared" si="19"/>
        <v>SI</v>
      </c>
      <c r="S338" s="266" t="str">
        <f t="shared" si="20"/>
        <v>Sin Riesgo</v>
      </c>
    </row>
    <row r="339" spans="1:19" ht="32.1" hidden="1" customHeight="1" x14ac:dyDescent="0.2">
      <c r="A339" s="114" t="s">
        <v>3518</v>
      </c>
      <c r="B339" s="258" t="s">
        <v>3558</v>
      </c>
      <c r="C339" s="258" t="s">
        <v>3559</v>
      </c>
      <c r="D339" s="121">
        <v>380</v>
      </c>
      <c r="E339" s="263">
        <v>97.4</v>
      </c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267">
        <f t="shared" si="18"/>
        <v>97.4</v>
      </c>
      <c r="R339" s="268" t="str">
        <f t="shared" si="19"/>
        <v>NO</v>
      </c>
      <c r="S339" s="269" t="str">
        <f t="shared" si="20"/>
        <v>Inviable Sanitariamente</v>
      </c>
    </row>
    <row r="340" spans="1:19" ht="32.1" hidden="1" customHeight="1" x14ac:dyDescent="0.2">
      <c r="A340" s="114" t="s">
        <v>3518</v>
      </c>
      <c r="B340" s="258" t="s">
        <v>1103</v>
      </c>
      <c r="C340" s="258" t="s">
        <v>3560</v>
      </c>
      <c r="D340" s="121">
        <v>260</v>
      </c>
      <c r="E340" s="264">
        <v>0</v>
      </c>
      <c r="F340" s="264">
        <v>0</v>
      </c>
      <c r="G340" s="264">
        <v>0</v>
      </c>
      <c r="H340" s="264">
        <v>0</v>
      </c>
      <c r="I340" s="264">
        <v>0</v>
      </c>
      <c r="J340" s="264">
        <v>0</v>
      </c>
      <c r="K340" s="126"/>
      <c r="L340" s="126"/>
      <c r="M340" s="126"/>
      <c r="N340" s="126"/>
      <c r="O340" s="126"/>
      <c r="P340" s="264">
        <v>0</v>
      </c>
      <c r="Q340" s="265">
        <f t="shared" si="18"/>
        <v>0</v>
      </c>
      <c r="R340" s="206" t="str">
        <f t="shared" si="19"/>
        <v>SI</v>
      </c>
      <c r="S340" s="266" t="str">
        <f t="shared" si="20"/>
        <v>Sin Riesgo</v>
      </c>
    </row>
    <row r="341" spans="1:19" ht="32.1" hidden="1" customHeight="1" x14ac:dyDescent="0.2">
      <c r="A341" s="114" t="s">
        <v>3518</v>
      </c>
      <c r="B341" s="258" t="s">
        <v>3561</v>
      </c>
      <c r="C341" s="258" t="s">
        <v>3562</v>
      </c>
      <c r="D341" s="121">
        <v>1103</v>
      </c>
      <c r="E341" s="126"/>
      <c r="F341" s="264">
        <v>0</v>
      </c>
      <c r="G341" s="264">
        <v>0</v>
      </c>
      <c r="H341" s="264">
        <v>0</v>
      </c>
      <c r="I341" s="264">
        <v>0</v>
      </c>
      <c r="J341" s="264">
        <v>0</v>
      </c>
      <c r="K341" s="126"/>
      <c r="L341" s="126"/>
      <c r="M341" s="126"/>
      <c r="N341" s="126"/>
      <c r="O341" s="126"/>
      <c r="P341" s="264">
        <v>0</v>
      </c>
      <c r="Q341" s="265">
        <f t="shared" si="18"/>
        <v>0</v>
      </c>
      <c r="R341" s="206" t="str">
        <f t="shared" si="19"/>
        <v>SI</v>
      </c>
      <c r="S341" s="266" t="str">
        <f t="shared" si="20"/>
        <v>Sin Riesgo</v>
      </c>
    </row>
    <row r="342" spans="1:19" ht="32.1" hidden="1" customHeight="1" x14ac:dyDescent="0.2">
      <c r="A342" s="114" t="s">
        <v>3518</v>
      </c>
      <c r="B342" s="258" t="s">
        <v>3563</v>
      </c>
      <c r="C342" s="258" t="s">
        <v>3564</v>
      </c>
      <c r="D342" s="121"/>
      <c r="E342" s="264">
        <v>0</v>
      </c>
      <c r="F342" s="264">
        <v>0</v>
      </c>
      <c r="G342" s="264">
        <v>0</v>
      </c>
      <c r="H342" s="264">
        <v>0</v>
      </c>
      <c r="I342" s="264">
        <v>0</v>
      </c>
      <c r="J342" s="264">
        <v>0</v>
      </c>
      <c r="K342" s="126"/>
      <c r="L342" s="126"/>
      <c r="M342" s="126"/>
      <c r="N342" s="126"/>
      <c r="O342" s="126"/>
      <c r="P342" s="126"/>
      <c r="Q342" s="265">
        <f t="shared" si="18"/>
        <v>0</v>
      </c>
      <c r="R342" s="206" t="str">
        <f t="shared" si="19"/>
        <v>SI</v>
      </c>
      <c r="S342" s="266" t="str">
        <f t="shared" si="20"/>
        <v>Sin Riesgo</v>
      </c>
    </row>
    <row r="343" spans="1:19" ht="32.1" hidden="1" customHeight="1" x14ac:dyDescent="0.2">
      <c r="A343" s="114" t="s">
        <v>3518</v>
      </c>
      <c r="B343" s="187" t="s">
        <v>3565</v>
      </c>
      <c r="C343" s="187" t="s">
        <v>3566</v>
      </c>
      <c r="D343" s="121">
        <v>40</v>
      </c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263">
        <v>97.4</v>
      </c>
      <c r="P343" s="126"/>
      <c r="Q343" s="267">
        <f t="shared" si="18"/>
        <v>97.4</v>
      </c>
      <c r="R343" s="268" t="str">
        <f t="shared" si="19"/>
        <v>NO</v>
      </c>
      <c r="S343" s="269" t="str">
        <f t="shared" si="20"/>
        <v>Inviable Sanitariamente</v>
      </c>
    </row>
    <row r="344" spans="1:19" ht="32.1" hidden="1" customHeight="1" x14ac:dyDescent="0.2">
      <c r="A344" s="122" t="s">
        <v>3567</v>
      </c>
      <c r="B344" s="258" t="s">
        <v>3568</v>
      </c>
      <c r="C344" s="258" t="s">
        <v>3569</v>
      </c>
      <c r="D344" s="121">
        <v>17</v>
      </c>
      <c r="E344" s="126"/>
      <c r="F344" s="263">
        <v>97.34</v>
      </c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267">
        <f>AVERAGE(E344:P344)</f>
        <v>97.34</v>
      </c>
      <c r="R344" s="278" t="str">
        <f t="shared" si="19"/>
        <v>NO</v>
      </c>
      <c r="S344" s="269" t="str">
        <f>IF(Q344&lt;5,"Sin Riesgo",IF(Q344 &lt;=14,"Bajo",IF(Q344&lt;=35,"Medio",IF(Q344&lt;=80,"Alto","Inviable Sanitariamente"))))</f>
        <v>Inviable Sanitariamente</v>
      </c>
    </row>
    <row r="345" spans="1:19" ht="32.1" hidden="1" customHeight="1" x14ac:dyDescent="0.2">
      <c r="A345" s="122" t="s">
        <v>3567</v>
      </c>
      <c r="B345" s="258" t="s">
        <v>3570</v>
      </c>
      <c r="C345" s="258" t="s">
        <v>3571</v>
      </c>
      <c r="D345" s="121">
        <v>26</v>
      </c>
      <c r="E345" s="126"/>
      <c r="F345" s="126"/>
      <c r="G345" s="126"/>
      <c r="H345" s="126"/>
      <c r="I345" s="263">
        <v>97.34</v>
      </c>
      <c r="J345" s="126"/>
      <c r="K345" s="126"/>
      <c r="L345" s="126"/>
      <c r="M345" s="126"/>
      <c r="N345" s="126"/>
      <c r="O345" s="126"/>
      <c r="P345" s="126"/>
      <c r="Q345" s="267">
        <f t="shared" ref="Q345:Q360" si="21">AVERAGE(E345:P345)</f>
        <v>97.34</v>
      </c>
      <c r="R345" s="278" t="str">
        <f t="shared" si="19"/>
        <v>NO</v>
      </c>
      <c r="S345" s="269" t="str">
        <f>IF(Q345&lt;5,"Sin Riesgo",IF(Q345 &lt;=14,"Bajo",IF(Q345&lt;=35,"Medio",IF(Q345&lt;=80,"Alto","Inviable Sanitariamente"))))</f>
        <v>Inviable Sanitariamente</v>
      </c>
    </row>
    <row r="346" spans="1:19" ht="32.1" hidden="1" customHeight="1" x14ac:dyDescent="0.2">
      <c r="A346" s="122" t="s">
        <v>3567</v>
      </c>
      <c r="B346" s="258" t="s">
        <v>3572</v>
      </c>
      <c r="C346" s="258" t="s">
        <v>3573</v>
      </c>
      <c r="D346" s="121">
        <v>67</v>
      </c>
      <c r="E346" s="126"/>
      <c r="F346" s="126"/>
      <c r="G346" s="126"/>
      <c r="H346" s="263">
        <v>97.34</v>
      </c>
      <c r="I346" s="126"/>
      <c r="J346" s="126"/>
      <c r="K346" s="126"/>
      <c r="L346" s="126"/>
      <c r="M346" s="126"/>
      <c r="N346" s="126"/>
      <c r="O346" s="126"/>
      <c r="P346" s="126"/>
      <c r="Q346" s="267">
        <f t="shared" si="21"/>
        <v>97.34</v>
      </c>
      <c r="R346" s="278" t="str">
        <f t="shared" si="19"/>
        <v>NO</v>
      </c>
      <c r="S346" s="269" t="str">
        <f t="shared" ref="S346:S360" si="22">IF(Q346&lt;5,"Sin Riesgo",IF(Q346 &lt;=14,"Bajo",IF(Q346&lt;=35,"Medio",IF(Q346&lt;=80,"Alto","Inviable Sanitariamente"))))</f>
        <v>Inviable Sanitariamente</v>
      </c>
    </row>
    <row r="347" spans="1:19" ht="32.1" hidden="1" customHeight="1" x14ac:dyDescent="0.2">
      <c r="A347" s="122" t="s">
        <v>3567</v>
      </c>
      <c r="B347" s="258" t="s">
        <v>3574</v>
      </c>
      <c r="C347" s="258" t="s">
        <v>3575</v>
      </c>
      <c r="D347" s="121">
        <v>42</v>
      </c>
      <c r="E347" s="126"/>
      <c r="F347" s="126"/>
      <c r="G347" s="126"/>
      <c r="H347" s="126"/>
      <c r="I347" s="263">
        <v>97.34</v>
      </c>
      <c r="J347" s="126"/>
      <c r="K347" s="126"/>
      <c r="L347" s="126"/>
      <c r="M347" s="126"/>
      <c r="N347" s="126"/>
      <c r="O347" s="126"/>
      <c r="P347" s="126"/>
      <c r="Q347" s="267">
        <f t="shared" si="21"/>
        <v>97.34</v>
      </c>
      <c r="R347" s="278" t="str">
        <f t="shared" si="19"/>
        <v>NO</v>
      </c>
      <c r="S347" s="269" t="str">
        <f t="shared" si="22"/>
        <v>Inviable Sanitariamente</v>
      </c>
    </row>
    <row r="348" spans="1:19" ht="32.1" hidden="1" customHeight="1" x14ac:dyDescent="0.2">
      <c r="A348" s="122" t="s">
        <v>3567</v>
      </c>
      <c r="B348" s="258" t="s">
        <v>2948</v>
      </c>
      <c r="C348" s="258" t="s">
        <v>3576</v>
      </c>
      <c r="D348" s="121">
        <v>120</v>
      </c>
      <c r="E348" s="126"/>
      <c r="F348" s="126"/>
      <c r="G348" s="126"/>
      <c r="H348" s="126"/>
      <c r="I348" s="126"/>
      <c r="J348" s="126"/>
      <c r="K348" s="126"/>
      <c r="L348" s="126"/>
      <c r="M348" s="263">
        <v>97.34</v>
      </c>
      <c r="N348" s="126"/>
      <c r="O348" s="126"/>
      <c r="P348" s="126"/>
      <c r="Q348" s="267">
        <f t="shared" si="21"/>
        <v>97.34</v>
      </c>
      <c r="R348" s="278" t="str">
        <f t="shared" si="19"/>
        <v>NO</v>
      </c>
      <c r="S348" s="269" t="str">
        <f t="shared" si="22"/>
        <v>Inviable Sanitariamente</v>
      </c>
    </row>
    <row r="349" spans="1:19" ht="32.1" hidden="1" customHeight="1" x14ac:dyDescent="0.2">
      <c r="A349" s="122" t="s">
        <v>3567</v>
      </c>
      <c r="B349" s="258" t="s">
        <v>704</v>
      </c>
      <c r="C349" s="258" t="s">
        <v>3577</v>
      </c>
      <c r="D349" s="121">
        <v>34</v>
      </c>
      <c r="E349" s="126"/>
      <c r="F349" s="263">
        <v>97.34</v>
      </c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267">
        <f t="shared" si="21"/>
        <v>97.34</v>
      </c>
      <c r="R349" s="278" t="str">
        <f t="shared" si="19"/>
        <v>NO</v>
      </c>
      <c r="S349" s="269" t="str">
        <f t="shared" si="22"/>
        <v>Inviable Sanitariamente</v>
      </c>
    </row>
    <row r="350" spans="1:19" ht="32.1" hidden="1" customHeight="1" x14ac:dyDescent="0.2">
      <c r="A350" s="122" t="s">
        <v>3567</v>
      </c>
      <c r="B350" s="258" t="s">
        <v>1496</v>
      </c>
      <c r="C350" s="258" t="s">
        <v>3578</v>
      </c>
      <c r="D350" s="121">
        <v>7</v>
      </c>
      <c r="E350" s="126"/>
      <c r="F350" s="263">
        <v>97.34</v>
      </c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267">
        <f t="shared" si="21"/>
        <v>97.34</v>
      </c>
      <c r="R350" s="278" t="str">
        <f t="shared" si="19"/>
        <v>NO</v>
      </c>
      <c r="S350" s="269" t="str">
        <f t="shared" si="22"/>
        <v>Inviable Sanitariamente</v>
      </c>
    </row>
    <row r="351" spans="1:19" ht="32.1" hidden="1" customHeight="1" x14ac:dyDescent="0.2">
      <c r="A351" s="122" t="s">
        <v>3567</v>
      </c>
      <c r="B351" s="258" t="s">
        <v>2226</v>
      </c>
      <c r="C351" s="258" t="s">
        <v>3579</v>
      </c>
      <c r="D351" s="116">
        <v>40</v>
      </c>
      <c r="E351" s="126"/>
      <c r="F351" s="126"/>
      <c r="G351" s="126"/>
      <c r="H351" s="263">
        <v>97.34</v>
      </c>
      <c r="I351" s="126"/>
      <c r="J351" s="126"/>
      <c r="K351" s="126"/>
      <c r="L351" s="126"/>
      <c r="M351" s="126"/>
      <c r="N351" s="126"/>
      <c r="O351" s="126"/>
      <c r="P351" s="126"/>
      <c r="Q351" s="267">
        <f t="shared" si="21"/>
        <v>97.34</v>
      </c>
      <c r="R351" s="278" t="str">
        <f t="shared" si="19"/>
        <v>NO</v>
      </c>
      <c r="S351" s="269" t="str">
        <f t="shared" si="22"/>
        <v>Inviable Sanitariamente</v>
      </c>
    </row>
    <row r="352" spans="1:19" ht="32.1" hidden="1" customHeight="1" x14ac:dyDescent="0.2">
      <c r="A352" s="122" t="s">
        <v>3567</v>
      </c>
      <c r="B352" s="258" t="s">
        <v>3580</v>
      </c>
      <c r="C352" s="258" t="s">
        <v>3581</v>
      </c>
      <c r="D352" s="121">
        <v>12</v>
      </c>
      <c r="E352" s="126"/>
      <c r="F352" s="126"/>
      <c r="G352" s="126"/>
      <c r="H352" s="126"/>
      <c r="I352" s="263">
        <v>97.34</v>
      </c>
      <c r="J352" s="126"/>
      <c r="K352" s="126"/>
      <c r="L352" s="126"/>
      <c r="M352" s="126"/>
      <c r="N352" s="126"/>
      <c r="O352" s="126"/>
      <c r="P352" s="126"/>
      <c r="Q352" s="267">
        <f t="shared" si="21"/>
        <v>97.34</v>
      </c>
      <c r="R352" s="278" t="str">
        <f t="shared" si="19"/>
        <v>NO</v>
      </c>
      <c r="S352" s="269" t="str">
        <f t="shared" si="22"/>
        <v>Inviable Sanitariamente</v>
      </c>
    </row>
    <row r="353" spans="1:19" ht="32.1" hidden="1" customHeight="1" x14ac:dyDescent="0.2">
      <c r="A353" s="122" t="s">
        <v>3567</v>
      </c>
      <c r="B353" s="258" t="s">
        <v>3582</v>
      </c>
      <c r="C353" s="258" t="s">
        <v>3583</v>
      </c>
      <c r="D353" s="121" t="s">
        <v>3584</v>
      </c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205" t="e">
        <f t="shared" si="21"/>
        <v>#DIV/0!</v>
      </c>
      <c r="R353" s="206" t="e">
        <f t="shared" si="19"/>
        <v>#DIV/0!</v>
      </c>
      <c r="S353" s="207" t="e">
        <f t="shared" si="22"/>
        <v>#DIV/0!</v>
      </c>
    </row>
    <row r="354" spans="1:19" ht="32.1" hidden="1" customHeight="1" x14ac:dyDescent="0.2">
      <c r="A354" s="122" t="s">
        <v>3567</v>
      </c>
      <c r="B354" s="258" t="s">
        <v>8</v>
      </c>
      <c r="C354" s="258" t="s">
        <v>3585</v>
      </c>
      <c r="D354" s="116">
        <v>20</v>
      </c>
      <c r="E354" s="126"/>
      <c r="F354" s="126"/>
      <c r="G354" s="126"/>
      <c r="H354" s="126"/>
      <c r="I354" s="126"/>
      <c r="J354" s="126"/>
      <c r="K354" s="126"/>
      <c r="L354" s="126"/>
      <c r="M354" s="263">
        <v>97.34</v>
      </c>
      <c r="N354" s="126"/>
      <c r="O354" s="126"/>
      <c r="P354" s="126"/>
      <c r="Q354" s="267">
        <f t="shared" si="21"/>
        <v>97.34</v>
      </c>
      <c r="R354" s="278" t="str">
        <f t="shared" si="19"/>
        <v>NO</v>
      </c>
      <c r="S354" s="269" t="str">
        <f t="shared" si="22"/>
        <v>Inviable Sanitariamente</v>
      </c>
    </row>
    <row r="355" spans="1:19" ht="32.1" hidden="1" customHeight="1" x14ac:dyDescent="0.2">
      <c r="A355" s="122" t="s">
        <v>3567</v>
      </c>
      <c r="B355" s="258" t="s">
        <v>53</v>
      </c>
      <c r="C355" s="258" t="s">
        <v>3586</v>
      </c>
      <c r="D355" s="121">
        <v>28</v>
      </c>
      <c r="E355" s="126"/>
      <c r="F355" s="126"/>
      <c r="G355" s="263">
        <v>97.34</v>
      </c>
      <c r="H355" s="126"/>
      <c r="I355" s="126"/>
      <c r="J355" s="126"/>
      <c r="K355" s="126"/>
      <c r="L355" s="126"/>
      <c r="M355" s="126"/>
      <c r="N355" s="126"/>
      <c r="O355" s="126"/>
      <c r="P355" s="126"/>
      <c r="Q355" s="267">
        <f t="shared" si="21"/>
        <v>97.34</v>
      </c>
      <c r="R355" s="278" t="str">
        <f t="shared" si="19"/>
        <v>NO</v>
      </c>
      <c r="S355" s="269" t="str">
        <f t="shared" si="22"/>
        <v>Inviable Sanitariamente</v>
      </c>
    </row>
    <row r="356" spans="1:19" ht="32.1" hidden="1" customHeight="1" x14ac:dyDescent="0.2">
      <c r="A356" s="122" t="s">
        <v>3567</v>
      </c>
      <c r="B356" s="258" t="s">
        <v>3587</v>
      </c>
      <c r="C356" s="258" t="s">
        <v>3588</v>
      </c>
      <c r="D356" s="121">
        <v>28</v>
      </c>
      <c r="E356" s="126"/>
      <c r="F356" s="126"/>
      <c r="G356" s="126"/>
      <c r="H356" s="126"/>
      <c r="I356" s="263">
        <v>97.34</v>
      </c>
      <c r="J356" s="126"/>
      <c r="K356" s="126"/>
      <c r="L356" s="126"/>
      <c r="M356" s="126"/>
      <c r="N356" s="126"/>
      <c r="O356" s="126"/>
      <c r="P356" s="126"/>
      <c r="Q356" s="267">
        <f t="shared" si="21"/>
        <v>97.34</v>
      </c>
      <c r="R356" s="278" t="str">
        <f t="shared" si="19"/>
        <v>NO</v>
      </c>
      <c r="S356" s="269" t="str">
        <f t="shared" si="22"/>
        <v>Inviable Sanitariamente</v>
      </c>
    </row>
    <row r="357" spans="1:19" ht="32.1" hidden="1" customHeight="1" x14ac:dyDescent="0.2">
      <c r="A357" s="122" t="s">
        <v>3567</v>
      </c>
      <c r="B357" s="258" t="s">
        <v>3589</v>
      </c>
      <c r="C357" s="258" t="s">
        <v>3590</v>
      </c>
      <c r="D357" s="116">
        <v>16</v>
      </c>
      <c r="E357" s="126"/>
      <c r="F357" s="126"/>
      <c r="G357" s="126"/>
      <c r="H357" s="126"/>
      <c r="I357" s="263">
        <v>97.34</v>
      </c>
      <c r="J357" s="126"/>
      <c r="K357" s="126"/>
      <c r="L357" s="126"/>
      <c r="M357" s="126"/>
      <c r="N357" s="126"/>
      <c r="O357" s="126"/>
      <c r="P357" s="126"/>
      <c r="Q357" s="267">
        <f t="shared" si="21"/>
        <v>97.34</v>
      </c>
      <c r="R357" s="278" t="str">
        <f t="shared" si="19"/>
        <v>NO</v>
      </c>
      <c r="S357" s="269" t="str">
        <f t="shared" si="22"/>
        <v>Inviable Sanitariamente</v>
      </c>
    </row>
    <row r="358" spans="1:19" ht="32.1" hidden="1" customHeight="1" x14ac:dyDescent="0.2">
      <c r="A358" s="122" t="s">
        <v>3567</v>
      </c>
      <c r="B358" s="258" t="s">
        <v>3591</v>
      </c>
      <c r="C358" s="258" t="s">
        <v>3592</v>
      </c>
      <c r="D358" s="121">
        <v>25</v>
      </c>
      <c r="E358" s="126"/>
      <c r="F358" s="126"/>
      <c r="G358" s="126"/>
      <c r="H358" s="126"/>
      <c r="I358" s="263">
        <v>97.34</v>
      </c>
      <c r="J358" s="126"/>
      <c r="K358" s="126"/>
      <c r="L358" s="126"/>
      <c r="M358" s="126"/>
      <c r="N358" s="126"/>
      <c r="O358" s="126"/>
      <c r="P358" s="126"/>
      <c r="Q358" s="267">
        <f t="shared" si="21"/>
        <v>97.34</v>
      </c>
      <c r="R358" s="278" t="str">
        <f t="shared" si="19"/>
        <v>NO</v>
      </c>
      <c r="S358" s="269" t="str">
        <f t="shared" si="22"/>
        <v>Inviable Sanitariamente</v>
      </c>
    </row>
    <row r="359" spans="1:19" ht="32.1" hidden="1" customHeight="1" x14ac:dyDescent="0.2">
      <c r="A359" s="122" t="s">
        <v>3567</v>
      </c>
      <c r="B359" s="258" t="s">
        <v>1595</v>
      </c>
      <c r="C359" s="258" t="s">
        <v>3593</v>
      </c>
      <c r="D359" s="121">
        <v>42</v>
      </c>
      <c r="E359" s="126"/>
      <c r="F359" s="126"/>
      <c r="G359" s="263">
        <v>97.34</v>
      </c>
      <c r="H359" s="126"/>
      <c r="I359" s="126"/>
      <c r="J359" s="126"/>
      <c r="K359" s="126"/>
      <c r="L359" s="126"/>
      <c r="M359" s="126"/>
      <c r="N359" s="126"/>
      <c r="O359" s="126"/>
      <c r="P359" s="126"/>
      <c r="Q359" s="267">
        <f t="shared" si="21"/>
        <v>97.34</v>
      </c>
      <c r="R359" s="278" t="str">
        <f t="shared" si="19"/>
        <v>NO</v>
      </c>
      <c r="S359" s="269" t="str">
        <f t="shared" si="22"/>
        <v>Inviable Sanitariamente</v>
      </c>
    </row>
    <row r="360" spans="1:19" ht="32.1" hidden="1" customHeight="1" x14ac:dyDescent="0.2">
      <c r="A360" s="122" t="s">
        <v>3567</v>
      </c>
      <c r="B360" s="258" t="s">
        <v>3594</v>
      </c>
      <c r="C360" s="258" t="s">
        <v>3595</v>
      </c>
      <c r="D360" s="121">
        <v>32</v>
      </c>
      <c r="E360" s="126"/>
      <c r="F360" s="126"/>
      <c r="G360" s="259"/>
      <c r="H360" s="126"/>
      <c r="I360" s="126"/>
      <c r="J360" s="126"/>
      <c r="K360" s="126"/>
      <c r="L360" s="126"/>
      <c r="M360" s="126"/>
      <c r="N360" s="263">
        <v>97.34</v>
      </c>
      <c r="O360" s="126"/>
      <c r="P360" s="126"/>
      <c r="Q360" s="267">
        <f t="shared" si="21"/>
        <v>97.34</v>
      </c>
      <c r="R360" s="278" t="str">
        <f t="shared" si="19"/>
        <v>NO</v>
      </c>
      <c r="S360" s="269" t="str">
        <f t="shared" si="22"/>
        <v>Inviable Sanitariamente</v>
      </c>
    </row>
    <row r="361" spans="1:19" ht="32.1" hidden="1" customHeight="1" x14ac:dyDescent="0.2">
      <c r="A361" s="300"/>
      <c r="B361" s="300"/>
      <c r="C361" s="300"/>
      <c r="D361" s="300"/>
    </row>
    <row r="362" spans="1:19" ht="32.1" hidden="1" customHeight="1" x14ac:dyDescent="0.2">
      <c r="A362" s="300"/>
      <c r="B362" s="300"/>
      <c r="C362" s="300"/>
      <c r="D362" s="300"/>
    </row>
    <row r="363" spans="1:19" ht="32.1" hidden="1" customHeight="1" x14ac:dyDescent="0.2">
      <c r="A363" s="300"/>
      <c r="B363" s="300"/>
      <c r="C363" s="300"/>
      <c r="D363" s="300"/>
    </row>
    <row r="364" spans="1:19" ht="32.1" hidden="1" customHeight="1" x14ac:dyDescent="0.2">
      <c r="A364" s="300"/>
      <c r="B364" s="300"/>
      <c r="C364" s="300"/>
      <c r="D364" s="300"/>
    </row>
    <row r="365" spans="1:19" ht="32.1" hidden="1" customHeight="1" x14ac:dyDescent="0.2">
      <c r="A365" s="300"/>
      <c r="B365" s="300"/>
      <c r="C365" s="300"/>
      <c r="D365" s="300"/>
    </row>
    <row r="366" spans="1:19" ht="32.1" hidden="1" customHeight="1" x14ac:dyDescent="0.2">
      <c r="A366" s="300"/>
      <c r="B366" s="300"/>
      <c r="C366" s="300"/>
      <c r="D366" s="300"/>
    </row>
    <row r="367" spans="1:19" ht="32.1" hidden="1" customHeight="1" x14ac:dyDescent="0.2">
      <c r="A367" s="300"/>
      <c r="B367" s="300"/>
      <c r="C367" s="300"/>
      <c r="D367" s="300"/>
    </row>
    <row r="368" spans="1:19" ht="32.1" hidden="1" customHeight="1" x14ac:dyDescent="0.2">
      <c r="A368" s="300"/>
      <c r="B368" s="300"/>
      <c r="C368" s="300"/>
      <c r="D368" s="300"/>
    </row>
    <row r="369" spans="1:4" ht="32.1" hidden="1" customHeight="1" x14ac:dyDescent="0.2">
      <c r="A369" s="300"/>
      <c r="B369" s="300"/>
      <c r="C369" s="300"/>
      <c r="D369" s="300"/>
    </row>
    <row r="370" spans="1:4" ht="32.1" hidden="1" customHeight="1" x14ac:dyDescent="0.2">
      <c r="A370" s="300"/>
      <c r="B370" s="300"/>
      <c r="C370" s="300"/>
      <c r="D370" s="300"/>
    </row>
    <row r="371" spans="1:4" ht="32.1" hidden="1" customHeight="1" x14ac:dyDescent="0.2">
      <c r="A371" s="300"/>
      <c r="B371" s="300"/>
      <c r="C371" s="300"/>
      <c r="D371" s="300"/>
    </row>
    <row r="372" spans="1:4" ht="32.1" hidden="1" customHeight="1" x14ac:dyDescent="0.2">
      <c r="A372" s="300"/>
      <c r="B372" s="300"/>
      <c r="C372" s="300"/>
      <c r="D372" s="300"/>
    </row>
    <row r="373" spans="1:4" ht="32.1" hidden="1" customHeight="1" x14ac:dyDescent="0.2">
      <c r="A373" s="300"/>
      <c r="B373" s="300"/>
      <c r="C373" s="300"/>
      <c r="D373" s="300"/>
    </row>
    <row r="374" spans="1:4" ht="32.1" hidden="1" customHeight="1" x14ac:dyDescent="0.2">
      <c r="A374" s="300"/>
      <c r="B374" s="300"/>
      <c r="C374" s="300"/>
      <c r="D374" s="300"/>
    </row>
    <row r="375" spans="1:4" ht="32.1" hidden="1" customHeight="1" x14ac:dyDescent="0.2">
      <c r="A375" s="300"/>
      <c r="B375" s="300"/>
      <c r="C375" s="300"/>
      <c r="D375" s="300"/>
    </row>
    <row r="376" spans="1:4" ht="32.1" hidden="1" customHeight="1" x14ac:dyDescent="0.2">
      <c r="A376" s="300"/>
      <c r="B376" s="300"/>
      <c r="C376" s="300"/>
      <c r="D376" s="300"/>
    </row>
    <row r="377" spans="1:4" ht="32.1" hidden="1" customHeight="1" x14ac:dyDescent="0.2">
      <c r="A377" s="300"/>
      <c r="B377" s="300"/>
      <c r="C377" s="300"/>
      <c r="D377" s="300"/>
    </row>
    <row r="378" spans="1:4" ht="32.1" hidden="1" customHeight="1" x14ac:dyDescent="0.2">
      <c r="A378" s="300"/>
      <c r="B378" s="300"/>
      <c r="C378" s="300"/>
      <c r="D378" s="300"/>
    </row>
    <row r="379" spans="1:4" ht="32.1" hidden="1" customHeight="1" x14ac:dyDescent="0.2">
      <c r="A379" s="300"/>
      <c r="B379" s="300"/>
      <c r="C379" s="300"/>
      <c r="D379" s="300"/>
    </row>
    <row r="380" spans="1:4" ht="32.1" hidden="1" customHeight="1" x14ac:dyDescent="0.2">
      <c r="A380" s="300"/>
      <c r="B380" s="300"/>
      <c r="C380" s="300"/>
      <c r="D380" s="300"/>
    </row>
    <row r="381" spans="1:4" ht="32.1" hidden="1" customHeight="1" x14ac:dyDescent="0.2">
      <c r="A381" s="300"/>
      <c r="B381" s="300"/>
      <c r="C381" s="300"/>
      <c r="D381" s="300"/>
    </row>
    <row r="382" spans="1:4" ht="32.1" hidden="1" customHeight="1" x14ac:dyDescent="0.2">
      <c r="A382" s="300"/>
      <c r="B382" s="300"/>
      <c r="C382" s="300"/>
      <c r="D382" s="300"/>
    </row>
    <row r="383" spans="1:4" ht="32.1" hidden="1" customHeight="1" x14ac:dyDescent="0.2">
      <c r="A383" s="300"/>
      <c r="B383" s="300"/>
      <c r="C383" s="300"/>
      <c r="D383" s="300"/>
    </row>
    <row r="384" spans="1:4" ht="32.1" hidden="1" customHeight="1" x14ac:dyDescent="0.2">
      <c r="A384" s="300"/>
      <c r="B384" s="300"/>
      <c r="C384" s="300"/>
      <c r="D384" s="300"/>
    </row>
    <row r="385" spans="1:4" ht="32.1" hidden="1" customHeight="1" x14ac:dyDescent="0.2">
      <c r="A385" s="300"/>
      <c r="B385" s="300"/>
      <c r="C385" s="300"/>
      <c r="D385" s="300"/>
    </row>
    <row r="386" spans="1:4" ht="32.1" hidden="1" customHeight="1" x14ac:dyDescent="0.2">
      <c r="A386" s="300"/>
      <c r="B386" s="300"/>
      <c r="C386" s="300"/>
      <c r="D386" s="300"/>
    </row>
    <row r="387" spans="1:4" ht="32.1" hidden="1" customHeight="1" x14ac:dyDescent="0.2">
      <c r="A387" s="300"/>
      <c r="B387" s="300"/>
      <c r="C387" s="300"/>
      <c r="D387" s="300"/>
    </row>
    <row r="388" spans="1:4" ht="32.1" hidden="1" customHeight="1" x14ac:dyDescent="0.2">
      <c r="A388" s="300"/>
      <c r="B388" s="300"/>
      <c r="C388" s="300"/>
      <c r="D388" s="300"/>
    </row>
    <row r="389" spans="1:4" ht="32.1" hidden="1" customHeight="1" x14ac:dyDescent="0.2">
      <c r="A389" s="300"/>
      <c r="B389" s="300"/>
      <c r="C389" s="300"/>
      <c r="D389" s="300"/>
    </row>
    <row r="390" spans="1:4" ht="32.1" hidden="1" customHeight="1" x14ac:dyDescent="0.2">
      <c r="A390" s="300"/>
      <c r="B390" s="300"/>
      <c r="C390" s="300"/>
      <c r="D390" s="300"/>
    </row>
    <row r="391" spans="1:4" ht="32.1" hidden="1" customHeight="1" x14ac:dyDescent="0.2">
      <c r="A391" s="300"/>
      <c r="B391" s="300"/>
      <c r="C391" s="300"/>
      <c r="D391" s="300"/>
    </row>
    <row r="392" spans="1:4" ht="32.1" hidden="1" customHeight="1" x14ac:dyDescent="0.2">
      <c r="A392" s="300"/>
      <c r="B392" s="300"/>
      <c r="C392" s="300"/>
      <c r="D392" s="300"/>
    </row>
    <row r="393" spans="1:4" ht="32.1" hidden="1" customHeight="1" x14ac:dyDescent="0.2">
      <c r="A393" s="300"/>
      <c r="B393" s="300"/>
      <c r="C393" s="300"/>
      <c r="D393" s="300"/>
    </row>
    <row r="394" spans="1:4" ht="32.1" hidden="1" customHeight="1" x14ac:dyDescent="0.2">
      <c r="A394" s="300"/>
      <c r="B394" s="300"/>
      <c r="C394" s="300"/>
      <c r="D394" s="300"/>
    </row>
    <row r="395" spans="1:4" ht="32.1" hidden="1" customHeight="1" x14ac:dyDescent="0.2">
      <c r="A395" s="300"/>
      <c r="B395" s="300"/>
      <c r="C395" s="300"/>
      <c r="D395" s="300"/>
    </row>
    <row r="396" spans="1:4" ht="32.1" hidden="1" customHeight="1" x14ac:dyDescent="0.2">
      <c r="A396" s="300"/>
      <c r="B396" s="300"/>
      <c r="C396" s="300"/>
      <c r="D396" s="300"/>
    </row>
    <row r="397" spans="1:4" ht="32.1" hidden="1" customHeight="1" x14ac:dyDescent="0.2">
      <c r="A397" s="300"/>
      <c r="B397" s="300"/>
      <c r="C397" s="300"/>
      <c r="D397" s="300"/>
    </row>
    <row r="398" spans="1:4" ht="32.1" hidden="1" customHeight="1" x14ac:dyDescent="0.2">
      <c r="A398" s="300"/>
      <c r="B398" s="300"/>
      <c r="C398" s="300"/>
      <c r="D398" s="300"/>
    </row>
    <row r="399" spans="1:4" ht="32.1" hidden="1" customHeight="1" x14ac:dyDescent="0.2">
      <c r="A399" s="300"/>
      <c r="B399" s="300"/>
      <c r="C399" s="300"/>
      <c r="D399" s="300"/>
    </row>
    <row r="400" spans="1:4" ht="32.1" hidden="1" customHeight="1" x14ac:dyDescent="0.2">
      <c r="A400" s="300"/>
      <c r="B400" s="300"/>
      <c r="C400" s="300"/>
      <c r="D400" s="300"/>
    </row>
    <row r="401" spans="1:4" ht="32.1" hidden="1" customHeight="1" x14ac:dyDescent="0.2">
      <c r="A401" s="300"/>
      <c r="B401" s="300"/>
      <c r="C401" s="300"/>
      <c r="D401" s="300"/>
    </row>
    <row r="402" spans="1:4" ht="32.1" hidden="1" customHeight="1" x14ac:dyDescent="0.2">
      <c r="A402" s="300"/>
      <c r="B402" s="300"/>
      <c r="C402" s="300"/>
      <c r="D402" s="300"/>
    </row>
    <row r="403" spans="1:4" ht="32.1" hidden="1" customHeight="1" x14ac:dyDescent="0.2">
      <c r="A403" s="300"/>
      <c r="B403" s="300"/>
      <c r="C403" s="300"/>
      <c r="D403" s="300"/>
    </row>
    <row r="404" spans="1:4" ht="32.1" hidden="1" customHeight="1" x14ac:dyDescent="0.2">
      <c r="A404" s="300"/>
      <c r="B404" s="300"/>
      <c r="C404" s="300"/>
      <c r="D404" s="300"/>
    </row>
    <row r="405" spans="1:4" ht="32.1" hidden="1" customHeight="1" x14ac:dyDescent="0.2">
      <c r="A405" s="300"/>
      <c r="B405" s="300"/>
      <c r="C405" s="300"/>
      <c r="D405" s="300"/>
    </row>
    <row r="406" spans="1:4" ht="32.1" hidden="1" customHeight="1" x14ac:dyDescent="0.2">
      <c r="A406" s="300"/>
      <c r="B406" s="300"/>
      <c r="C406" s="300"/>
      <c r="D406" s="300"/>
    </row>
    <row r="407" spans="1:4" ht="32.1" hidden="1" customHeight="1" x14ac:dyDescent="0.2">
      <c r="A407" s="300"/>
      <c r="B407" s="300"/>
      <c r="C407" s="300"/>
      <c r="D407" s="300"/>
    </row>
    <row r="408" spans="1:4" ht="32.1" hidden="1" customHeight="1" x14ac:dyDescent="0.2">
      <c r="A408" s="300"/>
      <c r="B408" s="300"/>
      <c r="C408" s="300"/>
      <c r="D408" s="300"/>
    </row>
    <row r="409" spans="1:4" ht="32.1" hidden="1" customHeight="1" x14ac:dyDescent="0.2">
      <c r="A409" s="300"/>
      <c r="B409" s="300"/>
      <c r="C409" s="300"/>
      <c r="D409" s="300"/>
    </row>
    <row r="410" spans="1:4" ht="32.1" hidden="1" customHeight="1" x14ac:dyDescent="0.2">
      <c r="A410" s="300"/>
      <c r="B410" s="300"/>
      <c r="C410" s="300"/>
      <c r="D410" s="300"/>
    </row>
    <row r="411" spans="1:4" ht="32.1" hidden="1" customHeight="1" x14ac:dyDescent="0.2">
      <c r="A411" s="300"/>
      <c r="B411" s="300"/>
      <c r="C411" s="300"/>
      <c r="D411" s="300"/>
    </row>
    <row r="412" spans="1:4" ht="32.1" hidden="1" customHeight="1" x14ac:dyDescent="0.2">
      <c r="A412" s="300"/>
      <c r="B412" s="300"/>
      <c r="C412" s="300"/>
      <c r="D412" s="300"/>
    </row>
    <row r="413" spans="1:4" ht="32.1" hidden="1" customHeight="1" x14ac:dyDescent="0.2">
      <c r="A413" s="300"/>
      <c r="B413" s="300"/>
      <c r="C413" s="300"/>
      <c r="D413" s="300"/>
    </row>
    <row r="414" spans="1:4" ht="32.1" hidden="1" customHeight="1" x14ac:dyDescent="0.2">
      <c r="A414" s="300"/>
      <c r="B414" s="300"/>
      <c r="C414" s="300"/>
      <c r="D414" s="300"/>
    </row>
    <row r="415" spans="1:4" ht="32.1" hidden="1" customHeight="1" x14ac:dyDescent="0.2">
      <c r="A415" s="300"/>
      <c r="B415" s="300"/>
      <c r="C415" s="300"/>
      <c r="D415" s="300"/>
    </row>
    <row r="416" spans="1:4" ht="32.1" hidden="1" customHeight="1" x14ac:dyDescent="0.2">
      <c r="A416" s="300"/>
      <c r="B416" s="300"/>
      <c r="C416" s="300"/>
      <c r="D416" s="300"/>
    </row>
    <row r="417" spans="1:4" ht="32.1" hidden="1" customHeight="1" x14ac:dyDescent="0.2">
      <c r="A417" s="300"/>
      <c r="B417" s="300"/>
      <c r="C417" s="300"/>
      <c r="D417" s="300"/>
    </row>
    <row r="418" spans="1:4" ht="32.1" hidden="1" customHeight="1" x14ac:dyDescent="0.2">
      <c r="A418" s="300"/>
      <c r="B418" s="300"/>
      <c r="C418" s="300"/>
      <c r="D418" s="300"/>
    </row>
    <row r="419" spans="1:4" ht="32.1" hidden="1" customHeight="1" x14ac:dyDescent="0.2">
      <c r="A419" s="300"/>
      <c r="B419" s="300"/>
      <c r="C419" s="300"/>
      <c r="D419" s="300"/>
    </row>
    <row r="420" spans="1:4" ht="32.1" hidden="1" customHeight="1" x14ac:dyDescent="0.2">
      <c r="A420" s="300"/>
      <c r="B420" s="300"/>
      <c r="C420" s="300"/>
      <c r="D420" s="300"/>
    </row>
    <row r="421" spans="1:4" ht="32.1" hidden="1" customHeight="1" x14ac:dyDescent="0.2">
      <c r="A421" s="300"/>
      <c r="B421" s="300"/>
      <c r="C421" s="300"/>
      <c r="D421" s="300"/>
    </row>
    <row r="422" spans="1:4" ht="32.1" hidden="1" customHeight="1" x14ac:dyDescent="0.2">
      <c r="A422" s="300"/>
      <c r="B422" s="300"/>
      <c r="C422" s="300"/>
      <c r="D422" s="300"/>
    </row>
    <row r="423" spans="1:4" ht="32.1" hidden="1" customHeight="1" x14ac:dyDescent="0.2">
      <c r="A423" s="300"/>
      <c r="B423" s="300"/>
      <c r="C423" s="300"/>
      <c r="D423" s="300"/>
    </row>
    <row r="424" spans="1:4" ht="32.1" hidden="1" customHeight="1" x14ac:dyDescent="0.2">
      <c r="A424" s="300"/>
      <c r="B424" s="300"/>
      <c r="C424" s="300"/>
      <c r="D424" s="300"/>
    </row>
    <row r="425" spans="1:4" ht="32.1" hidden="1" customHeight="1" x14ac:dyDescent="0.2">
      <c r="A425" s="300"/>
      <c r="B425" s="300"/>
      <c r="C425" s="300"/>
      <c r="D425" s="300"/>
    </row>
    <row r="426" spans="1:4" ht="32.1" hidden="1" customHeight="1" x14ac:dyDescent="0.2">
      <c r="A426" s="300"/>
      <c r="B426" s="300"/>
      <c r="C426" s="300"/>
      <c r="D426" s="300"/>
    </row>
    <row r="427" spans="1:4" ht="32.1" hidden="1" customHeight="1" x14ac:dyDescent="0.2">
      <c r="A427" s="300"/>
      <c r="B427" s="300"/>
      <c r="C427" s="300"/>
      <c r="D427" s="300"/>
    </row>
    <row r="428" spans="1:4" ht="32.1" hidden="1" customHeight="1" x14ac:dyDescent="0.2">
      <c r="A428" s="300"/>
      <c r="B428" s="300"/>
      <c r="C428" s="300"/>
      <c r="D428" s="300"/>
    </row>
    <row r="429" spans="1:4" ht="32.1" hidden="1" customHeight="1" x14ac:dyDescent="0.2">
      <c r="A429" s="300"/>
      <c r="B429" s="300"/>
      <c r="C429" s="300"/>
      <c r="D429" s="300"/>
    </row>
    <row r="430" spans="1:4" ht="32.1" hidden="1" customHeight="1" x14ac:dyDescent="0.2">
      <c r="A430" s="300"/>
      <c r="B430" s="300"/>
      <c r="C430" s="300"/>
      <c r="D430" s="300"/>
    </row>
    <row r="431" spans="1:4" ht="32.1" hidden="1" customHeight="1" x14ac:dyDescent="0.2">
      <c r="A431" s="300"/>
      <c r="B431" s="300"/>
      <c r="C431" s="300"/>
      <c r="D431" s="300"/>
    </row>
    <row r="432" spans="1:4" ht="32.1" hidden="1" customHeight="1" x14ac:dyDescent="0.2">
      <c r="A432" s="300"/>
      <c r="B432" s="300"/>
      <c r="C432" s="300"/>
      <c r="D432" s="300"/>
    </row>
    <row r="433" spans="1:4" ht="32.1" hidden="1" customHeight="1" x14ac:dyDescent="0.2">
      <c r="A433" s="300"/>
      <c r="B433" s="300"/>
      <c r="C433" s="300"/>
      <c r="D433" s="300"/>
    </row>
    <row r="434" spans="1:4" ht="32.1" hidden="1" customHeight="1" x14ac:dyDescent="0.2">
      <c r="A434" s="300"/>
      <c r="B434" s="300"/>
      <c r="C434" s="300"/>
      <c r="D434" s="300"/>
    </row>
    <row r="435" spans="1:4" ht="32.1" hidden="1" customHeight="1" x14ac:dyDescent="0.2">
      <c r="A435" s="300"/>
      <c r="B435" s="300"/>
      <c r="C435" s="300"/>
      <c r="D435" s="300"/>
    </row>
    <row r="436" spans="1:4" ht="32.1" hidden="1" customHeight="1" x14ac:dyDescent="0.2">
      <c r="A436" s="300"/>
      <c r="B436" s="300"/>
      <c r="C436" s="300"/>
      <c r="D436" s="300"/>
    </row>
    <row r="437" spans="1:4" ht="32.1" hidden="1" customHeight="1" x14ac:dyDescent="0.2">
      <c r="A437" s="300"/>
      <c r="B437" s="300"/>
      <c r="C437" s="300"/>
      <c r="D437" s="300"/>
    </row>
    <row r="438" spans="1:4" ht="32.1" hidden="1" customHeight="1" x14ac:dyDescent="0.2">
      <c r="A438" s="300"/>
      <c r="B438" s="300"/>
      <c r="C438" s="300"/>
      <c r="D438" s="300"/>
    </row>
    <row r="439" spans="1:4" ht="32.1" hidden="1" customHeight="1" x14ac:dyDescent="0.2">
      <c r="A439" s="300"/>
      <c r="B439" s="300"/>
      <c r="C439" s="300"/>
      <c r="D439" s="300"/>
    </row>
    <row r="440" spans="1:4" ht="32.1" hidden="1" customHeight="1" x14ac:dyDescent="0.2">
      <c r="A440" s="300"/>
      <c r="B440" s="300"/>
      <c r="C440" s="300"/>
      <c r="D440" s="300"/>
    </row>
    <row r="441" spans="1:4" ht="32.1" hidden="1" customHeight="1" x14ac:dyDescent="0.2">
      <c r="A441" s="300"/>
      <c r="B441" s="300"/>
      <c r="C441" s="300"/>
      <c r="D441" s="300"/>
    </row>
    <row r="442" spans="1:4" ht="32.1" hidden="1" customHeight="1" x14ac:dyDescent="0.2">
      <c r="A442" s="300"/>
      <c r="B442" s="300"/>
      <c r="C442" s="300"/>
      <c r="D442" s="300"/>
    </row>
    <row r="443" spans="1:4" ht="32.1" hidden="1" customHeight="1" x14ac:dyDescent="0.2">
      <c r="A443" s="300"/>
      <c r="B443" s="300"/>
      <c r="C443" s="300"/>
      <c r="D443" s="300"/>
    </row>
    <row r="444" spans="1:4" ht="32.1" hidden="1" customHeight="1" x14ac:dyDescent="0.2">
      <c r="A444" s="300"/>
      <c r="B444" s="300"/>
      <c r="C444" s="300"/>
      <c r="D444" s="300"/>
    </row>
    <row r="445" spans="1:4" ht="32.1" hidden="1" customHeight="1" x14ac:dyDescent="0.2">
      <c r="A445" s="300"/>
      <c r="B445" s="300"/>
      <c r="C445" s="300"/>
      <c r="D445" s="300"/>
    </row>
    <row r="446" spans="1:4" ht="32.1" hidden="1" customHeight="1" x14ac:dyDescent="0.2">
      <c r="A446" s="300"/>
      <c r="B446" s="300"/>
      <c r="C446" s="300"/>
      <c r="D446" s="300"/>
    </row>
    <row r="447" spans="1:4" ht="32.1" hidden="1" customHeight="1" x14ac:dyDescent="0.2">
      <c r="A447" s="300"/>
      <c r="B447" s="300"/>
      <c r="C447" s="300"/>
      <c r="D447" s="300"/>
    </row>
    <row r="448" spans="1:4" ht="32.1" hidden="1" customHeight="1" x14ac:dyDescent="0.2">
      <c r="A448" s="300"/>
      <c r="B448" s="300"/>
      <c r="C448" s="300"/>
      <c r="D448" s="300"/>
    </row>
    <row r="449" spans="1:4" ht="32.1" hidden="1" customHeight="1" x14ac:dyDescent="0.2">
      <c r="A449" s="300"/>
      <c r="B449" s="300"/>
      <c r="C449" s="300"/>
      <c r="D449" s="300"/>
    </row>
    <row r="450" spans="1:4" ht="32.1" hidden="1" customHeight="1" x14ac:dyDescent="0.2">
      <c r="A450" s="300"/>
      <c r="B450" s="300"/>
      <c r="C450" s="300"/>
      <c r="D450" s="300"/>
    </row>
    <row r="451" spans="1:4" ht="32.1" hidden="1" customHeight="1" x14ac:dyDescent="0.2">
      <c r="A451" s="300"/>
      <c r="B451" s="300"/>
      <c r="C451" s="300"/>
      <c r="D451" s="300"/>
    </row>
    <row r="452" spans="1:4" ht="32.1" hidden="1" customHeight="1" x14ac:dyDescent="0.2">
      <c r="A452" s="300"/>
      <c r="B452" s="300"/>
      <c r="C452" s="300"/>
      <c r="D452" s="300"/>
    </row>
    <row r="453" spans="1:4" ht="32.1" hidden="1" customHeight="1" x14ac:dyDescent="0.2">
      <c r="A453" s="300"/>
      <c r="B453" s="300"/>
      <c r="C453" s="300"/>
      <c r="D453" s="300"/>
    </row>
    <row r="454" spans="1:4" ht="32.1" hidden="1" customHeight="1" x14ac:dyDescent="0.2">
      <c r="A454" s="300"/>
      <c r="B454" s="300"/>
      <c r="C454" s="300"/>
      <c r="D454" s="300"/>
    </row>
    <row r="455" spans="1:4" ht="32.1" hidden="1" customHeight="1" x14ac:dyDescent="0.2">
      <c r="A455" s="300"/>
      <c r="B455" s="300"/>
      <c r="C455" s="300"/>
      <c r="D455" s="300"/>
    </row>
    <row r="456" spans="1:4" ht="32.1" hidden="1" customHeight="1" x14ac:dyDescent="0.2">
      <c r="A456" s="300"/>
      <c r="B456" s="300"/>
      <c r="C456" s="300"/>
      <c r="D456" s="300"/>
    </row>
    <row r="457" spans="1:4" ht="32.1" hidden="1" customHeight="1" x14ac:dyDescent="0.2">
      <c r="A457" s="300"/>
      <c r="B457" s="300"/>
      <c r="C457" s="300"/>
      <c r="D457" s="300"/>
    </row>
    <row r="458" spans="1:4" ht="32.1" hidden="1" customHeight="1" x14ac:dyDescent="0.2">
      <c r="A458" s="300"/>
      <c r="B458" s="300"/>
      <c r="C458" s="300"/>
      <c r="D458" s="300"/>
    </row>
    <row r="459" spans="1:4" ht="32.1" hidden="1" customHeight="1" x14ac:dyDescent="0.2">
      <c r="A459" s="300"/>
      <c r="B459" s="300"/>
      <c r="C459" s="300"/>
      <c r="D459" s="300"/>
    </row>
    <row r="460" spans="1:4" ht="32.1" hidden="1" customHeight="1" x14ac:dyDescent="0.2">
      <c r="A460" s="300"/>
      <c r="B460" s="300"/>
      <c r="C460" s="300"/>
      <c r="D460" s="300"/>
    </row>
    <row r="461" spans="1:4" ht="32.1" hidden="1" customHeight="1" x14ac:dyDescent="0.2">
      <c r="A461" s="300"/>
      <c r="B461" s="300"/>
      <c r="C461" s="300"/>
      <c r="D461" s="300"/>
    </row>
    <row r="462" spans="1:4" ht="32.1" hidden="1" customHeight="1" x14ac:dyDescent="0.2">
      <c r="A462" s="300"/>
      <c r="B462" s="300"/>
      <c r="C462" s="300"/>
      <c r="D462" s="300"/>
    </row>
    <row r="463" spans="1:4" ht="32.1" hidden="1" customHeight="1" x14ac:dyDescent="0.2">
      <c r="A463" s="300"/>
      <c r="B463" s="300"/>
      <c r="C463" s="300"/>
      <c r="D463" s="300"/>
    </row>
    <row r="464" spans="1:4" ht="32.1" hidden="1" customHeight="1" x14ac:dyDescent="0.2">
      <c r="A464" s="300"/>
      <c r="B464" s="300"/>
      <c r="C464" s="300"/>
      <c r="D464" s="300"/>
    </row>
    <row r="465" spans="1:4" ht="32.1" hidden="1" customHeight="1" x14ac:dyDescent="0.2">
      <c r="A465" s="300"/>
      <c r="B465" s="300"/>
      <c r="C465" s="300"/>
      <c r="D465" s="300"/>
    </row>
    <row r="466" spans="1:4" ht="32.1" hidden="1" customHeight="1" x14ac:dyDescent="0.2">
      <c r="A466" s="300"/>
      <c r="B466" s="300"/>
      <c r="C466" s="300"/>
      <c r="D466" s="300"/>
    </row>
    <row r="467" spans="1:4" ht="32.1" hidden="1" customHeight="1" x14ac:dyDescent="0.2">
      <c r="A467" s="300"/>
      <c r="B467" s="300"/>
      <c r="C467" s="300"/>
      <c r="D467" s="300"/>
    </row>
    <row r="468" spans="1:4" ht="32.1" hidden="1" customHeight="1" x14ac:dyDescent="0.2">
      <c r="A468" s="300"/>
      <c r="B468" s="300"/>
      <c r="C468" s="300"/>
      <c r="D468" s="300"/>
    </row>
    <row r="469" spans="1:4" ht="32.1" hidden="1" customHeight="1" x14ac:dyDescent="0.2">
      <c r="A469" s="300"/>
      <c r="B469" s="300"/>
      <c r="C469" s="300"/>
      <c r="D469" s="300"/>
    </row>
    <row r="470" spans="1:4" ht="32.1" hidden="1" customHeight="1" x14ac:dyDescent="0.2">
      <c r="A470" s="300"/>
      <c r="B470" s="300"/>
      <c r="C470" s="300"/>
      <c r="D470" s="300"/>
    </row>
    <row r="471" spans="1:4" ht="32.1" hidden="1" customHeight="1" x14ac:dyDescent="0.2">
      <c r="A471" s="300"/>
      <c r="B471" s="300"/>
      <c r="C471" s="300"/>
      <c r="D471" s="300"/>
    </row>
    <row r="472" spans="1:4" ht="32.1" hidden="1" customHeight="1" x14ac:dyDescent="0.2">
      <c r="A472" s="300"/>
      <c r="B472" s="300"/>
      <c r="C472" s="300"/>
      <c r="D472" s="300"/>
    </row>
    <row r="473" spans="1:4" ht="32.1" hidden="1" customHeight="1" x14ac:dyDescent="0.2">
      <c r="A473" s="300"/>
      <c r="B473" s="300"/>
      <c r="C473" s="300"/>
      <c r="D473" s="300"/>
    </row>
    <row r="474" spans="1:4" ht="32.1" hidden="1" customHeight="1" x14ac:dyDescent="0.2">
      <c r="A474" s="300"/>
      <c r="B474" s="300"/>
      <c r="C474" s="300"/>
      <c r="D474" s="300"/>
    </row>
    <row r="475" spans="1:4" ht="32.1" hidden="1" customHeight="1" x14ac:dyDescent="0.2">
      <c r="A475" s="300"/>
      <c r="B475" s="300"/>
      <c r="C475" s="300"/>
      <c r="D475" s="300"/>
    </row>
    <row r="476" spans="1:4" ht="32.1" hidden="1" customHeight="1" x14ac:dyDescent="0.2">
      <c r="A476" s="300"/>
      <c r="B476" s="300"/>
      <c r="C476" s="300"/>
      <c r="D476" s="300"/>
    </row>
    <row r="477" spans="1:4" ht="32.1" hidden="1" customHeight="1" x14ac:dyDescent="0.2">
      <c r="A477" s="300"/>
      <c r="B477" s="300"/>
      <c r="C477" s="300"/>
      <c r="D477" s="300"/>
    </row>
    <row r="478" spans="1:4" ht="32.1" hidden="1" customHeight="1" x14ac:dyDescent="0.2">
      <c r="A478" s="300"/>
      <c r="B478" s="300"/>
      <c r="C478" s="300"/>
      <c r="D478" s="300"/>
    </row>
    <row r="479" spans="1:4" ht="32.1" hidden="1" customHeight="1" x14ac:dyDescent="0.2">
      <c r="A479" s="300"/>
      <c r="B479" s="300"/>
      <c r="C479" s="300"/>
      <c r="D479" s="300"/>
    </row>
    <row r="480" spans="1:4" ht="32.1" hidden="1" customHeight="1" x14ac:dyDescent="0.2">
      <c r="A480" s="300"/>
      <c r="B480" s="300"/>
      <c r="C480" s="300"/>
      <c r="D480" s="300"/>
    </row>
    <row r="481" spans="1:4" ht="32.1" hidden="1" customHeight="1" x14ac:dyDescent="0.2">
      <c r="A481" s="300"/>
      <c r="B481" s="300"/>
      <c r="C481" s="300"/>
      <c r="D481" s="300"/>
    </row>
    <row r="482" spans="1:4" ht="32.1" customHeight="1" x14ac:dyDescent="0.2">
      <c r="A482" s="300"/>
      <c r="B482" s="300"/>
      <c r="C482" s="300"/>
      <c r="D482" s="300"/>
    </row>
    <row r="483" spans="1:4" ht="32.1" customHeight="1" x14ac:dyDescent="0.2">
      <c r="A483" s="300"/>
      <c r="B483" s="300"/>
      <c r="C483" s="300"/>
      <c r="D483" s="300"/>
    </row>
    <row r="484" spans="1:4" ht="32.1" customHeight="1" x14ac:dyDescent="0.2">
      <c r="A484" s="300"/>
      <c r="B484" s="300"/>
      <c r="C484" s="300"/>
      <c r="D484" s="300"/>
    </row>
    <row r="485" spans="1:4" ht="32.1" customHeight="1" x14ac:dyDescent="0.2">
      <c r="A485" s="300"/>
      <c r="B485" s="300"/>
      <c r="C485" s="300"/>
      <c r="D485" s="300"/>
    </row>
    <row r="486" spans="1:4" ht="32.1" customHeight="1" x14ac:dyDescent="0.2">
      <c r="A486" s="300"/>
      <c r="B486" s="300"/>
      <c r="C486" s="300"/>
      <c r="D486" s="300"/>
    </row>
    <row r="487" spans="1:4" ht="32.1" customHeight="1" x14ac:dyDescent="0.2">
      <c r="A487" s="300"/>
      <c r="B487" s="300"/>
      <c r="C487" s="300"/>
      <c r="D487" s="300"/>
    </row>
    <row r="488" spans="1:4" ht="32.1" customHeight="1" x14ac:dyDescent="0.2">
      <c r="A488" s="300"/>
      <c r="B488" s="300"/>
      <c r="C488" s="300"/>
      <c r="D488" s="300"/>
    </row>
    <row r="489" spans="1:4" ht="32.1" customHeight="1" x14ac:dyDescent="0.2">
      <c r="A489" s="300"/>
      <c r="B489" s="300"/>
      <c r="C489" s="300"/>
      <c r="D489" s="300"/>
    </row>
    <row r="490" spans="1:4" ht="32.1" customHeight="1" x14ac:dyDescent="0.2">
      <c r="A490" s="300"/>
      <c r="B490" s="300"/>
      <c r="C490" s="300"/>
      <c r="D490" s="300"/>
    </row>
    <row r="491" spans="1:4" ht="32.1" customHeight="1" x14ac:dyDescent="0.2">
      <c r="A491" s="300"/>
      <c r="B491" s="300"/>
      <c r="C491" s="300"/>
      <c r="D491" s="300"/>
    </row>
    <row r="492" spans="1:4" ht="32.1" customHeight="1" x14ac:dyDescent="0.2">
      <c r="A492" s="300"/>
      <c r="B492" s="300"/>
      <c r="C492" s="300"/>
      <c r="D492" s="300"/>
    </row>
    <row r="493" spans="1:4" ht="32.1" customHeight="1" x14ac:dyDescent="0.2">
      <c r="A493" s="300"/>
      <c r="B493" s="300"/>
      <c r="C493" s="300"/>
      <c r="D493" s="300"/>
    </row>
    <row r="494" spans="1:4" ht="32.1" customHeight="1" x14ac:dyDescent="0.2">
      <c r="A494" s="300"/>
      <c r="B494" s="300"/>
      <c r="C494" s="300"/>
      <c r="D494" s="300"/>
    </row>
    <row r="495" spans="1:4" ht="32.1" customHeight="1" x14ac:dyDescent="0.2">
      <c r="A495" s="300"/>
      <c r="B495" s="300"/>
      <c r="C495" s="300"/>
      <c r="D495" s="300"/>
    </row>
    <row r="496" spans="1:4" ht="32.1" customHeight="1" x14ac:dyDescent="0.2">
      <c r="A496" s="300"/>
      <c r="B496" s="300"/>
      <c r="C496" s="300"/>
      <c r="D496" s="300"/>
    </row>
    <row r="497" spans="1:4" ht="32.1" customHeight="1" x14ac:dyDescent="0.2">
      <c r="A497" s="300"/>
      <c r="B497" s="300"/>
      <c r="C497" s="300"/>
      <c r="D497" s="300"/>
    </row>
    <row r="498" spans="1:4" ht="32.1" customHeight="1" x14ac:dyDescent="0.2">
      <c r="A498" s="300"/>
      <c r="B498" s="300"/>
      <c r="C498" s="300"/>
      <c r="D498" s="300"/>
    </row>
    <row r="499" spans="1:4" ht="32.1" customHeight="1" x14ac:dyDescent="0.2">
      <c r="A499" s="300"/>
      <c r="B499" s="300"/>
      <c r="C499" s="300"/>
      <c r="D499" s="300"/>
    </row>
    <row r="500" spans="1:4" ht="32.1" customHeight="1" x14ac:dyDescent="0.2">
      <c r="A500" s="300"/>
      <c r="B500" s="300"/>
      <c r="C500" s="300"/>
      <c r="D500" s="300"/>
    </row>
    <row r="501" spans="1:4" ht="32.1" customHeight="1" x14ac:dyDescent="0.2">
      <c r="A501" s="300"/>
      <c r="B501" s="300"/>
      <c r="C501" s="300"/>
      <c r="D501" s="300"/>
    </row>
    <row r="502" spans="1:4" x14ac:dyDescent="0.2">
      <c r="A502" s="300"/>
      <c r="B502" s="300"/>
      <c r="C502" s="300"/>
      <c r="D502" s="300"/>
    </row>
    <row r="503" spans="1:4" x14ac:dyDescent="0.2">
      <c r="A503" s="300"/>
      <c r="B503" s="300"/>
      <c r="C503" s="300"/>
      <c r="D503" s="300"/>
    </row>
    <row r="504" spans="1:4" x14ac:dyDescent="0.2">
      <c r="A504" s="300"/>
      <c r="B504" s="300"/>
      <c r="C504" s="300"/>
      <c r="D504" s="300"/>
    </row>
    <row r="505" spans="1:4" x14ac:dyDescent="0.2">
      <c r="A505" s="300"/>
      <c r="B505" s="300"/>
      <c r="C505" s="300"/>
      <c r="D505" s="300"/>
    </row>
    <row r="506" spans="1:4" x14ac:dyDescent="0.2">
      <c r="A506" s="300"/>
      <c r="B506" s="300"/>
      <c r="C506" s="300"/>
      <c r="D506" s="300"/>
    </row>
    <row r="507" spans="1:4" x14ac:dyDescent="0.2">
      <c r="A507" s="300"/>
      <c r="B507" s="300"/>
      <c r="C507" s="300"/>
      <c r="D507" s="300"/>
    </row>
    <row r="508" spans="1:4" x14ac:dyDescent="0.2"/>
    <row r="509" spans="1:4" x14ac:dyDescent="0.2"/>
    <row r="510" spans="1:4" x14ac:dyDescent="0.2"/>
    <row r="511" spans="1:4" x14ac:dyDescent="0.2"/>
    <row r="512" spans="1:4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</sheetData>
  <autoFilter ref="A9:W264">
    <sortState ref="A11:W264">
      <sortCondition ref="A9:A264"/>
    </sortState>
  </autoFilter>
  <customSheetViews>
    <customSheetView guid="{45C8AF51-29EC-46A5-AB7F-1F0634E55D82}" scale="60" showAutoFilter="1" hiddenRows="1" hiddenColumns="1">
      <pane xSplit="3" ySplit="9" topLeftCell="D271" activePane="bottomRight" state="frozenSplit"/>
      <selection pane="bottomRight" activeCell="B277" sqref="B277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:S264">
        <filterColumn colId="1" showButton="0"/>
        <filterColumn colId="2" showButton="0"/>
      </autoFilter>
    </customSheetView>
    <customSheetView guid="{FCC3B493-4306-43B2-9C73-76324485DD47}" scale="60" hiddenRows="1" hiddenColumns="1">
      <pane xSplit="3" ySplit="9" topLeftCell="D70" activePane="bottomRight" state="frozenSplit"/>
      <selection pane="bottomRight" activeCell="C72" sqref="C7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AEDE1BDB-8710-4CDA-8488-31F49D423ACE}" scale="55" hiddenRows="1" hiddenColumns="1">
      <pane xSplit="3" ySplit="9" topLeftCell="S250" activePane="bottomRight" state="frozenSplit"/>
      <selection pane="bottomRight" activeCell="S270" sqref="S27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75DD7674-E7DE-4BB1-A36D-76AA33452CB3}" scale="60" showAutoFilter="1" hiddenRows="1" hiddenColumns="1">
      <pane xSplit="3" ySplit="9" topLeftCell="E10" activePane="bottomRight" state="frozenSplit"/>
      <selection pane="bottomRight" activeCell="D268" sqref="D26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264">
        <sortState ref="A11:W264">
          <sortCondition ref="A9:A264"/>
        </sortState>
      </autoFilter>
    </customSheetView>
  </customSheetViews>
  <mergeCells count="20">
    <mergeCell ref="S8:S9"/>
    <mergeCell ref="A8:A9"/>
    <mergeCell ref="S5:S6"/>
    <mergeCell ref="B1:D1"/>
    <mergeCell ref="B2:D2"/>
    <mergeCell ref="B4:D4"/>
    <mergeCell ref="B5:B6"/>
    <mergeCell ref="C5:C6"/>
    <mergeCell ref="D5:D6"/>
    <mergeCell ref="E5:G6"/>
    <mergeCell ref="H5:J6"/>
    <mergeCell ref="K5:M6"/>
    <mergeCell ref="N5:P6"/>
    <mergeCell ref="Q5:R6"/>
    <mergeCell ref="B8:B9"/>
    <mergeCell ref="C8:C9"/>
    <mergeCell ref="D8:D9"/>
    <mergeCell ref="E8:P8"/>
    <mergeCell ref="Q8:Q9"/>
    <mergeCell ref="R8:R9"/>
  </mergeCells>
  <conditionalFormatting sqref="E95:P139 E223:P240 E140:J151 E59:P71 E154:P220">
    <cfRule type="containsBlanks" dxfId="4916" priority="1228" stopIfTrue="1">
      <formula>LEN(TRIM(E59))=0</formula>
    </cfRule>
    <cfRule type="cellIs" dxfId="4915" priority="1229" stopIfTrue="1" operator="between">
      <formula>79.1</formula>
      <formula>100</formula>
    </cfRule>
    <cfRule type="cellIs" dxfId="4914" priority="1230" stopIfTrue="1" operator="between">
      <formula>34.1</formula>
      <formula>79</formula>
    </cfRule>
    <cfRule type="cellIs" dxfId="4913" priority="1231" stopIfTrue="1" operator="between">
      <formula>13.1</formula>
      <formula>34</formula>
    </cfRule>
    <cfRule type="cellIs" dxfId="4912" priority="1232" stopIfTrue="1" operator="between">
      <formula>5.1</formula>
      <formula>13</formula>
    </cfRule>
    <cfRule type="cellIs" dxfId="4911" priority="1233" stopIfTrue="1" operator="between">
      <formula>0</formula>
      <formula>5</formula>
    </cfRule>
    <cfRule type="containsBlanks" dxfId="4910" priority="1234" stopIfTrue="1">
      <formula>LEN(TRIM(E59))=0</formula>
    </cfRule>
  </conditionalFormatting>
  <conditionalFormatting sqref="E222:P222 E244:P247 O241:P241 M243:P243 E250:P250 O248:P248 N249:P249 E253:P295 N251:P251 E152:P153 E326:Q326 Q147:Q325">
    <cfRule type="containsBlanks" dxfId="4909" priority="1221" stopIfTrue="1">
      <formula>LEN(TRIM(E147))=0</formula>
    </cfRule>
    <cfRule type="cellIs" dxfId="4908" priority="1222" stopIfTrue="1" operator="between">
      <formula>80.1</formula>
      <formula>100</formula>
    </cfRule>
    <cfRule type="cellIs" dxfId="4907" priority="1223" stopIfTrue="1" operator="between">
      <formula>35.1</formula>
      <formula>80</formula>
    </cfRule>
    <cfRule type="cellIs" dxfId="4906" priority="1224" stopIfTrue="1" operator="between">
      <formula>14.1</formula>
      <formula>35</formula>
    </cfRule>
    <cfRule type="cellIs" dxfId="4905" priority="1225" stopIfTrue="1" operator="between">
      <formula>5.1</formula>
      <formula>14</formula>
    </cfRule>
    <cfRule type="cellIs" dxfId="4904" priority="1226" stopIfTrue="1" operator="between">
      <formula>0</formula>
      <formula>5</formula>
    </cfRule>
    <cfRule type="containsBlanks" dxfId="4903" priority="1227" stopIfTrue="1">
      <formula>LEN(TRIM(E147))=0</formula>
    </cfRule>
  </conditionalFormatting>
  <conditionalFormatting sqref="E221:P221">
    <cfRule type="containsBlanks" dxfId="4902" priority="1200" stopIfTrue="1">
      <formula>LEN(TRIM(E221))=0</formula>
    </cfRule>
    <cfRule type="cellIs" dxfId="4901" priority="1201" stopIfTrue="1" operator="between">
      <formula>79.1</formula>
      <formula>100</formula>
    </cfRule>
    <cfRule type="cellIs" dxfId="4900" priority="1202" stopIfTrue="1" operator="between">
      <formula>34.1</formula>
      <formula>79</formula>
    </cfRule>
    <cfRule type="cellIs" dxfId="4899" priority="1203" stopIfTrue="1" operator="between">
      <formula>13.1</formula>
      <formula>34</formula>
    </cfRule>
    <cfRule type="cellIs" dxfId="4898" priority="1204" stopIfTrue="1" operator="between">
      <formula>5.1</formula>
      <formula>13</formula>
    </cfRule>
    <cfRule type="cellIs" dxfId="4897" priority="1205" stopIfTrue="1" operator="between">
      <formula>0</formula>
      <formula>5</formula>
    </cfRule>
    <cfRule type="containsBlanks" dxfId="4896" priority="1206" stopIfTrue="1">
      <formula>LEN(TRIM(E221))=0</formula>
    </cfRule>
  </conditionalFormatting>
  <conditionalFormatting sqref="E140:P140 E148:P151">
    <cfRule type="containsBlanks" dxfId="4895" priority="1207" stopIfTrue="1">
      <formula>LEN(TRIM(E140))=0</formula>
    </cfRule>
    <cfRule type="cellIs" dxfId="4894" priority="1208" stopIfTrue="1" operator="between">
      <formula>79.1</formula>
      <formula>100</formula>
    </cfRule>
    <cfRule type="cellIs" dxfId="4893" priority="1209" stopIfTrue="1" operator="between">
      <formula>34.1</formula>
      <formula>79</formula>
    </cfRule>
    <cfRule type="cellIs" dxfId="4892" priority="1210" stopIfTrue="1" operator="between">
      <formula>13.1</formula>
      <formula>34</formula>
    </cfRule>
    <cfRule type="cellIs" dxfId="4891" priority="1211" stopIfTrue="1" operator="between">
      <formula>5.1</formula>
      <formula>13</formula>
    </cfRule>
    <cfRule type="cellIs" dxfId="4890" priority="1212" stopIfTrue="1" operator="between">
      <formula>0</formula>
      <formula>5</formula>
    </cfRule>
    <cfRule type="containsBlanks" dxfId="4889" priority="1213" stopIfTrue="1">
      <formula>LEN(TRIM(E140))=0</formula>
    </cfRule>
  </conditionalFormatting>
  <conditionalFormatting sqref="F141:P141">
    <cfRule type="containsBlanks" dxfId="4888" priority="1039" stopIfTrue="1">
      <formula>LEN(TRIM(F141))=0</formula>
    </cfRule>
    <cfRule type="cellIs" dxfId="4887" priority="1040" stopIfTrue="1" operator="between">
      <formula>80.1</formula>
      <formula>100</formula>
    </cfRule>
    <cfRule type="cellIs" dxfId="4886" priority="1041" stopIfTrue="1" operator="between">
      <formula>35.1</formula>
      <formula>80</formula>
    </cfRule>
    <cfRule type="cellIs" dxfId="4885" priority="1042" stopIfTrue="1" operator="between">
      <formula>14.1</formula>
      <formula>35</formula>
    </cfRule>
    <cfRule type="cellIs" dxfId="4884" priority="1043" stopIfTrue="1" operator="between">
      <formula>5.1</formula>
      <formula>14</formula>
    </cfRule>
    <cfRule type="cellIs" dxfId="4883" priority="1044" stopIfTrue="1" operator="between">
      <formula>0</formula>
      <formula>5</formula>
    </cfRule>
    <cfRule type="containsBlanks" dxfId="4882" priority="1045" stopIfTrue="1">
      <formula>LEN(TRIM(F141))=0</formula>
    </cfRule>
  </conditionalFormatting>
  <conditionalFormatting sqref="E141">
    <cfRule type="containsBlanks" dxfId="4881" priority="1032" stopIfTrue="1">
      <formula>LEN(TRIM(E141))=0</formula>
    </cfRule>
    <cfRule type="cellIs" dxfId="4880" priority="1033" stopIfTrue="1" operator="between">
      <formula>80.1</formula>
      <formula>100</formula>
    </cfRule>
    <cfRule type="cellIs" dxfId="4879" priority="1034" stopIfTrue="1" operator="between">
      <formula>35.1</formula>
      <formula>80</formula>
    </cfRule>
    <cfRule type="cellIs" dxfId="4878" priority="1035" stopIfTrue="1" operator="between">
      <formula>14.1</formula>
      <formula>35</formula>
    </cfRule>
    <cfRule type="cellIs" dxfId="4877" priority="1036" stopIfTrue="1" operator="between">
      <formula>5.1</formula>
      <formula>14</formula>
    </cfRule>
    <cfRule type="cellIs" dxfId="4876" priority="1037" stopIfTrue="1" operator="between">
      <formula>0</formula>
      <formula>5</formula>
    </cfRule>
    <cfRule type="containsBlanks" dxfId="4875" priority="1038" stopIfTrue="1">
      <formula>LEN(TRIM(E141))=0</formula>
    </cfRule>
  </conditionalFormatting>
  <conditionalFormatting sqref="F142:P142">
    <cfRule type="containsBlanks" dxfId="4874" priority="1025" stopIfTrue="1">
      <formula>LEN(TRIM(F142))=0</formula>
    </cfRule>
    <cfRule type="cellIs" dxfId="4873" priority="1026" stopIfTrue="1" operator="between">
      <formula>80.1</formula>
      <formula>100</formula>
    </cfRule>
    <cfRule type="cellIs" dxfId="4872" priority="1027" stopIfTrue="1" operator="between">
      <formula>35.1</formula>
      <formula>80</formula>
    </cfRule>
    <cfRule type="cellIs" dxfId="4871" priority="1028" stopIfTrue="1" operator="between">
      <formula>14.1</formula>
      <formula>35</formula>
    </cfRule>
    <cfRule type="cellIs" dxfId="4870" priority="1029" stopIfTrue="1" operator="between">
      <formula>5.1</formula>
      <formula>14</formula>
    </cfRule>
    <cfRule type="cellIs" dxfId="4869" priority="1030" stopIfTrue="1" operator="between">
      <formula>0</formula>
      <formula>5</formula>
    </cfRule>
    <cfRule type="containsBlanks" dxfId="4868" priority="1031" stopIfTrue="1">
      <formula>LEN(TRIM(F142))=0</formula>
    </cfRule>
  </conditionalFormatting>
  <conditionalFormatting sqref="E142">
    <cfRule type="containsBlanks" dxfId="4867" priority="1018" stopIfTrue="1">
      <formula>LEN(TRIM(E142))=0</formula>
    </cfRule>
    <cfRule type="cellIs" dxfId="4866" priority="1019" stopIfTrue="1" operator="between">
      <formula>80.1</formula>
      <formula>100</formula>
    </cfRule>
    <cfRule type="cellIs" dxfId="4865" priority="1020" stopIfTrue="1" operator="between">
      <formula>35.1</formula>
      <formula>80</formula>
    </cfRule>
    <cfRule type="cellIs" dxfId="4864" priority="1021" stopIfTrue="1" operator="between">
      <formula>14.1</formula>
      <formula>35</formula>
    </cfRule>
    <cfRule type="cellIs" dxfId="4863" priority="1022" stopIfTrue="1" operator="between">
      <formula>5.1</formula>
      <formula>14</formula>
    </cfRule>
    <cfRule type="cellIs" dxfId="4862" priority="1023" stopIfTrue="1" operator="between">
      <formula>0</formula>
      <formula>5</formula>
    </cfRule>
    <cfRule type="containsBlanks" dxfId="4861" priority="1024" stopIfTrue="1">
      <formula>LEN(TRIM(E142))=0</formula>
    </cfRule>
  </conditionalFormatting>
  <conditionalFormatting sqref="F143:P143">
    <cfRule type="containsBlanks" dxfId="4860" priority="1011" stopIfTrue="1">
      <formula>LEN(TRIM(F143))=0</formula>
    </cfRule>
    <cfRule type="cellIs" dxfId="4859" priority="1012" stopIfTrue="1" operator="between">
      <formula>80.1</formula>
      <formula>100</formula>
    </cfRule>
    <cfRule type="cellIs" dxfId="4858" priority="1013" stopIfTrue="1" operator="between">
      <formula>35.1</formula>
      <formula>80</formula>
    </cfRule>
    <cfRule type="cellIs" dxfId="4857" priority="1014" stopIfTrue="1" operator="between">
      <formula>14.1</formula>
      <formula>35</formula>
    </cfRule>
    <cfRule type="cellIs" dxfId="4856" priority="1015" stopIfTrue="1" operator="between">
      <formula>5.1</formula>
      <formula>14</formula>
    </cfRule>
    <cfRule type="cellIs" dxfId="4855" priority="1016" stopIfTrue="1" operator="between">
      <formula>0</formula>
      <formula>5</formula>
    </cfRule>
    <cfRule type="containsBlanks" dxfId="4854" priority="1017" stopIfTrue="1">
      <formula>LEN(TRIM(F143))=0</formula>
    </cfRule>
  </conditionalFormatting>
  <conditionalFormatting sqref="E143">
    <cfRule type="containsBlanks" dxfId="4853" priority="1004" stopIfTrue="1">
      <formula>LEN(TRIM(E143))=0</formula>
    </cfRule>
    <cfRule type="cellIs" dxfId="4852" priority="1005" stopIfTrue="1" operator="between">
      <formula>80.1</formula>
      <formula>100</formula>
    </cfRule>
    <cfRule type="cellIs" dxfId="4851" priority="1006" stopIfTrue="1" operator="between">
      <formula>35.1</formula>
      <formula>80</formula>
    </cfRule>
    <cfRule type="cellIs" dxfId="4850" priority="1007" stopIfTrue="1" operator="between">
      <formula>14.1</formula>
      <formula>35</formula>
    </cfRule>
    <cfRule type="cellIs" dxfId="4849" priority="1008" stopIfTrue="1" operator="between">
      <formula>5.1</formula>
      <formula>14</formula>
    </cfRule>
    <cfRule type="cellIs" dxfId="4848" priority="1009" stopIfTrue="1" operator="between">
      <formula>0</formula>
      <formula>5</formula>
    </cfRule>
    <cfRule type="containsBlanks" dxfId="4847" priority="1010" stopIfTrue="1">
      <formula>LEN(TRIM(E143))=0</formula>
    </cfRule>
  </conditionalFormatting>
  <conditionalFormatting sqref="F144:P144">
    <cfRule type="containsBlanks" dxfId="4846" priority="997" stopIfTrue="1">
      <formula>LEN(TRIM(F144))=0</formula>
    </cfRule>
    <cfRule type="cellIs" dxfId="4845" priority="998" stopIfTrue="1" operator="between">
      <formula>80.1</formula>
      <formula>100</formula>
    </cfRule>
    <cfRule type="cellIs" dxfId="4844" priority="999" stopIfTrue="1" operator="between">
      <formula>35.1</formula>
      <formula>80</formula>
    </cfRule>
    <cfRule type="cellIs" dxfId="4843" priority="1000" stopIfTrue="1" operator="between">
      <formula>14.1</formula>
      <formula>35</formula>
    </cfRule>
    <cfRule type="cellIs" dxfId="4842" priority="1001" stopIfTrue="1" operator="between">
      <formula>5.1</formula>
      <formula>14</formula>
    </cfRule>
    <cfRule type="cellIs" dxfId="4841" priority="1002" stopIfTrue="1" operator="between">
      <formula>0</formula>
      <formula>5</formula>
    </cfRule>
    <cfRule type="containsBlanks" dxfId="4840" priority="1003" stopIfTrue="1">
      <formula>LEN(TRIM(F144))=0</formula>
    </cfRule>
  </conditionalFormatting>
  <conditionalFormatting sqref="E144">
    <cfRule type="containsBlanks" dxfId="4839" priority="990" stopIfTrue="1">
      <formula>LEN(TRIM(E144))=0</formula>
    </cfRule>
    <cfRule type="cellIs" dxfId="4838" priority="991" stopIfTrue="1" operator="between">
      <formula>80.1</formula>
      <formula>100</formula>
    </cfRule>
    <cfRule type="cellIs" dxfId="4837" priority="992" stopIfTrue="1" operator="between">
      <formula>35.1</formula>
      <formula>80</formula>
    </cfRule>
    <cfRule type="cellIs" dxfId="4836" priority="993" stopIfTrue="1" operator="between">
      <formula>14.1</formula>
      <formula>35</formula>
    </cfRule>
    <cfRule type="cellIs" dxfId="4835" priority="994" stopIfTrue="1" operator="between">
      <formula>5.1</formula>
      <formula>14</formula>
    </cfRule>
    <cfRule type="cellIs" dxfId="4834" priority="995" stopIfTrue="1" operator="between">
      <formula>0</formula>
      <formula>5</formula>
    </cfRule>
    <cfRule type="containsBlanks" dxfId="4833" priority="996" stopIfTrue="1">
      <formula>LEN(TRIM(E144))=0</formula>
    </cfRule>
  </conditionalFormatting>
  <conditionalFormatting sqref="F145:P145">
    <cfRule type="containsBlanks" dxfId="4832" priority="983" stopIfTrue="1">
      <formula>LEN(TRIM(F145))=0</formula>
    </cfRule>
    <cfRule type="cellIs" dxfId="4831" priority="984" stopIfTrue="1" operator="between">
      <formula>80.1</formula>
      <formula>100</formula>
    </cfRule>
    <cfRule type="cellIs" dxfId="4830" priority="985" stopIfTrue="1" operator="between">
      <formula>35.1</formula>
      <formula>80</formula>
    </cfRule>
    <cfRule type="cellIs" dxfId="4829" priority="986" stopIfTrue="1" operator="between">
      <formula>14.1</formula>
      <formula>35</formula>
    </cfRule>
    <cfRule type="cellIs" dxfId="4828" priority="987" stopIfTrue="1" operator="between">
      <formula>5.1</formula>
      <formula>14</formula>
    </cfRule>
    <cfRule type="cellIs" dxfId="4827" priority="988" stopIfTrue="1" operator="between">
      <formula>0</formula>
      <formula>5</formula>
    </cfRule>
    <cfRule type="containsBlanks" dxfId="4826" priority="989" stopIfTrue="1">
      <formula>LEN(TRIM(F145))=0</formula>
    </cfRule>
  </conditionalFormatting>
  <conditionalFormatting sqref="E145">
    <cfRule type="containsBlanks" dxfId="4825" priority="976" stopIfTrue="1">
      <formula>LEN(TRIM(E145))=0</formula>
    </cfRule>
    <cfRule type="cellIs" dxfId="4824" priority="977" stopIfTrue="1" operator="between">
      <formula>80.1</formula>
      <formula>100</formula>
    </cfRule>
    <cfRule type="cellIs" dxfId="4823" priority="978" stopIfTrue="1" operator="between">
      <formula>35.1</formula>
      <formula>80</formula>
    </cfRule>
    <cfRule type="cellIs" dxfId="4822" priority="979" stopIfTrue="1" operator="between">
      <formula>14.1</formula>
      <formula>35</formula>
    </cfRule>
    <cfRule type="cellIs" dxfId="4821" priority="980" stopIfTrue="1" operator="between">
      <formula>5.1</formula>
      <formula>14</formula>
    </cfRule>
    <cfRule type="cellIs" dxfId="4820" priority="981" stopIfTrue="1" operator="between">
      <formula>0</formula>
      <formula>5</formula>
    </cfRule>
    <cfRule type="containsBlanks" dxfId="4819" priority="982" stopIfTrue="1">
      <formula>LEN(TRIM(E145))=0</formula>
    </cfRule>
  </conditionalFormatting>
  <conditionalFormatting sqref="F147:P147">
    <cfRule type="containsBlanks" dxfId="4818" priority="969" stopIfTrue="1">
      <formula>LEN(TRIM(F147))=0</formula>
    </cfRule>
    <cfRule type="cellIs" dxfId="4817" priority="970" stopIfTrue="1" operator="between">
      <formula>80.1</formula>
      <formula>100</formula>
    </cfRule>
    <cfRule type="cellIs" dxfId="4816" priority="971" stopIfTrue="1" operator="between">
      <formula>35.1</formula>
      <formula>80</formula>
    </cfRule>
    <cfRule type="cellIs" dxfId="4815" priority="972" stopIfTrue="1" operator="between">
      <formula>14.1</formula>
      <formula>35</formula>
    </cfRule>
    <cfRule type="cellIs" dxfId="4814" priority="973" stopIfTrue="1" operator="between">
      <formula>5.1</formula>
      <formula>14</formula>
    </cfRule>
    <cfRule type="cellIs" dxfId="4813" priority="974" stopIfTrue="1" operator="between">
      <formula>0</formula>
      <formula>5</formula>
    </cfRule>
    <cfRule type="containsBlanks" dxfId="4812" priority="975" stopIfTrue="1">
      <formula>LEN(TRIM(F147))=0</formula>
    </cfRule>
  </conditionalFormatting>
  <conditionalFormatting sqref="E147">
    <cfRule type="containsBlanks" dxfId="4811" priority="962" stopIfTrue="1">
      <formula>LEN(TRIM(E147))=0</formula>
    </cfRule>
    <cfRule type="cellIs" dxfId="4810" priority="963" stopIfTrue="1" operator="between">
      <formula>80.1</formula>
      <formula>100</formula>
    </cfRule>
    <cfRule type="cellIs" dxfId="4809" priority="964" stopIfTrue="1" operator="between">
      <formula>35.1</formula>
      <formula>80</formula>
    </cfRule>
    <cfRule type="cellIs" dxfId="4808" priority="965" stopIfTrue="1" operator="between">
      <formula>14.1</formula>
      <formula>35</formula>
    </cfRule>
    <cfRule type="cellIs" dxfId="4807" priority="966" stopIfTrue="1" operator="between">
      <formula>5.1</formula>
      <formula>14</formula>
    </cfRule>
    <cfRule type="cellIs" dxfId="4806" priority="967" stopIfTrue="1" operator="between">
      <formula>0</formula>
      <formula>5</formula>
    </cfRule>
    <cfRule type="containsBlanks" dxfId="4805" priority="968" stopIfTrue="1">
      <formula>LEN(TRIM(E147))=0</formula>
    </cfRule>
  </conditionalFormatting>
  <conditionalFormatting sqref="F146:P146">
    <cfRule type="containsBlanks" dxfId="4804" priority="955" stopIfTrue="1">
      <formula>LEN(TRIM(F146))=0</formula>
    </cfRule>
    <cfRule type="cellIs" dxfId="4803" priority="956" stopIfTrue="1" operator="between">
      <formula>80.1</formula>
      <formula>100</formula>
    </cfRule>
    <cfRule type="cellIs" dxfId="4802" priority="957" stopIfTrue="1" operator="between">
      <formula>35.1</formula>
      <formula>80</formula>
    </cfRule>
    <cfRule type="cellIs" dxfId="4801" priority="958" stopIfTrue="1" operator="between">
      <formula>14.1</formula>
      <formula>35</formula>
    </cfRule>
    <cfRule type="cellIs" dxfId="4800" priority="959" stopIfTrue="1" operator="between">
      <formula>5.1</formula>
      <formula>14</formula>
    </cfRule>
    <cfRule type="cellIs" dxfId="4799" priority="960" stopIfTrue="1" operator="between">
      <formula>0</formula>
      <formula>5</formula>
    </cfRule>
    <cfRule type="containsBlanks" dxfId="4798" priority="961" stopIfTrue="1">
      <formula>LEN(TRIM(F146))=0</formula>
    </cfRule>
  </conditionalFormatting>
  <conditionalFormatting sqref="E146">
    <cfRule type="containsBlanks" dxfId="4797" priority="948" stopIfTrue="1">
      <formula>LEN(TRIM(E146))=0</formula>
    </cfRule>
    <cfRule type="cellIs" dxfId="4796" priority="949" stopIfTrue="1" operator="between">
      <formula>80.1</formula>
      <formula>100</formula>
    </cfRule>
    <cfRule type="cellIs" dxfId="4795" priority="950" stopIfTrue="1" operator="between">
      <formula>35.1</formula>
      <formula>80</formula>
    </cfRule>
    <cfRule type="cellIs" dxfId="4794" priority="951" stopIfTrue="1" operator="between">
      <formula>14.1</formula>
      <formula>35</formula>
    </cfRule>
    <cfRule type="cellIs" dxfId="4793" priority="952" stopIfTrue="1" operator="between">
      <formula>5.1</formula>
      <formula>14</formula>
    </cfRule>
    <cfRule type="cellIs" dxfId="4792" priority="953" stopIfTrue="1" operator="between">
      <formula>0</formula>
      <formula>5</formula>
    </cfRule>
    <cfRule type="containsBlanks" dxfId="4791" priority="954" stopIfTrue="1">
      <formula>LEN(TRIM(E146))=0</formula>
    </cfRule>
  </conditionalFormatting>
  <conditionalFormatting sqref="E55:P57">
    <cfRule type="containsBlanks" dxfId="4790" priority="885" stopIfTrue="1">
      <formula>LEN(TRIM(E55))=0</formula>
    </cfRule>
    <cfRule type="cellIs" dxfId="4789" priority="886" stopIfTrue="1" operator="between">
      <formula>79.1</formula>
      <formula>100</formula>
    </cfRule>
    <cfRule type="cellIs" dxfId="4788" priority="887" stopIfTrue="1" operator="between">
      <formula>34.1</formula>
      <formula>79</formula>
    </cfRule>
    <cfRule type="cellIs" dxfId="4787" priority="888" stopIfTrue="1" operator="between">
      <formula>13.1</formula>
      <formula>34</formula>
    </cfRule>
    <cfRule type="cellIs" dxfId="4786" priority="889" stopIfTrue="1" operator="between">
      <formula>5.1</formula>
      <formula>13</formula>
    </cfRule>
    <cfRule type="cellIs" dxfId="4785" priority="890" stopIfTrue="1" operator="between">
      <formula>0</formula>
      <formula>5</formula>
    </cfRule>
    <cfRule type="containsBlanks" dxfId="4784" priority="891" stopIfTrue="1">
      <formula>LEN(TRIM(E55))=0</formula>
    </cfRule>
  </conditionalFormatting>
  <conditionalFormatting sqref="E58:P58">
    <cfRule type="containsBlanks" dxfId="4783" priority="878" stopIfTrue="1">
      <formula>LEN(TRIM(E58))=0</formula>
    </cfRule>
    <cfRule type="cellIs" dxfId="4782" priority="879" stopIfTrue="1" operator="between">
      <formula>79.1</formula>
      <formula>100</formula>
    </cfRule>
    <cfRule type="cellIs" dxfId="4781" priority="880" stopIfTrue="1" operator="between">
      <formula>34.1</formula>
      <formula>79</formula>
    </cfRule>
    <cfRule type="cellIs" dxfId="4780" priority="881" stopIfTrue="1" operator="between">
      <formula>13.1</formula>
      <formula>34</formula>
    </cfRule>
    <cfRule type="cellIs" dxfId="4779" priority="882" stopIfTrue="1" operator="between">
      <formula>5.1</formula>
      <formula>13</formula>
    </cfRule>
    <cfRule type="cellIs" dxfId="4778" priority="883" stopIfTrue="1" operator="between">
      <formula>0</formula>
      <formula>5</formula>
    </cfRule>
    <cfRule type="containsBlanks" dxfId="4777" priority="884" stopIfTrue="1">
      <formula>LEN(TRIM(E58))=0</formula>
    </cfRule>
  </conditionalFormatting>
  <conditionalFormatting sqref="N310">
    <cfRule type="containsBlanks" dxfId="4776" priority="808" stopIfTrue="1">
      <formula>LEN(TRIM(N310))=0</formula>
    </cfRule>
    <cfRule type="cellIs" dxfId="4775" priority="809" stopIfTrue="1" operator="between">
      <formula>79.1</formula>
      <formula>100</formula>
    </cfRule>
    <cfRule type="cellIs" dxfId="4774" priority="810" stopIfTrue="1" operator="between">
      <formula>34.1</formula>
      <formula>79</formula>
    </cfRule>
    <cfRule type="cellIs" dxfId="4773" priority="811" stopIfTrue="1" operator="between">
      <formula>13.1</formula>
      <formula>34</formula>
    </cfRule>
    <cfRule type="cellIs" dxfId="4772" priority="812" stopIfTrue="1" operator="between">
      <formula>5.1</formula>
      <formula>13</formula>
    </cfRule>
    <cfRule type="cellIs" dxfId="4771" priority="813" stopIfTrue="1" operator="between">
      <formula>0</formula>
      <formula>5</formula>
    </cfRule>
    <cfRule type="containsBlanks" dxfId="4770" priority="814" stopIfTrue="1">
      <formula>LEN(TRIM(N310))=0</formula>
    </cfRule>
  </conditionalFormatting>
  <conditionalFormatting sqref="E323 E296:P296 M297:P297 E297:K297 E305:H305 E308:H308 E314:H315 E316:I316 E317:G318 I317:J318 E309:F310 O310:P310 G310:M310 K316:P318 E319:P322 H309:P309 J305:P305 G323:P323 J314:P315 J308:P308 E306:P307 E298:P304 E324:P325 E311:P313">
    <cfRule type="containsBlanks" dxfId="4769" priority="850" stopIfTrue="1">
      <formula>LEN(TRIM(E296))=0</formula>
    </cfRule>
    <cfRule type="cellIs" dxfId="4768" priority="851" stopIfTrue="1" operator="between">
      <formula>79.1</formula>
      <formula>100</formula>
    </cfRule>
    <cfRule type="cellIs" dxfId="4767" priority="852" stopIfTrue="1" operator="between">
      <formula>34.1</formula>
      <formula>79</formula>
    </cfRule>
    <cfRule type="cellIs" dxfId="4766" priority="853" stopIfTrue="1" operator="between">
      <formula>13.1</formula>
      <formula>34</formula>
    </cfRule>
    <cfRule type="cellIs" dxfId="4765" priority="854" stopIfTrue="1" operator="between">
      <formula>5.1</formula>
      <formula>13</formula>
    </cfRule>
    <cfRule type="cellIs" dxfId="4764" priority="855" stopIfTrue="1" operator="between">
      <formula>0</formula>
      <formula>5</formula>
    </cfRule>
    <cfRule type="containsBlanks" dxfId="4763" priority="856" stopIfTrue="1">
      <formula>LEN(TRIM(E296))=0</formula>
    </cfRule>
  </conditionalFormatting>
  <conditionalFormatting sqref="J316">
    <cfRule type="containsBlanks" dxfId="4762" priority="843" stopIfTrue="1">
      <formula>LEN(TRIM(J316))=0</formula>
    </cfRule>
    <cfRule type="cellIs" dxfId="4761" priority="844" stopIfTrue="1" operator="between">
      <formula>79.1</formula>
      <formula>100</formula>
    </cfRule>
    <cfRule type="cellIs" dxfId="4760" priority="845" stopIfTrue="1" operator="between">
      <formula>34.1</formula>
      <formula>79</formula>
    </cfRule>
    <cfRule type="cellIs" dxfId="4759" priority="846" stopIfTrue="1" operator="between">
      <formula>13.1</formula>
      <formula>34</formula>
    </cfRule>
    <cfRule type="cellIs" dxfId="4758" priority="847" stopIfTrue="1" operator="between">
      <formula>5.1</formula>
      <formula>13</formula>
    </cfRule>
    <cfRule type="cellIs" dxfId="4757" priority="848" stopIfTrue="1" operator="between">
      <formula>0</formula>
      <formula>5</formula>
    </cfRule>
    <cfRule type="containsBlanks" dxfId="4756" priority="849" stopIfTrue="1">
      <formula>LEN(TRIM(J316))=0</formula>
    </cfRule>
  </conditionalFormatting>
  <conditionalFormatting sqref="I314">
    <cfRule type="containsBlanks" dxfId="4755" priority="836" stopIfTrue="1">
      <formula>LEN(TRIM(I314))=0</formula>
    </cfRule>
    <cfRule type="cellIs" dxfId="4754" priority="837" stopIfTrue="1" operator="between">
      <formula>79.1</formula>
      <formula>100</formula>
    </cfRule>
    <cfRule type="cellIs" dxfId="4753" priority="838" stopIfTrue="1" operator="between">
      <formula>34.1</formula>
      <formula>79</formula>
    </cfRule>
    <cfRule type="cellIs" dxfId="4752" priority="839" stopIfTrue="1" operator="between">
      <formula>13.1</formula>
      <formula>34</formula>
    </cfRule>
    <cfRule type="cellIs" dxfId="4751" priority="840" stopIfTrue="1" operator="between">
      <formula>5.1</formula>
      <formula>13</formula>
    </cfRule>
    <cfRule type="cellIs" dxfId="4750" priority="841" stopIfTrue="1" operator="between">
      <formula>0</formula>
      <formula>5</formula>
    </cfRule>
    <cfRule type="containsBlanks" dxfId="4749" priority="842" stopIfTrue="1">
      <formula>LEN(TRIM(I314))=0</formula>
    </cfRule>
  </conditionalFormatting>
  <conditionalFormatting sqref="H317">
    <cfRule type="containsBlanks" dxfId="4748" priority="829" stopIfTrue="1">
      <formula>LEN(TRIM(H317))=0</formula>
    </cfRule>
    <cfRule type="cellIs" dxfId="4747" priority="830" stopIfTrue="1" operator="between">
      <formula>79.1</formula>
      <formula>100</formula>
    </cfRule>
    <cfRule type="cellIs" dxfId="4746" priority="831" stopIfTrue="1" operator="between">
      <formula>34.1</formula>
      <formula>79</formula>
    </cfRule>
    <cfRule type="cellIs" dxfId="4745" priority="832" stopIfTrue="1" operator="between">
      <formula>13.1</formula>
      <formula>34</formula>
    </cfRule>
    <cfRule type="cellIs" dxfId="4744" priority="833" stopIfTrue="1" operator="between">
      <formula>5.1</formula>
      <formula>13</formula>
    </cfRule>
    <cfRule type="cellIs" dxfId="4743" priority="834" stopIfTrue="1" operator="between">
      <formula>0</formula>
      <formula>5</formula>
    </cfRule>
    <cfRule type="containsBlanks" dxfId="4742" priority="835" stopIfTrue="1">
      <formula>LEN(TRIM(H317))=0</formula>
    </cfRule>
  </conditionalFormatting>
  <conditionalFormatting sqref="I305">
    <cfRule type="containsBlanks" dxfId="4741" priority="822" stopIfTrue="1">
      <formula>LEN(TRIM(I305))=0</formula>
    </cfRule>
    <cfRule type="cellIs" dxfId="4740" priority="823" stopIfTrue="1" operator="between">
      <formula>79.1</formula>
      <formula>100</formula>
    </cfRule>
    <cfRule type="cellIs" dxfId="4739" priority="824" stopIfTrue="1" operator="between">
      <formula>34.1</formula>
      <formula>79</formula>
    </cfRule>
    <cfRule type="cellIs" dxfId="4738" priority="825" stopIfTrue="1" operator="between">
      <formula>13.1</formula>
      <formula>34</formula>
    </cfRule>
    <cfRule type="cellIs" dxfId="4737" priority="826" stopIfTrue="1" operator="between">
      <formula>5.1</formula>
      <formula>13</formula>
    </cfRule>
    <cfRule type="cellIs" dxfId="4736" priority="827" stopIfTrue="1" operator="between">
      <formula>0</formula>
      <formula>5</formula>
    </cfRule>
    <cfRule type="containsBlanks" dxfId="4735" priority="828" stopIfTrue="1">
      <formula>LEN(TRIM(I305))=0</formula>
    </cfRule>
  </conditionalFormatting>
  <conditionalFormatting sqref="L297">
    <cfRule type="containsBlanks" dxfId="4734" priority="815" stopIfTrue="1">
      <formula>LEN(TRIM(L297))=0</formula>
    </cfRule>
    <cfRule type="cellIs" dxfId="4733" priority="816" stopIfTrue="1" operator="between">
      <formula>79.1</formula>
      <formula>100</formula>
    </cfRule>
    <cfRule type="cellIs" dxfId="4732" priority="817" stopIfTrue="1" operator="between">
      <formula>34.1</formula>
      <formula>79</formula>
    </cfRule>
    <cfRule type="cellIs" dxfId="4731" priority="818" stopIfTrue="1" operator="between">
      <formula>13.1</formula>
      <formula>34</formula>
    </cfRule>
    <cfRule type="cellIs" dxfId="4730" priority="819" stopIfTrue="1" operator="between">
      <formula>5.1</formula>
      <formula>13</formula>
    </cfRule>
    <cfRule type="cellIs" dxfId="4729" priority="820" stopIfTrue="1" operator="between">
      <formula>0</formula>
      <formula>5</formula>
    </cfRule>
    <cfRule type="containsBlanks" dxfId="4728" priority="821" stopIfTrue="1">
      <formula>LEN(TRIM(L297))=0</formula>
    </cfRule>
  </conditionalFormatting>
  <conditionalFormatting sqref="E241 I241:N241">
    <cfRule type="containsBlanks" dxfId="4727" priority="206" stopIfTrue="1">
      <formula>LEN(TRIM(E241))=0</formula>
    </cfRule>
    <cfRule type="cellIs" dxfId="4726" priority="207" stopIfTrue="1" operator="between">
      <formula>80.1</formula>
      <formula>100</formula>
    </cfRule>
    <cfRule type="cellIs" dxfId="4725" priority="208" stopIfTrue="1" operator="between">
      <formula>35.1</formula>
      <formula>80</formula>
    </cfRule>
    <cfRule type="cellIs" dxfId="4724" priority="209" stopIfTrue="1" operator="between">
      <formula>14.1</formula>
      <formula>35</formula>
    </cfRule>
    <cfRule type="cellIs" dxfId="4723" priority="210" stopIfTrue="1" operator="between">
      <formula>5.1</formula>
      <formula>14</formula>
    </cfRule>
    <cfRule type="cellIs" dxfId="4722" priority="211" stopIfTrue="1" operator="between">
      <formula>0</formula>
      <formula>5</formula>
    </cfRule>
    <cfRule type="containsBlanks" dxfId="4721" priority="212" stopIfTrue="1">
      <formula>LEN(TRIM(E241))=0</formula>
    </cfRule>
  </conditionalFormatting>
  <conditionalFormatting sqref="F241:H241">
    <cfRule type="containsBlanks" dxfId="4720" priority="199" stopIfTrue="1">
      <formula>LEN(TRIM(F241))=0</formula>
    </cfRule>
    <cfRule type="cellIs" dxfId="4719" priority="200" stopIfTrue="1" operator="between">
      <formula>80.1</formula>
      <formula>100</formula>
    </cfRule>
    <cfRule type="cellIs" dxfId="4718" priority="201" stopIfTrue="1" operator="between">
      <formula>35.1</formula>
      <formula>80</formula>
    </cfRule>
    <cfRule type="cellIs" dxfId="4717" priority="202" stopIfTrue="1" operator="between">
      <formula>14.1</formula>
      <formula>35</formula>
    </cfRule>
    <cfRule type="cellIs" dxfId="4716" priority="203" stopIfTrue="1" operator="between">
      <formula>5.1</formula>
      <formula>14</formula>
    </cfRule>
    <cfRule type="cellIs" dxfId="4715" priority="204" stopIfTrue="1" operator="between">
      <formula>0</formula>
      <formula>5</formula>
    </cfRule>
    <cfRule type="containsBlanks" dxfId="4714" priority="205" stopIfTrue="1">
      <formula>LEN(TRIM(F241))=0</formula>
    </cfRule>
  </conditionalFormatting>
  <conditionalFormatting sqref="E242 I242:P242">
    <cfRule type="containsBlanks" dxfId="4713" priority="192" stopIfTrue="1">
      <formula>LEN(TRIM(E242))=0</formula>
    </cfRule>
    <cfRule type="cellIs" dxfId="4712" priority="193" stopIfTrue="1" operator="between">
      <formula>80.1</formula>
      <formula>100</formula>
    </cfRule>
    <cfRule type="cellIs" dxfId="4711" priority="194" stopIfTrue="1" operator="between">
      <formula>35.1</formula>
      <formula>80</formula>
    </cfRule>
    <cfRule type="cellIs" dxfId="4710" priority="195" stopIfTrue="1" operator="between">
      <formula>14.1</formula>
      <formula>35</formula>
    </cfRule>
    <cfRule type="cellIs" dxfId="4709" priority="196" stopIfTrue="1" operator="between">
      <formula>5.1</formula>
      <formula>14</formula>
    </cfRule>
    <cfRule type="cellIs" dxfId="4708" priority="197" stopIfTrue="1" operator="between">
      <formula>0</formula>
      <formula>5</formula>
    </cfRule>
    <cfRule type="containsBlanks" dxfId="4707" priority="198" stopIfTrue="1">
      <formula>LEN(TRIM(E242))=0</formula>
    </cfRule>
  </conditionalFormatting>
  <conditionalFormatting sqref="F242:H242">
    <cfRule type="containsBlanks" dxfId="4706" priority="185" stopIfTrue="1">
      <formula>LEN(TRIM(F242))=0</formula>
    </cfRule>
    <cfRule type="cellIs" dxfId="4705" priority="186" stopIfTrue="1" operator="between">
      <formula>80.1</formula>
      <formula>100</formula>
    </cfRule>
    <cfRule type="cellIs" dxfId="4704" priority="187" stopIfTrue="1" operator="between">
      <formula>35.1</formula>
      <formula>80</formula>
    </cfRule>
    <cfRule type="cellIs" dxfId="4703" priority="188" stopIfTrue="1" operator="between">
      <formula>14.1</formula>
      <formula>35</formula>
    </cfRule>
    <cfRule type="cellIs" dxfId="4702" priority="189" stopIfTrue="1" operator="between">
      <formula>5.1</formula>
      <formula>14</formula>
    </cfRule>
    <cfRule type="cellIs" dxfId="4701" priority="190" stopIfTrue="1" operator="between">
      <formula>0</formula>
      <formula>5</formula>
    </cfRule>
    <cfRule type="containsBlanks" dxfId="4700" priority="191" stopIfTrue="1">
      <formula>LEN(TRIM(F242))=0</formula>
    </cfRule>
  </conditionalFormatting>
  <conditionalFormatting sqref="E243:L243">
    <cfRule type="containsBlanks" dxfId="4699" priority="178" stopIfTrue="1">
      <formula>LEN(TRIM(E243))=0</formula>
    </cfRule>
    <cfRule type="cellIs" dxfId="4698" priority="179" stopIfTrue="1" operator="between">
      <formula>80.1</formula>
      <formula>100</formula>
    </cfRule>
    <cfRule type="cellIs" dxfId="4697" priority="180" stopIfTrue="1" operator="between">
      <formula>35.1</formula>
      <formula>80</formula>
    </cfRule>
    <cfRule type="cellIs" dxfId="4696" priority="181" stopIfTrue="1" operator="between">
      <formula>14.1</formula>
      <formula>35</formula>
    </cfRule>
    <cfRule type="cellIs" dxfId="4695" priority="182" stopIfTrue="1" operator="between">
      <formula>5.1</formula>
      <formula>14</formula>
    </cfRule>
    <cfRule type="cellIs" dxfId="4694" priority="183" stopIfTrue="1" operator="between">
      <formula>0</formula>
      <formula>5</formula>
    </cfRule>
    <cfRule type="containsBlanks" dxfId="4693" priority="184" stopIfTrue="1">
      <formula>LEN(TRIM(E243))=0</formula>
    </cfRule>
  </conditionalFormatting>
  <conditionalFormatting sqref="E252:P252">
    <cfRule type="containsBlanks" dxfId="4692" priority="150" stopIfTrue="1">
      <formula>LEN(TRIM(E252))=0</formula>
    </cfRule>
    <cfRule type="cellIs" dxfId="4691" priority="151" stopIfTrue="1" operator="between">
      <formula>80.1</formula>
      <formula>100</formula>
    </cfRule>
    <cfRule type="cellIs" dxfId="4690" priority="152" stopIfTrue="1" operator="between">
      <formula>35.1</formula>
      <formula>80</formula>
    </cfRule>
    <cfRule type="cellIs" dxfId="4689" priority="153" stopIfTrue="1" operator="between">
      <formula>14.1</formula>
      <formula>35</formula>
    </cfRule>
    <cfRule type="cellIs" dxfId="4688" priority="154" stopIfTrue="1" operator="between">
      <formula>5.1</formula>
      <formula>14</formula>
    </cfRule>
    <cfRule type="cellIs" dxfId="4687" priority="155" stopIfTrue="1" operator="between">
      <formula>0</formula>
      <formula>5</formula>
    </cfRule>
    <cfRule type="containsBlanks" dxfId="4686" priority="156" stopIfTrue="1">
      <formula>LEN(TRIM(E252))=0</formula>
    </cfRule>
  </conditionalFormatting>
  <conditionalFormatting sqref="E248:N248">
    <cfRule type="containsBlanks" dxfId="4685" priority="171" stopIfTrue="1">
      <formula>LEN(TRIM(E248))=0</formula>
    </cfRule>
    <cfRule type="cellIs" dxfId="4684" priority="172" stopIfTrue="1" operator="between">
      <formula>80.1</formula>
      <formula>100</formula>
    </cfRule>
    <cfRule type="cellIs" dxfId="4683" priority="173" stopIfTrue="1" operator="between">
      <formula>35.1</formula>
      <formula>80</formula>
    </cfRule>
    <cfRule type="cellIs" dxfId="4682" priority="174" stopIfTrue="1" operator="between">
      <formula>14.1</formula>
      <formula>35</formula>
    </cfRule>
    <cfRule type="cellIs" dxfId="4681" priority="175" stopIfTrue="1" operator="between">
      <formula>5.1</formula>
      <formula>14</formula>
    </cfRule>
    <cfRule type="cellIs" dxfId="4680" priority="176" stopIfTrue="1" operator="between">
      <formula>0</formula>
      <formula>5</formula>
    </cfRule>
    <cfRule type="containsBlanks" dxfId="4679" priority="177" stopIfTrue="1">
      <formula>LEN(TRIM(E248))=0</formula>
    </cfRule>
  </conditionalFormatting>
  <conditionalFormatting sqref="E249:M249">
    <cfRule type="containsBlanks" dxfId="4678" priority="164" stopIfTrue="1">
      <formula>LEN(TRIM(E249))=0</formula>
    </cfRule>
    <cfRule type="cellIs" dxfId="4677" priority="165" stopIfTrue="1" operator="between">
      <formula>80.1</formula>
      <formula>100</formula>
    </cfRule>
    <cfRule type="cellIs" dxfId="4676" priority="166" stopIfTrue="1" operator="between">
      <formula>35.1</formula>
      <formula>80</formula>
    </cfRule>
    <cfRule type="cellIs" dxfId="4675" priority="167" stopIfTrue="1" operator="between">
      <formula>14.1</formula>
      <formula>35</formula>
    </cfRule>
    <cfRule type="cellIs" dxfId="4674" priority="168" stopIfTrue="1" operator="between">
      <formula>5.1</formula>
      <formula>14</formula>
    </cfRule>
    <cfRule type="cellIs" dxfId="4673" priority="169" stopIfTrue="1" operator="between">
      <formula>0</formula>
      <formula>5</formula>
    </cfRule>
    <cfRule type="containsBlanks" dxfId="4672" priority="170" stopIfTrue="1">
      <formula>LEN(TRIM(E249))=0</formula>
    </cfRule>
  </conditionalFormatting>
  <conditionalFormatting sqref="E251:M251">
    <cfRule type="containsBlanks" dxfId="4671" priority="157" stopIfTrue="1">
      <formula>LEN(TRIM(E251))=0</formula>
    </cfRule>
    <cfRule type="cellIs" dxfId="4670" priority="158" stopIfTrue="1" operator="between">
      <formula>80.1</formula>
      <formula>100</formula>
    </cfRule>
    <cfRule type="cellIs" dxfId="4669" priority="159" stopIfTrue="1" operator="between">
      <formula>35.1</formula>
      <formula>80</formula>
    </cfRule>
    <cfRule type="cellIs" dxfId="4668" priority="160" stopIfTrue="1" operator="between">
      <formula>14.1</formula>
      <formula>35</formula>
    </cfRule>
    <cfRule type="cellIs" dxfId="4667" priority="161" stopIfTrue="1" operator="between">
      <formula>5.1</formula>
      <formula>14</formula>
    </cfRule>
    <cfRule type="cellIs" dxfId="4666" priority="162" stopIfTrue="1" operator="between">
      <formula>0</formula>
      <formula>5</formula>
    </cfRule>
    <cfRule type="containsBlanks" dxfId="4665" priority="163" stopIfTrue="1">
      <formula>LEN(TRIM(E251))=0</formula>
    </cfRule>
  </conditionalFormatting>
  <conditionalFormatting sqref="R147:R326">
    <cfRule type="cellIs" dxfId="4664" priority="149" stopIfTrue="1" operator="equal">
      <formula>"NO"</formula>
    </cfRule>
  </conditionalFormatting>
  <conditionalFormatting sqref="S265:S326">
    <cfRule type="cellIs" dxfId="4663" priority="148" stopIfTrue="1" operator="equal">
      <formula>"INVIABLE SANITARIAMENTE"</formula>
    </cfRule>
  </conditionalFormatting>
  <conditionalFormatting sqref="S265:S326">
    <cfRule type="containsText" dxfId="4662" priority="143" stopIfTrue="1" operator="containsText" text="INVIABLE SANITARIAMENTE">
      <formula>NOT(ISERROR(SEARCH("INVIABLE SANITARIAMENTE",S265)))</formula>
    </cfRule>
    <cfRule type="containsText" dxfId="4661" priority="144" stopIfTrue="1" operator="containsText" text="ALTO">
      <formula>NOT(ISERROR(SEARCH("ALTO",S265)))</formula>
    </cfRule>
    <cfRule type="containsText" dxfId="4660" priority="145" stopIfTrue="1" operator="containsText" text="MEDIO">
      <formula>NOT(ISERROR(SEARCH("MEDIO",S265)))</formula>
    </cfRule>
    <cfRule type="containsText" dxfId="4659" priority="146" stopIfTrue="1" operator="containsText" text="BAJO">
      <formula>NOT(ISERROR(SEARCH("BAJO",S265)))</formula>
    </cfRule>
    <cfRule type="containsText" dxfId="4658" priority="147" stopIfTrue="1" operator="containsText" text="SIN RIESGO">
      <formula>NOT(ISERROR(SEARCH("SIN RIESGO",S265)))</formula>
    </cfRule>
  </conditionalFormatting>
  <conditionalFormatting sqref="S265:S326">
    <cfRule type="containsText" dxfId="4657" priority="142" stopIfTrue="1" operator="containsText" text="SIN RIESGO">
      <formula>NOT(ISERROR(SEARCH("SIN RIESGO",S265)))</formula>
    </cfRule>
  </conditionalFormatting>
  <conditionalFormatting sqref="Q55:Q71 Q95:Q146">
    <cfRule type="containsBlanks" dxfId="4656" priority="120" stopIfTrue="1">
      <formula>LEN(TRIM(Q55))=0</formula>
    </cfRule>
    <cfRule type="cellIs" dxfId="4655" priority="121" stopIfTrue="1" operator="between">
      <formula>80.1</formula>
      <formula>100</formula>
    </cfRule>
    <cfRule type="cellIs" dxfId="4654" priority="122" stopIfTrue="1" operator="between">
      <formula>35.1</formula>
      <formula>80</formula>
    </cfRule>
    <cfRule type="cellIs" dxfId="4653" priority="123" stopIfTrue="1" operator="between">
      <formula>14.1</formula>
      <formula>35</formula>
    </cfRule>
    <cfRule type="cellIs" dxfId="4652" priority="124" stopIfTrue="1" operator="between">
      <formula>5.1</formula>
      <formula>14</formula>
    </cfRule>
    <cfRule type="cellIs" dxfId="4651" priority="125" stopIfTrue="1" operator="between">
      <formula>0</formula>
      <formula>5</formula>
    </cfRule>
    <cfRule type="containsBlanks" dxfId="4650" priority="126" stopIfTrue="1">
      <formula>LEN(TRIM(Q55))=0</formula>
    </cfRule>
  </conditionalFormatting>
  <conditionalFormatting sqref="R55:R71 R95:R146">
    <cfRule type="cellIs" dxfId="4649" priority="119" stopIfTrue="1" operator="equal">
      <formula>"NO"</formula>
    </cfRule>
  </conditionalFormatting>
  <conditionalFormatting sqref="R10:R33">
    <cfRule type="cellIs" dxfId="4648" priority="111" stopIfTrue="1" operator="equal">
      <formula>"NO"</formula>
    </cfRule>
  </conditionalFormatting>
  <conditionalFormatting sqref="S10:S264">
    <cfRule type="cellIs" dxfId="4647" priority="110" stopIfTrue="1" operator="equal">
      <formula>"INVIABLE SANITARIAMENTE"</formula>
    </cfRule>
  </conditionalFormatting>
  <conditionalFormatting sqref="E10:Q26 H27:Q27 E27:F27 E29:Q33 Q28">
    <cfRule type="containsBlanks" dxfId="4646" priority="103" stopIfTrue="1">
      <formula>LEN(TRIM(E10))=0</formula>
    </cfRule>
    <cfRule type="cellIs" dxfId="4645" priority="104" stopIfTrue="1" operator="between">
      <formula>80.1</formula>
      <formula>100</formula>
    </cfRule>
    <cfRule type="cellIs" dxfId="4644" priority="105" stopIfTrue="1" operator="between">
      <formula>35.1</formula>
      <formula>80</formula>
    </cfRule>
    <cfRule type="cellIs" dxfId="4643" priority="106" stopIfTrue="1" operator="between">
      <formula>14.1</formula>
      <formula>35</formula>
    </cfRule>
    <cfRule type="cellIs" dxfId="4642" priority="107" stopIfTrue="1" operator="between">
      <formula>5.1</formula>
      <formula>14</formula>
    </cfRule>
    <cfRule type="cellIs" dxfId="4641" priority="108" stopIfTrue="1" operator="between">
      <formula>0</formula>
      <formula>5</formula>
    </cfRule>
    <cfRule type="containsBlanks" dxfId="4640" priority="109" stopIfTrue="1">
      <formula>LEN(TRIM(E10))=0</formula>
    </cfRule>
  </conditionalFormatting>
  <conditionalFormatting sqref="S10:S264">
    <cfRule type="containsText" dxfId="4639" priority="98" stopIfTrue="1" operator="containsText" text="INVIABLE SANITARIAMENTE">
      <formula>NOT(ISERROR(SEARCH("INVIABLE SANITARIAMENTE",S10)))</formula>
    </cfRule>
    <cfRule type="containsText" dxfId="4638" priority="99" stopIfTrue="1" operator="containsText" text="ALTO">
      <formula>NOT(ISERROR(SEARCH("ALTO",S10)))</formula>
    </cfRule>
    <cfRule type="containsText" dxfId="4637" priority="100" stopIfTrue="1" operator="containsText" text="MEDIO">
      <formula>NOT(ISERROR(SEARCH("MEDIO",S10)))</formula>
    </cfRule>
    <cfRule type="containsText" dxfId="4636" priority="101" stopIfTrue="1" operator="containsText" text="BAJO">
      <formula>NOT(ISERROR(SEARCH("BAJO",S10)))</formula>
    </cfRule>
    <cfRule type="containsText" dxfId="4635" priority="102" stopIfTrue="1" operator="containsText" text="SIN RIESGO">
      <formula>NOT(ISERROR(SEARCH("SIN RIESGO",S10)))</formula>
    </cfRule>
  </conditionalFormatting>
  <conditionalFormatting sqref="S10:S264">
    <cfRule type="containsText" dxfId="4634" priority="97" stopIfTrue="1" operator="containsText" text="SIN RIESGO">
      <formula>NOT(ISERROR(SEARCH("SIN RIESGO",S10)))</formula>
    </cfRule>
  </conditionalFormatting>
  <conditionalFormatting sqref="E28:P28">
    <cfRule type="containsBlanks" dxfId="4633" priority="90" stopIfTrue="1">
      <formula>LEN(TRIM(E28))=0</formula>
    </cfRule>
    <cfRule type="cellIs" dxfId="4632" priority="91" stopIfTrue="1" operator="between">
      <formula>80.1</formula>
      <formula>100</formula>
    </cfRule>
    <cfRule type="cellIs" dxfId="4631" priority="92" stopIfTrue="1" operator="between">
      <formula>35.1</formula>
      <formula>80</formula>
    </cfRule>
    <cfRule type="cellIs" dxfId="4630" priority="93" stopIfTrue="1" operator="between">
      <formula>14.1</formula>
      <formula>35</formula>
    </cfRule>
    <cfRule type="cellIs" dxfId="4629" priority="94" stopIfTrue="1" operator="between">
      <formula>5.1</formula>
      <formula>14</formula>
    </cfRule>
    <cfRule type="cellIs" dxfId="4628" priority="95" stopIfTrue="1" operator="between">
      <formula>0</formula>
      <formula>5</formula>
    </cfRule>
    <cfRule type="containsBlanks" dxfId="4627" priority="96" stopIfTrue="1">
      <formula>LEN(TRIM(E28))=0</formula>
    </cfRule>
  </conditionalFormatting>
  <conditionalFormatting sqref="R34:R42">
    <cfRule type="cellIs" dxfId="4626" priority="89" stopIfTrue="1" operator="equal">
      <formula>"NO"</formula>
    </cfRule>
  </conditionalFormatting>
  <conditionalFormatting sqref="E34:Q36 E38:Q42 O37:Q37 E37:M37">
    <cfRule type="containsBlanks" dxfId="4625" priority="81" stopIfTrue="1">
      <formula>LEN(TRIM(E34))=0</formula>
    </cfRule>
    <cfRule type="cellIs" dxfId="4624" priority="82" stopIfTrue="1" operator="between">
      <formula>80.1</formula>
      <formula>100</formula>
    </cfRule>
    <cfRule type="cellIs" dxfId="4623" priority="83" stopIfTrue="1" operator="between">
      <formula>35.1</formula>
      <formula>80</formula>
    </cfRule>
    <cfRule type="cellIs" dxfId="4622" priority="84" stopIfTrue="1" operator="between">
      <formula>14.1</formula>
      <formula>35</formula>
    </cfRule>
    <cfRule type="cellIs" dxfId="4621" priority="85" stopIfTrue="1" operator="between">
      <formula>5.1</formula>
      <formula>14</formula>
    </cfRule>
    <cfRule type="cellIs" dxfId="4620" priority="86" stopIfTrue="1" operator="between">
      <formula>0</formula>
      <formula>5</formula>
    </cfRule>
    <cfRule type="containsBlanks" dxfId="4619" priority="87" stopIfTrue="1">
      <formula>LEN(TRIM(E34))=0</formula>
    </cfRule>
  </conditionalFormatting>
  <conditionalFormatting sqref="R43:R54">
    <cfRule type="cellIs" dxfId="4618" priority="74" stopIfTrue="1" operator="equal">
      <formula>"NO"</formula>
    </cfRule>
  </conditionalFormatting>
  <conditionalFormatting sqref="E43:Q43 E45:Q45 E44:H44 J44:Q44 E47:Q54 E46:H46 J46:Q46">
    <cfRule type="containsBlanks" dxfId="4617" priority="66" stopIfTrue="1">
      <formula>LEN(TRIM(E43))=0</formula>
    </cfRule>
    <cfRule type="cellIs" dxfId="4616" priority="67" stopIfTrue="1" operator="between">
      <formula>80.1</formula>
      <formula>100</formula>
    </cfRule>
    <cfRule type="cellIs" dxfId="4615" priority="68" stopIfTrue="1" operator="between">
      <formula>35.1</formula>
      <formula>80</formula>
    </cfRule>
    <cfRule type="cellIs" dxfId="4614" priority="69" stopIfTrue="1" operator="between">
      <formula>14.1</formula>
      <formula>35</formula>
    </cfRule>
    <cfRule type="cellIs" dxfId="4613" priority="70" stopIfTrue="1" operator="between">
      <formula>5.1</formula>
      <formula>14</formula>
    </cfRule>
    <cfRule type="cellIs" dxfId="4612" priority="71" stopIfTrue="1" operator="between">
      <formula>0</formula>
      <formula>5</formula>
    </cfRule>
    <cfRule type="containsBlanks" dxfId="4611" priority="72" stopIfTrue="1">
      <formula>LEN(TRIM(E43))=0</formula>
    </cfRule>
  </conditionalFormatting>
  <conditionalFormatting sqref="I44">
    <cfRule type="containsBlanks" dxfId="4610" priority="53" stopIfTrue="1">
      <formula>LEN(TRIM(I44))=0</formula>
    </cfRule>
    <cfRule type="cellIs" dxfId="4609" priority="54" stopIfTrue="1" operator="between">
      <formula>80.1</formula>
      <formula>100</formula>
    </cfRule>
    <cfRule type="cellIs" dxfId="4608" priority="55" stopIfTrue="1" operator="between">
      <formula>35.1</formula>
      <formula>80</formula>
    </cfRule>
    <cfRule type="cellIs" dxfId="4607" priority="56" stopIfTrue="1" operator="between">
      <formula>14.1</formula>
      <formula>35</formula>
    </cfRule>
    <cfRule type="cellIs" dxfId="4606" priority="57" stopIfTrue="1" operator="between">
      <formula>5.1</formula>
      <formula>14</formula>
    </cfRule>
    <cfRule type="cellIs" dxfId="4605" priority="58" stopIfTrue="1" operator="between">
      <formula>0</formula>
      <formula>5</formula>
    </cfRule>
    <cfRule type="containsBlanks" dxfId="4604" priority="59" stopIfTrue="1">
      <formula>LEN(TRIM(I44))=0</formula>
    </cfRule>
  </conditionalFormatting>
  <conditionalFormatting sqref="I46">
    <cfRule type="containsBlanks" dxfId="4603" priority="46" stopIfTrue="1">
      <formula>LEN(TRIM(I46))=0</formula>
    </cfRule>
    <cfRule type="cellIs" dxfId="4602" priority="47" stopIfTrue="1" operator="between">
      <formula>80.1</formula>
      <formula>100</formula>
    </cfRule>
    <cfRule type="cellIs" dxfId="4601" priority="48" stopIfTrue="1" operator="between">
      <formula>35.1</formula>
      <formula>80</formula>
    </cfRule>
    <cfRule type="cellIs" dxfId="4600" priority="49" stopIfTrue="1" operator="between">
      <formula>14.1</formula>
      <formula>35</formula>
    </cfRule>
    <cfRule type="cellIs" dxfId="4599" priority="50" stopIfTrue="1" operator="between">
      <formula>5.1</formula>
      <formula>14</formula>
    </cfRule>
    <cfRule type="cellIs" dxfId="4598" priority="51" stopIfTrue="1" operator="between">
      <formula>0</formula>
      <formula>5</formula>
    </cfRule>
    <cfRule type="containsBlanks" dxfId="4597" priority="52" stopIfTrue="1">
      <formula>LEN(TRIM(I46))=0</formula>
    </cfRule>
  </conditionalFormatting>
  <conditionalFormatting sqref="R72:R78">
    <cfRule type="cellIs" dxfId="4596" priority="45" stopIfTrue="1" operator="equal">
      <formula>"NO"</formula>
    </cfRule>
  </conditionalFormatting>
  <conditionalFormatting sqref="E72:Q78">
    <cfRule type="containsBlanks" dxfId="4595" priority="37" stopIfTrue="1">
      <formula>LEN(TRIM(E72))=0</formula>
    </cfRule>
    <cfRule type="cellIs" dxfId="4594" priority="38" stopIfTrue="1" operator="between">
      <formula>80.1</formula>
      <formula>100</formula>
    </cfRule>
    <cfRule type="cellIs" dxfId="4593" priority="39" stopIfTrue="1" operator="between">
      <formula>35.1</formula>
      <formula>80</formula>
    </cfRule>
    <cfRule type="cellIs" dxfId="4592" priority="40" stopIfTrue="1" operator="between">
      <formula>14.1</formula>
      <formula>35</formula>
    </cfRule>
    <cfRule type="cellIs" dxfId="4591" priority="41" stopIfTrue="1" operator="between">
      <formula>5.1</formula>
      <formula>14</formula>
    </cfRule>
    <cfRule type="cellIs" dxfId="4590" priority="42" stopIfTrue="1" operator="between">
      <formula>0</formula>
      <formula>5</formula>
    </cfRule>
    <cfRule type="containsBlanks" dxfId="4589" priority="43" stopIfTrue="1">
      <formula>LEN(TRIM(E72))=0</formula>
    </cfRule>
  </conditionalFormatting>
  <conditionalFormatting sqref="R79:R83">
    <cfRule type="cellIs" dxfId="4588" priority="30" stopIfTrue="1" operator="equal">
      <formula>"NO"</formula>
    </cfRule>
  </conditionalFormatting>
  <conditionalFormatting sqref="E79:Q83">
    <cfRule type="containsBlanks" dxfId="4587" priority="22" stopIfTrue="1">
      <formula>LEN(TRIM(E79))=0</formula>
    </cfRule>
    <cfRule type="cellIs" dxfId="4586" priority="23" stopIfTrue="1" operator="between">
      <formula>80.1</formula>
      <formula>100</formula>
    </cfRule>
    <cfRule type="cellIs" dxfId="4585" priority="24" stopIfTrue="1" operator="between">
      <formula>35.1</formula>
      <formula>80</formula>
    </cfRule>
    <cfRule type="cellIs" dxfId="4584" priority="25" stopIfTrue="1" operator="between">
      <formula>14.1</formula>
      <formula>35</formula>
    </cfRule>
    <cfRule type="cellIs" dxfId="4583" priority="26" stopIfTrue="1" operator="between">
      <formula>5.1</formula>
      <formula>14</formula>
    </cfRule>
    <cfRule type="cellIs" dxfId="4582" priority="27" stopIfTrue="1" operator="between">
      <formula>0</formula>
      <formula>5</formula>
    </cfRule>
    <cfRule type="containsBlanks" dxfId="4581" priority="28" stopIfTrue="1">
      <formula>LEN(TRIM(E79))=0</formula>
    </cfRule>
  </conditionalFormatting>
  <conditionalFormatting sqref="R84:R94">
    <cfRule type="cellIs" dxfId="4580" priority="15" stopIfTrue="1" operator="equal">
      <formula>"NO"</formula>
    </cfRule>
  </conditionalFormatting>
  <conditionalFormatting sqref="E84:Q94">
    <cfRule type="containsBlanks" dxfId="4579" priority="7" stopIfTrue="1">
      <formula>LEN(TRIM(E84))=0</formula>
    </cfRule>
    <cfRule type="cellIs" dxfId="4578" priority="8" stopIfTrue="1" operator="between">
      <formula>80.1</formula>
      <formula>100</formula>
    </cfRule>
    <cfRule type="cellIs" dxfId="4577" priority="9" stopIfTrue="1" operator="between">
      <formula>35.1</formula>
      <formula>80</formula>
    </cfRule>
    <cfRule type="cellIs" dxfId="4576" priority="10" stopIfTrue="1" operator="between">
      <formula>14.1</formula>
      <formula>35</formula>
    </cfRule>
    <cfRule type="cellIs" dxfId="4575" priority="11" stopIfTrue="1" operator="between">
      <formula>5.1</formula>
      <formula>14</formula>
    </cfRule>
    <cfRule type="cellIs" dxfId="4574" priority="12" stopIfTrue="1" operator="between">
      <formula>0</formula>
      <formula>5</formula>
    </cfRule>
    <cfRule type="containsBlanks" dxfId="4573" priority="13" stopIfTrue="1">
      <formula>LEN(TRIM(E84))=0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0"/>
  </sheetPr>
  <dimension ref="A1:W733"/>
  <sheetViews>
    <sheetView zoomScale="60" zoomScaleNormal="70" workbookViewId="0">
      <pane xSplit="3" ySplit="9" topLeftCell="D10" activePane="bottomRight" state="frozenSplit"/>
      <selection pane="topRight" activeCell="D1" sqref="D1"/>
      <selection pane="bottomLeft" activeCell="A10" sqref="A10"/>
      <selection pane="bottomRight" activeCell="A10" sqref="A10"/>
    </sheetView>
  </sheetViews>
  <sheetFormatPr baseColWidth="10" defaultColWidth="0" defaultRowHeight="12.75" zeroHeight="1" x14ac:dyDescent="0.2"/>
  <cols>
    <col min="1" max="1" width="38.28515625" style="35" customWidth="1"/>
    <col min="2" max="2" width="48.140625" style="320" customWidth="1"/>
    <col min="3" max="3" width="51.5703125" style="320" customWidth="1"/>
    <col min="4" max="4" width="30.5703125" style="320" customWidth="1"/>
    <col min="5" max="18" width="10.7109375" style="319" customWidth="1"/>
    <col min="19" max="19" width="42.28515625" style="319" bestFit="1" customWidth="1"/>
    <col min="20" max="20" width="9.85546875" style="319" hidden="1" customWidth="1"/>
    <col min="21" max="16384" width="11.42578125" style="319" hidden="1"/>
  </cols>
  <sheetData>
    <row r="1" spans="1:23" s="310" customFormat="1" ht="18" customHeight="1" x14ac:dyDescent="0.2">
      <c r="A1" s="134"/>
      <c r="B1" s="559" t="s">
        <v>258</v>
      </c>
      <c r="C1" s="559"/>
      <c r="D1" s="559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68" t="s">
        <v>546</v>
      </c>
      <c r="T1" s="3"/>
      <c r="U1" s="309"/>
      <c r="V1" s="309"/>
      <c r="W1" s="309"/>
    </row>
    <row r="2" spans="1:23" s="312" customFormat="1" ht="18" customHeight="1" x14ac:dyDescent="0.2">
      <c r="A2" s="134"/>
      <c r="B2" s="560" t="s">
        <v>259</v>
      </c>
      <c r="C2" s="560"/>
      <c r="D2" s="560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9"/>
      <c r="S2" s="171" t="s">
        <v>260</v>
      </c>
      <c r="T2" s="3"/>
      <c r="U2" s="311"/>
      <c r="V2" s="309"/>
      <c r="W2" s="309"/>
    </row>
    <row r="3" spans="1:23" s="310" customFormat="1" ht="18" customHeight="1" x14ac:dyDescent="0.2">
      <c r="A3" s="134"/>
      <c r="B3" s="498" t="s">
        <v>4413</v>
      </c>
      <c r="C3" s="498"/>
      <c r="D3" s="498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140"/>
      <c r="S3" s="171" t="s">
        <v>547</v>
      </c>
      <c r="T3" s="3"/>
      <c r="U3" s="309"/>
      <c r="V3" s="309"/>
      <c r="W3" s="309"/>
    </row>
    <row r="4" spans="1:23" s="310" customFormat="1" ht="18" customHeight="1" x14ac:dyDescent="0.2">
      <c r="A4" s="134"/>
      <c r="B4" s="578" t="s">
        <v>548</v>
      </c>
      <c r="C4" s="578"/>
      <c r="D4" s="578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5"/>
      <c r="S4" s="171" t="s">
        <v>261</v>
      </c>
      <c r="T4" s="3"/>
      <c r="U4" s="309"/>
      <c r="V4" s="309"/>
      <c r="W4" s="309"/>
    </row>
    <row r="5" spans="1:23" s="313" customFormat="1" ht="15" customHeight="1" x14ac:dyDescent="0.2">
      <c r="A5" s="281"/>
      <c r="B5" s="565"/>
      <c r="C5" s="561"/>
      <c r="D5" s="564" t="s">
        <v>266</v>
      </c>
      <c r="E5" s="556" t="s">
        <v>255</v>
      </c>
      <c r="F5" s="556"/>
      <c r="G5" s="556"/>
      <c r="H5" s="551" t="s">
        <v>263</v>
      </c>
      <c r="I5" s="551"/>
      <c r="J5" s="551"/>
      <c r="K5" s="558" t="s">
        <v>264</v>
      </c>
      <c r="L5" s="558"/>
      <c r="M5" s="558"/>
      <c r="N5" s="555" t="s">
        <v>474</v>
      </c>
      <c r="O5" s="555"/>
      <c r="P5" s="555"/>
      <c r="Q5" s="549" t="s">
        <v>265</v>
      </c>
      <c r="R5" s="549"/>
      <c r="S5" s="550" t="s">
        <v>267</v>
      </c>
    </row>
    <row r="6" spans="1:23" s="313" customFormat="1" ht="16.5" customHeight="1" x14ac:dyDescent="0.2">
      <c r="A6" s="281"/>
      <c r="B6" s="565"/>
      <c r="C6" s="561"/>
      <c r="D6" s="564"/>
      <c r="E6" s="556"/>
      <c r="F6" s="556"/>
      <c r="G6" s="556"/>
      <c r="H6" s="551"/>
      <c r="I6" s="551"/>
      <c r="J6" s="551"/>
      <c r="K6" s="558"/>
      <c r="L6" s="558"/>
      <c r="M6" s="558"/>
      <c r="N6" s="555"/>
      <c r="O6" s="555"/>
      <c r="P6" s="555"/>
      <c r="Q6" s="549"/>
      <c r="R6" s="549"/>
      <c r="S6" s="550"/>
    </row>
    <row r="7" spans="1:23" s="313" customFormat="1" ht="27" customHeight="1" x14ac:dyDescent="0.2">
      <c r="A7" s="286" t="s">
        <v>3596</v>
      </c>
      <c r="B7" s="124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5"/>
    </row>
    <row r="8" spans="1:23" s="314" customFormat="1" ht="18" customHeight="1" x14ac:dyDescent="0.2">
      <c r="A8" s="563" t="s">
        <v>37</v>
      </c>
      <c r="B8" s="547" t="s">
        <v>38</v>
      </c>
      <c r="C8" s="547" t="s">
        <v>262</v>
      </c>
      <c r="D8" s="572" t="s">
        <v>454</v>
      </c>
      <c r="E8" s="552" t="s">
        <v>33</v>
      </c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70" t="s">
        <v>34</v>
      </c>
      <c r="R8" s="570" t="s">
        <v>36</v>
      </c>
      <c r="S8" s="547" t="s">
        <v>35</v>
      </c>
      <c r="T8" s="11"/>
    </row>
    <row r="9" spans="1:23" s="314" customFormat="1" ht="24" customHeight="1" x14ac:dyDescent="0.2">
      <c r="A9" s="577"/>
      <c r="B9" s="572"/>
      <c r="C9" s="572"/>
      <c r="D9" s="573"/>
      <c r="E9" s="302" t="s">
        <v>21</v>
      </c>
      <c r="F9" s="302" t="s">
        <v>22</v>
      </c>
      <c r="G9" s="302" t="s">
        <v>23</v>
      </c>
      <c r="H9" s="302" t="s">
        <v>24</v>
      </c>
      <c r="I9" s="302" t="s">
        <v>25</v>
      </c>
      <c r="J9" s="302" t="s">
        <v>26</v>
      </c>
      <c r="K9" s="302" t="s">
        <v>27</v>
      </c>
      <c r="L9" s="302" t="s">
        <v>28</v>
      </c>
      <c r="M9" s="302" t="s">
        <v>29</v>
      </c>
      <c r="N9" s="302" t="s">
        <v>30</v>
      </c>
      <c r="O9" s="302" t="s">
        <v>31</v>
      </c>
      <c r="P9" s="302" t="s">
        <v>32</v>
      </c>
      <c r="Q9" s="574"/>
      <c r="R9" s="575"/>
      <c r="S9" s="576"/>
      <c r="T9" s="11"/>
    </row>
    <row r="10" spans="1:23" s="314" customFormat="1" ht="32.1" customHeight="1" x14ac:dyDescent="0.2">
      <c r="A10" s="487" t="s">
        <v>4121</v>
      </c>
      <c r="B10" s="282" t="s">
        <v>2759</v>
      </c>
      <c r="C10" s="283" t="s">
        <v>2760</v>
      </c>
      <c r="D10" s="287">
        <v>56</v>
      </c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>
        <v>97.3</v>
      </c>
      <c r="P10" s="316"/>
      <c r="Q10" s="226">
        <f t="shared" ref="Q10:Q32" si="0">AVERAGE(E10:P10)</f>
        <v>97.3</v>
      </c>
      <c r="R10" s="226" t="str">
        <f t="shared" ref="R10:R73" si="1">IF(Q10&lt;5,"SI","NO")</f>
        <v>NO</v>
      </c>
      <c r="S10" s="226" t="str">
        <f>IF(Q10&lt;=5,"Sin Riesgo",IF(Q10 &lt;=14,"Bajo",IF(Q10&lt;=35,"Medio",IF(Q10&lt;=80,"Alto","Inviable Sanitariamente"))))</f>
        <v>Inviable Sanitariamente</v>
      </c>
      <c r="T10" s="11"/>
    </row>
    <row r="11" spans="1:23" s="305" customFormat="1" ht="32.1" customHeight="1" x14ac:dyDescent="0.2">
      <c r="A11" s="487" t="s">
        <v>4121</v>
      </c>
      <c r="B11" s="282" t="s">
        <v>2761</v>
      </c>
      <c r="C11" s="283" t="s">
        <v>2762</v>
      </c>
      <c r="D11" s="287">
        <v>50</v>
      </c>
      <c r="E11" s="316"/>
      <c r="F11" s="316"/>
      <c r="G11" s="316"/>
      <c r="H11" s="316"/>
      <c r="I11" s="316"/>
      <c r="J11" s="316"/>
      <c r="K11" s="316"/>
      <c r="L11" s="316"/>
      <c r="M11" s="316"/>
      <c r="N11" s="316">
        <v>97.3</v>
      </c>
      <c r="O11" s="316"/>
      <c r="P11" s="316"/>
      <c r="Q11" s="226">
        <f t="shared" si="0"/>
        <v>97.3</v>
      </c>
      <c r="R11" s="146" t="str">
        <f t="shared" si="1"/>
        <v>NO</v>
      </c>
      <c r="S11" s="226" t="str">
        <f t="shared" ref="S11:S74" si="2">IF(Q11&lt;=5,"Sin Riesgo",IF(Q11 &lt;=14,"Bajo",IF(Q11&lt;=35,"Medio",IF(Q11&lt;=80,"Alto","Inviable Sanitariamente"))))</f>
        <v>Inviable Sanitariamente</v>
      </c>
    </row>
    <row r="12" spans="1:23" s="305" customFormat="1" ht="32.1" customHeight="1" x14ac:dyDescent="0.2">
      <c r="A12" s="487" t="s">
        <v>4121</v>
      </c>
      <c r="B12" s="282" t="s">
        <v>1407</v>
      </c>
      <c r="C12" s="283" t="s">
        <v>2763</v>
      </c>
      <c r="D12" s="287">
        <v>24</v>
      </c>
      <c r="E12" s="316"/>
      <c r="F12" s="316"/>
      <c r="G12" s="316"/>
      <c r="H12" s="316"/>
      <c r="I12" s="316"/>
      <c r="J12" s="316"/>
      <c r="K12" s="316">
        <v>97.3</v>
      </c>
      <c r="L12" s="316"/>
      <c r="M12" s="316"/>
      <c r="N12" s="316"/>
      <c r="O12" s="316"/>
      <c r="P12" s="316"/>
      <c r="Q12" s="226">
        <f t="shared" si="0"/>
        <v>97.3</v>
      </c>
      <c r="R12" s="146" t="str">
        <f t="shared" si="1"/>
        <v>NO</v>
      </c>
      <c r="S12" s="226" t="str">
        <f t="shared" si="2"/>
        <v>Inviable Sanitariamente</v>
      </c>
    </row>
    <row r="13" spans="1:23" s="305" customFormat="1" ht="32.1" customHeight="1" x14ac:dyDescent="0.2">
      <c r="A13" s="487" t="s">
        <v>4121</v>
      </c>
      <c r="B13" s="282" t="s">
        <v>2764</v>
      </c>
      <c r="C13" s="283" t="s">
        <v>2765</v>
      </c>
      <c r="D13" s="287">
        <v>12</v>
      </c>
      <c r="E13" s="316"/>
      <c r="F13" s="316"/>
      <c r="G13" s="316"/>
      <c r="H13" s="316"/>
      <c r="I13" s="316"/>
      <c r="J13" s="316"/>
      <c r="K13" s="316"/>
      <c r="L13" s="316"/>
      <c r="M13" s="316">
        <v>97.3</v>
      </c>
      <c r="N13" s="316"/>
      <c r="O13" s="316"/>
      <c r="P13" s="316"/>
      <c r="Q13" s="226">
        <f t="shared" si="0"/>
        <v>97.3</v>
      </c>
      <c r="R13" s="146" t="str">
        <f t="shared" si="1"/>
        <v>NO</v>
      </c>
      <c r="S13" s="226" t="str">
        <f t="shared" si="2"/>
        <v>Inviable Sanitariamente</v>
      </c>
    </row>
    <row r="14" spans="1:23" s="305" customFormat="1" ht="32.1" customHeight="1" x14ac:dyDescent="0.2">
      <c r="A14" s="487" t="s">
        <v>4121</v>
      </c>
      <c r="B14" s="282" t="s">
        <v>2766</v>
      </c>
      <c r="C14" s="283" t="s">
        <v>2767</v>
      </c>
      <c r="D14" s="287">
        <v>39</v>
      </c>
      <c r="E14" s="316"/>
      <c r="F14" s="316"/>
      <c r="G14" s="316"/>
      <c r="H14" s="316"/>
      <c r="I14" s="316"/>
      <c r="J14" s="316"/>
      <c r="K14" s="316">
        <v>97.3</v>
      </c>
      <c r="L14" s="316"/>
      <c r="M14" s="316"/>
      <c r="N14" s="316"/>
      <c r="O14" s="316"/>
      <c r="P14" s="316"/>
      <c r="Q14" s="226">
        <f t="shared" si="0"/>
        <v>97.3</v>
      </c>
      <c r="R14" s="146" t="str">
        <f t="shared" si="1"/>
        <v>NO</v>
      </c>
      <c r="S14" s="226" t="str">
        <f t="shared" si="2"/>
        <v>Inviable Sanitariamente</v>
      </c>
    </row>
    <row r="15" spans="1:23" s="305" customFormat="1" ht="32.1" customHeight="1" x14ac:dyDescent="0.2">
      <c r="A15" s="487" t="s">
        <v>4121</v>
      </c>
      <c r="B15" s="282" t="s">
        <v>2768</v>
      </c>
      <c r="C15" s="283" t="s">
        <v>2769</v>
      </c>
      <c r="D15" s="287">
        <v>31</v>
      </c>
      <c r="E15" s="316"/>
      <c r="F15" s="316"/>
      <c r="G15" s="316"/>
      <c r="H15" s="316">
        <v>97.3</v>
      </c>
      <c r="I15" s="316"/>
      <c r="J15" s="316"/>
      <c r="K15" s="316"/>
      <c r="L15" s="316"/>
      <c r="M15" s="316"/>
      <c r="N15" s="316"/>
      <c r="O15" s="316"/>
      <c r="P15" s="316"/>
      <c r="Q15" s="226">
        <f t="shared" si="0"/>
        <v>97.3</v>
      </c>
      <c r="R15" s="146" t="str">
        <f t="shared" si="1"/>
        <v>NO</v>
      </c>
      <c r="S15" s="226" t="str">
        <f t="shared" si="2"/>
        <v>Inviable Sanitariamente</v>
      </c>
    </row>
    <row r="16" spans="1:23" s="305" customFormat="1" ht="32.1" customHeight="1" x14ac:dyDescent="0.2">
      <c r="A16" s="487" t="s">
        <v>4121</v>
      </c>
      <c r="B16" s="282" t="s">
        <v>1122</v>
      </c>
      <c r="C16" s="283" t="s">
        <v>2770</v>
      </c>
      <c r="D16" s="288">
        <v>15</v>
      </c>
      <c r="E16" s="316"/>
      <c r="F16" s="316"/>
      <c r="G16" s="316"/>
      <c r="H16" s="316">
        <v>97.3</v>
      </c>
      <c r="I16" s="316"/>
      <c r="J16" s="316"/>
      <c r="K16" s="316"/>
      <c r="L16" s="316"/>
      <c r="M16" s="316"/>
      <c r="N16" s="316"/>
      <c r="O16" s="316"/>
      <c r="P16" s="316"/>
      <c r="Q16" s="226">
        <f t="shared" si="0"/>
        <v>97.3</v>
      </c>
      <c r="R16" s="146" t="str">
        <f t="shared" si="1"/>
        <v>NO</v>
      </c>
      <c r="S16" s="226" t="str">
        <f t="shared" si="2"/>
        <v>Inviable Sanitariamente</v>
      </c>
    </row>
    <row r="17" spans="1:19" s="305" customFormat="1" ht="32.1" customHeight="1" x14ac:dyDescent="0.2">
      <c r="A17" s="487" t="s">
        <v>4122</v>
      </c>
      <c r="B17" s="282" t="s">
        <v>2771</v>
      </c>
      <c r="C17" s="283" t="s">
        <v>2772</v>
      </c>
      <c r="D17" s="121">
        <v>70</v>
      </c>
      <c r="E17" s="316"/>
      <c r="F17" s="316"/>
      <c r="G17" s="316"/>
      <c r="H17" s="316">
        <v>97</v>
      </c>
      <c r="I17" s="316"/>
      <c r="J17" s="316"/>
      <c r="K17" s="316"/>
      <c r="L17" s="316">
        <v>97</v>
      </c>
      <c r="M17" s="316">
        <v>97</v>
      </c>
      <c r="N17" s="316"/>
      <c r="O17" s="316"/>
      <c r="P17" s="316"/>
      <c r="Q17" s="226">
        <f t="shared" si="0"/>
        <v>97</v>
      </c>
      <c r="R17" s="146" t="str">
        <f t="shared" si="1"/>
        <v>NO</v>
      </c>
      <c r="S17" s="226" t="str">
        <f t="shared" si="2"/>
        <v>Inviable Sanitariamente</v>
      </c>
    </row>
    <row r="18" spans="1:19" s="305" customFormat="1" ht="32.1" customHeight="1" x14ac:dyDescent="0.2">
      <c r="A18" s="487" t="s">
        <v>4122</v>
      </c>
      <c r="B18" s="282" t="s">
        <v>240</v>
      </c>
      <c r="C18" s="99" t="s">
        <v>2773</v>
      </c>
      <c r="D18" s="121">
        <v>121</v>
      </c>
      <c r="E18" s="316"/>
      <c r="F18" s="316"/>
      <c r="G18" s="316">
        <v>97</v>
      </c>
      <c r="H18" s="316"/>
      <c r="I18" s="316"/>
      <c r="J18" s="316"/>
      <c r="K18" s="316"/>
      <c r="L18" s="316">
        <v>97</v>
      </c>
      <c r="M18" s="316"/>
      <c r="N18" s="316"/>
      <c r="O18" s="316"/>
      <c r="P18" s="316"/>
      <c r="Q18" s="226">
        <f t="shared" si="0"/>
        <v>97</v>
      </c>
      <c r="R18" s="146" t="str">
        <f t="shared" si="1"/>
        <v>NO</v>
      </c>
      <c r="S18" s="226" t="str">
        <f t="shared" si="2"/>
        <v>Inviable Sanitariamente</v>
      </c>
    </row>
    <row r="19" spans="1:19" s="305" customFormat="1" ht="32.1" customHeight="1" x14ac:dyDescent="0.2">
      <c r="A19" s="487" t="s">
        <v>4122</v>
      </c>
      <c r="B19" s="282" t="s">
        <v>2774</v>
      </c>
      <c r="C19" s="282" t="s">
        <v>2775</v>
      </c>
      <c r="D19" s="121">
        <v>49</v>
      </c>
      <c r="E19" s="316">
        <v>97</v>
      </c>
      <c r="F19" s="316"/>
      <c r="G19" s="316"/>
      <c r="H19" s="316"/>
      <c r="I19" s="316"/>
      <c r="J19" s="316"/>
      <c r="K19" s="316"/>
      <c r="L19" s="316"/>
      <c r="M19" s="316">
        <v>97</v>
      </c>
      <c r="N19" s="316"/>
      <c r="O19" s="316"/>
      <c r="P19" s="316"/>
      <c r="Q19" s="226">
        <f t="shared" si="0"/>
        <v>97</v>
      </c>
      <c r="R19" s="146" t="str">
        <f t="shared" si="1"/>
        <v>NO</v>
      </c>
      <c r="S19" s="226" t="str">
        <f t="shared" si="2"/>
        <v>Inviable Sanitariamente</v>
      </c>
    </row>
    <row r="20" spans="1:19" s="305" customFormat="1" ht="32.1" customHeight="1" x14ac:dyDescent="0.2">
      <c r="A20" s="487" t="s">
        <v>4122</v>
      </c>
      <c r="B20" s="282" t="s">
        <v>2776</v>
      </c>
      <c r="C20" s="282" t="s">
        <v>2777</v>
      </c>
      <c r="D20" s="121">
        <v>285</v>
      </c>
      <c r="E20" s="316">
        <v>97</v>
      </c>
      <c r="F20" s="316"/>
      <c r="G20" s="316"/>
      <c r="H20" s="316"/>
      <c r="I20" s="316">
        <v>97</v>
      </c>
      <c r="J20" s="316"/>
      <c r="K20" s="316"/>
      <c r="L20" s="316"/>
      <c r="M20" s="316"/>
      <c r="N20" s="316">
        <v>0</v>
      </c>
      <c r="O20" s="316"/>
      <c r="P20" s="316"/>
      <c r="Q20" s="226">
        <f t="shared" si="0"/>
        <v>64.666666666666671</v>
      </c>
      <c r="R20" s="146" t="str">
        <f t="shared" si="1"/>
        <v>NO</v>
      </c>
      <c r="S20" s="226" t="str">
        <f t="shared" si="2"/>
        <v>Alto</v>
      </c>
    </row>
    <row r="21" spans="1:19" s="305" customFormat="1" ht="32.1" customHeight="1" x14ac:dyDescent="0.2">
      <c r="A21" s="487" t="s">
        <v>4122</v>
      </c>
      <c r="B21" s="282" t="s">
        <v>2778</v>
      </c>
      <c r="C21" s="282" t="s">
        <v>2779</v>
      </c>
      <c r="D21" s="121">
        <v>48</v>
      </c>
      <c r="E21" s="316"/>
      <c r="F21" s="316">
        <v>97</v>
      </c>
      <c r="G21" s="316"/>
      <c r="H21" s="316"/>
      <c r="I21" s="316">
        <v>97</v>
      </c>
      <c r="J21" s="316"/>
      <c r="K21" s="316"/>
      <c r="L21" s="316"/>
      <c r="M21" s="316"/>
      <c r="N21" s="316"/>
      <c r="O21" s="316"/>
      <c r="P21" s="316"/>
      <c r="Q21" s="226">
        <f t="shared" si="0"/>
        <v>97</v>
      </c>
      <c r="R21" s="146" t="str">
        <f t="shared" si="1"/>
        <v>NO</v>
      </c>
      <c r="S21" s="226" t="str">
        <f t="shared" si="2"/>
        <v>Inviable Sanitariamente</v>
      </c>
    </row>
    <row r="22" spans="1:19" s="305" customFormat="1" ht="32.1" customHeight="1" x14ac:dyDescent="0.2">
      <c r="A22" s="487" t="s">
        <v>4122</v>
      </c>
      <c r="B22" s="282" t="s">
        <v>2780</v>
      </c>
      <c r="C22" s="282" t="s">
        <v>2781</v>
      </c>
      <c r="D22" s="121">
        <v>72</v>
      </c>
      <c r="E22" s="316"/>
      <c r="F22" s="316"/>
      <c r="G22" s="316">
        <v>97</v>
      </c>
      <c r="H22" s="316"/>
      <c r="I22" s="316"/>
      <c r="J22" s="316"/>
      <c r="K22" s="316"/>
      <c r="L22" s="316"/>
      <c r="M22" s="316">
        <v>97</v>
      </c>
      <c r="N22" s="316"/>
      <c r="O22" s="316"/>
      <c r="P22" s="316"/>
      <c r="Q22" s="226">
        <f t="shared" si="0"/>
        <v>97</v>
      </c>
      <c r="R22" s="146" t="str">
        <f t="shared" si="1"/>
        <v>NO</v>
      </c>
      <c r="S22" s="226" t="str">
        <f t="shared" si="2"/>
        <v>Inviable Sanitariamente</v>
      </c>
    </row>
    <row r="23" spans="1:19" s="305" customFormat="1" ht="32.1" customHeight="1" x14ac:dyDescent="0.2">
      <c r="A23" s="487" t="s">
        <v>4122</v>
      </c>
      <c r="B23" s="282" t="s">
        <v>2782</v>
      </c>
      <c r="C23" s="282" t="s">
        <v>2783</v>
      </c>
      <c r="D23" s="121">
        <v>52</v>
      </c>
      <c r="E23" s="316"/>
      <c r="F23" s="316"/>
      <c r="G23" s="316">
        <v>97</v>
      </c>
      <c r="H23" s="316"/>
      <c r="I23" s="316"/>
      <c r="J23" s="316"/>
      <c r="K23" s="316"/>
      <c r="L23" s="316">
        <v>97</v>
      </c>
      <c r="M23" s="316"/>
      <c r="N23" s="316"/>
      <c r="O23" s="316"/>
      <c r="P23" s="316"/>
      <c r="Q23" s="226">
        <f t="shared" si="0"/>
        <v>97</v>
      </c>
      <c r="R23" s="146" t="str">
        <f t="shared" si="1"/>
        <v>NO</v>
      </c>
      <c r="S23" s="226" t="str">
        <f t="shared" si="2"/>
        <v>Inviable Sanitariamente</v>
      </c>
    </row>
    <row r="24" spans="1:19" s="305" customFormat="1" ht="32.1" customHeight="1" x14ac:dyDescent="0.2">
      <c r="A24" s="487" t="s">
        <v>4122</v>
      </c>
      <c r="B24" s="282" t="s">
        <v>2784</v>
      </c>
      <c r="C24" s="282" t="s">
        <v>2785</v>
      </c>
      <c r="D24" s="116">
        <v>137</v>
      </c>
      <c r="E24" s="316"/>
      <c r="F24" s="316">
        <v>97</v>
      </c>
      <c r="G24" s="316"/>
      <c r="H24" s="316"/>
      <c r="I24" s="316"/>
      <c r="J24" s="316"/>
      <c r="K24" s="316"/>
      <c r="L24" s="316">
        <v>97</v>
      </c>
      <c r="M24" s="316"/>
      <c r="N24" s="316"/>
      <c r="O24" s="316"/>
      <c r="P24" s="316"/>
      <c r="Q24" s="226">
        <f t="shared" si="0"/>
        <v>97</v>
      </c>
      <c r="R24" s="146" t="str">
        <f t="shared" si="1"/>
        <v>NO</v>
      </c>
      <c r="S24" s="226" t="str">
        <f t="shared" si="2"/>
        <v>Inviable Sanitariamente</v>
      </c>
    </row>
    <row r="25" spans="1:19" s="305" customFormat="1" ht="32.1" customHeight="1" x14ac:dyDescent="0.2">
      <c r="A25" s="487" t="s">
        <v>4122</v>
      </c>
      <c r="B25" s="282" t="s">
        <v>1886</v>
      </c>
      <c r="C25" s="282" t="s">
        <v>2786</v>
      </c>
      <c r="D25" s="121">
        <v>50</v>
      </c>
      <c r="E25" s="316"/>
      <c r="F25" s="316"/>
      <c r="G25" s="316"/>
      <c r="H25" s="316">
        <v>97</v>
      </c>
      <c r="I25" s="316"/>
      <c r="J25" s="316"/>
      <c r="K25" s="316"/>
      <c r="L25" s="316"/>
      <c r="M25" s="316">
        <v>97</v>
      </c>
      <c r="N25" s="316"/>
      <c r="O25" s="316"/>
      <c r="P25" s="316"/>
      <c r="Q25" s="226">
        <f t="shared" si="0"/>
        <v>97</v>
      </c>
      <c r="R25" s="146" t="str">
        <f t="shared" si="1"/>
        <v>NO</v>
      </c>
      <c r="S25" s="226" t="str">
        <f t="shared" si="2"/>
        <v>Inviable Sanitariamente</v>
      </c>
    </row>
    <row r="26" spans="1:19" s="305" customFormat="1" ht="32.1" customHeight="1" x14ac:dyDescent="0.2">
      <c r="A26" s="487" t="s">
        <v>4122</v>
      </c>
      <c r="B26" s="282" t="s">
        <v>2787</v>
      </c>
      <c r="C26" s="282" t="s">
        <v>2788</v>
      </c>
      <c r="D26" s="121">
        <v>78</v>
      </c>
      <c r="E26" s="316">
        <v>97</v>
      </c>
      <c r="F26" s="316"/>
      <c r="G26" s="316"/>
      <c r="H26" s="316"/>
      <c r="I26" s="316"/>
      <c r="J26" s="316"/>
      <c r="K26" s="316"/>
      <c r="L26" s="316">
        <v>0</v>
      </c>
      <c r="M26" s="316"/>
      <c r="N26" s="316"/>
      <c r="O26" s="316"/>
      <c r="P26" s="316"/>
      <c r="Q26" s="226">
        <f t="shared" si="0"/>
        <v>48.5</v>
      </c>
      <c r="R26" s="146" t="str">
        <f t="shared" si="1"/>
        <v>NO</v>
      </c>
      <c r="S26" s="226" t="str">
        <f t="shared" si="2"/>
        <v>Alto</v>
      </c>
    </row>
    <row r="27" spans="1:19" s="305" customFormat="1" ht="32.1" customHeight="1" x14ac:dyDescent="0.2">
      <c r="A27" s="487" t="s">
        <v>4122</v>
      </c>
      <c r="B27" s="282" t="s">
        <v>92</v>
      </c>
      <c r="C27" s="282" t="s">
        <v>2789</v>
      </c>
      <c r="D27" s="116">
        <v>81</v>
      </c>
      <c r="E27" s="316"/>
      <c r="F27" s="316">
        <v>97</v>
      </c>
      <c r="G27" s="316"/>
      <c r="H27" s="316"/>
      <c r="I27" s="316">
        <v>97</v>
      </c>
      <c r="J27" s="316"/>
      <c r="K27" s="316"/>
      <c r="L27" s="316"/>
      <c r="M27" s="316"/>
      <c r="N27" s="316"/>
      <c r="O27" s="316"/>
      <c r="P27" s="316"/>
      <c r="Q27" s="226">
        <f t="shared" si="0"/>
        <v>97</v>
      </c>
      <c r="R27" s="146" t="str">
        <f t="shared" si="1"/>
        <v>NO</v>
      </c>
      <c r="S27" s="226" t="str">
        <f t="shared" si="2"/>
        <v>Inviable Sanitariamente</v>
      </c>
    </row>
    <row r="28" spans="1:19" s="305" customFormat="1" ht="32.1" customHeight="1" x14ac:dyDescent="0.2">
      <c r="A28" s="487" t="s">
        <v>4122</v>
      </c>
      <c r="B28" s="282" t="s">
        <v>10</v>
      </c>
      <c r="C28" s="282" t="s">
        <v>2790</v>
      </c>
      <c r="D28" s="121">
        <v>75</v>
      </c>
      <c r="E28" s="316">
        <v>97</v>
      </c>
      <c r="F28" s="316"/>
      <c r="G28" s="316"/>
      <c r="H28" s="316"/>
      <c r="I28" s="316">
        <v>97</v>
      </c>
      <c r="J28" s="316"/>
      <c r="K28" s="316"/>
      <c r="L28" s="316"/>
      <c r="M28" s="316"/>
      <c r="N28" s="316"/>
      <c r="O28" s="316"/>
      <c r="P28" s="316"/>
      <c r="Q28" s="226">
        <f t="shared" si="0"/>
        <v>97</v>
      </c>
      <c r="R28" s="146" t="str">
        <f t="shared" si="1"/>
        <v>NO</v>
      </c>
      <c r="S28" s="226" t="str">
        <f t="shared" si="2"/>
        <v>Inviable Sanitariamente</v>
      </c>
    </row>
    <row r="29" spans="1:19" s="305" customFormat="1" ht="32.1" customHeight="1" x14ac:dyDescent="0.2">
      <c r="A29" s="487" t="s">
        <v>4122</v>
      </c>
      <c r="B29" s="282" t="s">
        <v>2577</v>
      </c>
      <c r="C29" s="282" t="s">
        <v>2791</v>
      </c>
      <c r="D29" s="121">
        <v>28</v>
      </c>
      <c r="E29" s="316"/>
      <c r="F29" s="316"/>
      <c r="G29" s="316"/>
      <c r="H29" s="316">
        <v>97</v>
      </c>
      <c r="I29" s="316"/>
      <c r="J29" s="316"/>
      <c r="K29" s="316"/>
      <c r="L29" s="316">
        <v>97</v>
      </c>
      <c r="M29" s="316"/>
      <c r="N29" s="316"/>
      <c r="O29" s="316"/>
      <c r="P29" s="316"/>
      <c r="Q29" s="226">
        <f t="shared" si="0"/>
        <v>97</v>
      </c>
      <c r="R29" s="146" t="str">
        <f t="shared" si="1"/>
        <v>NO</v>
      </c>
      <c r="S29" s="226" t="str">
        <f t="shared" si="2"/>
        <v>Inviable Sanitariamente</v>
      </c>
    </row>
    <row r="30" spans="1:19" s="305" customFormat="1" ht="32.1" customHeight="1" x14ac:dyDescent="0.2">
      <c r="A30" s="487" t="s">
        <v>4122</v>
      </c>
      <c r="B30" s="282" t="s">
        <v>2260</v>
      </c>
      <c r="C30" s="282" t="s">
        <v>2792</v>
      </c>
      <c r="D30" s="116">
        <v>98</v>
      </c>
      <c r="E30" s="316"/>
      <c r="F30" s="316"/>
      <c r="G30" s="316">
        <v>97</v>
      </c>
      <c r="H30" s="316"/>
      <c r="I30" s="316"/>
      <c r="J30" s="316"/>
      <c r="K30" s="316"/>
      <c r="L30" s="316"/>
      <c r="M30" s="316">
        <v>97</v>
      </c>
      <c r="N30" s="316"/>
      <c r="O30" s="316"/>
      <c r="P30" s="316"/>
      <c r="Q30" s="226">
        <f t="shared" si="0"/>
        <v>97</v>
      </c>
      <c r="R30" s="146" t="str">
        <f t="shared" si="1"/>
        <v>NO</v>
      </c>
      <c r="S30" s="226" t="str">
        <f t="shared" si="2"/>
        <v>Inviable Sanitariamente</v>
      </c>
    </row>
    <row r="31" spans="1:19" s="305" customFormat="1" ht="32.1" customHeight="1" x14ac:dyDescent="0.2">
      <c r="A31" s="487" t="s">
        <v>4122</v>
      </c>
      <c r="B31" s="282" t="s">
        <v>2793</v>
      </c>
      <c r="C31" s="282" t="s">
        <v>2794</v>
      </c>
      <c r="D31" s="121">
        <v>46</v>
      </c>
      <c r="E31" s="316">
        <v>97</v>
      </c>
      <c r="F31" s="316"/>
      <c r="G31" s="316"/>
      <c r="H31" s="316"/>
      <c r="I31" s="316"/>
      <c r="J31" s="316"/>
      <c r="K31" s="316"/>
      <c r="L31" s="316">
        <v>97</v>
      </c>
      <c r="M31" s="316"/>
      <c r="N31" s="316"/>
      <c r="O31" s="316"/>
      <c r="P31" s="316"/>
      <c r="Q31" s="226">
        <f t="shared" si="0"/>
        <v>97</v>
      </c>
      <c r="R31" s="146" t="str">
        <f t="shared" si="1"/>
        <v>NO</v>
      </c>
      <c r="S31" s="226" t="str">
        <f t="shared" si="2"/>
        <v>Inviable Sanitariamente</v>
      </c>
    </row>
    <row r="32" spans="1:19" s="305" customFormat="1" ht="32.1" customHeight="1" x14ac:dyDescent="0.2">
      <c r="A32" s="487" t="s">
        <v>4122</v>
      </c>
      <c r="B32" s="282" t="s">
        <v>1904</v>
      </c>
      <c r="C32" s="282" t="s">
        <v>2795</v>
      </c>
      <c r="D32" s="121">
        <v>31</v>
      </c>
      <c r="E32" s="316"/>
      <c r="F32" s="316"/>
      <c r="G32" s="316">
        <v>97</v>
      </c>
      <c r="H32" s="316"/>
      <c r="I32" s="316"/>
      <c r="J32" s="316"/>
      <c r="K32" s="316"/>
      <c r="L32" s="316"/>
      <c r="M32" s="316"/>
      <c r="N32" s="316"/>
      <c r="O32" s="316"/>
      <c r="P32" s="316"/>
      <c r="Q32" s="226">
        <f t="shared" si="0"/>
        <v>97</v>
      </c>
      <c r="R32" s="146" t="str">
        <f t="shared" si="1"/>
        <v>NO</v>
      </c>
      <c r="S32" s="226" t="str">
        <f t="shared" si="2"/>
        <v>Inviable Sanitariamente</v>
      </c>
    </row>
    <row r="33" spans="1:19" s="305" customFormat="1" ht="32.1" customHeight="1" x14ac:dyDescent="0.2">
      <c r="A33" s="487" t="s">
        <v>4122</v>
      </c>
      <c r="B33" s="282" t="s">
        <v>2796</v>
      </c>
      <c r="C33" s="282" t="s">
        <v>2797</v>
      </c>
      <c r="D33" s="121">
        <v>113</v>
      </c>
      <c r="E33" s="316"/>
      <c r="F33" s="316">
        <v>97</v>
      </c>
      <c r="G33" s="316"/>
      <c r="H33" s="316"/>
      <c r="I33" s="316">
        <v>97</v>
      </c>
      <c r="J33" s="316"/>
      <c r="K33" s="316"/>
      <c r="L33" s="316"/>
      <c r="M33" s="316"/>
      <c r="N33" s="316"/>
      <c r="O33" s="316"/>
      <c r="P33" s="316"/>
      <c r="Q33" s="226">
        <f>AVERAGE(F33:P33)</f>
        <v>97</v>
      </c>
      <c r="R33" s="146" t="str">
        <f t="shared" si="1"/>
        <v>NO</v>
      </c>
      <c r="S33" s="226" t="str">
        <f t="shared" si="2"/>
        <v>Inviable Sanitariamente</v>
      </c>
    </row>
    <row r="34" spans="1:19" s="305" customFormat="1" ht="32.1" customHeight="1" x14ac:dyDescent="0.2">
      <c r="A34" s="487" t="s">
        <v>4122</v>
      </c>
      <c r="B34" s="282" t="s">
        <v>2798</v>
      </c>
      <c r="C34" s="282" t="s">
        <v>2799</v>
      </c>
      <c r="D34" s="121">
        <v>70</v>
      </c>
      <c r="E34" s="316"/>
      <c r="F34" s="316"/>
      <c r="G34" s="316"/>
      <c r="H34" s="316">
        <v>97</v>
      </c>
      <c r="I34" s="316"/>
      <c r="J34" s="316"/>
      <c r="K34" s="316"/>
      <c r="L34" s="316">
        <v>97</v>
      </c>
      <c r="M34" s="316"/>
      <c r="N34" s="316"/>
      <c r="O34" s="316"/>
      <c r="P34" s="316"/>
      <c r="Q34" s="226">
        <f t="shared" ref="Q34:Q97" si="3">AVERAGE(E34:P34)</f>
        <v>97</v>
      </c>
      <c r="R34" s="146" t="str">
        <f t="shared" si="1"/>
        <v>NO</v>
      </c>
      <c r="S34" s="226" t="str">
        <f t="shared" si="2"/>
        <v>Inviable Sanitariamente</v>
      </c>
    </row>
    <row r="35" spans="1:19" s="305" customFormat="1" ht="32.1" customHeight="1" x14ac:dyDescent="0.2">
      <c r="A35" s="487" t="s">
        <v>89</v>
      </c>
      <c r="B35" s="258" t="s">
        <v>2800</v>
      </c>
      <c r="C35" s="258" t="s">
        <v>2801</v>
      </c>
      <c r="D35" s="121">
        <v>55</v>
      </c>
      <c r="E35" s="316"/>
      <c r="F35" s="316"/>
      <c r="G35" s="316"/>
      <c r="H35" s="316"/>
      <c r="I35" s="316"/>
      <c r="J35" s="316"/>
      <c r="K35" s="316"/>
      <c r="L35" s="316"/>
      <c r="M35" s="316">
        <v>100</v>
      </c>
      <c r="N35" s="316"/>
      <c r="O35" s="316"/>
      <c r="P35" s="316"/>
      <c r="Q35" s="226">
        <f t="shared" si="3"/>
        <v>100</v>
      </c>
      <c r="R35" s="226" t="str">
        <f t="shared" si="1"/>
        <v>NO</v>
      </c>
      <c r="S35" s="226" t="str">
        <f t="shared" si="2"/>
        <v>Inviable Sanitariamente</v>
      </c>
    </row>
    <row r="36" spans="1:19" s="305" customFormat="1" ht="32.1" customHeight="1" x14ac:dyDescent="0.2">
      <c r="A36" s="487" t="s">
        <v>89</v>
      </c>
      <c r="B36" s="258" t="s">
        <v>2802</v>
      </c>
      <c r="C36" s="258" t="s">
        <v>2803</v>
      </c>
      <c r="D36" s="121">
        <v>132</v>
      </c>
      <c r="E36" s="316"/>
      <c r="F36" s="316"/>
      <c r="G36" s="316"/>
      <c r="H36" s="316"/>
      <c r="I36" s="316"/>
      <c r="J36" s="316"/>
      <c r="K36" s="316"/>
      <c r="L36" s="316"/>
      <c r="M36" s="316">
        <v>50</v>
      </c>
      <c r="N36" s="316"/>
      <c r="O36" s="316"/>
      <c r="P36" s="316"/>
      <c r="Q36" s="226">
        <f t="shared" si="3"/>
        <v>50</v>
      </c>
      <c r="R36" s="226" t="str">
        <f t="shared" si="1"/>
        <v>NO</v>
      </c>
      <c r="S36" s="226" t="str">
        <f t="shared" si="2"/>
        <v>Alto</v>
      </c>
    </row>
    <row r="37" spans="1:19" s="305" customFormat="1" ht="32.1" customHeight="1" x14ac:dyDescent="0.2">
      <c r="A37" s="487" t="s">
        <v>89</v>
      </c>
      <c r="B37" s="258" t="s">
        <v>10</v>
      </c>
      <c r="C37" s="258" t="s">
        <v>2804</v>
      </c>
      <c r="D37" s="121">
        <v>56</v>
      </c>
      <c r="E37" s="316"/>
      <c r="F37" s="316"/>
      <c r="G37" s="316"/>
      <c r="H37" s="316"/>
      <c r="I37" s="316"/>
      <c r="J37" s="316"/>
      <c r="K37" s="316"/>
      <c r="L37" s="316">
        <v>100</v>
      </c>
      <c r="M37" s="316"/>
      <c r="N37" s="316"/>
      <c r="O37" s="316"/>
      <c r="P37" s="316"/>
      <c r="Q37" s="226">
        <f t="shared" si="3"/>
        <v>100</v>
      </c>
      <c r="R37" s="226" t="str">
        <f t="shared" si="1"/>
        <v>NO</v>
      </c>
      <c r="S37" s="226" t="str">
        <f t="shared" si="2"/>
        <v>Inviable Sanitariamente</v>
      </c>
    </row>
    <row r="38" spans="1:19" s="305" customFormat="1" ht="32.1" customHeight="1" x14ac:dyDescent="0.2">
      <c r="A38" s="487" t="s">
        <v>89</v>
      </c>
      <c r="B38" s="258" t="s">
        <v>1080</v>
      </c>
      <c r="C38" s="258" t="s">
        <v>2805</v>
      </c>
      <c r="D38" s="121">
        <v>36</v>
      </c>
      <c r="E38" s="316"/>
      <c r="F38" s="316"/>
      <c r="G38" s="316"/>
      <c r="H38" s="316"/>
      <c r="I38" s="316"/>
      <c r="J38" s="316"/>
      <c r="K38" s="316"/>
      <c r="L38" s="316">
        <v>100</v>
      </c>
      <c r="M38" s="316"/>
      <c r="N38" s="316"/>
      <c r="O38" s="316"/>
      <c r="P38" s="316"/>
      <c r="Q38" s="226">
        <f t="shared" si="3"/>
        <v>100</v>
      </c>
      <c r="R38" s="226" t="str">
        <f t="shared" si="1"/>
        <v>NO</v>
      </c>
      <c r="S38" s="226" t="str">
        <f t="shared" si="2"/>
        <v>Inviable Sanitariamente</v>
      </c>
    </row>
    <row r="39" spans="1:19" s="305" customFormat="1" ht="32.1" customHeight="1" x14ac:dyDescent="0.2">
      <c r="A39" s="487" t="s">
        <v>2806</v>
      </c>
      <c r="B39" s="258" t="s">
        <v>2807</v>
      </c>
      <c r="C39" s="258" t="s">
        <v>2808</v>
      </c>
      <c r="D39" s="121">
        <v>71</v>
      </c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226" t="e">
        <f t="shared" si="3"/>
        <v>#DIV/0!</v>
      </c>
      <c r="R39" s="226" t="e">
        <f t="shared" si="1"/>
        <v>#DIV/0!</v>
      </c>
      <c r="S39" s="226" t="e">
        <f t="shared" si="2"/>
        <v>#DIV/0!</v>
      </c>
    </row>
    <row r="40" spans="1:19" s="305" customFormat="1" ht="32.1" customHeight="1" x14ac:dyDescent="0.2">
      <c r="A40" s="487" t="s">
        <v>2806</v>
      </c>
      <c r="B40" s="258" t="s">
        <v>2809</v>
      </c>
      <c r="C40" s="258" t="s">
        <v>2810</v>
      </c>
      <c r="D40" s="121">
        <v>120</v>
      </c>
      <c r="E40" s="316">
        <v>53.1</v>
      </c>
      <c r="F40" s="316">
        <v>97.35</v>
      </c>
      <c r="G40" s="316">
        <v>97.35</v>
      </c>
      <c r="H40" s="316">
        <v>97.35</v>
      </c>
      <c r="I40" s="316">
        <v>97.35</v>
      </c>
      <c r="J40" s="316">
        <v>53.1</v>
      </c>
      <c r="K40" s="316">
        <v>97.35</v>
      </c>
      <c r="L40" s="316">
        <v>97.35</v>
      </c>
      <c r="M40" s="316">
        <v>97.35</v>
      </c>
      <c r="N40" s="316">
        <v>97.35</v>
      </c>
      <c r="O40" s="316">
        <v>97.35</v>
      </c>
      <c r="P40" s="316">
        <v>97.35</v>
      </c>
      <c r="Q40" s="226">
        <f t="shared" si="3"/>
        <v>89.975000000000009</v>
      </c>
      <c r="R40" s="226" t="str">
        <f t="shared" si="1"/>
        <v>NO</v>
      </c>
      <c r="S40" s="226" t="str">
        <f t="shared" si="2"/>
        <v>Inviable Sanitariamente</v>
      </c>
    </row>
    <row r="41" spans="1:19" s="305" customFormat="1" ht="32.1" customHeight="1" x14ac:dyDescent="0.2">
      <c r="A41" s="487" t="s">
        <v>2806</v>
      </c>
      <c r="B41" s="258" t="s">
        <v>2811</v>
      </c>
      <c r="C41" s="258" t="s">
        <v>2812</v>
      </c>
      <c r="D41" s="121">
        <v>60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226" t="e">
        <f t="shared" si="3"/>
        <v>#DIV/0!</v>
      </c>
      <c r="R41" s="226" t="e">
        <f t="shared" si="1"/>
        <v>#DIV/0!</v>
      </c>
      <c r="S41" s="226" t="e">
        <f t="shared" si="2"/>
        <v>#DIV/0!</v>
      </c>
    </row>
    <row r="42" spans="1:19" s="305" customFormat="1" ht="32.1" customHeight="1" x14ac:dyDescent="0.2">
      <c r="A42" s="487" t="s">
        <v>2806</v>
      </c>
      <c r="B42" s="258" t="s">
        <v>2813</v>
      </c>
      <c r="C42" s="258" t="s">
        <v>2814</v>
      </c>
      <c r="D42" s="121">
        <v>52</v>
      </c>
      <c r="E42" s="316"/>
      <c r="F42" s="316"/>
      <c r="G42" s="316"/>
      <c r="H42" s="316">
        <v>97.35</v>
      </c>
      <c r="I42" s="316"/>
      <c r="J42" s="316"/>
      <c r="K42" s="316"/>
      <c r="L42" s="316"/>
      <c r="M42" s="316"/>
      <c r="N42" s="316"/>
      <c r="O42" s="316"/>
      <c r="P42" s="316"/>
      <c r="Q42" s="226">
        <f t="shared" si="3"/>
        <v>97.35</v>
      </c>
      <c r="R42" s="226" t="str">
        <f t="shared" si="1"/>
        <v>NO</v>
      </c>
      <c r="S42" s="226" t="str">
        <f t="shared" si="2"/>
        <v>Inviable Sanitariamente</v>
      </c>
    </row>
    <row r="43" spans="1:19" s="305" customFormat="1" ht="32.1" customHeight="1" x14ac:dyDescent="0.2">
      <c r="A43" s="487" t="s">
        <v>2806</v>
      </c>
      <c r="B43" s="258" t="s">
        <v>2815</v>
      </c>
      <c r="C43" s="258" t="s">
        <v>2816</v>
      </c>
      <c r="D43" s="121">
        <v>39</v>
      </c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226" t="e">
        <f t="shared" si="3"/>
        <v>#DIV/0!</v>
      </c>
      <c r="R43" s="226" t="e">
        <f t="shared" si="1"/>
        <v>#DIV/0!</v>
      </c>
      <c r="S43" s="226" t="e">
        <f t="shared" si="2"/>
        <v>#DIV/0!</v>
      </c>
    </row>
    <row r="44" spans="1:19" s="305" customFormat="1" ht="32.1" customHeight="1" x14ac:dyDescent="0.2">
      <c r="A44" s="487" t="s">
        <v>2806</v>
      </c>
      <c r="B44" s="258" t="s">
        <v>2817</v>
      </c>
      <c r="C44" s="258" t="s">
        <v>2818</v>
      </c>
      <c r="D44" s="121">
        <v>8</v>
      </c>
      <c r="E44" s="316"/>
      <c r="F44" s="316"/>
      <c r="G44" s="316"/>
      <c r="H44" s="316"/>
      <c r="I44" s="316"/>
      <c r="J44" s="316"/>
      <c r="K44" s="316"/>
      <c r="L44" s="316"/>
      <c r="M44" s="316">
        <v>97.35</v>
      </c>
      <c r="N44" s="316"/>
      <c r="O44" s="316"/>
      <c r="P44" s="316"/>
      <c r="Q44" s="226">
        <f t="shared" si="3"/>
        <v>97.35</v>
      </c>
      <c r="R44" s="226" t="str">
        <f t="shared" si="1"/>
        <v>NO</v>
      </c>
      <c r="S44" s="226" t="str">
        <f t="shared" si="2"/>
        <v>Inviable Sanitariamente</v>
      </c>
    </row>
    <row r="45" spans="1:19" s="305" customFormat="1" ht="32.1" customHeight="1" x14ac:dyDescent="0.2">
      <c r="A45" s="487" t="s">
        <v>2806</v>
      </c>
      <c r="B45" s="258" t="s">
        <v>1115</v>
      </c>
      <c r="C45" s="258" t="s">
        <v>2819</v>
      </c>
      <c r="D45" s="121">
        <v>15</v>
      </c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226" t="e">
        <f t="shared" si="3"/>
        <v>#DIV/0!</v>
      </c>
      <c r="R45" s="226" t="e">
        <f t="shared" si="1"/>
        <v>#DIV/0!</v>
      </c>
      <c r="S45" s="226" t="e">
        <f t="shared" si="2"/>
        <v>#DIV/0!</v>
      </c>
    </row>
    <row r="46" spans="1:19" s="305" customFormat="1" ht="32.1" customHeight="1" x14ac:dyDescent="0.2">
      <c r="A46" s="487" t="s">
        <v>2806</v>
      </c>
      <c r="B46" s="258" t="s">
        <v>2820</v>
      </c>
      <c r="C46" s="258" t="s">
        <v>2821</v>
      </c>
      <c r="D46" s="116">
        <v>70</v>
      </c>
      <c r="E46" s="316"/>
      <c r="F46" s="316"/>
      <c r="G46" s="316"/>
      <c r="H46" s="316"/>
      <c r="I46" s="316"/>
      <c r="J46" s="316"/>
      <c r="K46" s="316">
        <v>53.1</v>
      </c>
      <c r="L46" s="316"/>
      <c r="M46" s="316"/>
      <c r="N46" s="316"/>
      <c r="O46" s="316"/>
      <c r="P46" s="316"/>
      <c r="Q46" s="226">
        <f t="shared" si="3"/>
        <v>53.1</v>
      </c>
      <c r="R46" s="226" t="str">
        <f t="shared" si="1"/>
        <v>NO</v>
      </c>
      <c r="S46" s="226" t="str">
        <f t="shared" si="2"/>
        <v>Alto</v>
      </c>
    </row>
    <row r="47" spans="1:19" s="305" customFormat="1" ht="32.1" customHeight="1" x14ac:dyDescent="0.2">
      <c r="A47" s="487" t="s">
        <v>2806</v>
      </c>
      <c r="B47" s="258" t="s">
        <v>2822</v>
      </c>
      <c r="C47" s="258" t="s">
        <v>2823</v>
      </c>
      <c r="D47" s="121">
        <v>47</v>
      </c>
      <c r="E47" s="316"/>
      <c r="F47" s="316"/>
      <c r="G47" s="316"/>
      <c r="H47" s="316"/>
      <c r="I47" s="316"/>
      <c r="J47" s="316"/>
      <c r="K47" s="316">
        <v>97.35</v>
      </c>
      <c r="L47" s="316"/>
      <c r="M47" s="316"/>
      <c r="N47" s="316"/>
      <c r="O47" s="316"/>
      <c r="P47" s="316"/>
      <c r="Q47" s="226">
        <f t="shared" si="3"/>
        <v>97.35</v>
      </c>
      <c r="R47" s="226" t="str">
        <f t="shared" si="1"/>
        <v>NO</v>
      </c>
      <c r="S47" s="226" t="str">
        <f t="shared" si="2"/>
        <v>Inviable Sanitariamente</v>
      </c>
    </row>
    <row r="48" spans="1:19" s="305" customFormat="1" ht="32.1" customHeight="1" x14ac:dyDescent="0.2">
      <c r="A48" s="487" t="s">
        <v>2806</v>
      </c>
      <c r="B48" s="258" t="s">
        <v>2824</v>
      </c>
      <c r="C48" s="258" t="s">
        <v>2825</v>
      </c>
      <c r="D48" s="121">
        <v>19</v>
      </c>
      <c r="E48" s="316"/>
      <c r="F48" s="316"/>
      <c r="G48" s="316"/>
      <c r="H48" s="316"/>
      <c r="I48" s="316"/>
      <c r="J48" s="316"/>
      <c r="K48" s="316"/>
      <c r="L48" s="316"/>
      <c r="M48" s="316">
        <v>97.35</v>
      </c>
      <c r="N48" s="316"/>
      <c r="O48" s="316"/>
      <c r="P48" s="316"/>
      <c r="Q48" s="226">
        <f t="shared" si="3"/>
        <v>97.35</v>
      </c>
      <c r="R48" s="226" t="str">
        <f t="shared" si="1"/>
        <v>NO</v>
      </c>
      <c r="S48" s="226" t="str">
        <f t="shared" si="2"/>
        <v>Inviable Sanitariamente</v>
      </c>
    </row>
    <row r="49" spans="1:19" s="305" customFormat="1" ht="32.1" customHeight="1" x14ac:dyDescent="0.2">
      <c r="A49" s="487" t="s">
        <v>2806</v>
      </c>
      <c r="B49" s="258" t="s">
        <v>2826</v>
      </c>
      <c r="C49" s="258" t="s">
        <v>2827</v>
      </c>
      <c r="D49" s="116">
        <v>30</v>
      </c>
      <c r="E49" s="316"/>
      <c r="F49" s="316"/>
      <c r="G49" s="316"/>
      <c r="H49" s="316"/>
      <c r="I49" s="316"/>
      <c r="J49" s="316"/>
      <c r="K49" s="316"/>
      <c r="L49" s="316"/>
      <c r="M49" s="316">
        <v>97.35</v>
      </c>
      <c r="N49" s="316"/>
      <c r="O49" s="316"/>
      <c r="P49" s="316"/>
      <c r="Q49" s="226">
        <f t="shared" si="3"/>
        <v>97.35</v>
      </c>
      <c r="R49" s="226" t="str">
        <f t="shared" si="1"/>
        <v>NO</v>
      </c>
      <c r="S49" s="226" t="str">
        <f t="shared" si="2"/>
        <v>Inviable Sanitariamente</v>
      </c>
    </row>
    <row r="50" spans="1:19" s="305" customFormat="1" ht="32.1" customHeight="1" x14ac:dyDescent="0.2">
      <c r="A50" s="487" t="s">
        <v>2806</v>
      </c>
      <c r="B50" s="258" t="s">
        <v>2828</v>
      </c>
      <c r="C50" s="258" t="s">
        <v>2829</v>
      </c>
      <c r="D50" s="121">
        <v>55</v>
      </c>
      <c r="E50" s="316"/>
      <c r="F50" s="316"/>
      <c r="G50" s="316"/>
      <c r="H50" s="316"/>
      <c r="I50" s="316"/>
      <c r="J50" s="316"/>
      <c r="K50" s="316"/>
      <c r="L50" s="316"/>
      <c r="M50" s="316">
        <v>97.35</v>
      </c>
      <c r="N50" s="316"/>
      <c r="O50" s="316"/>
      <c r="P50" s="316"/>
      <c r="Q50" s="226">
        <f t="shared" si="3"/>
        <v>97.35</v>
      </c>
      <c r="R50" s="226" t="str">
        <f t="shared" si="1"/>
        <v>NO</v>
      </c>
      <c r="S50" s="226" t="str">
        <f t="shared" si="2"/>
        <v>Inviable Sanitariamente</v>
      </c>
    </row>
    <row r="51" spans="1:19" s="305" customFormat="1" ht="32.1" customHeight="1" x14ac:dyDescent="0.2">
      <c r="A51" s="487" t="s">
        <v>2806</v>
      </c>
      <c r="B51" s="258" t="s">
        <v>1559</v>
      </c>
      <c r="C51" s="258" t="s">
        <v>2830</v>
      </c>
      <c r="D51" s="121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226" t="e">
        <f t="shared" si="3"/>
        <v>#DIV/0!</v>
      </c>
      <c r="R51" s="226" t="e">
        <f t="shared" si="1"/>
        <v>#DIV/0!</v>
      </c>
      <c r="S51" s="226" t="e">
        <f t="shared" si="2"/>
        <v>#DIV/0!</v>
      </c>
    </row>
    <row r="52" spans="1:19" s="305" customFormat="1" ht="32.1" customHeight="1" x14ac:dyDescent="0.2">
      <c r="A52" s="487" t="s">
        <v>2806</v>
      </c>
      <c r="B52" s="258" t="s">
        <v>2831</v>
      </c>
      <c r="C52" s="258" t="s">
        <v>2832</v>
      </c>
      <c r="D52" s="116">
        <v>25</v>
      </c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226" t="e">
        <f t="shared" si="3"/>
        <v>#DIV/0!</v>
      </c>
      <c r="R52" s="226" t="e">
        <f t="shared" si="1"/>
        <v>#DIV/0!</v>
      </c>
      <c r="S52" s="226" t="e">
        <f t="shared" si="2"/>
        <v>#DIV/0!</v>
      </c>
    </row>
    <row r="53" spans="1:19" s="305" customFormat="1" ht="32.1" customHeight="1" x14ac:dyDescent="0.2">
      <c r="A53" s="487" t="s">
        <v>2806</v>
      </c>
      <c r="B53" s="258" t="s">
        <v>2833</v>
      </c>
      <c r="C53" s="258" t="s">
        <v>2834</v>
      </c>
      <c r="D53" s="121">
        <v>22</v>
      </c>
      <c r="E53" s="316"/>
      <c r="F53" s="316"/>
      <c r="G53" s="316"/>
      <c r="H53" s="316"/>
      <c r="I53" s="316"/>
      <c r="J53" s="316">
        <v>97.35</v>
      </c>
      <c r="K53" s="316"/>
      <c r="L53" s="316"/>
      <c r="M53" s="316"/>
      <c r="N53" s="316"/>
      <c r="O53" s="316"/>
      <c r="P53" s="316"/>
      <c r="Q53" s="226">
        <f t="shared" si="3"/>
        <v>97.35</v>
      </c>
      <c r="R53" s="226" t="str">
        <f t="shared" si="1"/>
        <v>NO</v>
      </c>
      <c r="S53" s="226" t="str">
        <f t="shared" si="2"/>
        <v>Inviable Sanitariamente</v>
      </c>
    </row>
    <row r="54" spans="1:19" s="305" customFormat="1" ht="32.1" customHeight="1" x14ac:dyDescent="0.2">
      <c r="A54" s="487" t="s">
        <v>2806</v>
      </c>
      <c r="B54" s="258" t="s">
        <v>2835</v>
      </c>
      <c r="C54" s="258" t="s">
        <v>2836</v>
      </c>
      <c r="D54" s="121">
        <v>15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226" t="e">
        <f t="shared" si="3"/>
        <v>#DIV/0!</v>
      </c>
      <c r="R54" s="226" t="e">
        <f t="shared" si="1"/>
        <v>#DIV/0!</v>
      </c>
      <c r="S54" s="226" t="e">
        <f t="shared" si="2"/>
        <v>#DIV/0!</v>
      </c>
    </row>
    <row r="55" spans="1:19" s="305" customFormat="1" ht="32.1" customHeight="1" x14ac:dyDescent="0.2">
      <c r="A55" s="487" t="s">
        <v>2806</v>
      </c>
      <c r="B55" s="258" t="s">
        <v>2837</v>
      </c>
      <c r="C55" s="258" t="s">
        <v>2838</v>
      </c>
      <c r="D55" s="121">
        <v>10</v>
      </c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226" t="e">
        <f t="shared" si="3"/>
        <v>#DIV/0!</v>
      </c>
      <c r="R55" s="226" t="e">
        <f t="shared" si="1"/>
        <v>#DIV/0!</v>
      </c>
      <c r="S55" s="226" t="e">
        <f t="shared" si="2"/>
        <v>#DIV/0!</v>
      </c>
    </row>
    <row r="56" spans="1:19" s="305" customFormat="1" ht="32.1" customHeight="1" x14ac:dyDescent="0.2">
      <c r="A56" s="487" t="s">
        <v>2806</v>
      </c>
      <c r="B56" s="258" t="s">
        <v>2839</v>
      </c>
      <c r="C56" s="258" t="s">
        <v>2840</v>
      </c>
      <c r="D56" s="121">
        <v>50</v>
      </c>
      <c r="E56" s="316"/>
      <c r="F56" s="316"/>
      <c r="G56" s="316"/>
      <c r="H56" s="316"/>
      <c r="I56" s="316"/>
      <c r="J56" s="316"/>
      <c r="K56" s="316"/>
      <c r="L56" s="316"/>
      <c r="M56" s="316"/>
      <c r="N56" s="316">
        <v>97.35</v>
      </c>
      <c r="O56" s="316"/>
      <c r="P56" s="316"/>
      <c r="Q56" s="226">
        <f t="shared" si="3"/>
        <v>97.35</v>
      </c>
      <c r="R56" s="226" t="str">
        <f t="shared" si="1"/>
        <v>NO</v>
      </c>
      <c r="S56" s="226" t="str">
        <f t="shared" si="2"/>
        <v>Inviable Sanitariamente</v>
      </c>
    </row>
    <row r="57" spans="1:19" s="305" customFormat="1" ht="32.1" customHeight="1" x14ac:dyDescent="0.2">
      <c r="A57" s="487" t="s">
        <v>2806</v>
      </c>
      <c r="B57" s="258" t="s">
        <v>2841</v>
      </c>
      <c r="C57" s="258" t="s">
        <v>2842</v>
      </c>
      <c r="D57" s="121">
        <v>150</v>
      </c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226" t="e">
        <f t="shared" si="3"/>
        <v>#DIV/0!</v>
      </c>
      <c r="R57" s="226" t="e">
        <f t="shared" si="1"/>
        <v>#DIV/0!</v>
      </c>
      <c r="S57" s="226" t="e">
        <f t="shared" si="2"/>
        <v>#DIV/0!</v>
      </c>
    </row>
    <row r="58" spans="1:19" s="305" customFormat="1" ht="32.1" customHeight="1" x14ac:dyDescent="0.2">
      <c r="A58" s="487" t="s">
        <v>2806</v>
      </c>
      <c r="B58" s="258" t="s">
        <v>2843</v>
      </c>
      <c r="C58" s="258" t="s">
        <v>2844</v>
      </c>
      <c r="D58" s="121">
        <v>31</v>
      </c>
      <c r="E58" s="316"/>
      <c r="F58" s="316"/>
      <c r="G58" s="316"/>
      <c r="H58" s="316"/>
      <c r="I58" s="316"/>
      <c r="J58" s="316"/>
      <c r="K58" s="316"/>
      <c r="L58" s="316"/>
      <c r="M58" s="316">
        <v>97.35</v>
      </c>
      <c r="N58" s="316"/>
      <c r="O58" s="316"/>
      <c r="P58" s="316"/>
      <c r="Q58" s="226">
        <f t="shared" si="3"/>
        <v>97.35</v>
      </c>
      <c r="R58" s="226" t="str">
        <f t="shared" si="1"/>
        <v>NO</v>
      </c>
      <c r="S58" s="226" t="str">
        <f t="shared" si="2"/>
        <v>Inviable Sanitariamente</v>
      </c>
    </row>
    <row r="59" spans="1:19" s="305" customFormat="1" ht="32.1" customHeight="1" x14ac:dyDescent="0.2">
      <c r="A59" s="487" t="s">
        <v>2806</v>
      </c>
      <c r="B59" s="258" t="s">
        <v>100</v>
      </c>
      <c r="C59" s="258" t="s">
        <v>2845</v>
      </c>
      <c r="D59" s="121">
        <v>35</v>
      </c>
      <c r="E59" s="316"/>
      <c r="F59" s="316"/>
      <c r="G59" s="316"/>
      <c r="H59" s="316">
        <v>97.35</v>
      </c>
      <c r="I59" s="316"/>
      <c r="J59" s="316"/>
      <c r="K59" s="316"/>
      <c r="L59" s="316"/>
      <c r="M59" s="316"/>
      <c r="N59" s="316"/>
      <c r="O59" s="316"/>
      <c r="P59" s="316"/>
      <c r="Q59" s="226">
        <f t="shared" si="3"/>
        <v>97.35</v>
      </c>
      <c r="R59" s="226" t="str">
        <f t="shared" si="1"/>
        <v>NO</v>
      </c>
      <c r="S59" s="226" t="str">
        <f t="shared" si="2"/>
        <v>Inviable Sanitariamente</v>
      </c>
    </row>
    <row r="60" spans="1:19" s="305" customFormat="1" ht="32.1" customHeight="1" x14ac:dyDescent="0.2">
      <c r="A60" s="487" t="s">
        <v>2806</v>
      </c>
      <c r="B60" s="258" t="s">
        <v>2846</v>
      </c>
      <c r="C60" s="258" t="s">
        <v>2847</v>
      </c>
      <c r="D60" s="121">
        <v>64</v>
      </c>
      <c r="E60" s="316">
        <v>53.1</v>
      </c>
      <c r="F60" s="316">
        <v>97.35</v>
      </c>
      <c r="G60" s="316">
        <v>97.35</v>
      </c>
      <c r="H60" s="316">
        <v>97.35</v>
      </c>
      <c r="I60" s="316">
        <v>97.35</v>
      </c>
      <c r="J60" s="316">
        <v>97.35</v>
      </c>
      <c r="K60" s="316">
        <v>97.35</v>
      </c>
      <c r="L60" s="316">
        <v>97.35</v>
      </c>
      <c r="M60" s="316">
        <v>97.35</v>
      </c>
      <c r="N60" s="316">
        <v>97.35</v>
      </c>
      <c r="O60" s="316">
        <v>97.35</v>
      </c>
      <c r="P60" s="316">
        <v>97.35</v>
      </c>
      <c r="Q60" s="226">
        <f t="shared" si="3"/>
        <v>93.662500000000009</v>
      </c>
      <c r="R60" s="226" t="str">
        <f t="shared" si="1"/>
        <v>NO</v>
      </c>
      <c r="S60" s="226" t="str">
        <f t="shared" si="2"/>
        <v>Inviable Sanitariamente</v>
      </c>
    </row>
    <row r="61" spans="1:19" s="305" customFormat="1" ht="32.1" customHeight="1" x14ac:dyDescent="0.2">
      <c r="A61" s="487" t="s">
        <v>2806</v>
      </c>
      <c r="B61" s="258" t="s">
        <v>1312</v>
      </c>
      <c r="C61" s="258" t="s">
        <v>2848</v>
      </c>
      <c r="D61" s="121">
        <v>27</v>
      </c>
      <c r="E61" s="316"/>
      <c r="F61" s="316"/>
      <c r="G61" s="316"/>
      <c r="H61" s="316">
        <v>97.35</v>
      </c>
      <c r="I61" s="316"/>
      <c r="J61" s="316"/>
      <c r="K61" s="316"/>
      <c r="L61" s="316"/>
      <c r="M61" s="316"/>
      <c r="N61" s="316"/>
      <c r="O61" s="316"/>
      <c r="P61" s="316"/>
      <c r="Q61" s="226">
        <f t="shared" si="3"/>
        <v>97.35</v>
      </c>
      <c r="R61" s="226" t="str">
        <f t="shared" si="1"/>
        <v>NO</v>
      </c>
      <c r="S61" s="226" t="str">
        <f t="shared" si="2"/>
        <v>Inviable Sanitariamente</v>
      </c>
    </row>
    <row r="62" spans="1:19" s="305" customFormat="1" ht="32.1" customHeight="1" x14ac:dyDescent="0.2">
      <c r="A62" s="487" t="s">
        <v>2806</v>
      </c>
      <c r="B62" s="258" t="s">
        <v>2260</v>
      </c>
      <c r="C62" s="258" t="s">
        <v>2849</v>
      </c>
      <c r="D62" s="121">
        <v>97</v>
      </c>
      <c r="E62" s="316"/>
      <c r="F62" s="316"/>
      <c r="G62" s="316"/>
      <c r="H62" s="316">
        <v>97.35</v>
      </c>
      <c r="I62" s="316"/>
      <c r="J62" s="316"/>
      <c r="K62" s="316"/>
      <c r="L62" s="316"/>
      <c r="M62" s="316"/>
      <c r="N62" s="316"/>
      <c r="O62" s="316"/>
      <c r="P62" s="316"/>
      <c r="Q62" s="226">
        <f t="shared" si="3"/>
        <v>97.35</v>
      </c>
      <c r="R62" s="226" t="str">
        <f t="shared" si="1"/>
        <v>NO</v>
      </c>
      <c r="S62" s="226" t="str">
        <f t="shared" si="2"/>
        <v>Inviable Sanitariamente</v>
      </c>
    </row>
    <row r="63" spans="1:19" s="305" customFormat="1" ht="32.1" customHeight="1" x14ac:dyDescent="0.2">
      <c r="A63" s="487" t="s">
        <v>2806</v>
      </c>
      <c r="B63" s="258" t="s">
        <v>2850</v>
      </c>
      <c r="C63" s="258" t="s">
        <v>2851</v>
      </c>
      <c r="D63" s="121">
        <v>35</v>
      </c>
      <c r="E63" s="316"/>
      <c r="F63" s="316"/>
      <c r="G63" s="316"/>
      <c r="H63" s="316">
        <v>53.1</v>
      </c>
      <c r="I63" s="316"/>
      <c r="J63" s="316"/>
      <c r="K63" s="316"/>
      <c r="L63" s="316"/>
      <c r="M63" s="316"/>
      <c r="N63" s="316"/>
      <c r="O63" s="316"/>
      <c r="P63" s="316"/>
      <c r="Q63" s="226">
        <f t="shared" si="3"/>
        <v>53.1</v>
      </c>
      <c r="R63" s="226" t="str">
        <f t="shared" si="1"/>
        <v>NO</v>
      </c>
      <c r="S63" s="226" t="str">
        <f t="shared" si="2"/>
        <v>Alto</v>
      </c>
    </row>
    <row r="64" spans="1:19" s="305" customFormat="1" ht="32.1" customHeight="1" x14ac:dyDescent="0.2">
      <c r="A64" s="487" t="s">
        <v>2806</v>
      </c>
      <c r="B64" s="258" t="s">
        <v>8</v>
      </c>
      <c r="C64" s="258" t="s">
        <v>2852</v>
      </c>
      <c r="D64" s="121">
        <v>16</v>
      </c>
      <c r="E64" s="316"/>
      <c r="F64" s="316"/>
      <c r="G64" s="316"/>
      <c r="H64" s="316"/>
      <c r="I64" s="316"/>
      <c r="J64" s="316"/>
      <c r="K64" s="316"/>
      <c r="L64" s="316"/>
      <c r="M64" s="316"/>
      <c r="N64" s="316">
        <v>53.1</v>
      </c>
      <c r="O64" s="316"/>
      <c r="P64" s="316"/>
      <c r="Q64" s="226">
        <f t="shared" si="3"/>
        <v>53.1</v>
      </c>
      <c r="R64" s="226" t="str">
        <f t="shared" si="1"/>
        <v>NO</v>
      </c>
      <c r="S64" s="226" t="str">
        <f t="shared" si="2"/>
        <v>Alto</v>
      </c>
    </row>
    <row r="65" spans="1:19" s="305" customFormat="1" ht="32.1" customHeight="1" x14ac:dyDescent="0.2">
      <c r="A65" s="487" t="s">
        <v>2806</v>
      </c>
      <c r="B65" s="258" t="s">
        <v>71</v>
      </c>
      <c r="C65" s="258" t="s">
        <v>2853</v>
      </c>
      <c r="D65" s="121">
        <v>10</v>
      </c>
      <c r="E65" s="316"/>
      <c r="F65" s="316"/>
      <c r="G65" s="316"/>
      <c r="H65" s="316">
        <v>97.35</v>
      </c>
      <c r="I65" s="316"/>
      <c r="J65" s="316"/>
      <c r="K65" s="316"/>
      <c r="L65" s="316"/>
      <c r="M65" s="316"/>
      <c r="N65" s="316"/>
      <c r="O65" s="316"/>
      <c r="P65" s="316"/>
      <c r="Q65" s="226">
        <f t="shared" si="3"/>
        <v>97.35</v>
      </c>
      <c r="R65" s="226" t="str">
        <f t="shared" si="1"/>
        <v>NO</v>
      </c>
      <c r="S65" s="226" t="str">
        <f t="shared" si="2"/>
        <v>Inviable Sanitariamente</v>
      </c>
    </row>
    <row r="66" spans="1:19" s="305" customFormat="1" ht="32.1" customHeight="1" x14ac:dyDescent="0.2">
      <c r="A66" s="487" t="s">
        <v>2806</v>
      </c>
      <c r="B66" s="258" t="s">
        <v>2854</v>
      </c>
      <c r="C66" s="258" t="s">
        <v>2855</v>
      </c>
      <c r="D66" s="121">
        <v>34</v>
      </c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226" t="e">
        <f t="shared" si="3"/>
        <v>#DIV/0!</v>
      </c>
      <c r="R66" s="226" t="e">
        <f t="shared" si="1"/>
        <v>#DIV/0!</v>
      </c>
      <c r="S66" s="226" t="e">
        <f t="shared" si="2"/>
        <v>#DIV/0!</v>
      </c>
    </row>
    <row r="67" spans="1:19" s="305" customFormat="1" ht="32.1" customHeight="1" x14ac:dyDescent="0.2">
      <c r="A67" s="487" t="s">
        <v>2806</v>
      </c>
      <c r="B67" s="258" t="s">
        <v>2856</v>
      </c>
      <c r="C67" s="258" t="s">
        <v>2857</v>
      </c>
      <c r="D67" s="121">
        <v>12</v>
      </c>
      <c r="E67" s="316"/>
      <c r="F67" s="316"/>
      <c r="G67" s="316"/>
      <c r="H67" s="316"/>
      <c r="I67" s="316">
        <v>97.35</v>
      </c>
      <c r="J67" s="316"/>
      <c r="K67" s="316"/>
      <c r="L67" s="316"/>
      <c r="M67" s="316"/>
      <c r="N67" s="316"/>
      <c r="O67" s="316"/>
      <c r="P67" s="316"/>
      <c r="Q67" s="226">
        <f t="shared" si="3"/>
        <v>97.35</v>
      </c>
      <c r="R67" s="226" t="str">
        <f t="shared" si="1"/>
        <v>NO</v>
      </c>
      <c r="S67" s="226" t="str">
        <f t="shared" si="2"/>
        <v>Inviable Sanitariamente</v>
      </c>
    </row>
    <row r="68" spans="1:19" s="305" customFormat="1" ht="32.1" customHeight="1" x14ac:dyDescent="0.2">
      <c r="A68" s="487" t="s">
        <v>2806</v>
      </c>
      <c r="B68" s="258" t="s">
        <v>2858</v>
      </c>
      <c r="C68" s="258" t="s">
        <v>2859</v>
      </c>
      <c r="D68" s="121">
        <v>35</v>
      </c>
      <c r="E68" s="316"/>
      <c r="F68" s="316"/>
      <c r="G68" s="316"/>
      <c r="H68" s="316">
        <v>53.1</v>
      </c>
      <c r="I68" s="316"/>
      <c r="J68" s="316"/>
      <c r="K68" s="316"/>
      <c r="L68" s="316"/>
      <c r="M68" s="316"/>
      <c r="N68" s="316"/>
      <c r="O68" s="316"/>
      <c r="P68" s="316"/>
      <c r="Q68" s="226">
        <f t="shared" si="3"/>
        <v>53.1</v>
      </c>
      <c r="R68" s="226" t="str">
        <f t="shared" si="1"/>
        <v>NO</v>
      </c>
      <c r="S68" s="226" t="str">
        <f t="shared" si="2"/>
        <v>Alto</v>
      </c>
    </row>
    <row r="69" spans="1:19" s="305" customFormat="1" ht="32.1" customHeight="1" x14ac:dyDescent="0.2">
      <c r="A69" s="487" t="s">
        <v>2806</v>
      </c>
      <c r="B69" s="258" t="s">
        <v>2860</v>
      </c>
      <c r="C69" s="258" t="s">
        <v>2861</v>
      </c>
      <c r="D69" s="121">
        <v>30</v>
      </c>
      <c r="E69" s="316"/>
      <c r="F69" s="316">
        <v>53.1</v>
      </c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226">
        <f t="shared" si="3"/>
        <v>53.1</v>
      </c>
      <c r="R69" s="226" t="str">
        <f t="shared" si="1"/>
        <v>NO</v>
      </c>
      <c r="S69" s="226" t="str">
        <f t="shared" si="2"/>
        <v>Alto</v>
      </c>
    </row>
    <row r="70" spans="1:19" s="305" customFormat="1" ht="32.1" customHeight="1" x14ac:dyDescent="0.2">
      <c r="A70" s="487" t="s">
        <v>2806</v>
      </c>
      <c r="B70" s="258" t="s">
        <v>1909</v>
      </c>
      <c r="C70" s="258" t="s">
        <v>2862</v>
      </c>
      <c r="D70" s="121">
        <v>60</v>
      </c>
      <c r="E70" s="316"/>
      <c r="F70" s="316"/>
      <c r="G70" s="316"/>
      <c r="H70" s="316"/>
      <c r="I70" s="316">
        <v>97.35</v>
      </c>
      <c r="J70" s="316"/>
      <c r="K70" s="316"/>
      <c r="L70" s="316"/>
      <c r="M70" s="316"/>
      <c r="N70" s="316"/>
      <c r="O70" s="316"/>
      <c r="P70" s="316"/>
      <c r="Q70" s="226">
        <f t="shared" si="3"/>
        <v>97.35</v>
      </c>
      <c r="R70" s="226" t="str">
        <f t="shared" si="1"/>
        <v>NO</v>
      </c>
      <c r="S70" s="226" t="str">
        <f t="shared" si="2"/>
        <v>Inviable Sanitariamente</v>
      </c>
    </row>
    <row r="71" spans="1:19" s="305" customFormat="1" ht="32.1" customHeight="1" x14ac:dyDescent="0.2">
      <c r="A71" s="487" t="s">
        <v>2806</v>
      </c>
      <c r="B71" s="258" t="s">
        <v>236</v>
      </c>
      <c r="C71" s="258" t="s">
        <v>2863</v>
      </c>
      <c r="D71" s="121">
        <v>15</v>
      </c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226" t="e">
        <f t="shared" si="3"/>
        <v>#DIV/0!</v>
      </c>
      <c r="R71" s="226" t="e">
        <f t="shared" si="1"/>
        <v>#DIV/0!</v>
      </c>
      <c r="S71" s="226" t="e">
        <f t="shared" si="2"/>
        <v>#DIV/0!</v>
      </c>
    </row>
    <row r="72" spans="1:19" s="305" customFormat="1" ht="32.1" customHeight="1" x14ac:dyDescent="0.2">
      <c r="A72" s="487" t="s">
        <v>2806</v>
      </c>
      <c r="B72" s="258" t="s">
        <v>2864</v>
      </c>
      <c r="C72" s="258" t="s">
        <v>2865</v>
      </c>
      <c r="D72" s="121">
        <v>30</v>
      </c>
      <c r="E72" s="316"/>
      <c r="F72" s="316"/>
      <c r="G72" s="316"/>
      <c r="H72" s="316"/>
      <c r="I72" s="316"/>
      <c r="J72" s="316"/>
      <c r="K72" s="316"/>
      <c r="L72" s="316"/>
      <c r="M72" s="316"/>
      <c r="N72" s="316">
        <v>97.35</v>
      </c>
      <c r="O72" s="316"/>
      <c r="P72" s="316"/>
      <c r="Q72" s="226">
        <f t="shared" si="3"/>
        <v>97.35</v>
      </c>
      <c r="R72" s="226" t="str">
        <f t="shared" si="1"/>
        <v>NO</v>
      </c>
      <c r="S72" s="226" t="str">
        <f t="shared" si="2"/>
        <v>Inviable Sanitariamente</v>
      </c>
    </row>
    <row r="73" spans="1:19" s="305" customFormat="1" ht="32.1" customHeight="1" x14ac:dyDescent="0.2">
      <c r="A73" s="487" t="s">
        <v>2806</v>
      </c>
      <c r="B73" s="258" t="s">
        <v>2866</v>
      </c>
      <c r="C73" s="258" t="s">
        <v>2867</v>
      </c>
      <c r="D73" s="121">
        <v>11</v>
      </c>
      <c r="E73" s="316"/>
      <c r="F73" s="316">
        <v>97.35</v>
      </c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226">
        <f t="shared" si="3"/>
        <v>97.35</v>
      </c>
      <c r="R73" s="226" t="str">
        <f t="shared" si="1"/>
        <v>NO</v>
      </c>
      <c r="S73" s="226" t="str">
        <f t="shared" si="2"/>
        <v>Inviable Sanitariamente</v>
      </c>
    </row>
    <row r="74" spans="1:19" s="305" customFormat="1" ht="32.1" customHeight="1" x14ac:dyDescent="0.2">
      <c r="A74" s="487" t="s">
        <v>2806</v>
      </c>
      <c r="B74" s="258" t="s">
        <v>2226</v>
      </c>
      <c r="C74" s="258" t="s">
        <v>2868</v>
      </c>
      <c r="D74" s="121">
        <v>40</v>
      </c>
      <c r="E74" s="316"/>
      <c r="F74" s="316"/>
      <c r="G74" s="316"/>
      <c r="H74" s="316"/>
      <c r="I74" s="316">
        <v>97.35</v>
      </c>
      <c r="J74" s="316"/>
      <c r="K74" s="316"/>
      <c r="L74" s="316"/>
      <c r="M74" s="316"/>
      <c r="N74" s="316"/>
      <c r="O74" s="316"/>
      <c r="P74" s="316"/>
      <c r="Q74" s="226">
        <f t="shared" si="3"/>
        <v>97.35</v>
      </c>
      <c r="R74" s="226" t="str">
        <f t="shared" ref="R74:R137" si="4">IF(Q74&lt;5,"SI","NO")</f>
        <v>NO</v>
      </c>
      <c r="S74" s="226" t="str">
        <f t="shared" si="2"/>
        <v>Inviable Sanitariamente</v>
      </c>
    </row>
    <row r="75" spans="1:19" s="305" customFormat="1" ht="32.1" customHeight="1" x14ac:dyDescent="0.2">
      <c r="A75" s="487" t="s">
        <v>2806</v>
      </c>
      <c r="B75" s="258" t="s">
        <v>1407</v>
      </c>
      <c r="C75" s="258" t="s">
        <v>2869</v>
      </c>
      <c r="D75" s="121">
        <v>5</v>
      </c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226" t="e">
        <f t="shared" si="3"/>
        <v>#DIV/0!</v>
      </c>
      <c r="R75" s="226" t="e">
        <f t="shared" si="4"/>
        <v>#DIV/0!</v>
      </c>
      <c r="S75" s="226" t="e">
        <f t="shared" ref="S75:S138" si="5">IF(Q75&lt;=5,"Sin Riesgo",IF(Q75 &lt;=14,"Bajo",IF(Q75&lt;=35,"Medio",IF(Q75&lt;=80,"Alto","Inviable Sanitariamente"))))</f>
        <v>#DIV/0!</v>
      </c>
    </row>
    <row r="76" spans="1:19" s="305" customFormat="1" ht="32.1" customHeight="1" x14ac:dyDescent="0.2">
      <c r="A76" s="487" t="s">
        <v>2806</v>
      </c>
      <c r="B76" s="258" t="s">
        <v>2870</v>
      </c>
      <c r="C76" s="258" t="s">
        <v>2871</v>
      </c>
      <c r="D76" s="121">
        <v>44</v>
      </c>
      <c r="E76" s="316"/>
      <c r="F76" s="316"/>
      <c r="G76" s="316"/>
      <c r="H76" s="316"/>
      <c r="I76" s="316">
        <v>53.1</v>
      </c>
      <c r="J76" s="316"/>
      <c r="K76" s="316"/>
      <c r="L76" s="316"/>
      <c r="M76" s="316"/>
      <c r="N76" s="316"/>
      <c r="O76" s="316"/>
      <c r="P76" s="316"/>
      <c r="Q76" s="226">
        <f t="shared" si="3"/>
        <v>53.1</v>
      </c>
      <c r="R76" s="226" t="str">
        <f t="shared" si="4"/>
        <v>NO</v>
      </c>
      <c r="S76" s="226" t="str">
        <f t="shared" si="5"/>
        <v>Alto</v>
      </c>
    </row>
    <row r="77" spans="1:19" s="305" customFormat="1" ht="32.1" customHeight="1" x14ac:dyDescent="0.2">
      <c r="A77" s="487" t="s">
        <v>151</v>
      </c>
      <c r="B77" s="258" t="s">
        <v>2872</v>
      </c>
      <c r="C77" s="258" t="s">
        <v>2873</v>
      </c>
      <c r="D77" s="121">
        <v>64</v>
      </c>
      <c r="E77" s="316"/>
      <c r="F77" s="316"/>
      <c r="G77" s="316"/>
      <c r="H77" s="316"/>
      <c r="I77" s="316"/>
      <c r="J77" s="316">
        <v>53.1</v>
      </c>
      <c r="K77" s="316"/>
      <c r="L77" s="316"/>
      <c r="M77" s="316"/>
      <c r="N77" s="316"/>
      <c r="O77" s="316"/>
      <c r="P77" s="316"/>
      <c r="Q77" s="226">
        <f t="shared" si="3"/>
        <v>53.1</v>
      </c>
      <c r="R77" s="226" t="str">
        <f t="shared" si="4"/>
        <v>NO</v>
      </c>
      <c r="S77" s="226" t="str">
        <f t="shared" si="5"/>
        <v>Alto</v>
      </c>
    </row>
    <row r="78" spans="1:19" s="305" customFormat="1" ht="32.1" customHeight="1" x14ac:dyDescent="0.2">
      <c r="A78" s="487" t="s">
        <v>151</v>
      </c>
      <c r="B78" s="258" t="s">
        <v>2874</v>
      </c>
      <c r="C78" s="258" t="s">
        <v>2875</v>
      </c>
      <c r="D78" s="121">
        <v>160</v>
      </c>
      <c r="E78" s="316"/>
      <c r="F78" s="316"/>
      <c r="G78" s="316">
        <v>53.1</v>
      </c>
      <c r="H78" s="316"/>
      <c r="I78" s="316"/>
      <c r="J78" s="316"/>
      <c r="K78" s="316"/>
      <c r="L78" s="316"/>
      <c r="M78" s="316"/>
      <c r="N78" s="316"/>
      <c r="O78" s="316">
        <v>53.1</v>
      </c>
      <c r="P78" s="316"/>
      <c r="Q78" s="226">
        <f t="shared" si="3"/>
        <v>53.1</v>
      </c>
      <c r="R78" s="226" t="str">
        <f t="shared" si="4"/>
        <v>NO</v>
      </c>
      <c r="S78" s="226" t="str">
        <f t="shared" si="5"/>
        <v>Alto</v>
      </c>
    </row>
    <row r="79" spans="1:19" s="305" customFormat="1" ht="32.1" customHeight="1" x14ac:dyDescent="0.2">
      <c r="A79" s="487" t="s">
        <v>151</v>
      </c>
      <c r="B79" s="258" t="s">
        <v>2876</v>
      </c>
      <c r="C79" s="258" t="s">
        <v>2877</v>
      </c>
      <c r="D79" s="121">
        <v>105</v>
      </c>
      <c r="E79" s="316"/>
      <c r="F79" s="316"/>
      <c r="G79" s="316"/>
      <c r="H79" s="316"/>
      <c r="I79" s="316"/>
      <c r="J79" s="316"/>
      <c r="K79" s="316">
        <v>53.1</v>
      </c>
      <c r="L79" s="316"/>
      <c r="M79" s="316"/>
      <c r="N79" s="316"/>
      <c r="O79" s="316"/>
      <c r="P79" s="316"/>
      <c r="Q79" s="226">
        <f t="shared" si="3"/>
        <v>53.1</v>
      </c>
      <c r="R79" s="226" t="str">
        <f t="shared" si="4"/>
        <v>NO</v>
      </c>
      <c r="S79" s="226" t="str">
        <f t="shared" si="5"/>
        <v>Alto</v>
      </c>
    </row>
    <row r="80" spans="1:19" s="305" customFormat="1" ht="32.1" customHeight="1" x14ac:dyDescent="0.2">
      <c r="A80" s="487" t="s">
        <v>151</v>
      </c>
      <c r="B80" s="258" t="s">
        <v>2878</v>
      </c>
      <c r="C80" s="258" t="s">
        <v>2879</v>
      </c>
      <c r="D80" s="121">
        <v>102</v>
      </c>
      <c r="E80" s="316"/>
      <c r="F80" s="316"/>
      <c r="G80" s="316"/>
      <c r="H80" s="316"/>
      <c r="I80" s="316"/>
      <c r="J80" s="316"/>
      <c r="K80" s="316"/>
      <c r="L80" s="316"/>
      <c r="M80" s="316">
        <v>53.1</v>
      </c>
      <c r="N80" s="316"/>
      <c r="O80" s="316"/>
      <c r="P80" s="316"/>
      <c r="Q80" s="226">
        <f t="shared" si="3"/>
        <v>53.1</v>
      </c>
      <c r="R80" s="226" t="str">
        <f t="shared" si="4"/>
        <v>NO</v>
      </c>
      <c r="S80" s="226" t="str">
        <f t="shared" si="5"/>
        <v>Alto</v>
      </c>
    </row>
    <row r="81" spans="1:19" s="305" customFormat="1" ht="32.1" customHeight="1" x14ac:dyDescent="0.2">
      <c r="A81" s="487" t="s">
        <v>151</v>
      </c>
      <c r="B81" s="258" t="s">
        <v>2880</v>
      </c>
      <c r="C81" s="258" t="s">
        <v>2881</v>
      </c>
      <c r="D81" s="121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226" t="e">
        <f t="shared" si="3"/>
        <v>#DIV/0!</v>
      </c>
      <c r="R81" s="226" t="e">
        <f t="shared" si="4"/>
        <v>#DIV/0!</v>
      </c>
      <c r="S81" s="226" t="e">
        <f t="shared" si="5"/>
        <v>#DIV/0!</v>
      </c>
    </row>
    <row r="82" spans="1:19" s="305" customFormat="1" ht="32.1" customHeight="1" x14ac:dyDescent="0.2">
      <c r="A82" s="487" t="s">
        <v>151</v>
      </c>
      <c r="B82" s="258" t="s">
        <v>2882</v>
      </c>
      <c r="C82" s="258" t="s">
        <v>2883</v>
      </c>
      <c r="D82" s="121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226" t="e">
        <f t="shared" si="3"/>
        <v>#DIV/0!</v>
      </c>
      <c r="R82" s="226" t="e">
        <f t="shared" si="4"/>
        <v>#DIV/0!</v>
      </c>
      <c r="S82" s="226" t="e">
        <f t="shared" si="5"/>
        <v>#DIV/0!</v>
      </c>
    </row>
    <row r="83" spans="1:19" s="305" customFormat="1" ht="32.1" customHeight="1" x14ac:dyDescent="0.2">
      <c r="A83" s="487" t="s">
        <v>151</v>
      </c>
      <c r="B83" s="258" t="s">
        <v>2884</v>
      </c>
      <c r="C83" s="258" t="s">
        <v>2885</v>
      </c>
      <c r="D83" s="121">
        <v>114</v>
      </c>
      <c r="E83" s="316"/>
      <c r="F83" s="316"/>
      <c r="G83" s="316"/>
      <c r="H83" s="316"/>
      <c r="I83" s="316"/>
      <c r="J83" s="316"/>
      <c r="K83" s="316"/>
      <c r="L83" s="316"/>
      <c r="M83" s="316"/>
      <c r="N83" s="316">
        <v>53.1</v>
      </c>
      <c r="O83" s="316"/>
      <c r="P83" s="316"/>
      <c r="Q83" s="226">
        <f t="shared" si="3"/>
        <v>53.1</v>
      </c>
      <c r="R83" s="226" t="str">
        <f t="shared" si="4"/>
        <v>NO</v>
      </c>
      <c r="S83" s="226" t="str">
        <f t="shared" si="5"/>
        <v>Alto</v>
      </c>
    </row>
    <row r="84" spans="1:19" s="305" customFormat="1" ht="32.1" customHeight="1" x14ac:dyDescent="0.2">
      <c r="A84" s="487" t="s">
        <v>151</v>
      </c>
      <c r="B84" s="258" t="s">
        <v>2886</v>
      </c>
      <c r="C84" s="258" t="s">
        <v>2887</v>
      </c>
      <c r="D84" s="116">
        <v>184</v>
      </c>
      <c r="E84" s="316"/>
      <c r="F84" s="316"/>
      <c r="G84" s="316"/>
      <c r="H84" s="316"/>
      <c r="I84" s="316"/>
      <c r="J84" s="316"/>
      <c r="K84" s="316"/>
      <c r="L84" s="316">
        <v>53.1</v>
      </c>
      <c r="M84" s="316"/>
      <c r="N84" s="316"/>
      <c r="O84" s="316"/>
      <c r="P84" s="316"/>
      <c r="Q84" s="226">
        <f t="shared" si="3"/>
        <v>53.1</v>
      </c>
      <c r="R84" s="226" t="str">
        <f t="shared" si="4"/>
        <v>NO</v>
      </c>
      <c r="S84" s="226" t="str">
        <f t="shared" si="5"/>
        <v>Alto</v>
      </c>
    </row>
    <row r="85" spans="1:19" s="305" customFormat="1" ht="32.1" customHeight="1" x14ac:dyDescent="0.2">
      <c r="A85" s="487" t="s">
        <v>151</v>
      </c>
      <c r="B85" s="258" t="s">
        <v>2888</v>
      </c>
      <c r="C85" s="258" t="s">
        <v>2889</v>
      </c>
      <c r="D85" s="121">
        <v>200</v>
      </c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>
        <v>53.1</v>
      </c>
      <c r="P85" s="316"/>
      <c r="Q85" s="226">
        <f t="shared" si="3"/>
        <v>53.1</v>
      </c>
      <c r="R85" s="226" t="str">
        <f t="shared" si="4"/>
        <v>NO</v>
      </c>
      <c r="S85" s="226" t="str">
        <f t="shared" si="5"/>
        <v>Alto</v>
      </c>
    </row>
    <row r="86" spans="1:19" s="305" customFormat="1" ht="32.1" customHeight="1" x14ac:dyDescent="0.2">
      <c r="A86" s="487" t="s">
        <v>151</v>
      </c>
      <c r="B86" s="258" t="s">
        <v>2890</v>
      </c>
      <c r="C86" s="258" t="s">
        <v>2891</v>
      </c>
      <c r="D86" s="121">
        <v>71</v>
      </c>
      <c r="E86" s="316"/>
      <c r="F86" s="316">
        <v>53.1</v>
      </c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226">
        <f t="shared" si="3"/>
        <v>53.1</v>
      </c>
      <c r="R86" s="226" t="str">
        <f t="shared" si="4"/>
        <v>NO</v>
      </c>
      <c r="S86" s="226" t="str">
        <f t="shared" si="5"/>
        <v>Alto</v>
      </c>
    </row>
    <row r="87" spans="1:19" s="305" customFormat="1" ht="32.1" customHeight="1" x14ac:dyDescent="0.2">
      <c r="A87" s="487" t="s">
        <v>151</v>
      </c>
      <c r="B87" s="258" t="s">
        <v>2577</v>
      </c>
      <c r="C87" s="258" t="s">
        <v>2892</v>
      </c>
      <c r="D87" s="116">
        <v>46</v>
      </c>
      <c r="E87" s="316"/>
      <c r="F87" s="316">
        <v>53.1</v>
      </c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226">
        <f t="shared" si="3"/>
        <v>53.1</v>
      </c>
      <c r="R87" s="226" t="str">
        <f t="shared" si="4"/>
        <v>NO</v>
      </c>
      <c r="S87" s="226" t="str">
        <f t="shared" si="5"/>
        <v>Alto</v>
      </c>
    </row>
    <row r="88" spans="1:19" s="305" customFormat="1" ht="32.1" customHeight="1" x14ac:dyDescent="0.2">
      <c r="A88" s="487" t="s">
        <v>151</v>
      </c>
      <c r="B88" s="258" t="s">
        <v>708</v>
      </c>
      <c r="C88" s="258" t="s">
        <v>2893</v>
      </c>
      <c r="D88" s="121">
        <v>97</v>
      </c>
      <c r="E88" s="316"/>
      <c r="F88" s="316"/>
      <c r="G88" s="316"/>
      <c r="H88" s="316"/>
      <c r="I88" s="316"/>
      <c r="J88" s="316"/>
      <c r="K88" s="316"/>
      <c r="L88" s="316"/>
      <c r="M88" s="316">
        <v>53.1</v>
      </c>
      <c r="N88" s="316"/>
      <c r="O88" s="316"/>
      <c r="P88" s="316"/>
      <c r="Q88" s="226">
        <f t="shared" si="3"/>
        <v>53.1</v>
      </c>
      <c r="R88" s="226" t="str">
        <f t="shared" si="4"/>
        <v>NO</v>
      </c>
      <c r="S88" s="226" t="str">
        <f t="shared" si="5"/>
        <v>Alto</v>
      </c>
    </row>
    <row r="89" spans="1:19" s="305" customFormat="1" ht="32.1" customHeight="1" x14ac:dyDescent="0.2">
      <c r="A89" s="487" t="s">
        <v>151</v>
      </c>
      <c r="B89" s="461" t="s">
        <v>2894</v>
      </c>
      <c r="C89" s="258" t="s">
        <v>2895</v>
      </c>
      <c r="D89" s="121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226" t="e">
        <f t="shared" si="3"/>
        <v>#DIV/0!</v>
      </c>
      <c r="R89" s="226" t="e">
        <f t="shared" si="4"/>
        <v>#DIV/0!</v>
      </c>
      <c r="S89" s="226" t="e">
        <f t="shared" si="5"/>
        <v>#DIV/0!</v>
      </c>
    </row>
    <row r="90" spans="1:19" s="305" customFormat="1" ht="32.1" customHeight="1" x14ac:dyDescent="0.2">
      <c r="A90" s="487" t="s">
        <v>151</v>
      </c>
      <c r="B90" s="258" t="s">
        <v>2896</v>
      </c>
      <c r="C90" s="258" t="s">
        <v>2897</v>
      </c>
      <c r="D90" s="121">
        <v>165</v>
      </c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226" t="e">
        <f t="shared" si="3"/>
        <v>#DIV/0!</v>
      </c>
      <c r="R90" s="226" t="e">
        <f t="shared" si="4"/>
        <v>#DIV/0!</v>
      </c>
      <c r="S90" s="226" t="e">
        <f t="shared" si="5"/>
        <v>#DIV/0!</v>
      </c>
    </row>
    <row r="91" spans="1:19" s="305" customFormat="1" ht="32.1" customHeight="1" x14ac:dyDescent="0.2">
      <c r="A91" s="487" t="s">
        <v>151</v>
      </c>
      <c r="B91" s="258" t="s">
        <v>865</v>
      </c>
      <c r="C91" s="258" t="s">
        <v>2898</v>
      </c>
      <c r="D91" s="121">
        <v>55</v>
      </c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226" t="e">
        <f t="shared" si="3"/>
        <v>#DIV/0!</v>
      </c>
      <c r="R91" s="226" t="e">
        <f t="shared" si="4"/>
        <v>#DIV/0!</v>
      </c>
      <c r="S91" s="226" t="e">
        <f t="shared" si="5"/>
        <v>#DIV/0!</v>
      </c>
    </row>
    <row r="92" spans="1:19" s="305" customFormat="1" ht="32.1" customHeight="1" x14ac:dyDescent="0.2">
      <c r="A92" s="487" t="s">
        <v>151</v>
      </c>
      <c r="B92" s="258" t="s">
        <v>2899</v>
      </c>
      <c r="C92" s="258" t="s">
        <v>2900</v>
      </c>
      <c r="D92" s="121">
        <v>102</v>
      </c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226" t="e">
        <f t="shared" si="3"/>
        <v>#DIV/0!</v>
      </c>
      <c r="R92" s="226" t="e">
        <f t="shared" si="4"/>
        <v>#DIV/0!</v>
      </c>
      <c r="S92" s="226" t="e">
        <f t="shared" si="5"/>
        <v>#DIV/0!</v>
      </c>
    </row>
    <row r="93" spans="1:19" s="305" customFormat="1" ht="32.1" customHeight="1" x14ac:dyDescent="0.2">
      <c r="A93" s="487" t="s">
        <v>234</v>
      </c>
      <c r="B93" s="258" t="s">
        <v>2901</v>
      </c>
      <c r="C93" s="258" t="s">
        <v>2902</v>
      </c>
      <c r="D93" s="121">
        <v>70</v>
      </c>
      <c r="E93" s="316"/>
      <c r="F93" s="316"/>
      <c r="G93" s="316"/>
      <c r="H93" s="316"/>
      <c r="I93" s="316"/>
      <c r="J93" s="316">
        <v>97.3</v>
      </c>
      <c r="K93" s="316"/>
      <c r="L93" s="316"/>
      <c r="M93" s="316"/>
      <c r="N93" s="316"/>
      <c r="O93" s="316"/>
      <c r="P93" s="316"/>
      <c r="Q93" s="226">
        <f t="shared" si="3"/>
        <v>97.3</v>
      </c>
      <c r="R93" s="226" t="str">
        <f t="shared" si="4"/>
        <v>NO</v>
      </c>
      <c r="S93" s="226" t="str">
        <f t="shared" si="5"/>
        <v>Inviable Sanitariamente</v>
      </c>
    </row>
    <row r="94" spans="1:19" s="305" customFormat="1" ht="32.1" customHeight="1" x14ac:dyDescent="0.2">
      <c r="A94" s="487" t="s">
        <v>234</v>
      </c>
      <c r="B94" s="258" t="s">
        <v>1049</v>
      </c>
      <c r="C94" s="258" t="s">
        <v>2903</v>
      </c>
      <c r="D94" s="121">
        <v>65</v>
      </c>
      <c r="E94" s="316"/>
      <c r="F94" s="316"/>
      <c r="G94" s="316"/>
      <c r="H94" s="316">
        <v>97.3</v>
      </c>
      <c r="I94" s="316"/>
      <c r="J94" s="316"/>
      <c r="K94" s="316"/>
      <c r="L94" s="316"/>
      <c r="M94" s="316"/>
      <c r="N94" s="316"/>
      <c r="O94" s="316"/>
      <c r="P94" s="316"/>
      <c r="Q94" s="226">
        <f t="shared" si="3"/>
        <v>97.3</v>
      </c>
      <c r="R94" s="226" t="str">
        <f t="shared" si="4"/>
        <v>NO</v>
      </c>
      <c r="S94" s="226" t="str">
        <f t="shared" si="5"/>
        <v>Inviable Sanitariamente</v>
      </c>
    </row>
    <row r="95" spans="1:19" s="305" customFormat="1" ht="32.1" customHeight="1" x14ac:dyDescent="0.2">
      <c r="A95" s="487" t="s">
        <v>234</v>
      </c>
      <c r="B95" s="258" t="s">
        <v>2904</v>
      </c>
      <c r="C95" s="258" t="s">
        <v>2905</v>
      </c>
      <c r="D95" s="121">
        <v>20</v>
      </c>
      <c r="E95" s="316"/>
      <c r="F95" s="316"/>
      <c r="G95" s="316"/>
      <c r="H95" s="316"/>
      <c r="I95" s="316"/>
      <c r="J95" s="316"/>
      <c r="K95" s="316"/>
      <c r="L95" s="316"/>
      <c r="M95" s="316">
        <v>97.3</v>
      </c>
      <c r="N95" s="316"/>
      <c r="O95" s="316"/>
      <c r="P95" s="316"/>
      <c r="Q95" s="226">
        <f t="shared" si="3"/>
        <v>97.3</v>
      </c>
      <c r="R95" s="226" t="str">
        <f t="shared" si="4"/>
        <v>NO</v>
      </c>
      <c r="S95" s="226" t="str">
        <f t="shared" si="5"/>
        <v>Inviable Sanitariamente</v>
      </c>
    </row>
    <row r="96" spans="1:19" s="305" customFormat="1" ht="32.1" customHeight="1" x14ac:dyDescent="0.2">
      <c r="A96" s="487" t="s">
        <v>234</v>
      </c>
      <c r="B96" s="258" t="s">
        <v>2906</v>
      </c>
      <c r="C96" s="258" t="s">
        <v>2907</v>
      </c>
      <c r="D96" s="121">
        <v>20</v>
      </c>
      <c r="E96" s="316"/>
      <c r="F96" s="316"/>
      <c r="G96" s="316"/>
      <c r="H96" s="316"/>
      <c r="I96" s="316">
        <v>97.3</v>
      </c>
      <c r="J96" s="316"/>
      <c r="K96" s="316"/>
      <c r="L96" s="316"/>
      <c r="M96" s="316"/>
      <c r="N96" s="316"/>
      <c r="O96" s="316"/>
      <c r="P96" s="316"/>
      <c r="Q96" s="226">
        <f t="shared" si="3"/>
        <v>97.3</v>
      </c>
      <c r="R96" s="226" t="str">
        <f t="shared" si="4"/>
        <v>NO</v>
      </c>
      <c r="S96" s="226" t="str">
        <f t="shared" si="5"/>
        <v>Inviable Sanitariamente</v>
      </c>
    </row>
    <row r="97" spans="1:19" s="305" customFormat="1" ht="32.1" customHeight="1" x14ac:dyDescent="0.2">
      <c r="A97" s="487" t="s">
        <v>234</v>
      </c>
      <c r="B97" s="258" t="s">
        <v>2908</v>
      </c>
      <c r="C97" s="258" t="s">
        <v>2909</v>
      </c>
      <c r="D97" s="121">
        <v>162</v>
      </c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226" t="e">
        <f t="shared" si="3"/>
        <v>#DIV/0!</v>
      </c>
      <c r="R97" s="226" t="e">
        <f t="shared" si="4"/>
        <v>#DIV/0!</v>
      </c>
      <c r="S97" s="226" t="e">
        <f t="shared" si="5"/>
        <v>#DIV/0!</v>
      </c>
    </row>
    <row r="98" spans="1:19" s="305" customFormat="1" ht="32.1" customHeight="1" x14ac:dyDescent="0.2">
      <c r="A98" s="487" t="s">
        <v>234</v>
      </c>
      <c r="B98" s="258" t="s">
        <v>2910</v>
      </c>
      <c r="C98" s="258" t="s">
        <v>2911</v>
      </c>
      <c r="D98" s="121">
        <v>245</v>
      </c>
      <c r="E98" s="316"/>
      <c r="F98" s="316"/>
      <c r="G98" s="316"/>
      <c r="H98" s="316">
        <v>0</v>
      </c>
      <c r="I98" s="316"/>
      <c r="J98" s="316"/>
      <c r="K98" s="316"/>
      <c r="L98" s="316">
        <v>97.3</v>
      </c>
      <c r="M98" s="316"/>
      <c r="N98" s="316"/>
      <c r="O98" s="316"/>
      <c r="P98" s="316"/>
      <c r="Q98" s="226">
        <f t="shared" ref="Q98:Q161" si="6">AVERAGE(E98:P98)</f>
        <v>48.65</v>
      </c>
      <c r="R98" s="226" t="str">
        <f t="shared" si="4"/>
        <v>NO</v>
      </c>
      <c r="S98" s="226" t="str">
        <f t="shared" si="5"/>
        <v>Alto</v>
      </c>
    </row>
    <row r="99" spans="1:19" s="305" customFormat="1" ht="32.1" customHeight="1" x14ac:dyDescent="0.2">
      <c r="A99" s="487" t="s">
        <v>234</v>
      </c>
      <c r="B99" s="258" t="s">
        <v>2912</v>
      </c>
      <c r="C99" s="258" t="s">
        <v>2913</v>
      </c>
      <c r="D99" s="116">
        <v>34</v>
      </c>
      <c r="E99" s="316"/>
      <c r="F99" s="316"/>
      <c r="G99" s="316"/>
      <c r="H99" s="316"/>
      <c r="I99" s="316"/>
      <c r="J99" s="316"/>
      <c r="K99" s="316"/>
      <c r="L99" s="316"/>
      <c r="M99" s="316"/>
      <c r="N99" s="316">
        <v>97.3</v>
      </c>
      <c r="O99" s="316"/>
      <c r="P99" s="316"/>
      <c r="Q99" s="226">
        <f t="shared" si="6"/>
        <v>97.3</v>
      </c>
      <c r="R99" s="226" t="str">
        <f t="shared" si="4"/>
        <v>NO</v>
      </c>
      <c r="S99" s="226" t="str">
        <f t="shared" si="5"/>
        <v>Inviable Sanitariamente</v>
      </c>
    </row>
    <row r="100" spans="1:19" s="305" customFormat="1" ht="32.1" customHeight="1" x14ac:dyDescent="0.2">
      <c r="A100" s="487" t="s">
        <v>234</v>
      </c>
      <c r="B100" s="258" t="s">
        <v>100</v>
      </c>
      <c r="C100" s="258" t="s">
        <v>2914</v>
      </c>
      <c r="D100" s="121">
        <v>12</v>
      </c>
      <c r="E100" s="316"/>
      <c r="F100" s="316"/>
      <c r="G100" s="316"/>
      <c r="H100" s="316"/>
      <c r="I100" s="316"/>
      <c r="J100" s="316"/>
      <c r="K100" s="316"/>
      <c r="L100" s="316"/>
      <c r="M100" s="316"/>
      <c r="N100" s="316">
        <v>97.3</v>
      </c>
      <c r="O100" s="316"/>
      <c r="P100" s="316"/>
      <c r="Q100" s="226">
        <f t="shared" si="6"/>
        <v>97.3</v>
      </c>
      <c r="R100" s="226" t="str">
        <f t="shared" si="4"/>
        <v>NO</v>
      </c>
      <c r="S100" s="226" t="str">
        <f t="shared" si="5"/>
        <v>Inviable Sanitariamente</v>
      </c>
    </row>
    <row r="101" spans="1:19" s="305" customFormat="1" ht="32.1" customHeight="1" x14ac:dyDescent="0.2">
      <c r="A101" s="487" t="s">
        <v>234</v>
      </c>
      <c r="B101" s="258" t="s">
        <v>2915</v>
      </c>
      <c r="C101" s="258" t="s">
        <v>2916</v>
      </c>
      <c r="D101" s="121">
        <v>32</v>
      </c>
      <c r="E101" s="316"/>
      <c r="F101" s="316"/>
      <c r="G101" s="316"/>
      <c r="H101" s="316"/>
      <c r="I101" s="316"/>
      <c r="J101" s="316"/>
      <c r="K101" s="316"/>
      <c r="L101" s="316"/>
      <c r="M101" s="316">
        <v>97.3</v>
      </c>
      <c r="N101" s="316"/>
      <c r="O101" s="316"/>
      <c r="P101" s="316"/>
      <c r="Q101" s="226">
        <f t="shared" si="6"/>
        <v>97.3</v>
      </c>
      <c r="R101" s="226" t="str">
        <f t="shared" si="4"/>
        <v>NO</v>
      </c>
      <c r="S101" s="226" t="str">
        <f t="shared" si="5"/>
        <v>Inviable Sanitariamente</v>
      </c>
    </row>
    <row r="102" spans="1:19" s="305" customFormat="1" ht="32.1" customHeight="1" x14ac:dyDescent="0.2">
      <c r="A102" s="487" t="s">
        <v>234</v>
      </c>
      <c r="B102" s="258" t="s">
        <v>2917</v>
      </c>
      <c r="C102" s="258" t="s">
        <v>2918</v>
      </c>
      <c r="D102" s="116">
        <v>40</v>
      </c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226" t="e">
        <f t="shared" si="6"/>
        <v>#DIV/0!</v>
      </c>
      <c r="R102" s="226" t="e">
        <f t="shared" si="4"/>
        <v>#DIV/0!</v>
      </c>
      <c r="S102" s="226" t="e">
        <f t="shared" si="5"/>
        <v>#DIV/0!</v>
      </c>
    </row>
    <row r="103" spans="1:19" s="305" customFormat="1" ht="32.1" customHeight="1" x14ac:dyDescent="0.2">
      <c r="A103" s="487" t="s">
        <v>234</v>
      </c>
      <c r="B103" s="258" t="s">
        <v>2919</v>
      </c>
      <c r="C103" s="258" t="s">
        <v>2920</v>
      </c>
      <c r="D103" s="121">
        <v>30</v>
      </c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226" t="e">
        <f t="shared" si="6"/>
        <v>#DIV/0!</v>
      </c>
      <c r="R103" s="226" t="e">
        <f t="shared" si="4"/>
        <v>#DIV/0!</v>
      </c>
      <c r="S103" s="226" t="e">
        <f t="shared" si="5"/>
        <v>#DIV/0!</v>
      </c>
    </row>
    <row r="104" spans="1:19" s="305" customFormat="1" ht="32.1" customHeight="1" x14ac:dyDescent="0.2">
      <c r="A104" s="487" t="s">
        <v>234</v>
      </c>
      <c r="B104" s="258" t="s">
        <v>2921</v>
      </c>
      <c r="C104" s="258" t="s">
        <v>2922</v>
      </c>
      <c r="D104" s="121">
        <v>13</v>
      </c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226" t="e">
        <f t="shared" si="6"/>
        <v>#DIV/0!</v>
      </c>
      <c r="R104" s="226" t="e">
        <f t="shared" si="4"/>
        <v>#DIV/0!</v>
      </c>
      <c r="S104" s="226" t="e">
        <f t="shared" si="5"/>
        <v>#DIV/0!</v>
      </c>
    </row>
    <row r="105" spans="1:19" s="305" customFormat="1" ht="32.1" customHeight="1" x14ac:dyDescent="0.2">
      <c r="A105" s="487" t="s">
        <v>234</v>
      </c>
      <c r="B105" s="258" t="s">
        <v>2908</v>
      </c>
      <c r="C105" s="258" t="s">
        <v>2923</v>
      </c>
      <c r="D105" s="116">
        <v>180</v>
      </c>
      <c r="E105" s="316"/>
      <c r="F105" s="316"/>
      <c r="G105" s="316"/>
      <c r="H105" s="316"/>
      <c r="I105" s="316"/>
      <c r="J105" s="316"/>
      <c r="K105" s="316"/>
      <c r="L105" s="316">
        <v>97.3</v>
      </c>
      <c r="M105" s="316"/>
      <c r="N105" s="316"/>
      <c r="O105" s="316"/>
      <c r="P105" s="316"/>
      <c r="Q105" s="226">
        <f t="shared" si="6"/>
        <v>97.3</v>
      </c>
      <c r="R105" s="226" t="str">
        <f t="shared" si="4"/>
        <v>NO</v>
      </c>
      <c r="S105" s="226" t="str">
        <f t="shared" si="5"/>
        <v>Inviable Sanitariamente</v>
      </c>
    </row>
    <row r="106" spans="1:19" s="305" customFormat="1" ht="32.1" customHeight="1" x14ac:dyDescent="0.2">
      <c r="A106" s="487" t="s">
        <v>234</v>
      </c>
      <c r="B106" s="258" t="s">
        <v>2924</v>
      </c>
      <c r="C106" s="258" t="s">
        <v>2925</v>
      </c>
      <c r="D106" s="121">
        <v>70</v>
      </c>
      <c r="E106" s="316"/>
      <c r="F106" s="316"/>
      <c r="G106" s="316"/>
      <c r="H106" s="316">
        <v>97.3</v>
      </c>
      <c r="I106" s="316"/>
      <c r="J106" s="316"/>
      <c r="K106" s="316"/>
      <c r="L106" s="316"/>
      <c r="M106" s="316"/>
      <c r="N106" s="316"/>
      <c r="O106" s="316"/>
      <c r="P106" s="316"/>
      <c r="Q106" s="226">
        <f t="shared" si="6"/>
        <v>97.3</v>
      </c>
      <c r="R106" s="226" t="str">
        <f t="shared" si="4"/>
        <v>NO</v>
      </c>
      <c r="S106" s="226" t="str">
        <f t="shared" si="5"/>
        <v>Inviable Sanitariamente</v>
      </c>
    </row>
    <row r="107" spans="1:19" s="305" customFormat="1" ht="32.1" customHeight="1" x14ac:dyDescent="0.2">
      <c r="A107" s="487" t="s">
        <v>234</v>
      </c>
      <c r="B107" s="258" t="s">
        <v>2890</v>
      </c>
      <c r="C107" s="258" t="s">
        <v>2926</v>
      </c>
      <c r="D107" s="121">
        <v>30</v>
      </c>
      <c r="E107" s="316"/>
      <c r="F107" s="316">
        <v>97.3</v>
      </c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226">
        <f t="shared" si="6"/>
        <v>97.3</v>
      </c>
      <c r="R107" s="226" t="str">
        <f t="shared" si="4"/>
        <v>NO</v>
      </c>
      <c r="S107" s="226" t="str">
        <f t="shared" si="5"/>
        <v>Inviable Sanitariamente</v>
      </c>
    </row>
    <row r="108" spans="1:19" s="305" customFormat="1" ht="32.1" customHeight="1" x14ac:dyDescent="0.2">
      <c r="A108" s="487" t="s">
        <v>234</v>
      </c>
      <c r="B108" s="258" t="s">
        <v>704</v>
      </c>
      <c r="C108" s="258" t="s">
        <v>2927</v>
      </c>
      <c r="D108" s="121">
        <v>22</v>
      </c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>
        <v>97.3</v>
      </c>
      <c r="P108" s="316"/>
      <c r="Q108" s="226">
        <f t="shared" si="6"/>
        <v>97.3</v>
      </c>
      <c r="R108" s="226" t="str">
        <f t="shared" si="4"/>
        <v>NO</v>
      </c>
      <c r="S108" s="226" t="str">
        <f t="shared" si="5"/>
        <v>Inviable Sanitariamente</v>
      </c>
    </row>
    <row r="109" spans="1:19" s="305" customFormat="1" ht="32.1" customHeight="1" x14ac:dyDescent="0.2">
      <c r="A109" s="487" t="s">
        <v>234</v>
      </c>
      <c r="B109" s="258" t="s">
        <v>2928</v>
      </c>
      <c r="C109" s="258" t="s">
        <v>2929</v>
      </c>
      <c r="D109" s="121">
        <v>25</v>
      </c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226" t="e">
        <f t="shared" si="6"/>
        <v>#DIV/0!</v>
      </c>
      <c r="R109" s="226" t="e">
        <f t="shared" si="4"/>
        <v>#DIV/0!</v>
      </c>
      <c r="S109" s="226" t="e">
        <f t="shared" si="5"/>
        <v>#DIV/0!</v>
      </c>
    </row>
    <row r="110" spans="1:19" s="305" customFormat="1" ht="32.1" customHeight="1" x14ac:dyDescent="0.2">
      <c r="A110" s="487" t="s">
        <v>234</v>
      </c>
      <c r="B110" s="258" t="s">
        <v>2930</v>
      </c>
      <c r="C110" s="258" t="s">
        <v>2931</v>
      </c>
      <c r="D110" s="121">
        <v>26</v>
      </c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226" t="e">
        <f t="shared" si="6"/>
        <v>#DIV/0!</v>
      </c>
      <c r="R110" s="226" t="e">
        <f t="shared" si="4"/>
        <v>#DIV/0!</v>
      </c>
      <c r="S110" s="226" t="e">
        <f t="shared" si="5"/>
        <v>#DIV/0!</v>
      </c>
    </row>
    <row r="111" spans="1:19" s="305" customFormat="1" ht="32.1" customHeight="1" x14ac:dyDescent="0.2">
      <c r="A111" s="487" t="s">
        <v>234</v>
      </c>
      <c r="B111" s="258" t="s">
        <v>2932</v>
      </c>
      <c r="C111" s="258" t="s">
        <v>2933</v>
      </c>
      <c r="D111" s="121">
        <v>52</v>
      </c>
      <c r="E111" s="316"/>
      <c r="F111" s="316"/>
      <c r="G111" s="316"/>
      <c r="H111" s="316">
        <v>97.3</v>
      </c>
      <c r="I111" s="316"/>
      <c r="J111" s="316"/>
      <c r="K111" s="316"/>
      <c r="L111" s="316"/>
      <c r="M111" s="316"/>
      <c r="N111" s="316"/>
      <c r="O111" s="316"/>
      <c r="P111" s="316"/>
      <c r="Q111" s="226">
        <f t="shared" si="6"/>
        <v>97.3</v>
      </c>
      <c r="R111" s="226" t="str">
        <f t="shared" si="4"/>
        <v>NO</v>
      </c>
      <c r="S111" s="226" t="str">
        <f t="shared" si="5"/>
        <v>Inviable Sanitariamente</v>
      </c>
    </row>
    <row r="112" spans="1:19" s="305" customFormat="1" ht="32.1" customHeight="1" x14ac:dyDescent="0.2">
      <c r="A112" s="487" t="s">
        <v>234</v>
      </c>
      <c r="B112" s="258" t="s">
        <v>2934</v>
      </c>
      <c r="C112" s="258" t="s">
        <v>2935</v>
      </c>
      <c r="D112" s="121">
        <v>31</v>
      </c>
      <c r="E112" s="316"/>
      <c r="F112" s="316"/>
      <c r="G112" s="316"/>
      <c r="H112" s="316">
        <v>97.3</v>
      </c>
      <c r="I112" s="316"/>
      <c r="J112" s="316"/>
      <c r="K112" s="316"/>
      <c r="L112" s="316"/>
      <c r="M112" s="316"/>
      <c r="N112" s="316"/>
      <c r="O112" s="316"/>
      <c r="P112" s="316"/>
      <c r="Q112" s="226">
        <f t="shared" si="6"/>
        <v>97.3</v>
      </c>
      <c r="R112" s="226" t="str">
        <f t="shared" si="4"/>
        <v>NO</v>
      </c>
      <c r="S112" s="226" t="str">
        <f t="shared" si="5"/>
        <v>Inviable Sanitariamente</v>
      </c>
    </row>
    <row r="113" spans="1:19" s="305" customFormat="1" ht="32.1" customHeight="1" x14ac:dyDescent="0.2">
      <c r="A113" s="487" t="s">
        <v>234</v>
      </c>
      <c r="B113" s="258" t="s">
        <v>2936</v>
      </c>
      <c r="C113" s="258" t="s">
        <v>2937</v>
      </c>
      <c r="D113" s="121">
        <v>115</v>
      </c>
      <c r="E113" s="316"/>
      <c r="F113" s="316"/>
      <c r="G113" s="316"/>
      <c r="H113" s="316"/>
      <c r="I113" s="316"/>
      <c r="J113" s="316"/>
      <c r="K113" s="316"/>
      <c r="L113" s="316">
        <v>97.3</v>
      </c>
      <c r="M113" s="316"/>
      <c r="N113" s="316"/>
      <c r="O113" s="316"/>
      <c r="P113" s="316"/>
      <c r="Q113" s="226">
        <f t="shared" si="6"/>
        <v>97.3</v>
      </c>
      <c r="R113" s="226" t="str">
        <f t="shared" si="4"/>
        <v>NO</v>
      </c>
      <c r="S113" s="226" t="str">
        <f t="shared" si="5"/>
        <v>Inviable Sanitariamente</v>
      </c>
    </row>
    <row r="114" spans="1:19" s="305" customFormat="1" ht="32.1" customHeight="1" x14ac:dyDescent="0.2">
      <c r="A114" s="487" t="s">
        <v>234</v>
      </c>
      <c r="B114" s="258" t="s">
        <v>2938</v>
      </c>
      <c r="C114" s="258" t="s">
        <v>2939</v>
      </c>
      <c r="D114" s="121">
        <v>23</v>
      </c>
      <c r="E114" s="316"/>
      <c r="F114" s="316"/>
      <c r="G114" s="316"/>
      <c r="H114" s="316"/>
      <c r="I114" s="316"/>
      <c r="J114" s="316"/>
      <c r="K114" s="316"/>
      <c r="L114" s="316"/>
      <c r="M114" s="316"/>
      <c r="N114" s="316">
        <v>97.3</v>
      </c>
      <c r="O114" s="316"/>
      <c r="P114" s="316"/>
      <c r="Q114" s="226">
        <f t="shared" si="6"/>
        <v>97.3</v>
      </c>
      <c r="R114" s="226" t="str">
        <f t="shared" si="4"/>
        <v>NO</v>
      </c>
      <c r="S114" s="226" t="str">
        <f t="shared" si="5"/>
        <v>Inviable Sanitariamente</v>
      </c>
    </row>
    <row r="115" spans="1:19" s="305" customFormat="1" ht="32.1" customHeight="1" x14ac:dyDescent="0.2">
      <c r="A115" s="487" t="s">
        <v>234</v>
      </c>
      <c r="B115" s="258" t="s">
        <v>2940</v>
      </c>
      <c r="C115" s="258" t="s">
        <v>2941</v>
      </c>
      <c r="D115" s="121">
        <v>40</v>
      </c>
      <c r="E115" s="316"/>
      <c r="F115" s="316"/>
      <c r="G115" s="316"/>
      <c r="H115" s="316"/>
      <c r="I115" s="316"/>
      <c r="J115" s="316"/>
      <c r="K115" s="316"/>
      <c r="L115" s="316"/>
      <c r="M115" s="316">
        <v>97.3</v>
      </c>
      <c r="N115" s="316"/>
      <c r="O115" s="316"/>
      <c r="P115" s="316"/>
      <c r="Q115" s="226">
        <f t="shared" si="6"/>
        <v>97.3</v>
      </c>
      <c r="R115" s="226" t="str">
        <f t="shared" si="4"/>
        <v>NO</v>
      </c>
      <c r="S115" s="226" t="str">
        <f t="shared" si="5"/>
        <v>Inviable Sanitariamente</v>
      </c>
    </row>
    <row r="116" spans="1:19" s="305" customFormat="1" ht="32.1" customHeight="1" x14ac:dyDescent="0.2">
      <c r="A116" s="487" t="s">
        <v>234</v>
      </c>
      <c r="B116" s="258" t="s">
        <v>2942</v>
      </c>
      <c r="C116" s="258" t="s">
        <v>2943</v>
      </c>
      <c r="D116" s="121">
        <v>30</v>
      </c>
      <c r="E116" s="316"/>
      <c r="F116" s="316"/>
      <c r="G116" s="316"/>
      <c r="H116" s="316"/>
      <c r="I116" s="316"/>
      <c r="J116" s="316"/>
      <c r="K116" s="316"/>
      <c r="L116" s="316"/>
      <c r="M116" s="316">
        <v>97.3</v>
      </c>
      <c r="N116" s="316"/>
      <c r="O116" s="316"/>
      <c r="P116" s="316"/>
      <c r="Q116" s="226">
        <f t="shared" si="6"/>
        <v>97.3</v>
      </c>
      <c r="R116" s="226" t="str">
        <f t="shared" si="4"/>
        <v>NO</v>
      </c>
      <c r="S116" s="226" t="str">
        <f t="shared" si="5"/>
        <v>Inviable Sanitariamente</v>
      </c>
    </row>
    <row r="117" spans="1:19" s="305" customFormat="1" ht="32.1" customHeight="1" x14ac:dyDescent="0.2">
      <c r="A117" s="487" t="s">
        <v>234</v>
      </c>
      <c r="B117" s="258" t="s">
        <v>2944</v>
      </c>
      <c r="C117" s="258" t="s">
        <v>2945</v>
      </c>
      <c r="D117" s="121">
        <v>40</v>
      </c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226" t="e">
        <f t="shared" si="6"/>
        <v>#DIV/0!</v>
      </c>
      <c r="R117" s="226" t="e">
        <f t="shared" si="4"/>
        <v>#DIV/0!</v>
      </c>
      <c r="S117" s="226" t="e">
        <f t="shared" si="5"/>
        <v>#DIV/0!</v>
      </c>
    </row>
    <row r="118" spans="1:19" s="305" customFormat="1" ht="32.1" customHeight="1" x14ac:dyDescent="0.2">
      <c r="A118" s="487" t="s">
        <v>234</v>
      </c>
      <c r="B118" s="258" t="s">
        <v>2946</v>
      </c>
      <c r="C118" s="258" t="s">
        <v>2947</v>
      </c>
      <c r="D118" s="121">
        <v>28</v>
      </c>
      <c r="E118" s="316"/>
      <c r="F118" s="316"/>
      <c r="G118" s="316"/>
      <c r="H118" s="316">
        <v>97.3</v>
      </c>
      <c r="I118" s="316"/>
      <c r="J118" s="316"/>
      <c r="K118" s="316"/>
      <c r="L118" s="316"/>
      <c r="M118" s="316"/>
      <c r="N118" s="316"/>
      <c r="O118" s="316"/>
      <c r="P118" s="316"/>
      <c r="Q118" s="226">
        <f t="shared" si="6"/>
        <v>97.3</v>
      </c>
      <c r="R118" s="226" t="str">
        <f t="shared" si="4"/>
        <v>NO</v>
      </c>
      <c r="S118" s="226" t="str">
        <f t="shared" si="5"/>
        <v>Inviable Sanitariamente</v>
      </c>
    </row>
    <row r="119" spans="1:19" s="305" customFormat="1" ht="32.1" customHeight="1" x14ac:dyDescent="0.2">
      <c r="A119" s="487" t="s">
        <v>234</v>
      </c>
      <c r="B119" s="258" t="s">
        <v>2948</v>
      </c>
      <c r="C119" s="258" t="s">
        <v>2949</v>
      </c>
      <c r="D119" s="121">
        <v>45</v>
      </c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>
        <v>97.3</v>
      </c>
      <c r="P119" s="316"/>
      <c r="Q119" s="226">
        <f t="shared" si="6"/>
        <v>97.3</v>
      </c>
      <c r="R119" s="226" t="str">
        <f t="shared" si="4"/>
        <v>NO</v>
      </c>
      <c r="S119" s="226" t="str">
        <f t="shared" si="5"/>
        <v>Inviable Sanitariamente</v>
      </c>
    </row>
    <row r="120" spans="1:19" s="305" customFormat="1" ht="32.1" customHeight="1" x14ac:dyDescent="0.2">
      <c r="A120" s="487" t="s">
        <v>234</v>
      </c>
      <c r="B120" s="258" t="s">
        <v>2950</v>
      </c>
      <c r="C120" s="258" t="s">
        <v>2951</v>
      </c>
      <c r="D120" s="121">
        <v>8</v>
      </c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226" t="e">
        <f t="shared" si="6"/>
        <v>#DIV/0!</v>
      </c>
      <c r="R120" s="226" t="e">
        <f t="shared" si="4"/>
        <v>#DIV/0!</v>
      </c>
      <c r="S120" s="226" t="e">
        <f t="shared" si="5"/>
        <v>#DIV/0!</v>
      </c>
    </row>
    <row r="121" spans="1:19" s="305" customFormat="1" ht="32.1" customHeight="1" x14ac:dyDescent="0.2">
      <c r="A121" s="487" t="s">
        <v>234</v>
      </c>
      <c r="B121" s="258" t="s">
        <v>2952</v>
      </c>
      <c r="C121" s="258" t="s">
        <v>2953</v>
      </c>
      <c r="D121" s="121">
        <v>28</v>
      </c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226" t="e">
        <f t="shared" si="6"/>
        <v>#DIV/0!</v>
      </c>
      <c r="R121" s="226" t="e">
        <f t="shared" si="4"/>
        <v>#DIV/0!</v>
      </c>
      <c r="S121" s="226" t="e">
        <f t="shared" si="5"/>
        <v>#DIV/0!</v>
      </c>
    </row>
    <row r="122" spans="1:19" s="305" customFormat="1" ht="32.1" customHeight="1" x14ac:dyDescent="0.2">
      <c r="A122" s="487" t="s">
        <v>234</v>
      </c>
      <c r="B122" s="258" t="s">
        <v>2954</v>
      </c>
      <c r="C122" s="258" t="s">
        <v>2955</v>
      </c>
      <c r="D122" s="121">
        <v>24</v>
      </c>
      <c r="E122" s="316"/>
      <c r="F122" s="316"/>
      <c r="G122" s="316"/>
      <c r="H122" s="316"/>
      <c r="I122" s="316">
        <v>97.3</v>
      </c>
      <c r="J122" s="316"/>
      <c r="K122" s="316"/>
      <c r="L122" s="316"/>
      <c r="M122" s="316"/>
      <c r="N122" s="316"/>
      <c r="O122" s="316"/>
      <c r="P122" s="316"/>
      <c r="Q122" s="226">
        <f t="shared" si="6"/>
        <v>97.3</v>
      </c>
      <c r="R122" s="226" t="str">
        <f t="shared" si="4"/>
        <v>NO</v>
      </c>
      <c r="S122" s="226" t="str">
        <f t="shared" si="5"/>
        <v>Inviable Sanitariamente</v>
      </c>
    </row>
    <row r="123" spans="1:19" s="305" customFormat="1" ht="32.1" customHeight="1" x14ac:dyDescent="0.2">
      <c r="A123" s="487" t="s">
        <v>234</v>
      </c>
      <c r="B123" s="258" t="s">
        <v>1</v>
      </c>
      <c r="C123" s="258" t="s">
        <v>2956</v>
      </c>
      <c r="D123" s="121">
        <v>13</v>
      </c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226" t="e">
        <f t="shared" si="6"/>
        <v>#DIV/0!</v>
      </c>
      <c r="R123" s="226" t="e">
        <f t="shared" si="4"/>
        <v>#DIV/0!</v>
      </c>
      <c r="S123" s="226" t="e">
        <f t="shared" si="5"/>
        <v>#DIV/0!</v>
      </c>
    </row>
    <row r="124" spans="1:19" s="305" customFormat="1" ht="32.1" customHeight="1" x14ac:dyDescent="0.2">
      <c r="A124" s="487" t="s">
        <v>234</v>
      </c>
      <c r="B124" s="258" t="s">
        <v>1</v>
      </c>
      <c r="C124" s="258" t="s">
        <v>2957</v>
      </c>
      <c r="D124" s="121">
        <v>20</v>
      </c>
      <c r="E124" s="316"/>
      <c r="F124" s="316"/>
      <c r="G124" s="316"/>
      <c r="H124" s="316"/>
      <c r="I124" s="316">
        <v>97.3</v>
      </c>
      <c r="J124" s="316"/>
      <c r="K124" s="316"/>
      <c r="L124" s="316"/>
      <c r="M124" s="316"/>
      <c r="N124" s="316"/>
      <c r="O124" s="316"/>
      <c r="P124" s="316"/>
      <c r="Q124" s="226">
        <f t="shared" si="6"/>
        <v>97.3</v>
      </c>
      <c r="R124" s="226" t="str">
        <f t="shared" si="4"/>
        <v>NO</v>
      </c>
      <c r="S124" s="226" t="str">
        <f t="shared" si="5"/>
        <v>Inviable Sanitariamente</v>
      </c>
    </row>
    <row r="125" spans="1:19" s="305" customFormat="1" ht="32.1" customHeight="1" x14ac:dyDescent="0.2">
      <c r="A125" s="487" t="s">
        <v>234</v>
      </c>
      <c r="B125" s="258" t="s">
        <v>236</v>
      </c>
      <c r="C125" s="258" t="s">
        <v>2958</v>
      </c>
      <c r="D125" s="121">
        <v>18</v>
      </c>
      <c r="E125" s="316"/>
      <c r="F125" s="316"/>
      <c r="G125" s="316">
        <v>97.3</v>
      </c>
      <c r="H125" s="316"/>
      <c r="I125" s="316"/>
      <c r="J125" s="316"/>
      <c r="K125" s="316"/>
      <c r="L125" s="316"/>
      <c r="M125" s="316"/>
      <c r="N125" s="316"/>
      <c r="O125" s="316"/>
      <c r="P125" s="316"/>
      <c r="Q125" s="226">
        <f t="shared" si="6"/>
        <v>97.3</v>
      </c>
      <c r="R125" s="226" t="str">
        <f t="shared" si="4"/>
        <v>NO</v>
      </c>
      <c r="S125" s="226" t="str">
        <f t="shared" si="5"/>
        <v>Inviable Sanitariamente</v>
      </c>
    </row>
    <row r="126" spans="1:19" s="305" customFormat="1" ht="32.1" customHeight="1" x14ac:dyDescent="0.2">
      <c r="A126" s="487" t="s">
        <v>234</v>
      </c>
      <c r="B126" s="258" t="s">
        <v>1270</v>
      </c>
      <c r="C126" s="258" t="s">
        <v>2959</v>
      </c>
      <c r="D126" s="121">
        <v>10</v>
      </c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226" t="e">
        <f t="shared" si="6"/>
        <v>#DIV/0!</v>
      </c>
      <c r="R126" s="226" t="e">
        <f t="shared" si="4"/>
        <v>#DIV/0!</v>
      </c>
      <c r="S126" s="226" t="e">
        <f t="shared" si="5"/>
        <v>#DIV/0!</v>
      </c>
    </row>
    <row r="127" spans="1:19" s="305" customFormat="1" ht="32.1" customHeight="1" x14ac:dyDescent="0.2">
      <c r="A127" s="487" t="s">
        <v>234</v>
      </c>
      <c r="B127" s="258" t="s">
        <v>1270</v>
      </c>
      <c r="C127" s="258" t="s">
        <v>2960</v>
      </c>
      <c r="D127" s="121">
        <v>30</v>
      </c>
      <c r="E127" s="316"/>
      <c r="F127" s="316">
        <v>97.3</v>
      </c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226">
        <f t="shared" si="6"/>
        <v>97.3</v>
      </c>
      <c r="R127" s="226" t="str">
        <f t="shared" si="4"/>
        <v>NO</v>
      </c>
      <c r="S127" s="226" t="str">
        <f t="shared" si="5"/>
        <v>Inviable Sanitariamente</v>
      </c>
    </row>
    <row r="128" spans="1:19" s="305" customFormat="1" ht="32.1" customHeight="1" x14ac:dyDescent="0.2">
      <c r="A128" s="487" t="s">
        <v>234</v>
      </c>
      <c r="B128" s="258" t="s">
        <v>2961</v>
      </c>
      <c r="C128" s="258" t="s">
        <v>2962</v>
      </c>
      <c r="D128" s="121">
        <v>43</v>
      </c>
      <c r="E128" s="316"/>
      <c r="F128" s="316">
        <v>97.3</v>
      </c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226">
        <f t="shared" si="6"/>
        <v>97.3</v>
      </c>
      <c r="R128" s="226" t="str">
        <f t="shared" si="4"/>
        <v>NO</v>
      </c>
      <c r="S128" s="226" t="str">
        <f t="shared" si="5"/>
        <v>Inviable Sanitariamente</v>
      </c>
    </row>
    <row r="129" spans="1:19" s="305" customFormat="1" ht="32.1" customHeight="1" x14ac:dyDescent="0.2">
      <c r="A129" s="487" t="s">
        <v>234</v>
      </c>
      <c r="B129" s="258" t="s">
        <v>2963</v>
      </c>
      <c r="C129" s="258" t="s">
        <v>2964</v>
      </c>
      <c r="D129" s="121">
        <v>65</v>
      </c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226" t="e">
        <f t="shared" si="6"/>
        <v>#DIV/0!</v>
      </c>
      <c r="R129" s="226" t="e">
        <f t="shared" si="4"/>
        <v>#DIV/0!</v>
      </c>
      <c r="S129" s="226" t="e">
        <f t="shared" si="5"/>
        <v>#DIV/0!</v>
      </c>
    </row>
    <row r="130" spans="1:19" s="305" customFormat="1" ht="32.1" customHeight="1" x14ac:dyDescent="0.2">
      <c r="A130" s="487" t="s">
        <v>234</v>
      </c>
      <c r="B130" s="258" t="s">
        <v>2965</v>
      </c>
      <c r="C130" s="258" t="s">
        <v>2966</v>
      </c>
      <c r="D130" s="121">
        <v>23</v>
      </c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226" t="e">
        <f t="shared" si="6"/>
        <v>#DIV/0!</v>
      </c>
      <c r="R130" s="226" t="e">
        <f t="shared" si="4"/>
        <v>#DIV/0!</v>
      </c>
      <c r="S130" s="226" t="e">
        <f t="shared" si="5"/>
        <v>#DIV/0!</v>
      </c>
    </row>
    <row r="131" spans="1:19" s="305" customFormat="1" ht="32.1" customHeight="1" x14ac:dyDescent="0.2">
      <c r="A131" s="487" t="s">
        <v>234</v>
      </c>
      <c r="B131" s="258" t="s">
        <v>2967</v>
      </c>
      <c r="C131" s="258" t="s">
        <v>2968</v>
      </c>
      <c r="D131" s="121">
        <v>20</v>
      </c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226" t="e">
        <f t="shared" si="6"/>
        <v>#DIV/0!</v>
      </c>
      <c r="R131" s="226" t="e">
        <f t="shared" si="4"/>
        <v>#DIV/0!</v>
      </c>
      <c r="S131" s="226" t="e">
        <f t="shared" si="5"/>
        <v>#DIV/0!</v>
      </c>
    </row>
    <row r="132" spans="1:19" s="305" customFormat="1" ht="32.1" customHeight="1" x14ac:dyDescent="0.2">
      <c r="A132" s="487" t="s">
        <v>234</v>
      </c>
      <c r="B132" s="258" t="s">
        <v>2967</v>
      </c>
      <c r="C132" s="258" t="s">
        <v>2969</v>
      </c>
      <c r="D132" s="121">
        <v>18</v>
      </c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226" t="e">
        <f t="shared" si="6"/>
        <v>#DIV/0!</v>
      </c>
      <c r="R132" s="226" t="e">
        <f t="shared" si="4"/>
        <v>#DIV/0!</v>
      </c>
      <c r="S132" s="226" t="e">
        <f t="shared" si="5"/>
        <v>#DIV/0!</v>
      </c>
    </row>
    <row r="133" spans="1:19" s="305" customFormat="1" ht="32.1" customHeight="1" x14ac:dyDescent="0.2">
      <c r="A133" s="487" t="s">
        <v>234</v>
      </c>
      <c r="B133" s="258" t="s">
        <v>1557</v>
      </c>
      <c r="C133" s="258" t="s">
        <v>2970</v>
      </c>
      <c r="D133" s="121">
        <v>45</v>
      </c>
      <c r="E133" s="316"/>
      <c r="F133" s="316">
        <v>97.3</v>
      </c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226">
        <f t="shared" si="6"/>
        <v>97.3</v>
      </c>
      <c r="R133" s="226" t="str">
        <f t="shared" si="4"/>
        <v>NO</v>
      </c>
      <c r="S133" s="226" t="str">
        <f t="shared" si="5"/>
        <v>Inviable Sanitariamente</v>
      </c>
    </row>
    <row r="134" spans="1:19" s="305" customFormat="1" ht="32.1" customHeight="1" x14ac:dyDescent="0.2">
      <c r="A134" s="487" t="s">
        <v>234</v>
      </c>
      <c r="B134" s="258" t="s">
        <v>2971</v>
      </c>
      <c r="C134" s="258" t="s">
        <v>2972</v>
      </c>
      <c r="D134" s="121">
        <v>32</v>
      </c>
      <c r="E134" s="316"/>
      <c r="F134" s="316"/>
      <c r="G134" s="316"/>
      <c r="H134" s="316">
        <v>97.3</v>
      </c>
      <c r="I134" s="316"/>
      <c r="J134" s="316"/>
      <c r="K134" s="316"/>
      <c r="L134" s="316"/>
      <c r="M134" s="316"/>
      <c r="N134" s="316"/>
      <c r="O134" s="316"/>
      <c r="P134" s="316"/>
      <c r="Q134" s="226">
        <f t="shared" si="6"/>
        <v>97.3</v>
      </c>
      <c r="R134" s="226" t="str">
        <f t="shared" si="4"/>
        <v>NO</v>
      </c>
      <c r="S134" s="226" t="str">
        <f t="shared" si="5"/>
        <v>Inviable Sanitariamente</v>
      </c>
    </row>
    <row r="135" spans="1:19" s="305" customFormat="1" ht="32.1" customHeight="1" x14ac:dyDescent="0.2">
      <c r="A135" s="487" t="s">
        <v>234</v>
      </c>
      <c r="B135" s="258" t="s">
        <v>2973</v>
      </c>
      <c r="C135" s="258" t="s">
        <v>2974</v>
      </c>
      <c r="D135" s="121">
        <v>46</v>
      </c>
      <c r="E135" s="316"/>
      <c r="F135" s="316"/>
      <c r="G135" s="316"/>
      <c r="H135" s="316">
        <v>97.3</v>
      </c>
      <c r="I135" s="316"/>
      <c r="J135" s="316"/>
      <c r="K135" s="316"/>
      <c r="L135" s="316"/>
      <c r="M135" s="316"/>
      <c r="N135" s="316"/>
      <c r="O135" s="316"/>
      <c r="P135" s="316"/>
      <c r="Q135" s="226">
        <f t="shared" si="6"/>
        <v>97.3</v>
      </c>
      <c r="R135" s="226" t="str">
        <f t="shared" si="4"/>
        <v>NO</v>
      </c>
      <c r="S135" s="226" t="str">
        <f t="shared" si="5"/>
        <v>Inviable Sanitariamente</v>
      </c>
    </row>
    <row r="136" spans="1:19" s="305" customFormat="1" ht="32.1" customHeight="1" x14ac:dyDescent="0.2">
      <c r="A136" s="487" t="s">
        <v>234</v>
      </c>
      <c r="B136" s="258" t="s">
        <v>2975</v>
      </c>
      <c r="C136" s="258" t="s">
        <v>2976</v>
      </c>
      <c r="D136" s="121">
        <v>28</v>
      </c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226" t="e">
        <f t="shared" si="6"/>
        <v>#DIV/0!</v>
      </c>
      <c r="R136" s="226" t="e">
        <f t="shared" si="4"/>
        <v>#DIV/0!</v>
      </c>
      <c r="S136" s="226" t="e">
        <f t="shared" si="5"/>
        <v>#DIV/0!</v>
      </c>
    </row>
    <row r="137" spans="1:19" s="305" customFormat="1" ht="38.25" customHeight="1" x14ac:dyDescent="0.2">
      <c r="A137" s="487" t="s">
        <v>234</v>
      </c>
      <c r="B137" s="258" t="s">
        <v>2977</v>
      </c>
      <c r="C137" s="258" t="s">
        <v>2978</v>
      </c>
      <c r="D137" s="121">
        <v>18</v>
      </c>
      <c r="E137" s="316"/>
      <c r="F137" s="316"/>
      <c r="G137" s="316"/>
      <c r="H137" s="316"/>
      <c r="I137" s="316"/>
      <c r="J137" s="316"/>
      <c r="K137" s="316"/>
      <c r="L137" s="316"/>
      <c r="M137" s="316">
        <v>97.3</v>
      </c>
      <c r="N137" s="316"/>
      <c r="O137" s="316"/>
      <c r="P137" s="316"/>
      <c r="Q137" s="226">
        <f t="shared" si="6"/>
        <v>97.3</v>
      </c>
      <c r="R137" s="226" t="str">
        <f t="shared" si="4"/>
        <v>NO</v>
      </c>
      <c r="S137" s="226" t="str">
        <f t="shared" si="5"/>
        <v>Inviable Sanitariamente</v>
      </c>
    </row>
    <row r="138" spans="1:19" s="305" customFormat="1" ht="37.5" customHeight="1" x14ac:dyDescent="0.2">
      <c r="A138" s="487" t="s">
        <v>234</v>
      </c>
      <c r="B138" s="258" t="s">
        <v>2979</v>
      </c>
      <c r="C138" s="258" t="s">
        <v>2980</v>
      </c>
      <c r="D138" s="121">
        <v>11</v>
      </c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226" t="e">
        <f t="shared" si="6"/>
        <v>#DIV/0!</v>
      </c>
      <c r="R138" s="226" t="e">
        <f t="shared" ref="R138:R201" si="7">IF(Q138&lt;5,"SI","NO")</f>
        <v>#DIV/0!</v>
      </c>
      <c r="S138" s="226" t="e">
        <f t="shared" si="5"/>
        <v>#DIV/0!</v>
      </c>
    </row>
    <row r="139" spans="1:19" s="305" customFormat="1" ht="32.1" customHeight="1" x14ac:dyDescent="0.2">
      <c r="A139" s="487" t="s">
        <v>234</v>
      </c>
      <c r="B139" s="258" t="s">
        <v>2981</v>
      </c>
      <c r="C139" s="258" t="s">
        <v>2982</v>
      </c>
      <c r="D139" s="121">
        <v>7</v>
      </c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226" t="e">
        <f t="shared" si="6"/>
        <v>#DIV/0!</v>
      </c>
      <c r="R139" s="226" t="e">
        <f t="shared" si="7"/>
        <v>#DIV/0!</v>
      </c>
      <c r="S139" s="226" t="e">
        <f t="shared" ref="S139:S202" si="8">IF(Q139&lt;=5,"Sin Riesgo",IF(Q139 &lt;=14,"Bajo",IF(Q139&lt;=35,"Medio",IF(Q139&lt;=80,"Alto","Inviable Sanitariamente"))))</f>
        <v>#DIV/0!</v>
      </c>
    </row>
    <row r="140" spans="1:19" s="305" customFormat="1" ht="32.1" customHeight="1" x14ac:dyDescent="0.2">
      <c r="A140" s="487" t="s">
        <v>234</v>
      </c>
      <c r="B140" s="258" t="s">
        <v>10</v>
      </c>
      <c r="C140" s="258" t="s">
        <v>2983</v>
      </c>
      <c r="D140" s="121">
        <v>20</v>
      </c>
      <c r="E140" s="316"/>
      <c r="F140" s="316"/>
      <c r="G140" s="316">
        <v>97.3</v>
      </c>
      <c r="H140" s="316"/>
      <c r="I140" s="316"/>
      <c r="J140" s="316"/>
      <c r="K140" s="316"/>
      <c r="L140" s="316"/>
      <c r="M140" s="316"/>
      <c r="N140" s="316"/>
      <c r="O140" s="316"/>
      <c r="P140" s="316"/>
      <c r="Q140" s="226">
        <f t="shared" si="6"/>
        <v>97.3</v>
      </c>
      <c r="R140" s="226" t="str">
        <f t="shared" si="7"/>
        <v>NO</v>
      </c>
      <c r="S140" s="226" t="str">
        <f t="shared" si="8"/>
        <v>Inviable Sanitariamente</v>
      </c>
    </row>
    <row r="141" spans="1:19" s="305" customFormat="1" ht="32.1" customHeight="1" x14ac:dyDescent="0.2">
      <c r="A141" s="487" t="s">
        <v>234</v>
      </c>
      <c r="B141" s="258" t="s">
        <v>2984</v>
      </c>
      <c r="C141" s="258" t="s">
        <v>2985</v>
      </c>
      <c r="D141" s="116">
        <v>7</v>
      </c>
      <c r="E141" s="316"/>
      <c r="F141" s="316"/>
      <c r="G141" s="316"/>
      <c r="H141" s="316"/>
      <c r="I141" s="316"/>
      <c r="J141" s="316"/>
      <c r="K141" s="316"/>
      <c r="L141" s="316"/>
      <c r="M141" s="316"/>
      <c r="N141" s="316">
        <v>97.3</v>
      </c>
      <c r="O141" s="316"/>
      <c r="P141" s="316"/>
      <c r="Q141" s="226">
        <f t="shared" si="6"/>
        <v>97.3</v>
      </c>
      <c r="R141" s="226" t="str">
        <f t="shared" si="7"/>
        <v>NO</v>
      </c>
      <c r="S141" s="226" t="str">
        <f t="shared" si="8"/>
        <v>Inviable Sanitariamente</v>
      </c>
    </row>
    <row r="142" spans="1:19" s="305" customFormat="1" ht="32.1" customHeight="1" x14ac:dyDescent="0.2">
      <c r="A142" s="487" t="s">
        <v>234</v>
      </c>
      <c r="B142" s="258" t="s">
        <v>2986</v>
      </c>
      <c r="C142" s="258" t="s">
        <v>2987</v>
      </c>
      <c r="D142" s="116">
        <v>16</v>
      </c>
      <c r="E142" s="316"/>
      <c r="F142" s="316"/>
      <c r="G142" s="316"/>
      <c r="H142" s="316"/>
      <c r="I142" s="316"/>
      <c r="J142" s="316"/>
      <c r="K142" s="316"/>
      <c r="L142" s="316"/>
      <c r="M142" s="316"/>
      <c r="N142" s="316">
        <v>97.3</v>
      </c>
      <c r="O142" s="316"/>
      <c r="P142" s="316"/>
      <c r="Q142" s="226">
        <f t="shared" si="6"/>
        <v>97.3</v>
      </c>
      <c r="R142" s="226" t="str">
        <f t="shared" si="7"/>
        <v>NO</v>
      </c>
      <c r="S142" s="226" t="str">
        <f t="shared" si="8"/>
        <v>Inviable Sanitariamente</v>
      </c>
    </row>
    <row r="143" spans="1:19" s="305" customFormat="1" ht="32.1" customHeight="1" x14ac:dyDescent="0.2">
      <c r="A143" s="487" t="s">
        <v>234</v>
      </c>
      <c r="B143" s="258" t="s">
        <v>735</v>
      </c>
      <c r="C143" s="258" t="s">
        <v>2988</v>
      </c>
      <c r="D143" s="116">
        <v>5</v>
      </c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226" t="e">
        <f t="shared" si="6"/>
        <v>#DIV/0!</v>
      </c>
      <c r="R143" s="226" t="e">
        <f t="shared" si="7"/>
        <v>#DIV/0!</v>
      </c>
      <c r="S143" s="226" t="e">
        <f t="shared" si="8"/>
        <v>#DIV/0!</v>
      </c>
    </row>
    <row r="144" spans="1:19" s="305" customFormat="1" ht="32.1" customHeight="1" x14ac:dyDescent="0.2">
      <c r="A144" s="487" t="s">
        <v>234</v>
      </c>
      <c r="B144" s="258" t="s">
        <v>2732</v>
      </c>
      <c r="C144" s="258" t="s">
        <v>2989</v>
      </c>
      <c r="D144" s="116">
        <v>6</v>
      </c>
      <c r="E144" s="316"/>
      <c r="F144" s="316"/>
      <c r="G144" s="316"/>
      <c r="H144" s="316"/>
      <c r="I144" s="316"/>
      <c r="J144" s="316">
        <v>97.3</v>
      </c>
      <c r="K144" s="316"/>
      <c r="L144" s="316"/>
      <c r="M144" s="316"/>
      <c r="N144" s="316"/>
      <c r="O144" s="316"/>
      <c r="P144" s="316"/>
      <c r="Q144" s="226">
        <f t="shared" si="6"/>
        <v>97.3</v>
      </c>
      <c r="R144" s="226" t="str">
        <f t="shared" si="7"/>
        <v>NO</v>
      </c>
      <c r="S144" s="226" t="str">
        <f t="shared" si="8"/>
        <v>Inviable Sanitariamente</v>
      </c>
    </row>
    <row r="145" spans="1:19" s="305" customFormat="1" ht="32.1" customHeight="1" x14ac:dyDescent="0.2">
      <c r="A145" s="487" t="s">
        <v>234</v>
      </c>
      <c r="B145" s="258" t="s">
        <v>1128</v>
      </c>
      <c r="C145" s="258" t="s">
        <v>2990</v>
      </c>
      <c r="D145" s="116">
        <v>30</v>
      </c>
      <c r="E145" s="316"/>
      <c r="F145" s="316">
        <v>97.3</v>
      </c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226">
        <f t="shared" si="6"/>
        <v>97.3</v>
      </c>
      <c r="R145" s="226" t="str">
        <f t="shared" si="7"/>
        <v>NO</v>
      </c>
      <c r="S145" s="226" t="str">
        <f t="shared" si="8"/>
        <v>Inviable Sanitariamente</v>
      </c>
    </row>
    <row r="146" spans="1:19" s="305" customFormat="1" ht="32.1" customHeight="1" x14ac:dyDescent="0.2">
      <c r="A146" s="487" t="s">
        <v>234</v>
      </c>
      <c r="B146" s="258" t="s">
        <v>2991</v>
      </c>
      <c r="C146" s="258" t="s">
        <v>2992</v>
      </c>
      <c r="D146" s="121">
        <v>19</v>
      </c>
      <c r="E146" s="316"/>
      <c r="F146" s="316"/>
      <c r="G146" s="316"/>
      <c r="H146" s="316"/>
      <c r="I146" s="316"/>
      <c r="J146" s="316"/>
      <c r="K146" s="316">
        <v>97.3</v>
      </c>
      <c r="L146" s="316"/>
      <c r="M146" s="316"/>
      <c r="N146" s="316"/>
      <c r="O146" s="316"/>
      <c r="P146" s="316"/>
      <c r="Q146" s="226">
        <f t="shared" si="6"/>
        <v>97.3</v>
      </c>
      <c r="R146" s="226" t="str">
        <f t="shared" si="7"/>
        <v>NO</v>
      </c>
      <c r="S146" s="226" t="str">
        <f t="shared" si="8"/>
        <v>Inviable Sanitariamente</v>
      </c>
    </row>
    <row r="147" spans="1:19" s="305" customFormat="1" ht="32.1" customHeight="1" x14ac:dyDescent="0.2">
      <c r="A147" s="487" t="s">
        <v>234</v>
      </c>
      <c r="B147" s="258" t="s">
        <v>2993</v>
      </c>
      <c r="C147" s="258" t="s">
        <v>2994</v>
      </c>
      <c r="D147" s="260">
        <v>9</v>
      </c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226" t="e">
        <f t="shared" si="6"/>
        <v>#DIV/0!</v>
      </c>
      <c r="R147" s="449" t="e">
        <f t="shared" si="7"/>
        <v>#DIV/0!</v>
      </c>
      <c r="S147" s="226" t="e">
        <f t="shared" si="8"/>
        <v>#DIV/0!</v>
      </c>
    </row>
    <row r="148" spans="1:19" s="305" customFormat="1" ht="32.1" customHeight="1" x14ac:dyDescent="0.2">
      <c r="A148" s="487" t="s">
        <v>234</v>
      </c>
      <c r="B148" s="261" t="s">
        <v>2995</v>
      </c>
      <c r="C148" s="261" t="s">
        <v>2996</v>
      </c>
      <c r="D148" s="149">
        <v>75</v>
      </c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226" t="e">
        <f t="shared" si="6"/>
        <v>#DIV/0!</v>
      </c>
      <c r="R148" s="450" t="e">
        <f t="shared" si="7"/>
        <v>#DIV/0!</v>
      </c>
      <c r="S148" s="226" t="e">
        <f t="shared" si="8"/>
        <v>#DIV/0!</v>
      </c>
    </row>
    <row r="149" spans="1:19" s="305" customFormat="1" ht="32.1" customHeight="1" x14ac:dyDescent="0.2">
      <c r="A149" s="487" t="s">
        <v>234</v>
      </c>
      <c r="B149" s="261" t="s">
        <v>2997</v>
      </c>
      <c r="C149" s="261" t="s">
        <v>2998</v>
      </c>
      <c r="D149" s="149">
        <v>160</v>
      </c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226" t="e">
        <f t="shared" si="6"/>
        <v>#DIV/0!</v>
      </c>
      <c r="R149" s="450" t="e">
        <f t="shared" si="7"/>
        <v>#DIV/0!</v>
      </c>
      <c r="S149" s="226" t="e">
        <f t="shared" si="8"/>
        <v>#DIV/0!</v>
      </c>
    </row>
    <row r="150" spans="1:19" s="305" customFormat="1" ht="32.1" customHeight="1" x14ac:dyDescent="0.2">
      <c r="A150" s="487" t="s">
        <v>234</v>
      </c>
      <c r="B150" s="258" t="s">
        <v>2999</v>
      </c>
      <c r="C150" s="258" t="s">
        <v>3000</v>
      </c>
      <c r="D150" s="149">
        <v>67</v>
      </c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226" t="e">
        <f t="shared" si="6"/>
        <v>#DIV/0!</v>
      </c>
      <c r="R150" s="450" t="e">
        <f t="shared" si="7"/>
        <v>#DIV/0!</v>
      </c>
      <c r="S150" s="226" t="e">
        <f t="shared" si="8"/>
        <v>#DIV/0!</v>
      </c>
    </row>
    <row r="151" spans="1:19" s="305" customFormat="1" ht="32.1" customHeight="1" x14ac:dyDescent="0.2">
      <c r="A151" s="487" t="s">
        <v>234</v>
      </c>
      <c r="B151" s="258" t="s">
        <v>700</v>
      </c>
      <c r="C151" s="258" t="s">
        <v>3001</v>
      </c>
      <c r="D151" s="116">
        <v>67</v>
      </c>
      <c r="E151" s="316"/>
      <c r="F151" s="316"/>
      <c r="G151" s="316"/>
      <c r="H151" s="316"/>
      <c r="I151" s="316"/>
      <c r="J151" s="316"/>
      <c r="K151" s="316"/>
      <c r="L151" s="316"/>
      <c r="M151" s="316"/>
      <c r="N151" s="316">
        <v>97.3</v>
      </c>
      <c r="O151" s="316"/>
      <c r="P151" s="316"/>
      <c r="Q151" s="226">
        <f t="shared" si="6"/>
        <v>97.3</v>
      </c>
      <c r="R151" s="226" t="str">
        <f t="shared" si="7"/>
        <v>NO</v>
      </c>
      <c r="S151" s="226" t="str">
        <f t="shared" si="8"/>
        <v>Inviable Sanitariamente</v>
      </c>
    </row>
    <row r="152" spans="1:19" s="305" customFormat="1" ht="32.1" customHeight="1" x14ac:dyDescent="0.2">
      <c r="A152" s="487" t="s">
        <v>148</v>
      </c>
      <c r="B152" s="258" t="s">
        <v>3002</v>
      </c>
      <c r="C152" s="258" t="s">
        <v>3003</v>
      </c>
      <c r="D152" s="121">
        <v>25</v>
      </c>
      <c r="E152" s="316"/>
      <c r="F152" s="316"/>
      <c r="G152" s="316"/>
      <c r="H152" s="316">
        <v>97.4</v>
      </c>
      <c r="I152" s="316"/>
      <c r="J152" s="316"/>
      <c r="K152" s="316"/>
      <c r="L152" s="316"/>
      <c r="M152" s="316"/>
      <c r="N152" s="316"/>
      <c r="O152" s="316"/>
      <c r="P152" s="316"/>
      <c r="Q152" s="226">
        <f t="shared" si="6"/>
        <v>97.4</v>
      </c>
      <c r="R152" s="226" t="str">
        <f t="shared" si="7"/>
        <v>NO</v>
      </c>
      <c r="S152" s="226" t="str">
        <f t="shared" si="8"/>
        <v>Inviable Sanitariamente</v>
      </c>
    </row>
    <row r="153" spans="1:19" s="305" customFormat="1" ht="32.1" customHeight="1" x14ac:dyDescent="0.2">
      <c r="A153" s="487" t="s">
        <v>148</v>
      </c>
      <c r="B153" s="258" t="s">
        <v>3004</v>
      </c>
      <c r="C153" s="258" t="s">
        <v>3005</v>
      </c>
      <c r="D153" s="121">
        <v>40</v>
      </c>
      <c r="E153" s="316"/>
      <c r="F153" s="316">
        <v>97.4</v>
      </c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226">
        <f t="shared" si="6"/>
        <v>97.4</v>
      </c>
      <c r="R153" s="226" t="str">
        <f t="shared" si="7"/>
        <v>NO</v>
      </c>
      <c r="S153" s="226" t="str">
        <f t="shared" si="8"/>
        <v>Inviable Sanitariamente</v>
      </c>
    </row>
    <row r="154" spans="1:19" s="305" customFormat="1" ht="32.1" customHeight="1" x14ac:dyDescent="0.2">
      <c r="A154" s="487" t="s">
        <v>148</v>
      </c>
      <c r="B154" s="258" t="s">
        <v>3006</v>
      </c>
      <c r="C154" s="258" t="s">
        <v>3007</v>
      </c>
      <c r="D154" s="121">
        <v>55</v>
      </c>
      <c r="E154" s="316"/>
      <c r="F154" s="316"/>
      <c r="G154" s="316"/>
      <c r="H154" s="316"/>
      <c r="I154" s="316"/>
      <c r="J154" s="316"/>
      <c r="K154" s="316"/>
      <c r="L154" s="316"/>
      <c r="M154" s="316">
        <v>97.4</v>
      </c>
      <c r="N154" s="316"/>
      <c r="O154" s="316"/>
      <c r="P154" s="316"/>
      <c r="Q154" s="226">
        <f t="shared" si="6"/>
        <v>97.4</v>
      </c>
      <c r="R154" s="226" t="str">
        <f t="shared" si="7"/>
        <v>NO</v>
      </c>
      <c r="S154" s="226" t="str">
        <f t="shared" si="8"/>
        <v>Inviable Sanitariamente</v>
      </c>
    </row>
    <row r="155" spans="1:19" s="305" customFormat="1" ht="32.1" customHeight="1" x14ac:dyDescent="0.2">
      <c r="A155" s="487" t="s">
        <v>148</v>
      </c>
      <c r="B155" s="258" t="s">
        <v>3008</v>
      </c>
      <c r="C155" s="258" t="s">
        <v>3009</v>
      </c>
      <c r="D155" s="121">
        <v>25</v>
      </c>
      <c r="E155" s="316"/>
      <c r="F155" s="316"/>
      <c r="G155" s="316"/>
      <c r="H155" s="316"/>
      <c r="I155" s="316"/>
      <c r="J155" s="316"/>
      <c r="K155" s="316"/>
      <c r="L155" s="316"/>
      <c r="M155" s="316">
        <v>97.4</v>
      </c>
      <c r="N155" s="316"/>
      <c r="O155" s="316"/>
      <c r="P155" s="316"/>
      <c r="Q155" s="226">
        <f t="shared" si="6"/>
        <v>97.4</v>
      </c>
      <c r="R155" s="226" t="str">
        <f t="shared" si="7"/>
        <v>NO</v>
      </c>
      <c r="S155" s="226" t="str">
        <f t="shared" si="8"/>
        <v>Inviable Sanitariamente</v>
      </c>
    </row>
    <row r="156" spans="1:19" s="305" customFormat="1" ht="32.1" customHeight="1" x14ac:dyDescent="0.2">
      <c r="A156" s="487" t="s">
        <v>148</v>
      </c>
      <c r="B156" s="258" t="s">
        <v>3010</v>
      </c>
      <c r="C156" s="258" t="s">
        <v>3011</v>
      </c>
      <c r="D156" s="121">
        <v>25</v>
      </c>
      <c r="E156" s="316"/>
      <c r="F156" s="316"/>
      <c r="G156" s="316"/>
      <c r="H156" s="316"/>
      <c r="I156" s="316"/>
      <c r="J156" s="316"/>
      <c r="K156" s="316"/>
      <c r="L156" s="316"/>
      <c r="M156" s="316">
        <v>97.4</v>
      </c>
      <c r="N156" s="316"/>
      <c r="O156" s="316"/>
      <c r="P156" s="316"/>
      <c r="Q156" s="226">
        <f t="shared" si="6"/>
        <v>97.4</v>
      </c>
      <c r="R156" s="226" t="str">
        <f t="shared" si="7"/>
        <v>NO</v>
      </c>
      <c r="S156" s="226" t="str">
        <f t="shared" si="8"/>
        <v>Inviable Sanitariamente</v>
      </c>
    </row>
    <row r="157" spans="1:19" s="305" customFormat="1" ht="32.1" customHeight="1" x14ac:dyDescent="0.2">
      <c r="A157" s="487" t="s">
        <v>148</v>
      </c>
      <c r="B157" s="258" t="s">
        <v>3012</v>
      </c>
      <c r="C157" s="258" t="s">
        <v>3013</v>
      </c>
      <c r="D157" s="121">
        <v>44</v>
      </c>
      <c r="E157" s="316">
        <v>97.4</v>
      </c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226">
        <f t="shared" si="6"/>
        <v>97.4</v>
      </c>
      <c r="R157" s="226" t="str">
        <f t="shared" si="7"/>
        <v>NO</v>
      </c>
      <c r="S157" s="226" t="str">
        <f t="shared" si="8"/>
        <v>Inviable Sanitariamente</v>
      </c>
    </row>
    <row r="158" spans="1:19" s="305" customFormat="1" ht="32.1" customHeight="1" x14ac:dyDescent="0.2">
      <c r="A158" s="487" t="s">
        <v>148</v>
      </c>
      <c r="B158" s="258" t="s">
        <v>3014</v>
      </c>
      <c r="C158" s="258" t="s">
        <v>3015</v>
      </c>
      <c r="D158" s="121">
        <v>25</v>
      </c>
      <c r="E158" s="316"/>
      <c r="F158" s="316">
        <v>97.4</v>
      </c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226">
        <f t="shared" si="6"/>
        <v>97.4</v>
      </c>
      <c r="R158" s="226" t="str">
        <f t="shared" si="7"/>
        <v>NO</v>
      </c>
      <c r="S158" s="226" t="str">
        <f t="shared" si="8"/>
        <v>Inviable Sanitariamente</v>
      </c>
    </row>
    <row r="159" spans="1:19" s="305" customFormat="1" ht="32.1" customHeight="1" x14ac:dyDescent="0.2">
      <c r="A159" s="487" t="s">
        <v>148</v>
      </c>
      <c r="B159" s="258" t="s">
        <v>3016</v>
      </c>
      <c r="C159" s="258" t="s">
        <v>3017</v>
      </c>
      <c r="D159" s="116">
        <v>52</v>
      </c>
      <c r="E159" s="316"/>
      <c r="F159" s="316">
        <v>97.4</v>
      </c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226">
        <f t="shared" si="6"/>
        <v>97.4</v>
      </c>
      <c r="R159" s="226" t="str">
        <f t="shared" si="7"/>
        <v>NO</v>
      </c>
      <c r="S159" s="226" t="str">
        <f t="shared" si="8"/>
        <v>Inviable Sanitariamente</v>
      </c>
    </row>
    <row r="160" spans="1:19" s="305" customFormat="1" ht="32.1" customHeight="1" x14ac:dyDescent="0.2">
      <c r="A160" s="487" t="s">
        <v>148</v>
      </c>
      <c r="B160" s="258" t="s">
        <v>3018</v>
      </c>
      <c r="C160" s="258" t="s">
        <v>3019</v>
      </c>
      <c r="D160" s="121">
        <v>60</v>
      </c>
      <c r="E160" s="316"/>
      <c r="F160" s="316">
        <v>97.4</v>
      </c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226">
        <f t="shared" si="6"/>
        <v>97.4</v>
      </c>
      <c r="R160" s="226" t="str">
        <f t="shared" si="7"/>
        <v>NO</v>
      </c>
      <c r="S160" s="226" t="str">
        <f t="shared" si="8"/>
        <v>Inviable Sanitariamente</v>
      </c>
    </row>
    <row r="161" spans="1:20" s="305" customFormat="1" ht="32.1" customHeight="1" x14ac:dyDescent="0.2">
      <c r="A161" s="487" t="s">
        <v>148</v>
      </c>
      <c r="B161" s="258" t="s">
        <v>3020</v>
      </c>
      <c r="C161" s="258" t="s">
        <v>3021</v>
      </c>
      <c r="D161" s="121">
        <v>40</v>
      </c>
      <c r="E161" s="316"/>
      <c r="F161" s="316">
        <v>97.4</v>
      </c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226">
        <f t="shared" si="6"/>
        <v>97.4</v>
      </c>
      <c r="R161" s="226" t="str">
        <f t="shared" si="7"/>
        <v>NO</v>
      </c>
      <c r="S161" s="226" t="str">
        <f t="shared" si="8"/>
        <v>Inviable Sanitariamente</v>
      </c>
    </row>
    <row r="162" spans="1:20" s="305" customFormat="1" ht="32.1" customHeight="1" x14ac:dyDescent="0.2">
      <c r="A162" s="487" t="s">
        <v>148</v>
      </c>
      <c r="B162" s="258" t="s">
        <v>3022</v>
      </c>
      <c r="C162" s="258" t="s">
        <v>3023</v>
      </c>
      <c r="D162" s="116">
        <v>180</v>
      </c>
      <c r="E162" s="316"/>
      <c r="F162" s="316"/>
      <c r="G162" s="316">
        <v>97.4</v>
      </c>
      <c r="H162" s="316"/>
      <c r="I162" s="316"/>
      <c r="J162" s="316"/>
      <c r="K162" s="316"/>
      <c r="L162" s="316"/>
      <c r="M162" s="316"/>
      <c r="N162" s="316"/>
      <c r="O162" s="316"/>
      <c r="P162" s="316"/>
      <c r="Q162" s="226">
        <f t="shared" ref="Q162:Q225" si="9">AVERAGE(E162:P162)</f>
        <v>97.4</v>
      </c>
      <c r="R162" s="226" t="str">
        <f t="shared" si="7"/>
        <v>NO</v>
      </c>
      <c r="S162" s="226" t="str">
        <f t="shared" si="8"/>
        <v>Inviable Sanitariamente</v>
      </c>
    </row>
    <row r="163" spans="1:20" s="305" customFormat="1" ht="32.1" customHeight="1" x14ac:dyDescent="0.2">
      <c r="A163" s="487" t="s">
        <v>148</v>
      </c>
      <c r="B163" s="258" t="s">
        <v>3024</v>
      </c>
      <c r="C163" s="258" t="s">
        <v>3025</v>
      </c>
      <c r="D163" s="121">
        <v>50</v>
      </c>
      <c r="E163" s="316"/>
      <c r="F163" s="316"/>
      <c r="G163" s="316">
        <v>97.4</v>
      </c>
      <c r="H163" s="316"/>
      <c r="I163" s="316"/>
      <c r="J163" s="316"/>
      <c r="K163" s="316"/>
      <c r="L163" s="316"/>
      <c r="M163" s="316"/>
      <c r="N163" s="316"/>
      <c r="O163" s="316"/>
      <c r="P163" s="316"/>
      <c r="Q163" s="226">
        <f t="shared" si="9"/>
        <v>97.4</v>
      </c>
      <c r="R163" s="226" t="str">
        <f t="shared" si="7"/>
        <v>NO</v>
      </c>
      <c r="S163" s="226" t="str">
        <f t="shared" si="8"/>
        <v>Inviable Sanitariamente</v>
      </c>
    </row>
    <row r="164" spans="1:20" s="305" customFormat="1" ht="32.1" customHeight="1" x14ac:dyDescent="0.2">
      <c r="A164" s="487" t="s">
        <v>148</v>
      </c>
      <c r="B164" s="258" t="s">
        <v>3026</v>
      </c>
      <c r="C164" s="258" t="s">
        <v>3027</v>
      </c>
      <c r="D164" s="121">
        <v>35</v>
      </c>
      <c r="E164" s="316"/>
      <c r="F164" s="316"/>
      <c r="G164" s="316"/>
      <c r="H164" s="316"/>
      <c r="I164" s="316"/>
      <c r="J164" s="316"/>
      <c r="K164" s="316"/>
      <c r="L164" s="316">
        <v>97.4</v>
      </c>
      <c r="M164" s="316"/>
      <c r="N164" s="316"/>
      <c r="O164" s="316"/>
      <c r="P164" s="316"/>
      <c r="Q164" s="226">
        <f t="shared" si="9"/>
        <v>97.4</v>
      </c>
      <c r="R164" s="226" t="str">
        <f t="shared" si="7"/>
        <v>NO</v>
      </c>
      <c r="S164" s="226" t="str">
        <f t="shared" si="8"/>
        <v>Inviable Sanitariamente</v>
      </c>
    </row>
    <row r="165" spans="1:20" s="305" customFormat="1" ht="32.1" customHeight="1" x14ac:dyDescent="0.2">
      <c r="A165" s="487" t="s">
        <v>148</v>
      </c>
      <c r="B165" s="258" t="s">
        <v>3028</v>
      </c>
      <c r="C165" s="258" t="s">
        <v>3029</v>
      </c>
      <c r="D165" s="116">
        <v>12</v>
      </c>
      <c r="E165" s="316">
        <v>97.4</v>
      </c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226">
        <f t="shared" si="9"/>
        <v>97.4</v>
      </c>
      <c r="R165" s="226" t="str">
        <f t="shared" si="7"/>
        <v>NO</v>
      </c>
      <c r="S165" s="226" t="str">
        <f t="shared" si="8"/>
        <v>Inviable Sanitariamente</v>
      </c>
    </row>
    <row r="166" spans="1:20" s="305" customFormat="1" ht="32.1" customHeight="1" x14ac:dyDescent="0.2">
      <c r="A166" s="487" t="s">
        <v>148</v>
      </c>
      <c r="B166" s="258" t="s">
        <v>3030</v>
      </c>
      <c r="C166" s="258" t="s">
        <v>3031</v>
      </c>
      <c r="D166" s="121">
        <v>20</v>
      </c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>
        <v>97.4</v>
      </c>
      <c r="P166" s="316"/>
      <c r="Q166" s="226">
        <f t="shared" si="9"/>
        <v>97.4</v>
      </c>
      <c r="R166" s="226" t="str">
        <f t="shared" si="7"/>
        <v>NO</v>
      </c>
      <c r="S166" s="226" t="str">
        <f t="shared" si="8"/>
        <v>Inviable Sanitariamente</v>
      </c>
    </row>
    <row r="167" spans="1:20" s="305" customFormat="1" ht="32.1" customHeight="1" x14ac:dyDescent="0.2">
      <c r="A167" s="487" t="s">
        <v>148</v>
      </c>
      <c r="B167" s="258" t="s">
        <v>3032</v>
      </c>
      <c r="C167" s="258" t="s">
        <v>3033</v>
      </c>
      <c r="D167" s="121">
        <v>60</v>
      </c>
      <c r="E167" s="316">
        <v>97.4</v>
      </c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226">
        <f t="shared" si="9"/>
        <v>97.4</v>
      </c>
      <c r="R167" s="226" t="str">
        <f t="shared" si="7"/>
        <v>NO</v>
      </c>
      <c r="S167" s="226" t="str">
        <f t="shared" si="8"/>
        <v>Inviable Sanitariamente</v>
      </c>
    </row>
    <row r="168" spans="1:20" s="305" customFormat="1" ht="32.1" customHeight="1" x14ac:dyDescent="0.2">
      <c r="A168" s="487" t="s">
        <v>148</v>
      </c>
      <c r="B168" s="258" t="s">
        <v>3034</v>
      </c>
      <c r="C168" s="258" t="s">
        <v>3035</v>
      </c>
      <c r="D168" s="121">
        <v>24</v>
      </c>
      <c r="E168" s="316">
        <v>97.4</v>
      </c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226">
        <f t="shared" si="9"/>
        <v>97.4</v>
      </c>
      <c r="R168" s="226" t="str">
        <f t="shared" si="7"/>
        <v>NO</v>
      </c>
      <c r="S168" s="226" t="str">
        <f t="shared" si="8"/>
        <v>Inviable Sanitariamente</v>
      </c>
    </row>
    <row r="169" spans="1:20" s="305" customFormat="1" ht="32.1" customHeight="1" x14ac:dyDescent="0.2">
      <c r="A169" s="487" t="s">
        <v>148</v>
      </c>
      <c r="B169" s="258" t="s">
        <v>3036</v>
      </c>
      <c r="C169" s="258" t="s">
        <v>3037</v>
      </c>
      <c r="D169" s="121">
        <v>26</v>
      </c>
      <c r="E169" s="316"/>
      <c r="F169" s="316"/>
      <c r="G169" s="316"/>
      <c r="H169" s="316">
        <v>97.4</v>
      </c>
      <c r="I169" s="316"/>
      <c r="J169" s="316"/>
      <c r="K169" s="316"/>
      <c r="L169" s="316"/>
      <c r="M169" s="316"/>
      <c r="N169" s="316"/>
      <c r="O169" s="316"/>
      <c r="P169" s="316"/>
      <c r="Q169" s="226">
        <f t="shared" si="9"/>
        <v>97.4</v>
      </c>
      <c r="R169" s="226" t="str">
        <f t="shared" si="7"/>
        <v>NO</v>
      </c>
      <c r="S169" s="226" t="str">
        <f t="shared" si="8"/>
        <v>Inviable Sanitariamente</v>
      </c>
    </row>
    <row r="170" spans="1:20" s="305" customFormat="1" ht="32.1" customHeight="1" x14ac:dyDescent="0.2">
      <c r="A170" s="487" t="s">
        <v>148</v>
      </c>
      <c r="B170" s="258" t="s">
        <v>3038</v>
      </c>
      <c r="C170" s="258" t="s">
        <v>3039</v>
      </c>
      <c r="D170" s="121">
        <v>14</v>
      </c>
      <c r="E170" s="316"/>
      <c r="F170" s="316"/>
      <c r="G170" s="316"/>
      <c r="H170" s="316">
        <v>97.4</v>
      </c>
      <c r="I170" s="316"/>
      <c r="J170" s="316"/>
      <c r="K170" s="316"/>
      <c r="L170" s="316"/>
      <c r="M170" s="316"/>
      <c r="N170" s="316"/>
      <c r="O170" s="316"/>
      <c r="P170" s="316"/>
      <c r="Q170" s="226">
        <f t="shared" si="9"/>
        <v>97.4</v>
      </c>
      <c r="R170" s="226" t="str">
        <f t="shared" si="7"/>
        <v>NO</v>
      </c>
      <c r="S170" s="226" t="str">
        <f t="shared" si="8"/>
        <v>Inviable Sanitariamente</v>
      </c>
      <c r="T170" s="315"/>
    </row>
    <row r="171" spans="1:20" s="305" customFormat="1" ht="32.1" customHeight="1" x14ac:dyDescent="0.2">
      <c r="A171" s="487" t="s">
        <v>148</v>
      </c>
      <c r="B171" s="258" t="s">
        <v>3040</v>
      </c>
      <c r="C171" s="258" t="s">
        <v>3041</v>
      </c>
      <c r="D171" s="121">
        <v>15</v>
      </c>
      <c r="E171" s="316"/>
      <c r="F171" s="316"/>
      <c r="G171" s="316">
        <v>97.4</v>
      </c>
      <c r="H171" s="316"/>
      <c r="I171" s="316"/>
      <c r="J171" s="316"/>
      <c r="K171" s="316"/>
      <c r="L171" s="316"/>
      <c r="M171" s="316"/>
      <c r="N171" s="316"/>
      <c r="O171" s="316"/>
      <c r="P171" s="316"/>
      <c r="Q171" s="226">
        <f t="shared" si="9"/>
        <v>97.4</v>
      </c>
      <c r="R171" s="226" t="str">
        <f t="shared" si="7"/>
        <v>NO</v>
      </c>
      <c r="S171" s="226" t="str">
        <f t="shared" si="8"/>
        <v>Inviable Sanitariamente</v>
      </c>
      <c r="T171" s="315"/>
    </row>
    <row r="172" spans="1:20" s="305" customFormat="1" ht="32.1" customHeight="1" x14ac:dyDescent="0.2">
      <c r="A172" s="487" t="s">
        <v>148</v>
      </c>
      <c r="B172" s="258" t="s">
        <v>3042</v>
      </c>
      <c r="C172" s="258" t="s">
        <v>3043</v>
      </c>
      <c r="D172" s="121">
        <v>25</v>
      </c>
      <c r="E172" s="316"/>
      <c r="F172" s="316"/>
      <c r="G172" s="316">
        <v>97.4</v>
      </c>
      <c r="H172" s="316"/>
      <c r="I172" s="316"/>
      <c r="J172" s="316"/>
      <c r="K172" s="316"/>
      <c r="L172" s="316"/>
      <c r="M172" s="316"/>
      <c r="N172" s="316"/>
      <c r="O172" s="316"/>
      <c r="P172" s="316"/>
      <c r="Q172" s="226">
        <f t="shared" si="9"/>
        <v>97.4</v>
      </c>
      <c r="R172" s="226" t="str">
        <f t="shared" si="7"/>
        <v>NO</v>
      </c>
      <c r="S172" s="226" t="str">
        <f t="shared" si="8"/>
        <v>Inviable Sanitariamente</v>
      </c>
      <c r="T172" s="315"/>
    </row>
    <row r="173" spans="1:20" s="305" customFormat="1" ht="32.1" customHeight="1" x14ac:dyDescent="0.2">
      <c r="A173" s="487" t="s">
        <v>148</v>
      </c>
      <c r="B173" s="258" t="s">
        <v>2242</v>
      </c>
      <c r="C173" s="258" t="s">
        <v>3044</v>
      </c>
      <c r="D173" s="121">
        <v>16</v>
      </c>
      <c r="E173" s="316"/>
      <c r="F173" s="316"/>
      <c r="G173" s="316">
        <v>97.4</v>
      </c>
      <c r="H173" s="316"/>
      <c r="I173" s="316"/>
      <c r="J173" s="316"/>
      <c r="K173" s="316"/>
      <c r="L173" s="316"/>
      <c r="M173" s="316"/>
      <c r="N173" s="316"/>
      <c r="O173" s="316"/>
      <c r="P173" s="316"/>
      <c r="Q173" s="226">
        <f t="shared" si="9"/>
        <v>97.4</v>
      </c>
      <c r="R173" s="226" t="str">
        <f t="shared" si="7"/>
        <v>NO</v>
      </c>
      <c r="S173" s="226" t="str">
        <f t="shared" si="8"/>
        <v>Inviable Sanitariamente</v>
      </c>
      <c r="T173" s="315"/>
    </row>
    <row r="174" spans="1:20" s="305" customFormat="1" ht="32.1" customHeight="1" x14ac:dyDescent="0.2">
      <c r="A174" s="487" t="s">
        <v>148</v>
      </c>
      <c r="B174" s="261" t="s">
        <v>3045</v>
      </c>
      <c r="C174" s="258" t="s">
        <v>3046</v>
      </c>
      <c r="D174" s="121">
        <v>18</v>
      </c>
      <c r="E174" s="316"/>
      <c r="F174" s="316"/>
      <c r="G174" s="316"/>
      <c r="H174" s="316"/>
      <c r="I174" s="316">
        <v>97.4</v>
      </c>
      <c r="J174" s="316"/>
      <c r="K174" s="316"/>
      <c r="L174" s="316"/>
      <c r="M174" s="316"/>
      <c r="N174" s="316"/>
      <c r="O174" s="316"/>
      <c r="P174" s="316"/>
      <c r="Q174" s="226">
        <f t="shared" si="9"/>
        <v>97.4</v>
      </c>
      <c r="R174" s="226" t="str">
        <f t="shared" si="7"/>
        <v>NO</v>
      </c>
      <c r="S174" s="226" t="str">
        <f t="shared" si="8"/>
        <v>Inviable Sanitariamente</v>
      </c>
      <c r="T174" s="315"/>
    </row>
    <row r="175" spans="1:20" s="305" customFormat="1" ht="32.1" customHeight="1" x14ac:dyDescent="0.2">
      <c r="A175" s="487" t="s">
        <v>148</v>
      </c>
      <c r="B175" s="262" t="s">
        <v>3047</v>
      </c>
      <c r="C175" s="258" t="s">
        <v>3048</v>
      </c>
      <c r="D175" s="166">
        <v>20</v>
      </c>
      <c r="E175" s="316"/>
      <c r="F175" s="316"/>
      <c r="G175" s="316"/>
      <c r="H175" s="316"/>
      <c r="I175" s="316"/>
      <c r="J175" s="316"/>
      <c r="K175" s="316">
        <v>97.4</v>
      </c>
      <c r="L175" s="316"/>
      <c r="M175" s="316"/>
      <c r="N175" s="316"/>
      <c r="O175" s="316"/>
      <c r="P175" s="316"/>
      <c r="Q175" s="226">
        <f t="shared" si="9"/>
        <v>97.4</v>
      </c>
      <c r="R175" s="226" t="str">
        <f t="shared" si="7"/>
        <v>NO</v>
      </c>
      <c r="S175" s="226" t="str">
        <f t="shared" si="8"/>
        <v>Inviable Sanitariamente</v>
      </c>
      <c r="T175" s="315"/>
    </row>
    <row r="176" spans="1:20" s="305" customFormat="1" ht="32.1" customHeight="1" x14ac:dyDescent="0.2">
      <c r="A176" s="487" t="s">
        <v>148</v>
      </c>
      <c r="B176" s="258" t="s">
        <v>2924</v>
      </c>
      <c r="C176" s="258" t="s">
        <v>3049</v>
      </c>
      <c r="D176" s="121">
        <v>25</v>
      </c>
      <c r="E176" s="316"/>
      <c r="F176" s="316"/>
      <c r="G176" s="316"/>
      <c r="H176" s="316"/>
      <c r="I176" s="316"/>
      <c r="J176" s="316"/>
      <c r="K176" s="316"/>
      <c r="L176" s="316">
        <v>97.4</v>
      </c>
      <c r="M176" s="316"/>
      <c r="N176" s="316"/>
      <c r="O176" s="316"/>
      <c r="P176" s="316"/>
      <c r="Q176" s="226">
        <f t="shared" si="9"/>
        <v>97.4</v>
      </c>
      <c r="R176" s="226" t="str">
        <f t="shared" si="7"/>
        <v>NO</v>
      </c>
      <c r="S176" s="226" t="str">
        <f t="shared" si="8"/>
        <v>Inviable Sanitariamente</v>
      </c>
      <c r="T176" s="315"/>
    </row>
    <row r="177" spans="1:20" s="305" customFormat="1" ht="32.1" customHeight="1" x14ac:dyDescent="0.2">
      <c r="A177" s="487" t="s">
        <v>148</v>
      </c>
      <c r="B177" s="258" t="s">
        <v>3050</v>
      </c>
      <c r="C177" s="258" t="s">
        <v>3051</v>
      </c>
      <c r="D177" s="121">
        <v>32</v>
      </c>
      <c r="E177" s="316"/>
      <c r="F177" s="316"/>
      <c r="G177" s="316"/>
      <c r="H177" s="316"/>
      <c r="I177" s="316"/>
      <c r="J177" s="316"/>
      <c r="K177" s="316"/>
      <c r="L177" s="316">
        <v>97.4</v>
      </c>
      <c r="M177" s="316"/>
      <c r="N177" s="316"/>
      <c r="O177" s="316"/>
      <c r="P177" s="316"/>
      <c r="Q177" s="226">
        <f t="shared" si="9"/>
        <v>97.4</v>
      </c>
      <c r="R177" s="226" t="str">
        <f t="shared" si="7"/>
        <v>NO</v>
      </c>
      <c r="S177" s="226" t="str">
        <f t="shared" si="8"/>
        <v>Inviable Sanitariamente</v>
      </c>
      <c r="T177" s="315"/>
    </row>
    <row r="178" spans="1:20" s="305" customFormat="1" ht="32.1" customHeight="1" x14ac:dyDescent="0.2">
      <c r="A178" s="487" t="s">
        <v>4123</v>
      </c>
      <c r="B178" s="258" t="s">
        <v>3052</v>
      </c>
      <c r="C178" s="258" t="s">
        <v>3053</v>
      </c>
      <c r="D178" s="121">
        <v>119</v>
      </c>
      <c r="E178" s="316"/>
      <c r="F178" s="316"/>
      <c r="G178" s="316"/>
      <c r="H178" s="316"/>
      <c r="I178" s="316"/>
      <c r="J178" s="316"/>
      <c r="K178" s="316"/>
      <c r="L178" s="316"/>
      <c r="M178" s="316"/>
      <c r="N178" s="316">
        <v>0</v>
      </c>
      <c r="O178" s="316"/>
      <c r="P178" s="316"/>
      <c r="Q178" s="226">
        <f t="shared" si="9"/>
        <v>0</v>
      </c>
      <c r="R178" s="226" t="str">
        <f t="shared" si="7"/>
        <v>SI</v>
      </c>
      <c r="S178" s="226" t="str">
        <f t="shared" si="8"/>
        <v>Sin Riesgo</v>
      </c>
      <c r="T178" s="315"/>
    </row>
    <row r="179" spans="1:20" s="305" customFormat="1" ht="32.1" customHeight="1" x14ac:dyDescent="0.2">
      <c r="A179" s="487" t="s">
        <v>4123</v>
      </c>
      <c r="B179" s="258" t="s">
        <v>3054</v>
      </c>
      <c r="C179" s="258" t="s">
        <v>3055</v>
      </c>
      <c r="D179" s="121">
        <v>17</v>
      </c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226" t="e">
        <f t="shared" si="9"/>
        <v>#DIV/0!</v>
      </c>
      <c r="R179" s="226" t="e">
        <f t="shared" si="7"/>
        <v>#DIV/0!</v>
      </c>
      <c r="S179" s="226" t="e">
        <f t="shared" si="8"/>
        <v>#DIV/0!</v>
      </c>
      <c r="T179" s="315"/>
    </row>
    <row r="180" spans="1:20" s="305" customFormat="1" ht="32.1" customHeight="1" x14ac:dyDescent="0.2">
      <c r="A180" s="487" t="s">
        <v>4123</v>
      </c>
      <c r="B180" s="258" t="s">
        <v>830</v>
      </c>
      <c r="C180" s="258" t="s">
        <v>3056</v>
      </c>
      <c r="D180" s="121">
        <v>53</v>
      </c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226" t="e">
        <f t="shared" si="9"/>
        <v>#DIV/0!</v>
      </c>
      <c r="R180" s="226" t="e">
        <f t="shared" si="7"/>
        <v>#DIV/0!</v>
      </c>
      <c r="S180" s="226" t="e">
        <f t="shared" si="8"/>
        <v>#DIV/0!</v>
      </c>
      <c r="T180" s="315"/>
    </row>
    <row r="181" spans="1:20" s="305" customFormat="1" ht="32.1" customHeight="1" x14ac:dyDescent="0.2">
      <c r="A181" s="487" t="s">
        <v>4123</v>
      </c>
      <c r="B181" s="258" t="s">
        <v>1833</v>
      </c>
      <c r="C181" s="258" t="s">
        <v>3057</v>
      </c>
      <c r="D181" s="121">
        <v>33</v>
      </c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226" t="e">
        <f t="shared" si="9"/>
        <v>#DIV/0!</v>
      </c>
      <c r="R181" s="226" t="e">
        <f t="shared" si="7"/>
        <v>#DIV/0!</v>
      </c>
      <c r="S181" s="226" t="e">
        <f t="shared" si="8"/>
        <v>#DIV/0!</v>
      </c>
      <c r="T181" s="315"/>
    </row>
    <row r="182" spans="1:20" s="305" customFormat="1" ht="32.1" customHeight="1" x14ac:dyDescent="0.2">
      <c r="A182" s="487" t="s">
        <v>4123</v>
      </c>
      <c r="B182" s="258" t="s">
        <v>3058</v>
      </c>
      <c r="C182" s="258" t="s">
        <v>3059</v>
      </c>
      <c r="D182" s="121">
        <v>70</v>
      </c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226" t="e">
        <f t="shared" si="9"/>
        <v>#DIV/0!</v>
      </c>
      <c r="R182" s="226" t="e">
        <f t="shared" si="7"/>
        <v>#DIV/0!</v>
      </c>
      <c r="S182" s="226" t="e">
        <f t="shared" si="8"/>
        <v>#DIV/0!</v>
      </c>
      <c r="T182" s="315"/>
    </row>
    <row r="183" spans="1:20" s="305" customFormat="1" ht="32.1" customHeight="1" x14ac:dyDescent="0.2">
      <c r="A183" s="487" t="s">
        <v>4123</v>
      </c>
      <c r="B183" s="258" t="s">
        <v>3060</v>
      </c>
      <c r="C183" s="258" t="s">
        <v>3061</v>
      </c>
      <c r="D183" s="121">
        <v>33</v>
      </c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226" t="e">
        <f t="shared" si="9"/>
        <v>#DIV/0!</v>
      </c>
      <c r="R183" s="226" t="e">
        <f t="shared" si="7"/>
        <v>#DIV/0!</v>
      </c>
      <c r="S183" s="226" t="e">
        <f t="shared" si="8"/>
        <v>#DIV/0!</v>
      </c>
      <c r="T183" s="315"/>
    </row>
    <row r="184" spans="1:20" s="305" customFormat="1" ht="32.1" customHeight="1" x14ac:dyDescent="0.2">
      <c r="A184" s="487" t="s">
        <v>4123</v>
      </c>
      <c r="B184" s="258" t="s">
        <v>2904</v>
      </c>
      <c r="C184" s="258" t="s">
        <v>3062</v>
      </c>
      <c r="D184" s="121">
        <v>37</v>
      </c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226" t="e">
        <f t="shared" si="9"/>
        <v>#DIV/0!</v>
      </c>
      <c r="R184" s="226" t="e">
        <f t="shared" si="7"/>
        <v>#DIV/0!</v>
      </c>
      <c r="S184" s="226" t="e">
        <f t="shared" si="8"/>
        <v>#DIV/0!</v>
      </c>
      <c r="T184" s="315"/>
    </row>
    <row r="185" spans="1:20" s="305" customFormat="1" ht="32.1" customHeight="1" x14ac:dyDescent="0.2">
      <c r="A185" s="487" t="s">
        <v>4123</v>
      </c>
      <c r="B185" s="258" t="s">
        <v>3063</v>
      </c>
      <c r="C185" s="258" t="s">
        <v>3064</v>
      </c>
      <c r="D185" s="116">
        <v>44</v>
      </c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226" t="e">
        <f t="shared" si="9"/>
        <v>#DIV/0!</v>
      </c>
      <c r="R185" s="226" t="e">
        <f t="shared" si="7"/>
        <v>#DIV/0!</v>
      </c>
      <c r="S185" s="226" t="e">
        <f t="shared" si="8"/>
        <v>#DIV/0!</v>
      </c>
      <c r="T185" s="315"/>
    </row>
    <row r="186" spans="1:20" s="305" customFormat="1" ht="32.1" customHeight="1" x14ac:dyDescent="0.2">
      <c r="A186" s="487" t="s">
        <v>4123</v>
      </c>
      <c r="B186" s="258" t="s">
        <v>3065</v>
      </c>
      <c r="C186" s="258" t="s">
        <v>3066</v>
      </c>
      <c r="D186" s="121">
        <v>87</v>
      </c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226" t="e">
        <f t="shared" si="9"/>
        <v>#DIV/0!</v>
      </c>
      <c r="R186" s="226" t="e">
        <f t="shared" si="7"/>
        <v>#DIV/0!</v>
      </c>
      <c r="S186" s="226" t="e">
        <f t="shared" si="8"/>
        <v>#DIV/0!</v>
      </c>
      <c r="T186" s="315"/>
    </row>
    <row r="187" spans="1:20" s="305" customFormat="1" ht="32.1" customHeight="1" x14ac:dyDescent="0.2">
      <c r="A187" s="487" t="s">
        <v>4123</v>
      </c>
      <c r="B187" s="258" t="s">
        <v>3067</v>
      </c>
      <c r="C187" s="258" t="s">
        <v>3068</v>
      </c>
      <c r="D187" s="121">
        <v>50</v>
      </c>
      <c r="E187" s="316"/>
      <c r="F187" s="316">
        <v>0</v>
      </c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226">
        <f t="shared" si="9"/>
        <v>0</v>
      </c>
      <c r="R187" s="226" t="str">
        <f t="shared" si="7"/>
        <v>SI</v>
      </c>
      <c r="S187" s="226" t="str">
        <f t="shared" si="8"/>
        <v>Sin Riesgo</v>
      </c>
      <c r="T187" s="315"/>
    </row>
    <row r="188" spans="1:20" s="305" customFormat="1" ht="32.1" customHeight="1" x14ac:dyDescent="0.2">
      <c r="A188" s="487" t="s">
        <v>4123</v>
      </c>
      <c r="B188" s="258" t="s">
        <v>3069</v>
      </c>
      <c r="C188" s="258" t="s">
        <v>3070</v>
      </c>
      <c r="D188" s="116">
        <v>51</v>
      </c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226" t="e">
        <f t="shared" si="9"/>
        <v>#DIV/0!</v>
      </c>
      <c r="R188" s="226" t="e">
        <f t="shared" si="7"/>
        <v>#DIV/0!</v>
      </c>
      <c r="S188" s="226" t="e">
        <f t="shared" si="8"/>
        <v>#DIV/0!</v>
      </c>
      <c r="T188" s="315"/>
    </row>
    <row r="189" spans="1:20" s="305" customFormat="1" ht="32.1" customHeight="1" x14ac:dyDescent="0.2">
      <c r="A189" s="487" t="s">
        <v>4123</v>
      </c>
      <c r="B189" s="258" t="s">
        <v>3071</v>
      </c>
      <c r="C189" s="258" t="s">
        <v>3072</v>
      </c>
      <c r="D189" s="121">
        <v>20</v>
      </c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226" t="e">
        <f t="shared" si="9"/>
        <v>#DIV/0!</v>
      </c>
      <c r="R189" s="226" t="e">
        <f t="shared" si="7"/>
        <v>#DIV/0!</v>
      </c>
      <c r="S189" s="226" t="e">
        <f t="shared" si="8"/>
        <v>#DIV/0!</v>
      </c>
      <c r="T189" s="315"/>
    </row>
    <row r="190" spans="1:20" s="305" customFormat="1" ht="36.75" customHeight="1" x14ac:dyDescent="0.2">
      <c r="A190" s="487" t="s">
        <v>4123</v>
      </c>
      <c r="B190" s="258" t="s">
        <v>3073</v>
      </c>
      <c r="C190" s="258" t="s">
        <v>3074</v>
      </c>
      <c r="D190" s="121">
        <v>95</v>
      </c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226" t="e">
        <f t="shared" si="9"/>
        <v>#DIV/0!</v>
      </c>
      <c r="R190" s="226" t="e">
        <f t="shared" si="7"/>
        <v>#DIV/0!</v>
      </c>
      <c r="S190" s="226" t="e">
        <f t="shared" si="8"/>
        <v>#DIV/0!</v>
      </c>
      <c r="T190" s="315"/>
    </row>
    <row r="191" spans="1:20" s="305" customFormat="1" ht="39.950000000000003" customHeight="1" x14ac:dyDescent="0.2">
      <c r="A191" s="487" t="s">
        <v>4123</v>
      </c>
      <c r="B191" s="258" t="s">
        <v>3075</v>
      </c>
      <c r="C191" s="258" t="s">
        <v>3076</v>
      </c>
      <c r="D191" s="116">
        <v>132</v>
      </c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226" t="e">
        <f t="shared" si="9"/>
        <v>#DIV/0!</v>
      </c>
      <c r="R191" s="226" t="e">
        <f t="shared" si="7"/>
        <v>#DIV/0!</v>
      </c>
      <c r="S191" s="226" t="e">
        <f t="shared" si="8"/>
        <v>#DIV/0!</v>
      </c>
      <c r="T191" s="315"/>
    </row>
    <row r="192" spans="1:20" s="305" customFormat="1" ht="39.950000000000003" customHeight="1" x14ac:dyDescent="0.2">
      <c r="A192" s="487" t="s">
        <v>4123</v>
      </c>
      <c r="B192" s="258" t="s">
        <v>1312</v>
      </c>
      <c r="C192" s="258" t="s">
        <v>3077</v>
      </c>
      <c r="D192" s="121">
        <v>72</v>
      </c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226" t="e">
        <f t="shared" si="9"/>
        <v>#DIV/0!</v>
      </c>
      <c r="R192" s="226" t="e">
        <f t="shared" si="7"/>
        <v>#DIV/0!</v>
      </c>
      <c r="S192" s="226" t="e">
        <f t="shared" si="8"/>
        <v>#DIV/0!</v>
      </c>
      <c r="T192" s="315"/>
    </row>
    <row r="193" spans="1:20" s="305" customFormat="1" ht="39.950000000000003" customHeight="1" x14ac:dyDescent="0.2">
      <c r="A193" s="487" t="s">
        <v>4123</v>
      </c>
      <c r="B193" s="258" t="s">
        <v>10</v>
      </c>
      <c r="C193" s="258" t="s">
        <v>3078</v>
      </c>
      <c r="D193" s="121">
        <v>49</v>
      </c>
      <c r="E193" s="316"/>
      <c r="F193" s="316"/>
      <c r="G193" s="316"/>
      <c r="H193" s="316">
        <v>0</v>
      </c>
      <c r="I193" s="316"/>
      <c r="J193" s="316"/>
      <c r="K193" s="316"/>
      <c r="L193" s="316"/>
      <c r="M193" s="316"/>
      <c r="N193" s="316"/>
      <c r="O193" s="316"/>
      <c r="P193" s="316"/>
      <c r="Q193" s="226">
        <f t="shared" si="9"/>
        <v>0</v>
      </c>
      <c r="R193" s="226" t="str">
        <f t="shared" si="7"/>
        <v>SI</v>
      </c>
      <c r="S193" s="226" t="str">
        <f t="shared" si="8"/>
        <v>Sin Riesgo</v>
      </c>
      <c r="T193" s="315"/>
    </row>
    <row r="194" spans="1:20" s="305" customFormat="1" ht="39.950000000000003" customHeight="1" x14ac:dyDescent="0.2">
      <c r="A194" s="487" t="s">
        <v>4123</v>
      </c>
      <c r="B194" s="258" t="s">
        <v>3079</v>
      </c>
      <c r="C194" s="258" t="s">
        <v>3080</v>
      </c>
      <c r="D194" s="121">
        <v>99</v>
      </c>
      <c r="E194" s="316"/>
      <c r="F194" s="316"/>
      <c r="G194" s="316"/>
      <c r="H194" s="316"/>
      <c r="I194" s="316"/>
      <c r="J194" s="316"/>
      <c r="K194" s="316"/>
      <c r="L194" s="316">
        <v>0</v>
      </c>
      <c r="M194" s="316"/>
      <c r="N194" s="316"/>
      <c r="O194" s="316"/>
      <c r="P194" s="316"/>
      <c r="Q194" s="226">
        <f t="shared" si="9"/>
        <v>0</v>
      </c>
      <c r="R194" s="226" t="str">
        <f t="shared" si="7"/>
        <v>SI</v>
      </c>
      <c r="S194" s="226" t="str">
        <f t="shared" si="8"/>
        <v>Sin Riesgo</v>
      </c>
      <c r="T194" s="315"/>
    </row>
    <row r="195" spans="1:20" s="305" customFormat="1" ht="39.950000000000003" customHeight="1" x14ac:dyDescent="0.2">
      <c r="A195" s="487" t="s">
        <v>4123</v>
      </c>
      <c r="B195" s="258" t="s">
        <v>632</v>
      </c>
      <c r="C195" s="258" t="s">
        <v>3081</v>
      </c>
      <c r="D195" s="121">
        <v>94</v>
      </c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226" t="e">
        <f t="shared" si="9"/>
        <v>#DIV/0!</v>
      </c>
      <c r="R195" s="226" t="e">
        <f t="shared" si="7"/>
        <v>#DIV/0!</v>
      </c>
      <c r="S195" s="226" t="e">
        <f t="shared" si="8"/>
        <v>#DIV/0!</v>
      </c>
      <c r="T195" s="315"/>
    </row>
    <row r="196" spans="1:20" s="305" customFormat="1" ht="39.950000000000003" customHeight="1" x14ac:dyDescent="0.2">
      <c r="A196" s="487" t="s">
        <v>4123</v>
      </c>
      <c r="B196" s="258" t="s">
        <v>704</v>
      </c>
      <c r="C196" s="258" t="s">
        <v>3082</v>
      </c>
      <c r="D196" s="121">
        <v>55</v>
      </c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226" t="e">
        <f t="shared" si="9"/>
        <v>#DIV/0!</v>
      </c>
      <c r="R196" s="226" t="e">
        <f t="shared" si="7"/>
        <v>#DIV/0!</v>
      </c>
      <c r="S196" s="226" t="e">
        <f t="shared" si="8"/>
        <v>#DIV/0!</v>
      </c>
      <c r="T196" s="315"/>
    </row>
    <row r="197" spans="1:20" s="305" customFormat="1" ht="39.950000000000003" customHeight="1" x14ac:dyDescent="0.2">
      <c r="A197" s="487" t="s">
        <v>4123</v>
      </c>
      <c r="B197" s="258" t="s">
        <v>3083</v>
      </c>
      <c r="C197" s="258" t="s">
        <v>3084</v>
      </c>
      <c r="D197" s="121">
        <v>23</v>
      </c>
      <c r="E197" s="316"/>
      <c r="F197" s="316"/>
      <c r="G197" s="316"/>
      <c r="H197" s="316"/>
      <c r="I197" s="316"/>
      <c r="J197" s="316"/>
      <c r="K197" s="316"/>
      <c r="L197" s="316">
        <v>0</v>
      </c>
      <c r="M197" s="316"/>
      <c r="N197" s="316"/>
      <c r="O197" s="316"/>
      <c r="P197" s="316"/>
      <c r="Q197" s="226">
        <f t="shared" si="9"/>
        <v>0</v>
      </c>
      <c r="R197" s="226" t="str">
        <f t="shared" si="7"/>
        <v>SI</v>
      </c>
      <c r="S197" s="226" t="str">
        <f t="shared" si="8"/>
        <v>Sin Riesgo</v>
      </c>
      <c r="T197" s="315"/>
    </row>
    <row r="198" spans="1:20" s="305" customFormat="1" ht="39.950000000000003" customHeight="1" x14ac:dyDescent="0.2">
      <c r="A198" s="487" t="s">
        <v>4123</v>
      </c>
      <c r="B198" s="258" t="s">
        <v>3085</v>
      </c>
      <c r="C198" s="258" t="s">
        <v>3086</v>
      </c>
      <c r="D198" s="121">
        <v>71</v>
      </c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226" t="e">
        <f t="shared" si="9"/>
        <v>#DIV/0!</v>
      </c>
      <c r="R198" s="226" t="e">
        <f t="shared" si="7"/>
        <v>#DIV/0!</v>
      </c>
      <c r="S198" s="226" t="e">
        <f t="shared" si="8"/>
        <v>#DIV/0!</v>
      </c>
      <c r="T198" s="315"/>
    </row>
    <row r="199" spans="1:20" s="305" customFormat="1" ht="39.950000000000003" customHeight="1" x14ac:dyDescent="0.2">
      <c r="A199" s="487" t="s">
        <v>4123</v>
      </c>
      <c r="B199" s="258" t="s">
        <v>3087</v>
      </c>
      <c r="C199" s="258" t="s">
        <v>3088</v>
      </c>
      <c r="D199" s="121">
        <v>77</v>
      </c>
      <c r="E199" s="316"/>
      <c r="F199" s="316"/>
      <c r="G199" s="316"/>
      <c r="H199" s="316"/>
      <c r="I199" s="316"/>
      <c r="J199" s="316">
        <v>0</v>
      </c>
      <c r="K199" s="316"/>
      <c r="L199" s="316"/>
      <c r="M199" s="316"/>
      <c r="N199" s="316"/>
      <c r="O199" s="316"/>
      <c r="P199" s="316"/>
      <c r="Q199" s="226">
        <f t="shared" si="9"/>
        <v>0</v>
      </c>
      <c r="R199" s="226" t="str">
        <f t="shared" si="7"/>
        <v>SI</v>
      </c>
      <c r="S199" s="226" t="str">
        <f t="shared" si="8"/>
        <v>Sin Riesgo</v>
      </c>
      <c r="T199" s="315"/>
    </row>
    <row r="200" spans="1:20" s="305" customFormat="1" ht="39.950000000000003" customHeight="1" x14ac:dyDescent="0.2">
      <c r="A200" s="487" t="s">
        <v>4123</v>
      </c>
      <c r="B200" s="258" t="s">
        <v>3089</v>
      </c>
      <c r="C200" s="258" t="s">
        <v>3090</v>
      </c>
      <c r="D200" s="121">
        <v>118</v>
      </c>
      <c r="E200" s="316"/>
      <c r="F200" s="316"/>
      <c r="G200" s="316">
        <v>0</v>
      </c>
      <c r="H200" s="316"/>
      <c r="I200" s="316">
        <v>0</v>
      </c>
      <c r="J200" s="316">
        <v>0</v>
      </c>
      <c r="K200" s="316"/>
      <c r="L200" s="316"/>
      <c r="M200" s="316"/>
      <c r="N200" s="316"/>
      <c r="O200" s="316"/>
      <c r="P200" s="316"/>
      <c r="Q200" s="226">
        <f t="shared" si="9"/>
        <v>0</v>
      </c>
      <c r="R200" s="226" t="str">
        <f t="shared" si="7"/>
        <v>SI</v>
      </c>
      <c r="S200" s="226" t="str">
        <f t="shared" si="8"/>
        <v>Sin Riesgo</v>
      </c>
      <c r="T200" s="315"/>
    </row>
    <row r="201" spans="1:20" s="305" customFormat="1" ht="39.950000000000003" customHeight="1" x14ac:dyDescent="0.2">
      <c r="A201" s="487" t="s">
        <v>4123</v>
      </c>
      <c r="B201" s="258" t="s">
        <v>1609</v>
      </c>
      <c r="C201" s="258" t="s">
        <v>3091</v>
      </c>
      <c r="D201" s="121">
        <v>110</v>
      </c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226" t="e">
        <f t="shared" si="9"/>
        <v>#DIV/0!</v>
      </c>
      <c r="R201" s="226" t="e">
        <f t="shared" si="7"/>
        <v>#DIV/0!</v>
      </c>
      <c r="S201" s="226" t="e">
        <f t="shared" si="8"/>
        <v>#DIV/0!</v>
      </c>
      <c r="T201" s="315"/>
    </row>
    <row r="202" spans="1:20" s="305" customFormat="1" ht="39.950000000000003" customHeight="1" x14ac:dyDescent="0.2">
      <c r="A202" s="487" t="s">
        <v>4123</v>
      </c>
      <c r="B202" s="258" t="s">
        <v>3092</v>
      </c>
      <c r="C202" s="258" t="s">
        <v>3093</v>
      </c>
      <c r="D202" s="121">
        <v>56</v>
      </c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226" t="e">
        <f t="shared" si="9"/>
        <v>#DIV/0!</v>
      </c>
      <c r="R202" s="226" t="e">
        <f t="shared" ref="R202:R265" si="10">IF(Q202&lt;5,"SI","NO")</f>
        <v>#DIV/0!</v>
      </c>
      <c r="S202" s="226" t="e">
        <f t="shared" si="8"/>
        <v>#DIV/0!</v>
      </c>
      <c r="T202" s="315"/>
    </row>
    <row r="203" spans="1:20" s="305" customFormat="1" ht="39.950000000000003" customHeight="1" x14ac:dyDescent="0.2">
      <c r="A203" s="487" t="s">
        <v>4123</v>
      </c>
      <c r="B203" s="258" t="s">
        <v>3094</v>
      </c>
      <c r="C203" s="258" t="s">
        <v>3095</v>
      </c>
      <c r="D203" s="121">
        <v>32</v>
      </c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226" t="e">
        <f t="shared" si="9"/>
        <v>#DIV/0!</v>
      </c>
      <c r="R203" s="226" t="e">
        <f t="shared" si="10"/>
        <v>#DIV/0!</v>
      </c>
      <c r="S203" s="226" t="e">
        <f t="shared" ref="S203:S266" si="11">IF(Q203&lt;=5,"Sin Riesgo",IF(Q203 &lt;=14,"Bajo",IF(Q203&lt;=35,"Medio",IF(Q203&lt;=80,"Alto","Inviable Sanitariamente"))))</f>
        <v>#DIV/0!</v>
      </c>
      <c r="T203" s="315"/>
    </row>
    <row r="204" spans="1:20" s="305" customFormat="1" ht="39.950000000000003" customHeight="1" x14ac:dyDescent="0.2">
      <c r="A204" s="487" t="s">
        <v>4123</v>
      </c>
      <c r="B204" s="258" t="s">
        <v>2306</v>
      </c>
      <c r="C204" s="258" t="s">
        <v>3096</v>
      </c>
      <c r="D204" s="121">
        <v>72</v>
      </c>
      <c r="E204" s="316"/>
      <c r="F204" s="316"/>
      <c r="G204" s="316">
        <v>96.7</v>
      </c>
      <c r="H204" s="316"/>
      <c r="I204" s="316"/>
      <c r="J204" s="316"/>
      <c r="K204" s="316"/>
      <c r="L204" s="316"/>
      <c r="M204" s="316"/>
      <c r="N204" s="316"/>
      <c r="O204" s="316"/>
      <c r="P204" s="316"/>
      <c r="Q204" s="226">
        <f t="shared" si="9"/>
        <v>96.7</v>
      </c>
      <c r="R204" s="226" t="str">
        <f t="shared" si="10"/>
        <v>NO</v>
      </c>
      <c r="S204" s="226" t="str">
        <f t="shared" si="11"/>
        <v>Inviable Sanitariamente</v>
      </c>
      <c r="T204" s="315"/>
    </row>
    <row r="205" spans="1:20" s="305" customFormat="1" ht="39.950000000000003" customHeight="1" x14ac:dyDescent="0.2">
      <c r="A205" s="487" t="s">
        <v>4123</v>
      </c>
      <c r="B205" s="258" t="s">
        <v>3097</v>
      </c>
      <c r="C205" s="258" t="s">
        <v>3098</v>
      </c>
      <c r="D205" s="121">
        <v>60</v>
      </c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226" t="e">
        <f t="shared" si="9"/>
        <v>#DIV/0!</v>
      </c>
      <c r="R205" s="226" t="e">
        <f t="shared" si="10"/>
        <v>#DIV/0!</v>
      </c>
      <c r="S205" s="226" t="e">
        <f t="shared" si="11"/>
        <v>#DIV/0!</v>
      </c>
      <c r="T205" s="315"/>
    </row>
    <row r="206" spans="1:20" s="305" customFormat="1" ht="32.1" customHeight="1" x14ac:dyDescent="0.2">
      <c r="A206" s="487" t="s">
        <v>4123</v>
      </c>
      <c r="B206" s="258" t="s">
        <v>1328</v>
      </c>
      <c r="C206" s="258" t="s">
        <v>3099</v>
      </c>
      <c r="D206" s="121">
        <v>30</v>
      </c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  <c r="P206" s="316"/>
      <c r="Q206" s="226" t="e">
        <f t="shared" si="9"/>
        <v>#DIV/0!</v>
      </c>
      <c r="R206" s="226" t="e">
        <f t="shared" si="10"/>
        <v>#DIV/0!</v>
      </c>
      <c r="S206" s="226" t="e">
        <f t="shared" si="11"/>
        <v>#DIV/0!</v>
      </c>
      <c r="T206" s="315"/>
    </row>
    <row r="207" spans="1:20" s="305" customFormat="1" ht="32.1" customHeight="1" x14ac:dyDescent="0.2">
      <c r="A207" s="487" t="s">
        <v>4123</v>
      </c>
      <c r="B207" s="258" t="s">
        <v>3100</v>
      </c>
      <c r="C207" s="258" t="s">
        <v>3101</v>
      </c>
      <c r="D207" s="121">
        <v>95</v>
      </c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  <c r="P207" s="316"/>
      <c r="Q207" s="226" t="e">
        <f t="shared" si="9"/>
        <v>#DIV/0!</v>
      </c>
      <c r="R207" s="226" t="e">
        <f t="shared" si="10"/>
        <v>#DIV/0!</v>
      </c>
      <c r="S207" s="226" t="e">
        <f t="shared" si="11"/>
        <v>#DIV/0!</v>
      </c>
      <c r="T207" s="315"/>
    </row>
    <row r="208" spans="1:20" s="305" customFormat="1" ht="32.1" customHeight="1" x14ac:dyDescent="0.2">
      <c r="A208" s="487" t="s">
        <v>4123</v>
      </c>
      <c r="B208" s="258" t="s">
        <v>3102</v>
      </c>
      <c r="C208" s="258" t="s">
        <v>3103</v>
      </c>
      <c r="D208" s="121">
        <v>80</v>
      </c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>
        <v>0</v>
      </c>
      <c r="Q208" s="226">
        <f t="shared" si="9"/>
        <v>0</v>
      </c>
      <c r="R208" s="226" t="str">
        <f t="shared" si="10"/>
        <v>SI</v>
      </c>
      <c r="S208" s="226" t="str">
        <f t="shared" si="11"/>
        <v>Sin Riesgo</v>
      </c>
      <c r="T208" s="315"/>
    </row>
    <row r="209" spans="1:20" s="305" customFormat="1" ht="32.1" customHeight="1" x14ac:dyDescent="0.2">
      <c r="A209" s="487" t="s">
        <v>4123</v>
      </c>
      <c r="B209" s="258" t="s">
        <v>2226</v>
      </c>
      <c r="C209" s="258" t="s">
        <v>3104</v>
      </c>
      <c r="D209" s="121">
        <v>35</v>
      </c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  <c r="P209" s="316"/>
      <c r="Q209" s="226" t="e">
        <f t="shared" si="9"/>
        <v>#DIV/0!</v>
      </c>
      <c r="R209" s="226" t="e">
        <f t="shared" si="10"/>
        <v>#DIV/0!</v>
      </c>
      <c r="S209" s="226" t="e">
        <f t="shared" si="11"/>
        <v>#DIV/0!</v>
      </c>
      <c r="T209" s="315"/>
    </row>
    <row r="210" spans="1:20" s="305" customFormat="1" ht="32.1" customHeight="1" x14ac:dyDescent="0.2">
      <c r="A210" s="487" t="s">
        <v>4123</v>
      </c>
      <c r="B210" s="258" t="s">
        <v>3105</v>
      </c>
      <c r="C210" s="258" t="s">
        <v>3106</v>
      </c>
      <c r="D210" s="121">
        <v>35</v>
      </c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226" t="e">
        <f t="shared" si="9"/>
        <v>#DIV/0!</v>
      </c>
      <c r="R210" s="226" t="e">
        <f t="shared" si="10"/>
        <v>#DIV/0!</v>
      </c>
      <c r="S210" s="226" t="e">
        <f t="shared" si="11"/>
        <v>#DIV/0!</v>
      </c>
      <c r="T210" s="315"/>
    </row>
    <row r="211" spans="1:20" s="305" customFormat="1" ht="32.1" customHeight="1" x14ac:dyDescent="0.2">
      <c r="A211" s="487" t="s">
        <v>4123</v>
      </c>
      <c r="B211" s="258" t="s">
        <v>1049</v>
      </c>
      <c r="C211" s="258" t="s">
        <v>3107</v>
      </c>
      <c r="D211" s="121">
        <v>221</v>
      </c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226" t="e">
        <f t="shared" si="9"/>
        <v>#DIV/0!</v>
      </c>
      <c r="R211" s="226" t="e">
        <f t="shared" si="10"/>
        <v>#DIV/0!</v>
      </c>
      <c r="S211" s="226" t="e">
        <f t="shared" si="11"/>
        <v>#DIV/0!</v>
      </c>
      <c r="T211" s="315"/>
    </row>
    <row r="212" spans="1:20" s="305" customFormat="1" ht="32.1" customHeight="1" x14ac:dyDescent="0.2">
      <c r="A212" s="487" t="s">
        <v>4123</v>
      </c>
      <c r="B212" s="258" t="s">
        <v>3108</v>
      </c>
      <c r="C212" s="258" t="s">
        <v>3109</v>
      </c>
      <c r="D212" s="121">
        <v>197</v>
      </c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226" t="e">
        <f t="shared" si="9"/>
        <v>#DIV/0!</v>
      </c>
      <c r="R212" s="226" t="e">
        <f t="shared" si="10"/>
        <v>#DIV/0!</v>
      </c>
      <c r="S212" s="226" t="e">
        <f t="shared" si="11"/>
        <v>#DIV/0!</v>
      </c>
      <c r="T212" s="315"/>
    </row>
    <row r="213" spans="1:20" s="305" customFormat="1" ht="32.1" customHeight="1" x14ac:dyDescent="0.2">
      <c r="A213" s="487" t="s">
        <v>4123</v>
      </c>
      <c r="B213" s="258" t="s">
        <v>3110</v>
      </c>
      <c r="C213" s="258" t="s">
        <v>3111</v>
      </c>
      <c r="D213" s="121">
        <v>158</v>
      </c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226" t="e">
        <f t="shared" si="9"/>
        <v>#DIV/0!</v>
      </c>
      <c r="R213" s="226" t="e">
        <f t="shared" si="10"/>
        <v>#DIV/0!</v>
      </c>
      <c r="S213" s="226" t="e">
        <f t="shared" si="11"/>
        <v>#DIV/0!</v>
      </c>
      <c r="T213" s="315"/>
    </row>
    <row r="214" spans="1:20" s="305" customFormat="1" ht="32.1" customHeight="1" x14ac:dyDescent="0.2">
      <c r="A214" s="487" t="s">
        <v>4123</v>
      </c>
      <c r="B214" s="258" t="s">
        <v>3112</v>
      </c>
      <c r="C214" s="258" t="s">
        <v>3113</v>
      </c>
      <c r="D214" s="121">
        <v>108</v>
      </c>
      <c r="E214" s="316"/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226" t="e">
        <f t="shared" si="9"/>
        <v>#DIV/0!</v>
      </c>
      <c r="R214" s="226" t="e">
        <f t="shared" si="10"/>
        <v>#DIV/0!</v>
      </c>
      <c r="S214" s="226" t="e">
        <f t="shared" si="11"/>
        <v>#DIV/0!</v>
      </c>
      <c r="T214" s="315"/>
    </row>
    <row r="215" spans="1:20" s="305" customFormat="1" ht="32.1" customHeight="1" x14ac:dyDescent="0.2">
      <c r="A215" s="487" t="s">
        <v>4123</v>
      </c>
      <c r="B215" s="258" t="s">
        <v>3114</v>
      </c>
      <c r="C215" s="258" t="s">
        <v>3115</v>
      </c>
      <c r="D215" s="121">
        <v>97</v>
      </c>
      <c r="E215" s="316"/>
      <c r="F215" s="316"/>
      <c r="G215" s="316"/>
      <c r="H215" s="316"/>
      <c r="I215" s="316">
        <v>96.7</v>
      </c>
      <c r="J215" s="316"/>
      <c r="K215" s="316"/>
      <c r="L215" s="316"/>
      <c r="M215" s="316"/>
      <c r="N215" s="316"/>
      <c r="O215" s="316"/>
      <c r="P215" s="316"/>
      <c r="Q215" s="226">
        <f t="shared" si="9"/>
        <v>96.7</v>
      </c>
      <c r="R215" s="226" t="str">
        <f t="shared" si="10"/>
        <v>NO</v>
      </c>
      <c r="S215" s="226" t="str">
        <f t="shared" si="11"/>
        <v>Inviable Sanitariamente</v>
      </c>
      <c r="T215" s="315"/>
    </row>
    <row r="216" spans="1:20" s="305" customFormat="1" ht="32.1" customHeight="1" x14ac:dyDescent="0.2">
      <c r="A216" s="487" t="s">
        <v>4123</v>
      </c>
      <c r="B216" s="258" t="s">
        <v>3116</v>
      </c>
      <c r="C216" s="258" t="s">
        <v>3117</v>
      </c>
      <c r="D216" s="121">
        <v>25</v>
      </c>
      <c r="E216" s="316"/>
      <c r="F216" s="316"/>
      <c r="G216" s="316"/>
      <c r="H216" s="316"/>
      <c r="I216" s="316">
        <v>96.7</v>
      </c>
      <c r="J216" s="316"/>
      <c r="K216" s="316"/>
      <c r="L216" s="316"/>
      <c r="M216" s="316"/>
      <c r="N216" s="316"/>
      <c r="O216" s="316"/>
      <c r="P216" s="316"/>
      <c r="Q216" s="226">
        <f t="shared" si="9"/>
        <v>96.7</v>
      </c>
      <c r="R216" s="226" t="str">
        <f t="shared" si="10"/>
        <v>NO</v>
      </c>
      <c r="S216" s="226" t="str">
        <f t="shared" si="11"/>
        <v>Inviable Sanitariamente</v>
      </c>
      <c r="T216" s="315"/>
    </row>
    <row r="217" spans="1:20" s="305" customFormat="1" ht="32.1" customHeight="1" x14ac:dyDescent="0.2">
      <c r="A217" s="487" t="s">
        <v>4123</v>
      </c>
      <c r="B217" s="258" t="s">
        <v>3118</v>
      </c>
      <c r="C217" s="258" t="s">
        <v>3119</v>
      </c>
      <c r="D217" s="121">
        <v>120</v>
      </c>
      <c r="E217" s="316"/>
      <c r="F217" s="316"/>
      <c r="G217" s="316"/>
      <c r="H217" s="316"/>
      <c r="I217" s="316">
        <v>96.7</v>
      </c>
      <c r="J217" s="316"/>
      <c r="K217" s="316"/>
      <c r="L217" s="316"/>
      <c r="M217" s="316"/>
      <c r="N217" s="316"/>
      <c r="O217" s="316"/>
      <c r="P217" s="316"/>
      <c r="Q217" s="226">
        <f t="shared" si="9"/>
        <v>96.7</v>
      </c>
      <c r="R217" s="226" t="str">
        <f t="shared" si="10"/>
        <v>NO</v>
      </c>
      <c r="S217" s="226" t="str">
        <f t="shared" si="11"/>
        <v>Inviable Sanitariamente</v>
      </c>
      <c r="T217" s="315"/>
    </row>
    <row r="218" spans="1:20" s="305" customFormat="1" ht="32.1" customHeight="1" x14ac:dyDescent="0.2">
      <c r="A218" s="487" t="s">
        <v>4123</v>
      </c>
      <c r="B218" s="258" t="s">
        <v>3120</v>
      </c>
      <c r="C218" s="258" t="s">
        <v>3121</v>
      </c>
      <c r="D218" s="121">
        <v>197</v>
      </c>
      <c r="E218" s="316"/>
      <c r="F218" s="316"/>
      <c r="G218" s="316"/>
      <c r="H218" s="316">
        <v>97.6</v>
      </c>
      <c r="I218" s="316"/>
      <c r="J218" s="316"/>
      <c r="K218" s="316"/>
      <c r="L218" s="316"/>
      <c r="M218" s="316"/>
      <c r="N218" s="316"/>
      <c r="O218" s="316"/>
      <c r="P218" s="316"/>
      <c r="Q218" s="226">
        <f t="shared" si="9"/>
        <v>97.6</v>
      </c>
      <c r="R218" s="226" t="str">
        <f t="shared" si="10"/>
        <v>NO</v>
      </c>
      <c r="S218" s="226" t="str">
        <f t="shared" si="11"/>
        <v>Inviable Sanitariamente</v>
      </c>
      <c r="T218" s="315"/>
    </row>
    <row r="219" spans="1:20" s="305" customFormat="1" ht="32.1" customHeight="1" x14ac:dyDescent="0.2">
      <c r="A219" s="487" t="s">
        <v>4123</v>
      </c>
      <c r="B219" s="258" t="s">
        <v>3122</v>
      </c>
      <c r="C219" s="258" t="s">
        <v>3123</v>
      </c>
      <c r="D219" s="121">
        <v>201</v>
      </c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226" t="e">
        <f t="shared" si="9"/>
        <v>#DIV/0!</v>
      </c>
      <c r="R219" s="226" t="e">
        <f t="shared" si="10"/>
        <v>#DIV/0!</v>
      </c>
      <c r="S219" s="226" t="e">
        <f t="shared" si="11"/>
        <v>#DIV/0!</v>
      </c>
      <c r="T219" s="315"/>
    </row>
    <row r="220" spans="1:20" s="305" customFormat="1" ht="32.1" customHeight="1" x14ac:dyDescent="0.2">
      <c r="A220" s="487" t="s">
        <v>4123</v>
      </c>
      <c r="B220" s="258" t="s">
        <v>3124</v>
      </c>
      <c r="C220" s="258" t="s">
        <v>3125</v>
      </c>
      <c r="D220" s="121">
        <v>48</v>
      </c>
      <c r="E220" s="316"/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226" t="e">
        <f t="shared" si="9"/>
        <v>#DIV/0!</v>
      </c>
      <c r="R220" s="226" t="e">
        <f t="shared" si="10"/>
        <v>#DIV/0!</v>
      </c>
      <c r="S220" s="226" t="e">
        <f t="shared" si="11"/>
        <v>#DIV/0!</v>
      </c>
      <c r="T220" s="315"/>
    </row>
    <row r="221" spans="1:20" s="305" customFormat="1" ht="32.1" customHeight="1" x14ac:dyDescent="0.2">
      <c r="A221" s="487" t="s">
        <v>4123</v>
      </c>
      <c r="B221" s="258" t="s">
        <v>3126</v>
      </c>
      <c r="C221" s="258" t="s">
        <v>3127</v>
      </c>
      <c r="D221" s="121">
        <v>52</v>
      </c>
      <c r="E221" s="316"/>
      <c r="F221" s="316"/>
      <c r="G221" s="316">
        <v>96.7</v>
      </c>
      <c r="H221" s="316"/>
      <c r="I221" s="316"/>
      <c r="J221" s="316"/>
      <c r="K221" s="316"/>
      <c r="L221" s="316"/>
      <c r="M221" s="316"/>
      <c r="N221" s="316"/>
      <c r="O221" s="316"/>
      <c r="P221" s="316"/>
      <c r="Q221" s="226">
        <f t="shared" si="9"/>
        <v>96.7</v>
      </c>
      <c r="R221" s="226" t="str">
        <f t="shared" si="10"/>
        <v>NO</v>
      </c>
      <c r="S221" s="226" t="str">
        <f t="shared" si="11"/>
        <v>Inviable Sanitariamente</v>
      </c>
      <c r="T221" s="315"/>
    </row>
    <row r="222" spans="1:20" s="305" customFormat="1" ht="32.1" customHeight="1" x14ac:dyDescent="0.2">
      <c r="A222" s="487" t="s">
        <v>4123</v>
      </c>
      <c r="B222" s="258" t="s">
        <v>3128</v>
      </c>
      <c r="C222" s="258" t="s">
        <v>3129</v>
      </c>
      <c r="D222" s="121">
        <v>118</v>
      </c>
      <c r="E222" s="316"/>
      <c r="F222" s="316"/>
      <c r="G222" s="316"/>
      <c r="H222" s="316">
        <v>96.7</v>
      </c>
      <c r="I222" s="316"/>
      <c r="J222" s="316"/>
      <c r="K222" s="316"/>
      <c r="L222" s="316"/>
      <c r="M222" s="316"/>
      <c r="N222" s="316"/>
      <c r="O222" s="316"/>
      <c r="P222" s="316"/>
      <c r="Q222" s="226">
        <f t="shared" si="9"/>
        <v>96.7</v>
      </c>
      <c r="R222" s="226" t="str">
        <f t="shared" si="10"/>
        <v>NO</v>
      </c>
      <c r="S222" s="226" t="str">
        <f t="shared" si="11"/>
        <v>Inviable Sanitariamente</v>
      </c>
      <c r="T222" s="315"/>
    </row>
    <row r="223" spans="1:20" s="305" customFormat="1" ht="32.1" customHeight="1" x14ac:dyDescent="0.2">
      <c r="A223" s="487" t="s">
        <v>150</v>
      </c>
      <c r="B223" s="258" t="s">
        <v>3130</v>
      </c>
      <c r="C223" s="258" t="s">
        <v>3131</v>
      </c>
      <c r="D223" s="121">
        <v>56</v>
      </c>
      <c r="E223" s="316"/>
      <c r="F223" s="316"/>
      <c r="G223" s="316"/>
      <c r="H223" s="316"/>
      <c r="I223" s="316"/>
      <c r="J223" s="316"/>
      <c r="K223" s="316"/>
      <c r="L223" s="316">
        <v>53</v>
      </c>
      <c r="M223" s="316"/>
      <c r="N223" s="316"/>
      <c r="O223" s="316"/>
      <c r="P223" s="316"/>
      <c r="Q223" s="226">
        <f t="shared" si="9"/>
        <v>53</v>
      </c>
      <c r="R223" s="226" t="str">
        <f t="shared" si="10"/>
        <v>NO</v>
      </c>
      <c r="S223" s="226" t="str">
        <f t="shared" si="11"/>
        <v>Alto</v>
      </c>
      <c r="T223" s="315"/>
    </row>
    <row r="224" spans="1:20" s="305" customFormat="1" ht="32.1" customHeight="1" x14ac:dyDescent="0.2">
      <c r="A224" s="487" t="s">
        <v>150</v>
      </c>
      <c r="B224" s="258" t="s">
        <v>3132</v>
      </c>
      <c r="C224" s="258" t="s">
        <v>3133</v>
      </c>
      <c r="D224" s="121">
        <v>28</v>
      </c>
      <c r="E224" s="316"/>
      <c r="F224" s="316"/>
      <c r="G224" s="316"/>
      <c r="H224" s="316"/>
      <c r="I224" s="316"/>
      <c r="J224" s="316"/>
      <c r="K224" s="316"/>
      <c r="L224" s="316"/>
      <c r="M224" s="316"/>
      <c r="N224" s="316"/>
      <c r="O224" s="316"/>
      <c r="P224" s="316"/>
      <c r="Q224" s="226" t="e">
        <f t="shared" si="9"/>
        <v>#DIV/0!</v>
      </c>
      <c r="R224" s="226" t="e">
        <f t="shared" si="10"/>
        <v>#DIV/0!</v>
      </c>
      <c r="S224" s="226" t="e">
        <f t="shared" si="11"/>
        <v>#DIV/0!</v>
      </c>
      <c r="T224" s="315"/>
    </row>
    <row r="225" spans="1:20" s="305" customFormat="1" ht="32.1" customHeight="1" x14ac:dyDescent="0.2">
      <c r="A225" s="487" t="s">
        <v>150</v>
      </c>
      <c r="B225" s="258" t="s">
        <v>3134</v>
      </c>
      <c r="C225" s="258" t="s">
        <v>3135</v>
      </c>
      <c r="D225" s="121">
        <v>14</v>
      </c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226" t="e">
        <f t="shared" si="9"/>
        <v>#DIV/0!</v>
      </c>
      <c r="R225" s="226" t="e">
        <f t="shared" si="10"/>
        <v>#DIV/0!</v>
      </c>
      <c r="S225" s="226" t="e">
        <f t="shared" si="11"/>
        <v>#DIV/0!</v>
      </c>
      <c r="T225" s="315"/>
    </row>
    <row r="226" spans="1:20" s="305" customFormat="1" ht="32.1" customHeight="1" x14ac:dyDescent="0.2">
      <c r="A226" s="487" t="s">
        <v>150</v>
      </c>
      <c r="B226" s="258" t="s">
        <v>3136</v>
      </c>
      <c r="C226" s="258" t="s">
        <v>3137</v>
      </c>
      <c r="D226" s="121">
        <v>44</v>
      </c>
      <c r="E226" s="316"/>
      <c r="F226" s="316"/>
      <c r="G226" s="316"/>
      <c r="H226" s="316"/>
      <c r="I226" s="316"/>
      <c r="J226" s="316"/>
      <c r="K226" s="316"/>
      <c r="L226" s="316"/>
      <c r="M226" s="316"/>
      <c r="N226" s="316"/>
      <c r="O226" s="316"/>
      <c r="P226" s="316"/>
      <c r="Q226" s="226" t="e">
        <f t="shared" ref="Q226:Q266" si="12">AVERAGE(E226:P226)</f>
        <v>#DIV/0!</v>
      </c>
      <c r="R226" s="226" t="e">
        <f t="shared" si="10"/>
        <v>#DIV/0!</v>
      </c>
      <c r="S226" s="226" t="e">
        <f t="shared" si="11"/>
        <v>#DIV/0!</v>
      </c>
      <c r="T226" s="315"/>
    </row>
    <row r="227" spans="1:20" s="305" customFormat="1" ht="32.1" customHeight="1" x14ac:dyDescent="0.2">
      <c r="A227" s="487" t="s">
        <v>150</v>
      </c>
      <c r="B227" s="258" t="s">
        <v>2977</v>
      </c>
      <c r="C227" s="258" t="s">
        <v>3138</v>
      </c>
      <c r="D227" s="121">
        <v>24</v>
      </c>
      <c r="E227" s="316"/>
      <c r="F227" s="316"/>
      <c r="G227" s="316"/>
      <c r="H227" s="316"/>
      <c r="I227" s="316"/>
      <c r="J227" s="316"/>
      <c r="K227" s="316"/>
      <c r="L227" s="316"/>
      <c r="M227" s="316"/>
      <c r="N227" s="316"/>
      <c r="O227" s="316"/>
      <c r="P227" s="316"/>
      <c r="Q227" s="226" t="e">
        <f t="shared" si="12"/>
        <v>#DIV/0!</v>
      </c>
      <c r="R227" s="226" t="e">
        <f t="shared" si="10"/>
        <v>#DIV/0!</v>
      </c>
      <c r="S227" s="226" t="e">
        <f t="shared" si="11"/>
        <v>#DIV/0!</v>
      </c>
      <c r="T227" s="315"/>
    </row>
    <row r="228" spans="1:20" s="305" customFormat="1" ht="32.1" customHeight="1" x14ac:dyDescent="0.2">
      <c r="A228" s="487" t="s">
        <v>150</v>
      </c>
      <c r="B228" s="258" t="s">
        <v>3139</v>
      </c>
      <c r="C228" s="258" t="s">
        <v>3140</v>
      </c>
      <c r="D228" s="121">
        <v>69</v>
      </c>
      <c r="E228" s="316"/>
      <c r="F228" s="316"/>
      <c r="G228" s="316"/>
      <c r="H228" s="316"/>
      <c r="I228" s="316"/>
      <c r="J228" s="316">
        <v>95.2</v>
      </c>
      <c r="K228" s="316"/>
      <c r="L228" s="316"/>
      <c r="M228" s="316"/>
      <c r="N228" s="316"/>
      <c r="O228" s="316"/>
      <c r="P228" s="316"/>
      <c r="Q228" s="226">
        <f t="shared" si="12"/>
        <v>95.2</v>
      </c>
      <c r="R228" s="226" t="str">
        <f t="shared" si="10"/>
        <v>NO</v>
      </c>
      <c r="S228" s="226" t="str">
        <f t="shared" si="11"/>
        <v>Inviable Sanitariamente</v>
      </c>
      <c r="T228" s="315"/>
    </row>
    <row r="229" spans="1:20" s="305" customFormat="1" ht="32.1" customHeight="1" x14ac:dyDescent="0.2">
      <c r="A229" s="487" t="s">
        <v>150</v>
      </c>
      <c r="B229" s="258" t="s">
        <v>3141</v>
      </c>
      <c r="C229" s="258" t="s">
        <v>3142</v>
      </c>
      <c r="D229" s="121">
        <v>30</v>
      </c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226" t="e">
        <f t="shared" si="12"/>
        <v>#DIV/0!</v>
      </c>
      <c r="R229" s="226" t="e">
        <f t="shared" si="10"/>
        <v>#DIV/0!</v>
      </c>
      <c r="S229" s="226" t="e">
        <f t="shared" si="11"/>
        <v>#DIV/0!</v>
      </c>
      <c r="T229" s="315"/>
    </row>
    <row r="230" spans="1:20" s="305" customFormat="1" ht="32.1" customHeight="1" x14ac:dyDescent="0.2">
      <c r="A230" s="487" t="s">
        <v>150</v>
      </c>
      <c r="B230" s="258" t="s">
        <v>3143</v>
      </c>
      <c r="C230" s="258" t="s">
        <v>3144</v>
      </c>
      <c r="D230" s="116">
        <v>35</v>
      </c>
      <c r="E230" s="316"/>
      <c r="F230" s="316"/>
      <c r="G230" s="316"/>
      <c r="H230" s="316"/>
      <c r="I230" s="316"/>
      <c r="J230" s="316"/>
      <c r="K230" s="316"/>
      <c r="L230" s="316">
        <v>53.1</v>
      </c>
      <c r="M230" s="316"/>
      <c r="N230" s="316"/>
      <c r="O230" s="316"/>
      <c r="P230" s="316"/>
      <c r="Q230" s="226">
        <f t="shared" si="12"/>
        <v>53.1</v>
      </c>
      <c r="R230" s="226" t="str">
        <f t="shared" si="10"/>
        <v>NO</v>
      </c>
      <c r="S230" s="226" t="str">
        <f t="shared" si="11"/>
        <v>Alto</v>
      </c>
      <c r="T230" s="315"/>
    </row>
    <row r="231" spans="1:20" s="305" customFormat="1" ht="32.1" customHeight="1" x14ac:dyDescent="0.2">
      <c r="A231" s="487" t="s">
        <v>150</v>
      </c>
      <c r="B231" s="258" t="s">
        <v>3145</v>
      </c>
      <c r="C231" s="258" t="s">
        <v>3146</v>
      </c>
      <c r="D231" s="121">
        <v>23</v>
      </c>
      <c r="E231" s="316"/>
      <c r="F231" s="316"/>
      <c r="G231" s="316"/>
      <c r="H231" s="316"/>
      <c r="I231" s="316"/>
      <c r="J231" s="316"/>
      <c r="K231" s="316"/>
      <c r="L231" s="316"/>
      <c r="M231" s="316"/>
      <c r="N231" s="316"/>
      <c r="O231" s="316"/>
      <c r="P231" s="316"/>
      <c r="Q231" s="226" t="e">
        <f t="shared" si="12"/>
        <v>#DIV/0!</v>
      </c>
      <c r="R231" s="226" t="e">
        <f t="shared" si="10"/>
        <v>#DIV/0!</v>
      </c>
      <c r="S231" s="226" t="e">
        <f t="shared" si="11"/>
        <v>#DIV/0!</v>
      </c>
      <c r="T231" s="315"/>
    </row>
    <row r="232" spans="1:20" s="305" customFormat="1" ht="32.1" customHeight="1" x14ac:dyDescent="0.2">
      <c r="A232" s="487" t="s">
        <v>150</v>
      </c>
      <c r="B232" s="258" t="s">
        <v>3147</v>
      </c>
      <c r="C232" s="258" t="s">
        <v>3148</v>
      </c>
      <c r="D232" s="121">
        <v>85</v>
      </c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316">
        <v>95</v>
      </c>
      <c r="P232" s="316"/>
      <c r="Q232" s="226">
        <f t="shared" si="12"/>
        <v>95</v>
      </c>
      <c r="R232" s="226" t="str">
        <f t="shared" si="10"/>
        <v>NO</v>
      </c>
      <c r="S232" s="226" t="str">
        <f t="shared" si="11"/>
        <v>Inviable Sanitariamente</v>
      </c>
      <c r="T232" s="315"/>
    </row>
    <row r="233" spans="1:20" s="305" customFormat="1" ht="32.1" customHeight="1" x14ac:dyDescent="0.2">
      <c r="A233" s="487" t="s">
        <v>150</v>
      </c>
      <c r="B233" s="258" t="s">
        <v>3149</v>
      </c>
      <c r="C233" s="258" t="s">
        <v>3150</v>
      </c>
      <c r="D233" s="116">
        <v>40</v>
      </c>
      <c r="E233" s="316"/>
      <c r="F233" s="316"/>
      <c r="G233" s="316"/>
      <c r="H233" s="316"/>
      <c r="I233" s="316"/>
      <c r="J233" s="316"/>
      <c r="K233" s="316"/>
      <c r="L233" s="316"/>
      <c r="M233" s="316"/>
      <c r="N233" s="316"/>
      <c r="O233" s="316"/>
      <c r="P233" s="316"/>
      <c r="Q233" s="226" t="e">
        <f t="shared" si="12"/>
        <v>#DIV/0!</v>
      </c>
      <c r="R233" s="226" t="e">
        <f t="shared" si="10"/>
        <v>#DIV/0!</v>
      </c>
      <c r="S233" s="226" t="e">
        <f t="shared" si="11"/>
        <v>#DIV/0!</v>
      </c>
      <c r="T233" s="315"/>
    </row>
    <row r="234" spans="1:20" s="305" customFormat="1" ht="32.1" customHeight="1" x14ac:dyDescent="0.2">
      <c r="A234" s="487" t="s">
        <v>150</v>
      </c>
      <c r="B234" s="258" t="s">
        <v>906</v>
      </c>
      <c r="C234" s="258" t="s">
        <v>3151</v>
      </c>
      <c r="D234" s="121">
        <v>12</v>
      </c>
      <c r="E234" s="316"/>
      <c r="F234" s="316"/>
      <c r="G234" s="316"/>
      <c r="H234" s="316"/>
      <c r="I234" s="316"/>
      <c r="J234" s="316"/>
      <c r="K234" s="316"/>
      <c r="L234" s="316"/>
      <c r="M234" s="316"/>
      <c r="N234" s="316"/>
      <c r="O234" s="316"/>
      <c r="P234" s="316"/>
      <c r="Q234" s="226" t="e">
        <f t="shared" si="12"/>
        <v>#DIV/0!</v>
      </c>
      <c r="R234" s="226" t="e">
        <f t="shared" si="10"/>
        <v>#DIV/0!</v>
      </c>
      <c r="S234" s="226" t="e">
        <f t="shared" si="11"/>
        <v>#DIV/0!</v>
      </c>
      <c r="T234" s="315"/>
    </row>
    <row r="235" spans="1:20" s="305" customFormat="1" ht="32.1" customHeight="1" x14ac:dyDescent="0.2">
      <c r="A235" s="487" t="s">
        <v>150</v>
      </c>
      <c r="B235" s="258" t="s">
        <v>3130</v>
      </c>
      <c r="C235" s="258" t="s">
        <v>3152</v>
      </c>
      <c r="D235" s="121">
        <v>8</v>
      </c>
      <c r="E235" s="316"/>
      <c r="F235" s="316"/>
      <c r="G235" s="316"/>
      <c r="H235" s="316"/>
      <c r="I235" s="316"/>
      <c r="J235" s="316"/>
      <c r="K235" s="316"/>
      <c r="L235" s="316"/>
      <c r="M235" s="316"/>
      <c r="N235" s="316"/>
      <c r="O235" s="316"/>
      <c r="P235" s="316"/>
      <c r="Q235" s="226" t="e">
        <f t="shared" si="12"/>
        <v>#DIV/0!</v>
      </c>
      <c r="R235" s="226" t="e">
        <f t="shared" si="10"/>
        <v>#DIV/0!</v>
      </c>
      <c r="S235" s="226" t="e">
        <f t="shared" si="11"/>
        <v>#DIV/0!</v>
      </c>
      <c r="T235" s="315"/>
    </row>
    <row r="236" spans="1:20" s="305" customFormat="1" ht="32.1" customHeight="1" x14ac:dyDescent="0.2">
      <c r="A236" s="487" t="s">
        <v>150</v>
      </c>
      <c r="B236" s="258" t="s">
        <v>3132</v>
      </c>
      <c r="C236" s="258" t="s">
        <v>3153</v>
      </c>
      <c r="D236" s="116">
        <v>10</v>
      </c>
      <c r="E236" s="316"/>
      <c r="F236" s="316"/>
      <c r="G236" s="316"/>
      <c r="H236" s="316"/>
      <c r="I236" s="316"/>
      <c r="J236" s="316"/>
      <c r="K236" s="316"/>
      <c r="L236" s="316"/>
      <c r="M236" s="316"/>
      <c r="N236" s="316"/>
      <c r="O236" s="316"/>
      <c r="P236" s="316"/>
      <c r="Q236" s="226" t="e">
        <f t="shared" si="12"/>
        <v>#DIV/0!</v>
      </c>
      <c r="R236" s="226" t="e">
        <f t="shared" si="10"/>
        <v>#DIV/0!</v>
      </c>
      <c r="S236" s="226" t="e">
        <f t="shared" si="11"/>
        <v>#DIV/0!</v>
      </c>
      <c r="T236" s="315"/>
    </row>
    <row r="237" spans="1:20" s="305" customFormat="1" ht="32.1" customHeight="1" x14ac:dyDescent="0.2">
      <c r="A237" s="487" t="s">
        <v>150</v>
      </c>
      <c r="B237" s="258" t="s">
        <v>3154</v>
      </c>
      <c r="C237" s="258" t="s">
        <v>3155</v>
      </c>
      <c r="D237" s="121">
        <v>10</v>
      </c>
      <c r="E237" s="316"/>
      <c r="F237" s="316"/>
      <c r="G237" s="316"/>
      <c r="H237" s="316"/>
      <c r="I237" s="316"/>
      <c r="J237" s="316"/>
      <c r="K237" s="316"/>
      <c r="L237" s="316"/>
      <c r="M237" s="316"/>
      <c r="N237" s="316"/>
      <c r="O237" s="316"/>
      <c r="P237" s="316"/>
      <c r="Q237" s="226" t="e">
        <f t="shared" si="12"/>
        <v>#DIV/0!</v>
      </c>
      <c r="R237" s="226" t="e">
        <f t="shared" si="10"/>
        <v>#DIV/0!</v>
      </c>
      <c r="S237" s="226" t="e">
        <f t="shared" si="11"/>
        <v>#DIV/0!</v>
      </c>
      <c r="T237" s="315"/>
    </row>
    <row r="238" spans="1:20" s="305" customFormat="1" ht="32.1" customHeight="1" x14ac:dyDescent="0.2">
      <c r="A238" s="487" t="s">
        <v>150</v>
      </c>
      <c r="B238" s="258" t="s">
        <v>3156</v>
      </c>
      <c r="C238" s="258" t="s">
        <v>3157</v>
      </c>
      <c r="D238" s="121">
        <v>57</v>
      </c>
      <c r="E238" s="316"/>
      <c r="F238" s="316"/>
      <c r="G238" s="316"/>
      <c r="H238" s="316"/>
      <c r="I238" s="316"/>
      <c r="J238" s="316"/>
      <c r="K238" s="316"/>
      <c r="L238" s="316"/>
      <c r="M238" s="316"/>
      <c r="N238" s="316"/>
      <c r="O238" s="316">
        <v>95</v>
      </c>
      <c r="P238" s="316"/>
      <c r="Q238" s="226">
        <f t="shared" si="12"/>
        <v>95</v>
      </c>
      <c r="R238" s="226" t="str">
        <f t="shared" si="10"/>
        <v>NO</v>
      </c>
      <c r="S238" s="226" t="str">
        <f t="shared" si="11"/>
        <v>Inviable Sanitariamente</v>
      </c>
      <c r="T238" s="315"/>
    </row>
    <row r="239" spans="1:20" s="305" customFormat="1" ht="32.1" customHeight="1" x14ac:dyDescent="0.2">
      <c r="A239" s="487" t="s">
        <v>150</v>
      </c>
      <c r="B239" s="258" t="s">
        <v>3158</v>
      </c>
      <c r="C239" s="258" t="s">
        <v>3159</v>
      </c>
      <c r="D239" s="121">
        <v>37</v>
      </c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226" t="e">
        <f t="shared" si="12"/>
        <v>#DIV/0!</v>
      </c>
      <c r="R239" s="226" t="e">
        <f t="shared" si="10"/>
        <v>#DIV/0!</v>
      </c>
      <c r="S239" s="226" t="e">
        <f t="shared" si="11"/>
        <v>#DIV/0!</v>
      </c>
      <c r="T239" s="315"/>
    </row>
    <row r="240" spans="1:20" s="305" customFormat="1" ht="32.1" customHeight="1" x14ac:dyDescent="0.2">
      <c r="A240" s="487" t="s">
        <v>150</v>
      </c>
      <c r="B240" s="258" t="s">
        <v>3160</v>
      </c>
      <c r="C240" s="258" t="s">
        <v>3161</v>
      </c>
      <c r="D240" s="121">
        <v>38</v>
      </c>
      <c r="E240" s="316"/>
      <c r="F240" s="316"/>
      <c r="G240" s="316"/>
      <c r="H240" s="316"/>
      <c r="I240" s="316"/>
      <c r="J240" s="316"/>
      <c r="K240" s="316"/>
      <c r="L240" s="316"/>
      <c r="M240" s="316"/>
      <c r="N240" s="316"/>
      <c r="O240" s="316"/>
      <c r="P240" s="316"/>
      <c r="Q240" s="226" t="e">
        <f t="shared" si="12"/>
        <v>#DIV/0!</v>
      </c>
      <c r="R240" s="226" t="e">
        <f t="shared" si="10"/>
        <v>#DIV/0!</v>
      </c>
      <c r="S240" s="226" t="e">
        <f t="shared" si="11"/>
        <v>#DIV/0!</v>
      </c>
      <c r="T240" s="315"/>
    </row>
    <row r="241" spans="1:20" s="305" customFormat="1" ht="32.1" customHeight="1" x14ac:dyDescent="0.2">
      <c r="A241" s="487" t="s">
        <v>150</v>
      </c>
      <c r="B241" s="258" t="s">
        <v>3162</v>
      </c>
      <c r="C241" s="258" t="s">
        <v>3163</v>
      </c>
      <c r="D241" s="121">
        <v>384</v>
      </c>
      <c r="E241" s="316"/>
      <c r="F241" s="316"/>
      <c r="G241" s="316"/>
      <c r="H241" s="316"/>
      <c r="I241" s="316"/>
      <c r="J241" s="316"/>
      <c r="K241" s="316"/>
      <c r="L241" s="316"/>
      <c r="M241" s="316"/>
      <c r="N241" s="316"/>
      <c r="O241" s="316"/>
      <c r="P241" s="316"/>
      <c r="Q241" s="226" t="e">
        <f t="shared" si="12"/>
        <v>#DIV/0!</v>
      </c>
      <c r="R241" s="226" t="e">
        <f t="shared" si="10"/>
        <v>#DIV/0!</v>
      </c>
      <c r="S241" s="226" t="e">
        <f t="shared" si="11"/>
        <v>#DIV/0!</v>
      </c>
      <c r="T241" s="315"/>
    </row>
    <row r="242" spans="1:20" s="305" customFormat="1" ht="32.1" customHeight="1" x14ac:dyDescent="0.2">
      <c r="A242" s="487" t="s">
        <v>150</v>
      </c>
      <c r="B242" s="258" t="s">
        <v>3164</v>
      </c>
      <c r="C242" s="258" t="s">
        <v>3165</v>
      </c>
      <c r="D242" s="121">
        <v>16</v>
      </c>
      <c r="E242" s="316"/>
      <c r="F242" s="316"/>
      <c r="G242" s="316"/>
      <c r="H242" s="316"/>
      <c r="I242" s="316"/>
      <c r="J242" s="316"/>
      <c r="K242" s="316"/>
      <c r="L242" s="316"/>
      <c r="M242" s="316"/>
      <c r="N242" s="316"/>
      <c r="O242" s="316"/>
      <c r="P242" s="316"/>
      <c r="Q242" s="226" t="e">
        <f t="shared" si="12"/>
        <v>#DIV/0!</v>
      </c>
      <c r="R242" s="226" t="e">
        <f t="shared" si="10"/>
        <v>#DIV/0!</v>
      </c>
      <c r="S242" s="226" t="e">
        <f t="shared" si="11"/>
        <v>#DIV/0!</v>
      </c>
      <c r="T242" s="315"/>
    </row>
    <row r="243" spans="1:20" s="305" customFormat="1" ht="32.1" customHeight="1" x14ac:dyDescent="0.2">
      <c r="A243" s="487" t="s">
        <v>150</v>
      </c>
      <c r="B243" s="258" t="s">
        <v>1550</v>
      </c>
      <c r="C243" s="258" t="s">
        <v>3166</v>
      </c>
      <c r="D243" s="121">
        <v>33</v>
      </c>
      <c r="E243" s="316"/>
      <c r="F243" s="316"/>
      <c r="G243" s="316"/>
      <c r="H243" s="316"/>
      <c r="I243" s="316"/>
      <c r="J243" s="316"/>
      <c r="K243" s="316"/>
      <c r="L243" s="316"/>
      <c r="M243" s="316"/>
      <c r="N243" s="316"/>
      <c r="O243" s="316"/>
      <c r="P243" s="316"/>
      <c r="Q243" s="226" t="e">
        <f t="shared" si="12"/>
        <v>#DIV/0!</v>
      </c>
      <c r="R243" s="226" t="e">
        <f t="shared" si="10"/>
        <v>#DIV/0!</v>
      </c>
      <c r="S243" s="226" t="e">
        <f t="shared" si="11"/>
        <v>#DIV/0!</v>
      </c>
      <c r="T243" s="315"/>
    </row>
    <row r="244" spans="1:20" s="305" customFormat="1" ht="32.1" customHeight="1" x14ac:dyDescent="0.2">
      <c r="A244" s="487" t="s">
        <v>150</v>
      </c>
      <c r="B244" s="258" t="s">
        <v>3167</v>
      </c>
      <c r="C244" s="258" t="s">
        <v>3168</v>
      </c>
      <c r="D244" s="121">
        <v>21</v>
      </c>
      <c r="E244" s="316"/>
      <c r="F244" s="316"/>
      <c r="G244" s="316"/>
      <c r="H244" s="316"/>
      <c r="I244" s="316"/>
      <c r="J244" s="316"/>
      <c r="K244" s="316"/>
      <c r="L244" s="316"/>
      <c r="M244" s="316"/>
      <c r="N244" s="316"/>
      <c r="O244" s="316"/>
      <c r="P244" s="316"/>
      <c r="Q244" s="226" t="e">
        <f t="shared" si="12"/>
        <v>#DIV/0!</v>
      </c>
      <c r="R244" s="226" t="e">
        <f t="shared" si="10"/>
        <v>#DIV/0!</v>
      </c>
      <c r="S244" s="226" t="e">
        <f t="shared" si="11"/>
        <v>#DIV/0!</v>
      </c>
      <c r="T244" s="315"/>
    </row>
    <row r="245" spans="1:20" s="305" customFormat="1" ht="32.1" customHeight="1" x14ac:dyDescent="0.2">
      <c r="A245" s="487" t="s">
        <v>150</v>
      </c>
      <c r="B245" s="258" t="s">
        <v>78</v>
      </c>
      <c r="C245" s="258" t="s">
        <v>3169</v>
      </c>
      <c r="D245" s="121">
        <v>24</v>
      </c>
      <c r="E245" s="316"/>
      <c r="F245" s="316"/>
      <c r="G245" s="316"/>
      <c r="H245" s="316"/>
      <c r="I245" s="316"/>
      <c r="J245" s="316"/>
      <c r="K245" s="316"/>
      <c r="L245" s="316"/>
      <c r="M245" s="316"/>
      <c r="N245" s="316"/>
      <c r="O245" s="316"/>
      <c r="P245" s="316"/>
      <c r="Q245" s="226" t="e">
        <f t="shared" si="12"/>
        <v>#DIV/0!</v>
      </c>
      <c r="R245" s="226" t="e">
        <f t="shared" si="10"/>
        <v>#DIV/0!</v>
      </c>
      <c r="S245" s="226" t="e">
        <f t="shared" si="11"/>
        <v>#DIV/0!</v>
      </c>
      <c r="T245" s="315"/>
    </row>
    <row r="246" spans="1:20" s="305" customFormat="1" ht="32.1" customHeight="1" x14ac:dyDescent="0.2">
      <c r="A246" s="487" t="s">
        <v>150</v>
      </c>
      <c r="B246" s="258" t="s">
        <v>3170</v>
      </c>
      <c r="C246" s="258" t="s">
        <v>3171</v>
      </c>
      <c r="D246" s="121">
        <v>23</v>
      </c>
      <c r="E246" s="316"/>
      <c r="F246" s="316"/>
      <c r="G246" s="316"/>
      <c r="H246" s="316"/>
      <c r="I246" s="316"/>
      <c r="J246" s="316"/>
      <c r="K246" s="316"/>
      <c r="L246" s="316"/>
      <c r="M246" s="316"/>
      <c r="N246" s="316"/>
      <c r="O246" s="316"/>
      <c r="P246" s="316"/>
      <c r="Q246" s="226" t="e">
        <f t="shared" si="12"/>
        <v>#DIV/0!</v>
      </c>
      <c r="R246" s="226" t="e">
        <f t="shared" si="10"/>
        <v>#DIV/0!</v>
      </c>
      <c r="S246" s="226" t="e">
        <f t="shared" si="11"/>
        <v>#DIV/0!</v>
      </c>
      <c r="T246" s="315"/>
    </row>
    <row r="247" spans="1:20" s="305" customFormat="1" ht="32.1" customHeight="1" x14ac:dyDescent="0.2">
      <c r="A247" s="487" t="s">
        <v>150</v>
      </c>
      <c r="B247" s="258" t="s">
        <v>1165</v>
      </c>
      <c r="C247" s="258" t="s">
        <v>3172</v>
      </c>
      <c r="D247" s="121">
        <v>32</v>
      </c>
      <c r="E247" s="316"/>
      <c r="F247" s="316"/>
      <c r="G247" s="316"/>
      <c r="H247" s="316"/>
      <c r="I247" s="316"/>
      <c r="J247" s="316"/>
      <c r="K247" s="316"/>
      <c r="L247" s="316"/>
      <c r="M247" s="316"/>
      <c r="N247" s="316"/>
      <c r="O247" s="316"/>
      <c r="P247" s="316"/>
      <c r="Q247" s="226" t="e">
        <f t="shared" si="12"/>
        <v>#DIV/0!</v>
      </c>
      <c r="R247" s="226" t="e">
        <f t="shared" si="10"/>
        <v>#DIV/0!</v>
      </c>
      <c r="S247" s="226" t="e">
        <f t="shared" si="11"/>
        <v>#DIV/0!</v>
      </c>
      <c r="T247" s="315"/>
    </row>
    <row r="248" spans="1:20" s="305" customFormat="1" ht="32.1" customHeight="1" x14ac:dyDescent="0.2">
      <c r="A248" s="487" t="s">
        <v>150</v>
      </c>
      <c r="B248" s="258" t="s">
        <v>2802</v>
      </c>
      <c r="C248" s="258" t="s">
        <v>3173</v>
      </c>
      <c r="D248" s="121">
        <v>67</v>
      </c>
      <c r="E248" s="316"/>
      <c r="F248" s="316"/>
      <c r="G248" s="316"/>
      <c r="H248" s="316"/>
      <c r="I248" s="316"/>
      <c r="J248" s="316"/>
      <c r="K248" s="316"/>
      <c r="L248" s="316"/>
      <c r="M248" s="316"/>
      <c r="N248" s="316"/>
      <c r="O248" s="316"/>
      <c r="P248" s="316"/>
      <c r="Q248" s="226" t="e">
        <f t="shared" si="12"/>
        <v>#DIV/0!</v>
      </c>
      <c r="R248" s="226" t="e">
        <f t="shared" si="10"/>
        <v>#DIV/0!</v>
      </c>
      <c r="S248" s="226" t="e">
        <f t="shared" si="11"/>
        <v>#DIV/0!</v>
      </c>
      <c r="T248" s="315"/>
    </row>
    <row r="249" spans="1:20" s="305" customFormat="1" ht="32.1" customHeight="1" x14ac:dyDescent="0.2">
      <c r="A249" s="487" t="s">
        <v>150</v>
      </c>
      <c r="B249" s="258" t="s">
        <v>3174</v>
      </c>
      <c r="C249" s="258" t="s">
        <v>3175</v>
      </c>
      <c r="D249" s="121">
        <v>26</v>
      </c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316"/>
      <c r="P249" s="316"/>
      <c r="Q249" s="226" t="e">
        <f t="shared" si="12"/>
        <v>#DIV/0!</v>
      </c>
      <c r="R249" s="226" t="e">
        <f t="shared" si="10"/>
        <v>#DIV/0!</v>
      </c>
      <c r="S249" s="226" t="e">
        <f t="shared" si="11"/>
        <v>#DIV/0!</v>
      </c>
      <c r="T249" s="315"/>
    </row>
    <row r="250" spans="1:20" s="305" customFormat="1" ht="32.1" customHeight="1" x14ac:dyDescent="0.2">
      <c r="A250" s="487" t="s">
        <v>150</v>
      </c>
      <c r="B250" s="258" t="s">
        <v>3176</v>
      </c>
      <c r="C250" s="258" t="s">
        <v>3177</v>
      </c>
      <c r="D250" s="121">
        <v>10</v>
      </c>
      <c r="E250" s="316"/>
      <c r="F250" s="316"/>
      <c r="G250" s="316"/>
      <c r="H250" s="316"/>
      <c r="I250" s="316"/>
      <c r="J250" s="316"/>
      <c r="K250" s="316"/>
      <c r="L250" s="316"/>
      <c r="M250" s="316"/>
      <c r="N250" s="316"/>
      <c r="O250" s="316"/>
      <c r="P250" s="316"/>
      <c r="Q250" s="226" t="e">
        <f t="shared" si="12"/>
        <v>#DIV/0!</v>
      </c>
      <c r="R250" s="226" t="e">
        <f t="shared" si="10"/>
        <v>#DIV/0!</v>
      </c>
      <c r="S250" s="226" t="e">
        <f t="shared" si="11"/>
        <v>#DIV/0!</v>
      </c>
      <c r="T250" s="315"/>
    </row>
    <row r="251" spans="1:20" s="305" customFormat="1" ht="32.1" customHeight="1" x14ac:dyDescent="0.2">
      <c r="A251" s="487" t="s">
        <v>150</v>
      </c>
      <c r="B251" s="258" t="s">
        <v>3178</v>
      </c>
      <c r="C251" s="258" t="s">
        <v>3179</v>
      </c>
      <c r="D251" s="121">
        <v>28</v>
      </c>
      <c r="E251" s="316"/>
      <c r="F251" s="316"/>
      <c r="G251" s="316"/>
      <c r="H251" s="316"/>
      <c r="I251" s="316"/>
      <c r="J251" s="316"/>
      <c r="K251" s="316"/>
      <c r="L251" s="316"/>
      <c r="M251" s="316"/>
      <c r="N251" s="316"/>
      <c r="O251" s="316"/>
      <c r="P251" s="316"/>
      <c r="Q251" s="226" t="e">
        <f t="shared" si="12"/>
        <v>#DIV/0!</v>
      </c>
      <c r="R251" s="226" t="e">
        <f t="shared" si="10"/>
        <v>#DIV/0!</v>
      </c>
      <c r="S251" s="226" t="e">
        <f t="shared" si="11"/>
        <v>#DIV/0!</v>
      </c>
      <c r="T251" s="315"/>
    </row>
    <row r="252" spans="1:20" s="305" customFormat="1" ht="32.1" customHeight="1" x14ac:dyDescent="0.2">
      <c r="A252" s="487" t="s">
        <v>150</v>
      </c>
      <c r="B252" s="258" t="s">
        <v>3180</v>
      </c>
      <c r="C252" s="258" t="s">
        <v>3181</v>
      </c>
      <c r="D252" s="121">
        <v>75</v>
      </c>
      <c r="E252" s="316"/>
      <c r="F252" s="316"/>
      <c r="G252" s="316"/>
      <c r="H252" s="316"/>
      <c r="I252" s="316"/>
      <c r="J252" s="316"/>
      <c r="K252" s="316"/>
      <c r="L252" s="316"/>
      <c r="M252" s="316"/>
      <c r="N252" s="316"/>
      <c r="O252" s="316"/>
      <c r="P252" s="316"/>
      <c r="Q252" s="226" t="e">
        <f t="shared" si="12"/>
        <v>#DIV/0!</v>
      </c>
      <c r="R252" s="226" t="e">
        <f t="shared" si="10"/>
        <v>#DIV/0!</v>
      </c>
      <c r="S252" s="226" t="e">
        <f t="shared" si="11"/>
        <v>#DIV/0!</v>
      </c>
      <c r="T252" s="315"/>
    </row>
    <row r="253" spans="1:20" s="305" customFormat="1" ht="32.1" customHeight="1" x14ac:dyDescent="0.2">
      <c r="A253" s="487" t="s">
        <v>150</v>
      </c>
      <c r="B253" s="258" t="s">
        <v>3182</v>
      </c>
      <c r="C253" s="258" t="s">
        <v>3183</v>
      </c>
      <c r="D253" s="121">
        <v>84</v>
      </c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6"/>
      <c r="P253" s="316"/>
      <c r="Q253" s="226" t="e">
        <f t="shared" si="12"/>
        <v>#DIV/0!</v>
      </c>
      <c r="R253" s="226" t="e">
        <f t="shared" si="10"/>
        <v>#DIV/0!</v>
      </c>
      <c r="S253" s="226" t="e">
        <f t="shared" si="11"/>
        <v>#DIV/0!</v>
      </c>
      <c r="T253" s="315"/>
    </row>
    <row r="254" spans="1:20" s="305" customFormat="1" ht="32.1" customHeight="1" x14ac:dyDescent="0.2">
      <c r="A254" s="487" t="s">
        <v>150</v>
      </c>
      <c r="B254" s="258" t="s">
        <v>3184</v>
      </c>
      <c r="C254" s="258" t="s">
        <v>3181</v>
      </c>
      <c r="D254" s="121">
        <v>75</v>
      </c>
      <c r="E254" s="316"/>
      <c r="F254" s="316"/>
      <c r="G254" s="316"/>
      <c r="H254" s="316"/>
      <c r="I254" s="316"/>
      <c r="J254" s="316"/>
      <c r="K254" s="316"/>
      <c r="L254" s="316"/>
      <c r="M254" s="316"/>
      <c r="N254" s="316"/>
      <c r="O254" s="316"/>
      <c r="P254" s="316"/>
      <c r="Q254" s="226" t="e">
        <f t="shared" si="12"/>
        <v>#DIV/0!</v>
      </c>
      <c r="R254" s="226" t="e">
        <f t="shared" si="10"/>
        <v>#DIV/0!</v>
      </c>
      <c r="S254" s="226" t="e">
        <f t="shared" si="11"/>
        <v>#DIV/0!</v>
      </c>
      <c r="T254" s="315"/>
    </row>
    <row r="255" spans="1:20" s="305" customFormat="1" ht="32.1" customHeight="1" x14ac:dyDescent="0.2">
      <c r="A255" s="487" t="s">
        <v>150</v>
      </c>
      <c r="B255" s="258" t="s">
        <v>3185</v>
      </c>
      <c r="C255" s="258" t="s">
        <v>3186</v>
      </c>
      <c r="D255" s="121">
        <v>20</v>
      </c>
      <c r="E255" s="316"/>
      <c r="F255" s="316"/>
      <c r="G255" s="316"/>
      <c r="H255" s="316"/>
      <c r="I255" s="316"/>
      <c r="J255" s="316"/>
      <c r="K255" s="316"/>
      <c r="L255" s="316"/>
      <c r="M255" s="316"/>
      <c r="N255" s="316"/>
      <c r="O255" s="316"/>
      <c r="P255" s="316"/>
      <c r="Q255" s="226" t="e">
        <f t="shared" si="12"/>
        <v>#DIV/0!</v>
      </c>
      <c r="R255" s="226" t="e">
        <f t="shared" si="10"/>
        <v>#DIV/0!</v>
      </c>
      <c r="S255" s="226" t="e">
        <f t="shared" si="11"/>
        <v>#DIV/0!</v>
      </c>
      <c r="T255" s="315"/>
    </row>
    <row r="256" spans="1:20" s="305" customFormat="1" ht="32.1" customHeight="1" x14ac:dyDescent="0.2">
      <c r="A256" s="487" t="s">
        <v>150</v>
      </c>
      <c r="B256" s="258" t="s">
        <v>3187</v>
      </c>
      <c r="C256" s="258" t="s">
        <v>3188</v>
      </c>
      <c r="D256" s="121"/>
      <c r="E256" s="316"/>
      <c r="F256" s="316"/>
      <c r="G256" s="316"/>
      <c r="H256" s="316"/>
      <c r="I256" s="316"/>
      <c r="J256" s="316"/>
      <c r="K256" s="316"/>
      <c r="L256" s="316"/>
      <c r="M256" s="316"/>
      <c r="N256" s="316"/>
      <c r="O256" s="316"/>
      <c r="P256" s="316"/>
      <c r="Q256" s="226" t="e">
        <f t="shared" si="12"/>
        <v>#DIV/0!</v>
      </c>
      <c r="R256" s="226" t="e">
        <f t="shared" si="10"/>
        <v>#DIV/0!</v>
      </c>
      <c r="S256" s="226" t="e">
        <f t="shared" si="11"/>
        <v>#DIV/0!</v>
      </c>
      <c r="T256" s="315"/>
    </row>
    <row r="257" spans="1:20" s="305" customFormat="1" ht="32.1" customHeight="1" x14ac:dyDescent="0.2">
      <c r="A257" s="487" t="s">
        <v>150</v>
      </c>
      <c r="B257" s="258" t="s">
        <v>3189</v>
      </c>
      <c r="C257" s="258" t="s">
        <v>3190</v>
      </c>
      <c r="D257" s="121">
        <v>20</v>
      </c>
      <c r="E257" s="316"/>
      <c r="F257" s="316"/>
      <c r="G257" s="316"/>
      <c r="H257" s="316"/>
      <c r="I257" s="316"/>
      <c r="J257" s="316"/>
      <c r="K257" s="316"/>
      <c r="L257" s="316"/>
      <c r="M257" s="316"/>
      <c r="N257" s="316"/>
      <c r="O257" s="316"/>
      <c r="P257" s="316"/>
      <c r="Q257" s="226" t="e">
        <f t="shared" si="12"/>
        <v>#DIV/0!</v>
      </c>
      <c r="R257" s="226" t="e">
        <f t="shared" si="10"/>
        <v>#DIV/0!</v>
      </c>
      <c r="S257" s="226" t="e">
        <f t="shared" si="11"/>
        <v>#DIV/0!</v>
      </c>
      <c r="T257" s="315"/>
    </row>
    <row r="258" spans="1:20" s="305" customFormat="1" ht="32.1" customHeight="1" x14ac:dyDescent="0.2">
      <c r="A258" s="487" t="s">
        <v>150</v>
      </c>
      <c r="B258" s="258" t="s">
        <v>3191</v>
      </c>
      <c r="C258" s="258" t="s">
        <v>3192</v>
      </c>
      <c r="D258" s="121">
        <v>55</v>
      </c>
      <c r="E258" s="316"/>
      <c r="F258" s="316"/>
      <c r="G258" s="316"/>
      <c r="H258" s="316"/>
      <c r="I258" s="316"/>
      <c r="J258" s="316"/>
      <c r="K258" s="316"/>
      <c r="L258" s="316"/>
      <c r="M258" s="316"/>
      <c r="N258" s="316"/>
      <c r="O258" s="316"/>
      <c r="P258" s="316"/>
      <c r="Q258" s="226" t="e">
        <f t="shared" si="12"/>
        <v>#DIV/0!</v>
      </c>
      <c r="R258" s="226" t="e">
        <f t="shared" si="10"/>
        <v>#DIV/0!</v>
      </c>
      <c r="S258" s="226" t="e">
        <f t="shared" si="11"/>
        <v>#DIV/0!</v>
      </c>
      <c r="T258" s="315"/>
    </row>
    <row r="259" spans="1:20" s="305" customFormat="1" ht="32.1" customHeight="1" x14ac:dyDescent="0.2">
      <c r="A259" s="487" t="s">
        <v>150</v>
      </c>
      <c r="B259" s="258" t="s">
        <v>3193</v>
      </c>
      <c r="C259" s="258" t="s">
        <v>3194</v>
      </c>
      <c r="D259" s="121">
        <v>30</v>
      </c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6"/>
      <c r="P259" s="316"/>
      <c r="Q259" s="226" t="e">
        <f t="shared" si="12"/>
        <v>#DIV/0!</v>
      </c>
      <c r="R259" s="226" t="e">
        <f t="shared" si="10"/>
        <v>#DIV/0!</v>
      </c>
      <c r="S259" s="226" t="e">
        <f t="shared" si="11"/>
        <v>#DIV/0!</v>
      </c>
      <c r="T259" s="315"/>
    </row>
    <row r="260" spans="1:20" s="305" customFormat="1" ht="32.1" customHeight="1" x14ac:dyDescent="0.2">
      <c r="A260" s="487" t="s">
        <v>150</v>
      </c>
      <c r="B260" s="258" t="s">
        <v>1235</v>
      </c>
      <c r="C260" s="258" t="s">
        <v>3195</v>
      </c>
      <c r="D260" s="121">
        <v>40</v>
      </c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316"/>
      <c r="P260" s="316"/>
      <c r="Q260" s="226" t="e">
        <f t="shared" si="12"/>
        <v>#DIV/0!</v>
      </c>
      <c r="R260" s="226" t="e">
        <f t="shared" si="10"/>
        <v>#DIV/0!</v>
      </c>
      <c r="S260" s="226" t="e">
        <f t="shared" si="11"/>
        <v>#DIV/0!</v>
      </c>
      <c r="T260" s="315"/>
    </row>
    <row r="261" spans="1:20" s="305" customFormat="1" ht="32.1" customHeight="1" x14ac:dyDescent="0.2">
      <c r="A261" s="487" t="s">
        <v>150</v>
      </c>
      <c r="B261" s="258" t="s">
        <v>3196</v>
      </c>
      <c r="C261" s="258" t="s">
        <v>3197</v>
      </c>
      <c r="D261" s="121"/>
      <c r="E261" s="316"/>
      <c r="F261" s="316"/>
      <c r="G261" s="316"/>
      <c r="H261" s="316"/>
      <c r="I261" s="316"/>
      <c r="J261" s="316"/>
      <c r="K261" s="316"/>
      <c r="L261" s="316"/>
      <c r="M261" s="316"/>
      <c r="N261" s="316"/>
      <c r="O261" s="316"/>
      <c r="P261" s="316"/>
      <c r="Q261" s="226" t="e">
        <f t="shared" si="12"/>
        <v>#DIV/0!</v>
      </c>
      <c r="R261" s="226" t="e">
        <f t="shared" si="10"/>
        <v>#DIV/0!</v>
      </c>
      <c r="S261" s="226" t="e">
        <f t="shared" si="11"/>
        <v>#DIV/0!</v>
      </c>
      <c r="T261" s="315"/>
    </row>
    <row r="262" spans="1:20" s="305" customFormat="1" ht="32.1" customHeight="1" x14ac:dyDescent="0.2">
      <c r="A262" s="487" t="s">
        <v>150</v>
      </c>
      <c r="B262" s="258" t="s">
        <v>63</v>
      </c>
      <c r="C262" s="258" t="s">
        <v>3198</v>
      </c>
      <c r="D262" s="121">
        <v>13</v>
      </c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  <c r="P262" s="316"/>
      <c r="Q262" s="226" t="e">
        <f t="shared" si="12"/>
        <v>#DIV/0!</v>
      </c>
      <c r="R262" s="226" t="e">
        <f t="shared" si="10"/>
        <v>#DIV/0!</v>
      </c>
      <c r="S262" s="226" t="e">
        <f t="shared" si="11"/>
        <v>#DIV/0!</v>
      </c>
      <c r="T262" s="315"/>
    </row>
    <row r="263" spans="1:20" s="305" customFormat="1" ht="32.1" customHeight="1" x14ac:dyDescent="0.2">
      <c r="A263" s="487" t="s">
        <v>150</v>
      </c>
      <c r="B263" s="258" t="s">
        <v>3199</v>
      </c>
      <c r="C263" s="258" t="s">
        <v>3200</v>
      </c>
      <c r="D263" s="121">
        <v>18</v>
      </c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316"/>
      <c r="P263" s="316"/>
      <c r="Q263" s="226" t="e">
        <f t="shared" si="12"/>
        <v>#DIV/0!</v>
      </c>
      <c r="R263" s="226" t="e">
        <f t="shared" si="10"/>
        <v>#DIV/0!</v>
      </c>
      <c r="S263" s="226" t="e">
        <f t="shared" si="11"/>
        <v>#DIV/0!</v>
      </c>
      <c r="T263" s="315"/>
    </row>
    <row r="264" spans="1:20" s="305" customFormat="1" ht="32.1" customHeight="1" x14ac:dyDescent="0.2">
      <c r="A264" s="487" t="s">
        <v>150</v>
      </c>
      <c r="B264" s="258" t="s">
        <v>3201</v>
      </c>
      <c r="C264" s="258" t="s">
        <v>3202</v>
      </c>
      <c r="D264" s="121">
        <v>30</v>
      </c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316"/>
      <c r="P264" s="316"/>
      <c r="Q264" s="226" t="e">
        <f t="shared" si="12"/>
        <v>#DIV/0!</v>
      </c>
      <c r="R264" s="226" t="e">
        <f t="shared" si="10"/>
        <v>#DIV/0!</v>
      </c>
      <c r="S264" s="226" t="e">
        <f t="shared" si="11"/>
        <v>#DIV/0!</v>
      </c>
      <c r="T264" s="315"/>
    </row>
    <row r="265" spans="1:20" s="305" customFormat="1" ht="32.1" customHeight="1" x14ac:dyDescent="0.2">
      <c r="A265" s="487" t="s">
        <v>150</v>
      </c>
      <c r="B265" s="258" t="s">
        <v>3203</v>
      </c>
      <c r="C265" s="258" t="s">
        <v>3204</v>
      </c>
      <c r="D265" s="121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  <c r="P265" s="316"/>
      <c r="Q265" s="226" t="e">
        <f t="shared" si="12"/>
        <v>#DIV/0!</v>
      </c>
      <c r="R265" s="226" t="e">
        <f t="shared" si="10"/>
        <v>#DIV/0!</v>
      </c>
      <c r="S265" s="226" t="e">
        <f t="shared" si="11"/>
        <v>#DIV/0!</v>
      </c>
      <c r="T265" s="315"/>
    </row>
    <row r="266" spans="1:20" s="305" customFormat="1" ht="32.1" customHeight="1" x14ac:dyDescent="0.2">
      <c r="A266" s="487" t="s">
        <v>150</v>
      </c>
      <c r="B266" s="258" t="s">
        <v>3205</v>
      </c>
      <c r="C266" s="258" t="s">
        <v>3206</v>
      </c>
      <c r="D266" s="121">
        <v>300</v>
      </c>
      <c r="E266" s="316"/>
      <c r="F266" s="316">
        <v>0</v>
      </c>
      <c r="G266" s="316"/>
      <c r="H266" s="316"/>
      <c r="I266" s="316">
        <v>0</v>
      </c>
      <c r="J266" s="316"/>
      <c r="K266" s="316"/>
      <c r="L266" s="316"/>
      <c r="M266" s="316"/>
      <c r="N266" s="316"/>
      <c r="O266" s="316"/>
      <c r="P266" s="316"/>
      <c r="Q266" s="226">
        <f t="shared" si="12"/>
        <v>0</v>
      </c>
      <c r="R266" s="226" t="str">
        <f t="shared" ref="R266:R329" si="13">IF(Q266&lt;5,"SI","NO")</f>
        <v>SI</v>
      </c>
      <c r="S266" s="226" t="str">
        <f t="shared" si="11"/>
        <v>Sin Riesgo</v>
      </c>
      <c r="T266" s="315"/>
    </row>
    <row r="267" spans="1:20" s="305" customFormat="1" ht="32.1" customHeight="1" x14ac:dyDescent="0.2">
      <c r="A267" s="487" t="s">
        <v>152</v>
      </c>
      <c r="B267" s="258" t="s">
        <v>3207</v>
      </c>
      <c r="C267" s="258" t="s">
        <v>3208</v>
      </c>
      <c r="D267" s="121">
        <v>28</v>
      </c>
      <c r="E267" s="316"/>
      <c r="F267" s="316"/>
      <c r="G267" s="316"/>
      <c r="H267" s="316">
        <v>97.3</v>
      </c>
      <c r="I267" s="316"/>
      <c r="J267" s="316"/>
      <c r="K267" s="316"/>
      <c r="L267" s="316"/>
      <c r="M267" s="316">
        <v>97.3</v>
      </c>
      <c r="N267" s="316"/>
      <c r="O267" s="316"/>
      <c r="P267" s="316"/>
      <c r="Q267" s="226">
        <v>97.3</v>
      </c>
      <c r="R267" s="226" t="str">
        <f t="shared" si="13"/>
        <v>NO</v>
      </c>
      <c r="S267" s="226" t="str">
        <f t="shared" ref="S267:S330" si="14">IF(Q267&lt;=5,"Sin Riesgo",IF(Q267 &lt;=14,"Bajo",IF(Q267&lt;=35,"Medio",IF(Q267&lt;=80,"Alto","Inviable Sanitariamente"))))</f>
        <v>Inviable Sanitariamente</v>
      </c>
      <c r="T267" s="315"/>
    </row>
    <row r="268" spans="1:20" s="305" customFormat="1" ht="32.1" customHeight="1" x14ac:dyDescent="0.2">
      <c r="A268" s="487" t="s">
        <v>152</v>
      </c>
      <c r="B268" s="258" t="s">
        <v>3209</v>
      </c>
      <c r="C268" s="258" t="s">
        <v>3210</v>
      </c>
      <c r="D268" s="121">
        <v>12</v>
      </c>
      <c r="E268" s="316"/>
      <c r="F268" s="316"/>
      <c r="G268" s="316"/>
      <c r="H268" s="316"/>
      <c r="I268" s="316"/>
      <c r="J268" s="316">
        <v>97.3</v>
      </c>
      <c r="K268" s="316"/>
      <c r="L268" s="316"/>
      <c r="M268" s="316">
        <v>97.3</v>
      </c>
      <c r="N268" s="316"/>
      <c r="O268" s="316"/>
      <c r="P268" s="316"/>
      <c r="Q268" s="226">
        <v>97.3</v>
      </c>
      <c r="R268" s="226" t="str">
        <f t="shared" si="13"/>
        <v>NO</v>
      </c>
      <c r="S268" s="226" t="str">
        <f t="shared" si="14"/>
        <v>Inviable Sanitariamente</v>
      </c>
      <c r="T268" s="315"/>
    </row>
    <row r="269" spans="1:20" s="305" customFormat="1" ht="32.1" customHeight="1" x14ac:dyDescent="0.2">
      <c r="A269" s="487" t="s">
        <v>152</v>
      </c>
      <c r="B269" s="258" t="s">
        <v>3211</v>
      </c>
      <c r="C269" s="258" t="s">
        <v>3212</v>
      </c>
      <c r="D269" s="121">
        <v>22</v>
      </c>
      <c r="E269" s="316"/>
      <c r="F269" s="316"/>
      <c r="G269" s="316"/>
      <c r="H269" s="316"/>
      <c r="I269" s="316"/>
      <c r="J269" s="316">
        <v>97.3</v>
      </c>
      <c r="K269" s="316"/>
      <c r="L269" s="316"/>
      <c r="M269" s="316">
        <v>97.3</v>
      </c>
      <c r="N269" s="316"/>
      <c r="O269" s="316"/>
      <c r="P269" s="316"/>
      <c r="Q269" s="226">
        <v>97.3</v>
      </c>
      <c r="R269" s="226" t="str">
        <f t="shared" si="13"/>
        <v>NO</v>
      </c>
      <c r="S269" s="226" t="str">
        <f t="shared" si="14"/>
        <v>Inviable Sanitariamente</v>
      </c>
      <c r="T269" s="315"/>
    </row>
    <row r="270" spans="1:20" s="305" customFormat="1" ht="32.1" customHeight="1" x14ac:dyDescent="0.2">
      <c r="A270" s="487" t="s">
        <v>152</v>
      </c>
      <c r="B270" s="258" t="s">
        <v>3213</v>
      </c>
      <c r="C270" s="258" t="s">
        <v>3214</v>
      </c>
      <c r="D270" s="121">
        <v>23</v>
      </c>
      <c r="E270" s="316"/>
      <c r="F270" s="316">
        <v>97.3</v>
      </c>
      <c r="G270" s="316"/>
      <c r="H270" s="316"/>
      <c r="I270" s="316"/>
      <c r="J270" s="316"/>
      <c r="K270" s="316"/>
      <c r="L270" s="316"/>
      <c r="M270" s="316">
        <v>97.3</v>
      </c>
      <c r="N270" s="316"/>
      <c r="O270" s="316"/>
      <c r="P270" s="316"/>
      <c r="Q270" s="226">
        <v>97.3</v>
      </c>
      <c r="R270" s="226" t="str">
        <f t="shared" si="13"/>
        <v>NO</v>
      </c>
      <c r="S270" s="226" t="str">
        <f t="shared" si="14"/>
        <v>Inviable Sanitariamente</v>
      </c>
      <c r="T270" s="315"/>
    </row>
    <row r="271" spans="1:20" s="305" customFormat="1" ht="32.1" customHeight="1" x14ac:dyDescent="0.2">
      <c r="A271" s="487" t="s">
        <v>152</v>
      </c>
      <c r="B271" s="258" t="s">
        <v>3215</v>
      </c>
      <c r="C271" s="258" t="s">
        <v>3216</v>
      </c>
      <c r="D271" s="121">
        <v>25</v>
      </c>
      <c r="E271" s="316"/>
      <c r="F271" s="316"/>
      <c r="G271" s="316"/>
      <c r="H271" s="316">
        <v>97.3</v>
      </c>
      <c r="I271" s="316"/>
      <c r="J271" s="316"/>
      <c r="K271" s="316"/>
      <c r="L271" s="316"/>
      <c r="M271" s="316">
        <v>97.3</v>
      </c>
      <c r="N271" s="316"/>
      <c r="O271" s="316"/>
      <c r="P271" s="316"/>
      <c r="Q271" s="226">
        <v>97.3</v>
      </c>
      <c r="R271" s="226" t="str">
        <f t="shared" si="13"/>
        <v>NO</v>
      </c>
      <c r="S271" s="226" t="str">
        <f t="shared" si="14"/>
        <v>Inviable Sanitariamente</v>
      </c>
      <c r="T271" s="315"/>
    </row>
    <row r="272" spans="1:20" s="305" customFormat="1" ht="32.1" customHeight="1" x14ac:dyDescent="0.2">
      <c r="A272" s="487" t="s">
        <v>152</v>
      </c>
      <c r="B272" s="258" t="s">
        <v>3217</v>
      </c>
      <c r="C272" s="258" t="s">
        <v>3218</v>
      </c>
      <c r="D272" s="121">
        <v>35</v>
      </c>
      <c r="E272" s="316"/>
      <c r="F272" s="316"/>
      <c r="G272" s="316"/>
      <c r="H272" s="316">
        <v>97</v>
      </c>
      <c r="I272" s="316"/>
      <c r="J272" s="316"/>
      <c r="K272" s="316"/>
      <c r="L272" s="316"/>
      <c r="M272" s="316"/>
      <c r="N272" s="316">
        <v>97.3</v>
      </c>
      <c r="O272" s="316"/>
      <c r="P272" s="316"/>
      <c r="Q272" s="226">
        <v>97.3</v>
      </c>
      <c r="R272" s="226" t="str">
        <f t="shared" si="13"/>
        <v>NO</v>
      </c>
      <c r="S272" s="226" t="str">
        <f t="shared" si="14"/>
        <v>Inviable Sanitariamente</v>
      </c>
      <c r="T272" s="315"/>
    </row>
    <row r="273" spans="1:20" s="305" customFormat="1" ht="32.1" customHeight="1" x14ac:dyDescent="0.2">
      <c r="A273" s="487" t="s">
        <v>152</v>
      </c>
      <c r="B273" s="258" t="s">
        <v>3219</v>
      </c>
      <c r="C273" s="258" t="s">
        <v>3220</v>
      </c>
      <c r="D273" s="121">
        <v>25</v>
      </c>
      <c r="E273" s="316"/>
      <c r="F273" s="316"/>
      <c r="G273" s="316"/>
      <c r="H273" s="316"/>
      <c r="I273" s="316">
        <v>97.3</v>
      </c>
      <c r="J273" s="316"/>
      <c r="K273" s="316"/>
      <c r="L273" s="316"/>
      <c r="M273" s="316"/>
      <c r="N273" s="316">
        <v>97.3</v>
      </c>
      <c r="O273" s="316"/>
      <c r="P273" s="316"/>
      <c r="Q273" s="226">
        <f>AVERAGE(E273:P273)</f>
        <v>97.3</v>
      </c>
      <c r="R273" s="226" t="str">
        <f t="shared" si="13"/>
        <v>NO</v>
      </c>
      <c r="S273" s="226" t="str">
        <f t="shared" si="14"/>
        <v>Inviable Sanitariamente</v>
      </c>
      <c r="T273" s="315"/>
    </row>
    <row r="274" spans="1:20" s="305" customFormat="1" ht="32.1" customHeight="1" x14ac:dyDescent="0.2">
      <c r="A274" s="487" t="s">
        <v>152</v>
      </c>
      <c r="B274" s="258" t="s">
        <v>953</v>
      </c>
      <c r="C274" s="258" t="s">
        <v>3221</v>
      </c>
      <c r="D274" s="121">
        <v>98</v>
      </c>
      <c r="E274" s="316"/>
      <c r="F274" s="316"/>
      <c r="G274" s="316"/>
      <c r="H274" s="316"/>
      <c r="I274" s="316"/>
      <c r="J274" s="316"/>
      <c r="K274" s="316"/>
      <c r="L274" s="316">
        <v>97.3</v>
      </c>
      <c r="M274" s="316"/>
      <c r="N274" s="316"/>
      <c r="O274" s="316"/>
      <c r="P274" s="316"/>
      <c r="Q274" s="226">
        <f>AVERAGE(E274:P274)</f>
        <v>97.3</v>
      </c>
      <c r="R274" s="226" t="str">
        <f t="shared" si="13"/>
        <v>NO</v>
      </c>
      <c r="S274" s="226" t="str">
        <f t="shared" si="14"/>
        <v>Inviable Sanitariamente</v>
      </c>
      <c r="T274" s="315"/>
    </row>
    <row r="275" spans="1:20" s="305" customFormat="1" ht="32.1" customHeight="1" x14ac:dyDescent="0.2">
      <c r="A275" s="487" t="s">
        <v>152</v>
      </c>
      <c r="B275" s="258" t="s">
        <v>1281</v>
      </c>
      <c r="C275" s="258" t="s">
        <v>3222</v>
      </c>
      <c r="D275" s="121">
        <v>44</v>
      </c>
      <c r="E275" s="316"/>
      <c r="F275" s="316">
        <v>97.3</v>
      </c>
      <c r="G275" s="316"/>
      <c r="H275" s="316"/>
      <c r="I275" s="316"/>
      <c r="J275" s="316"/>
      <c r="K275" s="316"/>
      <c r="L275" s="316"/>
      <c r="M275" s="316"/>
      <c r="N275" s="316"/>
      <c r="O275" s="316"/>
      <c r="P275" s="316"/>
      <c r="Q275" s="226">
        <v>97.3</v>
      </c>
      <c r="R275" s="226" t="str">
        <f t="shared" si="13"/>
        <v>NO</v>
      </c>
      <c r="S275" s="226" t="str">
        <f t="shared" si="14"/>
        <v>Inviable Sanitariamente</v>
      </c>
      <c r="T275" s="315"/>
    </row>
    <row r="276" spans="1:20" s="305" customFormat="1" ht="32.1" customHeight="1" x14ac:dyDescent="0.2">
      <c r="A276" s="487" t="s">
        <v>152</v>
      </c>
      <c r="B276" s="258" t="s">
        <v>3223</v>
      </c>
      <c r="C276" s="258" t="s">
        <v>3224</v>
      </c>
      <c r="D276" s="116">
        <v>32</v>
      </c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>
        <v>97.3</v>
      </c>
      <c r="P276" s="316"/>
      <c r="Q276" s="226">
        <f>AVERAGE(E276:P276)</f>
        <v>97.3</v>
      </c>
      <c r="R276" s="226" t="str">
        <f t="shared" si="13"/>
        <v>NO</v>
      </c>
      <c r="S276" s="226" t="str">
        <f t="shared" si="14"/>
        <v>Inviable Sanitariamente</v>
      </c>
      <c r="T276" s="315"/>
    </row>
    <row r="277" spans="1:20" s="305" customFormat="1" ht="32.1" customHeight="1" x14ac:dyDescent="0.2">
      <c r="A277" s="487" t="s">
        <v>152</v>
      </c>
      <c r="B277" s="258" t="s">
        <v>3225</v>
      </c>
      <c r="C277" s="258" t="s">
        <v>3226</v>
      </c>
      <c r="D277" s="121">
        <v>25</v>
      </c>
      <c r="E277" s="316"/>
      <c r="F277" s="316" t="s">
        <v>1723</v>
      </c>
      <c r="G277" s="316"/>
      <c r="H277" s="316"/>
      <c r="I277" s="316"/>
      <c r="J277" s="316">
        <v>97.3</v>
      </c>
      <c r="K277" s="316"/>
      <c r="L277" s="316"/>
      <c r="M277" s="316">
        <v>97.3</v>
      </c>
      <c r="N277" s="316"/>
      <c r="O277" s="316"/>
      <c r="P277" s="316"/>
      <c r="Q277" s="226">
        <v>97.3</v>
      </c>
      <c r="R277" s="226" t="str">
        <f t="shared" si="13"/>
        <v>NO</v>
      </c>
      <c r="S277" s="226" t="str">
        <f t="shared" si="14"/>
        <v>Inviable Sanitariamente</v>
      </c>
      <c r="T277" s="315"/>
    </row>
    <row r="278" spans="1:20" s="305" customFormat="1" ht="32.1" customHeight="1" x14ac:dyDescent="0.2">
      <c r="A278" s="487" t="s">
        <v>152</v>
      </c>
      <c r="B278" s="258" t="s">
        <v>3227</v>
      </c>
      <c r="C278" s="258" t="s">
        <v>3228</v>
      </c>
      <c r="D278" s="121">
        <v>10</v>
      </c>
      <c r="E278" s="316"/>
      <c r="F278" s="316"/>
      <c r="G278" s="316"/>
      <c r="H278" s="316"/>
      <c r="I278" s="316"/>
      <c r="J278" s="316"/>
      <c r="K278" s="316"/>
      <c r="L278" s="316">
        <v>97.3</v>
      </c>
      <c r="M278" s="316"/>
      <c r="N278" s="316"/>
      <c r="O278" s="316"/>
      <c r="P278" s="316"/>
      <c r="Q278" s="226">
        <f>AVERAGE(E278:P278)</f>
        <v>97.3</v>
      </c>
      <c r="R278" s="226" t="str">
        <f t="shared" si="13"/>
        <v>NO</v>
      </c>
      <c r="S278" s="226" t="str">
        <f t="shared" si="14"/>
        <v>Inviable Sanitariamente</v>
      </c>
      <c r="T278" s="315"/>
    </row>
    <row r="279" spans="1:20" s="305" customFormat="1" ht="32.1" customHeight="1" x14ac:dyDescent="0.2">
      <c r="A279" s="487" t="s">
        <v>152</v>
      </c>
      <c r="B279" s="258" t="s">
        <v>2086</v>
      </c>
      <c r="C279" s="258" t="s">
        <v>3229</v>
      </c>
      <c r="D279" s="116">
        <v>49</v>
      </c>
      <c r="E279" s="316"/>
      <c r="F279" s="316">
        <v>97.3</v>
      </c>
      <c r="G279" s="316"/>
      <c r="H279" s="316"/>
      <c r="I279" s="316"/>
      <c r="J279" s="316"/>
      <c r="K279" s="316">
        <v>97.3</v>
      </c>
      <c r="L279" s="316">
        <v>97.3</v>
      </c>
      <c r="M279" s="316"/>
      <c r="N279" s="316"/>
      <c r="O279" s="316"/>
      <c r="P279" s="316"/>
      <c r="Q279" s="226">
        <f>AVERAGE(E279:P279)</f>
        <v>97.3</v>
      </c>
      <c r="R279" s="226" t="str">
        <f t="shared" si="13"/>
        <v>NO</v>
      </c>
      <c r="S279" s="226" t="str">
        <f t="shared" si="14"/>
        <v>Inviable Sanitariamente</v>
      </c>
      <c r="T279" s="315"/>
    </row>
    <row r="280" spans="1:20" s="305" customFormat="1" ht="32.1" customHeight="1" x14ac:dyDescent="0.2">
      <c r="A280" s="487" t="s">
        <v>152</v>
      </c>
      <c r="B280" s="258" t="s">
        <v>3230</v>
      </c>
      <c r="C280" s="258" t="s">
        <v>3231</v>
      </c>
      <c r="D280" s="121">
        <v>280</v>
      </c>
      <c r="E280" s="316"/>
      <c r="F280" s="316"/>
      <c r="G280" s="316"/>
      <c r="H280" s="316"/>
      <c r="I280" s="316"/>
      <c r="J280" s="316">
        <v>97.3</v>
      </c>
      <c r="K280" s="316"/>
      <c r="L280" s="316"/>
      <c r="M280" s="316"/>
      <c r="N280" s="316"/>
      <c r="O280" s="316"/>
      <c r="P280" s="316"/>
      <c r="Q280" s="226">
        <v>97.3</v>
      </c>
      <c r="R280" s="226" t="str">
        <f t="shared" si="13"/>
        <v>NO</v>
      </c>
      <c r="S280" s="226" t="str">
        <f t="shared" si="14"/>
        <v>Inviable Sanitariamente</v>
      </c>
      <c r="T280" s="315"/>
    </row>
    <row r="281" spans="1:20" s="305" customFormat="1" ht="32.1" customHeight="1" x14ac:dyDescent="0.2">
      <c r="A281" s="487" t="s">
        <v>152</v>
      </c>
      <c r="B281" s="258" t="s">
        <v>3232</v>
      </c>
      <c r="C281" s="258" t="s">
        <v>3233</v>
      </c>
      <c r="D281" s="121">
        <v>24</v>
      </c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316">
        <v>97.3</v>
      </c>
      <c r="P281" s="316"/>
      <c r="Q281" s="226">
        <f t="shared" ref="Q281:Q344" si="15">AVERAGE(E281:P281)</f>
        <v>97.3</v>
      </c>
      <c r="R281" s="226" t="str">
        <f t="shared" si="13"/>
        <v>NO</v>
      </c>
      <c r="S281" s="226" t="str">
        <f t="shared" si="14"/>
        <v>Inviable Sanitariamente</v>
      </c>
      <c r="T281" s="315"/>
    </row>
    <row r="282" spans="1:20" s="305" customFormat="1" ht="32.1" customHeight="1" x14ac:dyDescent="0.2">
      <c r="A282" s="487" t="s">
        <v>152</v>
      </c>
      <c r="B282" s="258" t="s">
        <v>3234</v>
      </c>
      <c r="C282" s="258" t="s">
        <v>3235</v>
      </c>
      <c r="D282" s="121">
        <v>10</v>
      </c>
      <c r="E282" s="316"/>
      <c r="F282" s="316"/>
      <c r="G282" s="316"/>
      <c r="H282" s="316"/>
      <c r="I282" s="316"/>
      <c r="J282" s="316"/>
      <c r="K282" s="316"/>
      <c r="L282" s="316"/>
      <c r="M282" s="316"/>
      <c r="N282" s="316">
        <v>97.3</v>
      </c>
      <c r="O282" s="316"/>
      <c r="P282" s="316"/>
      <c r="Q282" s="226">
        <f t="shared" si="15"/>
        <v>97.3</v>
      </c>
      <c r="R282" s="226" t="str">
        <f t="shared" si="13"/>
        <v>NO</v>
      </c>
      <c r="S282" s="226" t="str">
        <f t="shared" si="14"/>
        <v>Inviable Sanitariamente</v>
      </c>
      <c r="T282" s="315"/>
    </row>
    <row r="283" spans="1:20" s="305" customFormat="1" ht="32.1" customHeight="1" x14ac:dyDescent="0.2">
      <c r="A283" s="487" t="s">
        <v>152</v>
      </c>
      <c r="B283" s="258" t="s">
        <v>3236</v>
      </c>
      <c r="C283" s="258" t="s">
        <v>3237</v>
      </c>
      <c r="D283" s="121">
        <v>70</v>
      </c>
      <c r="E283" s="316"/>
      <c r="F283" s="316"/>
      <c r="G283" s="316"/>
      <c r="H283" s="316"/>
      <c r="I283" s="316"/>
      <c r="J283" s="316"/>
      <c r="K283" s="316"/>
      <c r="L283" s="316">
        <v>97.3</v>
      </c>
      <c r="M283" s="316"/>
      <c r="N283" s="316"/>
      <c r="O283" s="316"/>
      <c r="P283" s="316"/>
      <c r="Q283" s="226">
        <f t="shared" si="15"/>
        <v>97.3</v>
      </c>
      <c r="R283" s="226" t="str">
        <f t="shared" si="13"/>
        <v>NO</v>
      </c>
      <c r="S283" s="226" t="str">
        <f t="shared" si="14"/>
        <v>Inviable Sanitariamente</v>
      </c>
      <c r="T283" s="315"/>
    </row>
    <row r="284" spans="1:20" s="305" customFormat="1" ht="32.1" customHeight="1" x14ac:dyDescent="0.2">
      <c r="A284" s="487" t="s">
        <v>152</v>
      </c>
      <c r="B284" s="258" t="s">
        <v>3238</v>
      </c>
      <c r="C284" s="258" t="s">
        <v>3239</v>
      </c>
      <c r="D284" s="121">
        <v>25</v>
      </c>
      <c r="E284" s="316"/>
      <c r="F284" s="316"/>
      <c r="G284" s="316"/>
      <c r="H284" s="316"/>
      <c r="I284" s="316"/>
      <c r="J284" s="316"/>
      <c r="K284" s="316"/>
      <c r="L284" s="316">
        <v>97.3</v>
      </c>
      <c r="M284" s="316"/>
      <c r="N284" s="316">
        <v>97.3</v>
      </c>
      <c r="O284" s="316"/>
      <c r="P284" s="316"/>
      <c r="Q284" s="226">
        <f t="shared" si="15"/>
        <v>97.3</v>
      </c>
      <c r="R284" s="226" t="str">
        <f t="shared" si="13"/>
        <v>NO</v>
      </c>
      <c r="S284" s="226" t="str">
        <f t="shared" si="14"/>
        <v>Inviable Sanitariamente</v>
      </c>
      <c r="T284" s="315"/>
    </row>
    <row r="285" spans="1:20" s="305" customFormat="1" ht="32.1" customHeight="1" x14ac:dyDescent="0.2">
      <c r="A285" s="487" t="s">
        <v>152</v>
      </c>
      <c r="B285" s="258" t="s">
        <v>3240</v>
      </c>
      <c r="C285" s="258" t="s">
        <v>3241</v>
      </c>
      <c r="D285" s="121">
        <v>224</v>
      </c>
      <c r="E285" s="316"/>
      <c r="F285" s="316">
        <v>97.3</v>
      </c>
      <c r="G285" s="316"/>
      <c r="H285" s="316"/>
      <c r="I285" s="316"/>
      <c r="J285" s="316"/>
      <c r="K285" s="316"/>
      <c r="L285" s="316">
        <v>97.3</v>
      </c>
      <c r="M285" s="316"/>
      <c r="N285" s="316"/>
      <c r="O285" s="316"/>
      <c r="P285" s="316"/>
      <c r="Q285" s="226">
        <f t="shared" si="15"/>
        <v>97.3</v>
      </c>
      <c r="R285" s="226" t="str">
        <f t="shared" si="13"/>
        <v>NO</v>
      </c>
      <c r="S285" s="226" t="str">
        <f t="shared" si="14"/>
        <v>Inviable Sanitariamente</v>
      </c>
      <c r="T285" s="315"/>
    </row>
    <row r="286" spans="1:20" s="305" customFormat="1" ht="32.1" customHeight="1" x14ac:dyDescent="0.2">
      <c r="A286" s="487" t="s">
        <v>152</v>
      </c>
      <c r="B286" s="258" t="s">
        <v>3242</v>
      </c>
      <c r="C286" s="258" t="s">
        <v>3243</v>
      </c>
      <c r="D286" s="121">
        <v>14</v>
      </c>
      <c r="E286" s="316"/>
      <c r="F286" s="316"/>
      <c r="G286" s="316"/>
      <c r="H286" s="316"/>
      <c r="I286" s="316"/>
      <c r="J286" s="316"/>
      <c r="K286" s="316"/>
      <c r="L286" s="316">
        <v>97.3</v>
      </c>
      <c r="M286" s="316"/>
      <c r="N286" s="316"/>
      <c r="O286" s="316"/>
      <c r="P286" s="316"/>
      <c r="Q286" s="226">
        <f t="shared" si="15"/>
        <v>97.3</v>
      </c>
      <c r="R286" s="226" t="str">
        <f t="shared" si="13"/>
        <v>NO</v>
      </c>
      <c r="S286" s="226" t="str">
        <f t="shared" si="14"/>
        <v>Inviable Sanitariamente</v>
      </c>
      <c r="T286" s="315"/>
    </row>
    <row r="287" spans="1:20" s="305" customFormat="1" ht="32.1" customHeight="1" x14ac:dyDescent="0.2">
      <c r="A287" s="487" t="s">
        <v>153</v>
      </c>
      <c r="B287" s="258" t="s">
        <v>3244</v>
      </c>
      <c r="C287" s="258" t="s">
        <v>3245</v>
      </c>
      <c r="D287" s="121">
        <v>148</v>
      </c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>
        <v>100</v>
      </c>
      <c r="P287" s="316"/>
      <c r="Q287" s="226">
        <f t="shared" si="15"/>
        <v>100</v>
      </c>
      <c r="R287" s="226" t="str">
        <f t="shared" si="13"/>
        <v>NO</v>
      </c>
      <c r="S287" s="226" t="str">
        <f t="shared" si="14"/>
        <v>Inviable Sanitariamente</v>
      </c>
      <c r="T287" s="315"/>
    </row>
    <row r="288" spans="1:20" s="305" customFormat="1" ht="32.1" customHeight="1" x14ac:dyDescent="0.2">
      <c r="A288" s="487" t="s">
        <v>153</v>
      </c>
      <c r="B288" s="258" t="s">
        <v>3246</v>
      </c>
      <c r="C288" s="258" t="s">
        <v>3247</v>
      </c>
      <c r="D288" s="121">
        <v>301</v>
      </c>
      <c r="E288" s="316"/>
      <c r="F288" s="316"/>
      <c r="G288" s="316"/>
      <c r="H288" s="316">
        <v>0</v>
      </c>
      <c r="I288" s="316"/>
      <c r="J288" s="316"/>
      <c r="K288" s="316"/>
      <c r="L288" s="316"/>
      <c r="M288" s="316"/>
      <c r="N288" s="316"/>
      <c r="O288" s="316"/>
      <c r="P288" s="316"/>
      <c r="Q288" s="226">
        <f t="shared" si="15"/>
        <v>0</v>
      </c>
      <c r="R288" s="226" t="str">
        <f t="shared" si="13"/>
        <v>SI</v>
      </c>
      <c r="S288" s="226" t="str">
        <f t="shared" si="14"/>
        <v>Sin Riesgo</v>
      </c>
      <c r="T288" s="315"/>
    </row>
    <row r="289" spans="1:20" s="305" customFormat="1" ht="32.1" customHeight="1" x14ac:dyDescent="0.2">
      <c r="A289" s="487" t="s">
        <v>153</v>
      </c>
      <c r="B289" s="258" t="s">
        <v>3248</v>
      </c>
      <c r="C289" s="258" t="s">
        <v>3249</v>
      </c>
      <c r="D289" s="121">
        <v>240</v>
      </c>
      <c r="E289" s="316"/>
      <c r="F289" s="316"/>
      <c r="G289" s="316"/>
      <c r="H289" s="316"/>
      <c r="I289" s="316"/>
      <c r="J289" s="316"/>
      <c r="K289" s="316"/>
      <c r="L289" s="316"/>
      <c r="M289" s="316">
        <v>50</v>
      </c>
      <c r="N289" s="316"/>
      <c r="O289" s="316"/>
      <c r="P289" s="316"/>
      <c r="Q289" s="226">
        <f t="shared" si="15"/>
        <v>50</v>
      </c>
      <c r="R289" s="226" t="str">
        <f t="shared" si="13"/>
        <v>NO</v>
      </c>
      <c r="S289" s="226" t="str">
        <f t="shared" si="14"/>
        <v>Alto</v>
      </c>
      <c r="T289" s="315"/>
    </row>
    <row r="290" spans="1:20" s="305" customFormat="1" ht="32.1" customHeight="1" x14ac:dyDescent="0.2">
      <c r="A290" s="487" t="s">
        <v>153</v>
      </c>
      <c r="B290" s="258" t="s">
        <v>3250</v>
      </c>
      <c r="C290" s="258" t="s">
        <v>3251</v>
      </c>
      <c r="D290" s="121">
        <v>269</v>
      </c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>
        <v>100</v>
      </c>
      <c r="P290" s="316"/>
      <c r="Q290" s="226">
        <f t="shared" si="15"/>
        <v>100</v>
      </c>
      <c r="R290" s="226" t="str">
        <f t="shared" si="13"/>
        <v>NO</v>
      </c>
      <c r="S290" s="226" t="str">
        <f t="shared" si="14"/>
        <v>Inviable Sanitariamente</v>
      </c>
      <c r="T290" s="315"/>
    </row>
    <row r="291" spans="1:20" s="305" customFormat="1" ht="32.1" customHeight="1" x14ac:dyDescent="0.2">
      <c r="A291" s="487" t="s">
        <v>153</v>
      </c>
      <c r="B291" s="258" t="s">
        <v>2355</v>
      </c>
      <c r="C291" s="258" t="s">
        <v>3252</v>
      </c>
      <c r="D291" s="121">
        <v>75</v>
      </c>
      <c r="E291" s="316"/>
      <c r="F291" s="316"/>
      <c r="G291" s="316"/>
      <c r="H291" s="316"/>
      <c r="I291" s="316"/>
      <c r="J291" s="316"/>
      <c r="K291" s="316"/>
      <c r="L291" s="316"/>
      <c r="M291" s="316"/>
      <c r="N291" s="316"/>
      <c r="O291" s="316"/>
      <c r="P291" s="316"/>
      <c r="Q291" s="226" t="e">
        <f t="shared" si="15"/>
        <v>#DIV/0!</v>
      </c>
      <c r="R291" s="226" t="e">
        <f t="shared" si="13"/>
        <v>#DIV/0!</v>
      </c>
      <c r="S291" s="226" t="e">
        <f t="shared" si="14"/>
        <v>#DIV/0!</v>
      </c>
      <c r="T291" s="315"/>
    </row>
    <row r="292" spans="1:20" s="305" customFormat="1" ht="32.1" customHeight="1" x14ac:dyDescent="0.2">
      <c r="A292" s="487" t="s">
        <v>153</v>
      </c>
      <c r="B292" s="258" t="s">
        <v>3108</v>
      </c>
      <c r="C292" s="258" t="s">
        <v>3253</v>
      </c>
      <c r="D292" s="121">
        <v>48</v>
      </c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  <c r="P292" s="316"/>
      <c r="Q292" s="226" t="e">
        <f t="shared" si="15"/>
        <v>#DIV/0!</v>
      </c>
      <c r="R292" s="226" t="e">
        <f t="shared" si="13"/>
        <v>#DIV/0!</v>
      </c>
      <c r="S292" s="226" t="e">
        <f t="shared" si="14"/>
        <v>#DIV/0!</v>
      </c>
      <c r="T292" s="315"/>
    </row>
    <row r="293" spans="1:20" s="305" customFormat="1" ht="32.1" customHeight="1" x14ac:dyDescent="0.2">
      <c r="A293" s="487" t="s">
        <v>153</v>
      </c>
      <c r="B293" s="258" t="s">
        <v>2924</v>
      </c>
      <c r="C293" s="258" t="s">
        <v>3254</v>
      </c>
      <c r="D293" s="121">
        <v>35</v>
      </c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226" t="e">
        <f t="shared" si="15"/>
        <v>#DIV/0!</v>
      </c>
      <c r="R293" s="226" t="e">
        <f t="shared" si="13"/>
        <v>#DIV/0!</v>
      </c>
      <c r="S293" s="226" t="e">
        <f t="shared" si="14"/>
        <v>#DIV/0!</v>
      </c>
      <c r="T293" s="315"/>
    </row>
    <row r="294" spans="1:20" s="305" customFormat="1" ht="32.1" customHeight="1" x14ac:dyDescent="0.2">
      <c r="A294" s="487" t="s">
        <v>153</v>
      </c>
      <c r="B294" s="258" t="s">
        <v>3255</v>
      </c>
      <c r="C294" s="258" t="s">
        <v>3256</v>
      </c>
      <c r="D294" s="116">
        <v>110</v>
      </c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226" t="e">
        <f t="shared" si="15"/>
        <v>#DIV/0!</v>
      </c>
      <c r="R294" s="226" t="e">
        <f t="shared" si="13"/>
        <v>#DIV/0!</v>
      </c>
      <c r="S294" s="226" t="e">
        <f t="shared" si="14"/>
        <v>#DIV/0!</v>
      </c>
      <c r="T294" s="315"/>
    </row>
    <row r="295" spans="1:20" s="305" customFormat="1" ht="32.1" customHeight="1" x14ac:dyDescent="0.2">
      <c r="A295" s="487" t="s">
        <v>153</v>
      </c>
      <c r="B295" s="258" t="s">
        <v>1</v>
      </c>
      <c r="C295" s="258" t="s">
        <v>3257</v>
      </c>
      <c r="D295" s="121">
        <v>48</v>
      </c>
      <c r="E295" s="316"/>
      <c r="F295" s="316"/>
      <c r="G295" s="316"/>
      <c r="H295" s="316"/>
      <c r="I295" s="316"/>
      <c r="J295" s="316"/>
      <c r="K295" s="316"/>
      <c r="L295" s="316">
        <v>100</v>
      </c>
      <c r="M295" s="316"/>
      <c r="N295" s="316"/>
      <c r="O295" s="316"/>
      <c r="P295" s="316"/>
      <c r="Q295" s="226">
        <f t="shared" si="15"/>
        <v>100</v>
      </c>
      <c r="R295" s="226" t="str">
        <f t="shared" si="13"/>
        <v>NO</v>
      </c>
      <c r="S295" s="226" t="str">
        <f t="shared" si="14"/>
        <v>Inviable Sanitariamente</v>
      </c>
      <c r="T295" s="315"/>
    </row>
    <row r="296" spans="1:20" s="305" customFormat="1" ht="32.1" customHeight="1" x14ac:dyDescent="0.2">
      <c r="A296" s="487" t="s">
        <v>153</v>
      </c>
      <c r="B296" s="258" t="s">
        <v>3258</v>
      </c>
      <c r="C296" s="258" t="s">
        <v>3259</v>
      </c>
      <c r="D296" s="121">
        <v>180</v>
      </c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316"/>
      <c r="P296" s="316"/>
      <c r="Q296" s="226" t="e">
        <f t="shared" si="15"/>
        <v>#DIV/0!</v>
      </c>
      <c r="R296" s="226" t="e">
        <f t="shared" si="13"/>
        <v>#DIV/0!</v>
      </c>
      <c r="S296" s="226" t="e">
        <f t="shared" si="14"/>
        <v>#DIV/0!</v>
      </c>
      <c r="T296" s="315"/>
    </row>
    <row r="297" spans="1:20" s="305" customFormat="1" ht="32.1" customHeight="1" x14ac:dyDescent="0.2">
      <c r="A297" s="487" t="s">
        <v>153</v>
      </c>
      <c r="B297" s="258" t="s">
        <v>3260</v>
      </c>
      <c r="C297" s="258" t="s">
        <v>3261</v>
      </c>
      <c r="D297" s="116">
        <v>40</v>
      </c>
      <c r="E297" s="316"/>
      <c r="F297" s="316"/>
      <c r="G297" s="316"/>
      <c r="H297" s="316"/>
      <c r="I297" s="316">
        <v>100</v>
      </c>
      <c r="J297" s="316"/>
      <c r="K297" s="316"/>
      <c r="L297" s="316"/>
      <c r="M297" s="316"/>
      <c r="N297" s="316"/>
      <c r="O297" s="316"/>
      <c r="P297" s="316"/>
      <c r="Q297" s="226">
        <f t="shared" si="15"/>
        <v>100</v>
      </c>
      <c r="R297" s="226" t="str">
        <f t="shared" si="13"/>
        <v>NO</v>
      </c>
      <c r="S297" s="226" t="str">
        <f t="shared" si="14"/>
        <v>Inviable Sanitariamente</v>
      </c>
      <c r="T297" s="315"/>
    </row>
    <row r="298" spans="1:20" s="305" customFormat="1" ht="32.1" customHeight="1" x14ac:dyDescent="0.2">
      <c r="A298" s="487" t="s">
        <v>153</v>
      </c>
      <c r="B298" s="258" t="s">
        <v>3262</v>
      </c>
      <c r="C298" s="258" t="s">
        <v>3263</v>
      </c>
      <c r="D298" s="121">
        <v>38</v>
      </c>
      <c r="E298" s="316"/>
      <c r="F298" s="316"/>
      <c r="G298" s="316"/>
      <c r="H298" s="316"/>
      <c r="I298" s="316"/>
      <c r="J298" s="316"/>
      <c r="K298" s="316"/>
      <c r="L298" s="316"/>
      <c r="M298" s="316"/>
      <c r="N298" s="316"/>
      <c r="O298" s="316"/>
      <c r="P298" s="316"/>
      <c r="Q298" s="226" t="e">
        <f t="shared" si="15"/>
        <v>#DIV/0!</v>
      </c>
      <c r="R298" s="226" t="e">
        <f t="shared" si="13"/>
        <v>#DIV/0!</v>
      </c>
      <c r="S298" s="226" t="e">
        <f t="shared" si="14"/>
        <v>#DIV/0!</v>
      </c>
      <c r="T298" s="315"/>
    </row>
    <row r="299" spans="1:20" s="305" customFormat="1" ht="32.1" customHeight="1" x14ac:dyDescent="0.2">
      <c r="A299" s="487" t="s">
        <v>154</v>
      </c>
      <c r="B299" s="258" t="s">
        <v>3264</v>
      </c>
      <c r="C299" s="258" t="s">
        <v>3265</v>
      </c>
      <c r="D299" s="121">
        <v>20</v>
      </c>
      <c r="E299" s="316"/>
      <c r="F299" s="316"/>
      <c r="G299" s="316"/>
      <c r="H299" s="316"/>
      <c r="I299" s="316">
        <v>97.3</v>
      </c>
      <c r="J299" s="316"/>
      <c r="K299" s="316"/>
      <c r="L299" s="316"/>
      <c r="M299" s="316"/>
      <c r="N299" s="316"/>
      <c r="O299" s="316">
        <v>97.3</v>
      </c>
      <c r="P299" s="316"/>
      <c r="Q299" s="226">
        <f t="shared" si="15"/>
        <v>97.3</v>
      </c>
      <c r="R299" s="226" t="str">
        <f t="shared" si="13"/>
        <v>NO</v>
      </c>
      <c r="S299" s="226" t="str">
        <f t="shared" si="14"/>
        <v>Inviable Sanitariamente</v>
      </c>
      <c r="T299" s="315"/>
    </row>
    <row r="300" spans="1:20" s="305" customFormat="1" ht="32.1" customHeight="1" x14ac:dyDescent="0.2">
      <c r="A300" s="487" t="s">
        <v>154</v>
      </c>
      <c r="B300" s="258" t="s">
        <v>1555</v>
      </c>
      <c r="C300" s="258" t="s">
        <v>3266</v>
      </c>
      <c r="D300" s="121">
        <v>25</v>
      </c>
      <c r="E300" s="316"/>
      <c r="F300" s="316">
        <v>46.9</v>
      </c>
      <c r="G300" s="316"/>
      <c r="H300" s="316"/>
      <c r="I300" s="316"/>
      <c r="J300" s="316"/>
      <c r="K300" s="316"/>
      <c r="L300" s="316"/>
      <c r="M300" s="316">
        <v>46.9</v>
      </c>
      <c r="N300" s="316"/>
      <c r="O300" s="316"/>
      <c r="P300" s="316"/>
      <c r="Q300" s="226">
        <f t="shared" si="15"/>
        <v>46.9</v>
      </c>
      <c r="R300" s="226" t="str">
        <f t="shared" si="13"/>
        <v>NO</v>
      </c>
      <c r="S300" s="226" t="str">
        <f t="shared" si="14"/>
        <v>Alto</v>
      </c>
      <c r="T300" s="315"/>
    </row>
    <row r="301" spans="1:20" s="305" customFormat="1" ht="32.1" customHeight="1" x14ac:dyDescent="0.2">
      <c r="A301" s="487" t="s">
        <v>154</v>
      </c>
      <c r="B301" s="258" t="s">
        <v>3267</v>
      </c>
      <c r="C301" s="258" t="s">
        <v>3268</v>
      </c>
      <c r="D301" s="121">
        <v>36</v>
      </c>
      <c r="E301" s="316"/>
      <c r="F301" s="316"/>
      <c r="G301" s="316"/>
      <c r="H301" s="316"/>
      <c r="I301" s="316"/>
      <c r="J301" s="316"/>
      <c r="K301" s="316"/>
      <c r="L301" s="316"/>
      <c r="M301" s="316">
        <v>97.3</v>
      </c>
      <c r="N301" s="316"/>
      <c r="O301" s="316"/>
      <c r="P301" s="316"/>
      <c r="Q301" s="226">
        <f t="shared" si="15"/>
        <v>97.3</v>
      </c>
      <c r="R301" s="226" t="str">
        <f t="shared" si="13"/>
        <v>NO</v>
      </c>
      <c r="S301" s="226" t="str">
        <f t="shared" si="14"/>
        <v>Inviable Sanitariamente</v>
      </c>
      <c r="T301" s="315"/>
    </row>
    <row r="302" spans="1:20" s="305" customFormat="1" ht="32.1" customHeight="1" x14ac:dyDescent="0.2">
      <c r="A302" s="487" t="s">
        <v>154</v>
      </c>
      <c r="B302" s="258" t="s">
        <v>3269</v>
      </c>
      <c r="C302" s="258" t="s">
        <v>3270</v>
      </c>
      <c r="D302" s="121">
        <v>110</v>
      </c>
      <c r="E302" s="316"/>
      <c r="F302" s="316"/>
      <c r="G302" s="316"/>
      <c r="H302" s="316">
        <v>46.9</v>
      </c>
      <c r="I302" s="316"/>
      <c r="J302" s="316">
        <v>46.9</v>
      </c>
      <c r="K302" s="316"/>
      <c r="L302" s="316"/>
      <c r="M302" s="316"/>
      <c r="N302" s="316"/>
      <c r="O302" s="316">
        <v>97.3</v>
      </c>
      <c r="P302" s="316"/>
      <c r="Q302" s="226">
        <f t="shared" si="15"/>
        <v>63.699999999999996</v>
      </c>
      <c r="R302" s="226" t="str">
        <f t="shared" si="13"/>
        <v>NO</v>
      </c>
      <c r="S302" s="226" t="str">
        <f t="shared" si="14"/>
        <v>Alto</v>
      </c>
      <c r="T302" s="315"/>
    </row>
    <row r="303" spans="1:20" s="305" customFormat="1" ht="32.1" customHeight="1" x14ac:dyDescent="0.2">
      <c r="A303" s="487" t="s">
        <v>154</v>
      </c>
      <c r="B303" s="258" t="s">
        <v>3271</v>
      </c>
      <c r="C303" s="258" t="s">
        <v>3272</v>
      </c>
      <c r="D303" s="121">
        <v>460</v>
      </c>
      <c r="E303" s="316">
        <v>0</v>
      </c>
      <c r="F303" s="316"/>
      <c r="G303" s="316">
        <v>0</v>
      </c>
      <c r="H303" s="316">
        <v>0</v>
      </c>
      <c r="I303" s="316">
        <v>0</v>
      </c>
      <c r="J303" s="316">
        <v>0</v>
      </c>
      <c r="K303" s="316">
        <v>0</v>
      </c>
      <c r="L303" s="316">
        <v>0</v>
      </c>
      <c r="M303" s="316">
        <v>0</v>
      </c>
      <c r="N303" s="316">
        <v>0</v>
      </c>
      <c r="O303" s="316"/>
      <c r="P303" s="316"/>
      <c r="Q303" s="226">
        <f t="shared" si="15"/>
        <v>0</v>
      </c>
      <c r="R303" s="226" t="str">
        <f t="shared" si="13"/>
        <v>SI</v>
      </c>
      <c r="S303" s="226" t="str">
        <f t="shared" si="14"/>
        <v>Sin Riesgo</v>
      </c>
      <c r="T303" s="315"/>
    </row>
    <row r="304" spans="1:20" s="305" customFormat="1" ht="32.1" customHeight="1" x14ac:dyDescent="0.2">
      <c r="A304" s="487" t="s">
        <v>154</v>
      </c>
      <c r="B304" s="258" t="s">
        <v>3273</v>
      </c>
      <c r="C304" s="258" t="s">
        <v>3274</v>
      </c>
      <c r="D304" s="121">
        <v>106</v>
      </c>
      <c r="E304" s="316"/>
      <c r="F304" s="316"/>
      <c r="G304" s="316"/>
      <c r="H304" s="316"/>
      <c r="I304" s="316">
        <v>97.3</v>
      </c>
      <c r="J304" s="316">
        <v>46.9</v>
      </c>
      <c r="K304" s="316"/>
      <c r="L304" s="316"/>
      <c r="M304" s="316"/>
      <c r="N304" s="316"/>
      <c r="O304" s="316">
        <v>97.3</v>
      </c>
      <c r="P304" s="316"/>
      <c r="Q304" s="226">
        <f t="shared" si="15"/>
        <v>80.5</v>
      </c>
      <c r="R304" s="226" t="str">
        <f t="shared" si="13"/>
        <v>NO</v>
      </c>
      <c r="S304" s="226" t="str">
        <f t="shared" si="14"/>
        <v>Inviable Sanitariamente</v>
      </c>
      <c r="T304" s="315"/>
    </row>
    <row r="305" spans="1:20" s="305" customFormat="1" ht="32.1" customHeight="1" x14ac:dyDescent="0.2">
      <c r="A305" s="487" t="s">
        <v>154</v>
      </c>
      <c r="B305" s="258" t="s">
        <v>3275</v>
      </c>
      <c r="C305" s="258" t="s">
        <v>3276</v>
      </c>
      <c r="D305" s="121">
        <v>215</v>
      </c>
      <c r="E305" s="316"/>
      <c r="F305" s="316"/>
      <c r="G305" s="316"/>
      <c r="H305" s="316"/>
      <c r="I305" s="316">
        <v>46.9</v>
      </c>
      <c r="J305" s="316">
        <v>46.9</v>
      </c>
      <c r="K305" s="316"/>
      <c r="L305" s="316"/>
      <c r="M305" s="316"/>
      <c r="N305" s="316"/>
      <c r="O305" s="316">
        <v>97.3</v>
      </c>
      <c r="P305" s="316"/>
      <c r="Q305" s="226">
        <f t="shared" si="15"/>
        <v>63.699999999999996</v>
      </c>
      <c r="R305" s="226" t="str">
        <f t="shared" si="13"/>
        <v>NO</v>
      </c>
      <c r="S305" s="226" t="str">
        <f t="shared" si="14"/>
        <v>Alto</v>
      </c>
      <c r="T305" s="315"/>
    </row>
    <row r="306" spans="1:20" s="305" customFormat="1" ht="32.1" customHeight="1" x14ac:dyDescent="0.2">
      <c r="A306" s="487" t="s">
        <v>154</v>
      </c>
      <c r="B306" s="258" t="s">
        <v>3277</v>
      </c>
      <c r="C306" s="258" t="s">
        <v>3278</v>
      </c>
      <c r="D306" s="116">
        <v>83</v>
      </c>
      <c r="E306" s="316"/>
      <c r="F306" s="316"/>
      <c r="G306" s="316"/>
      <c r="H306" s="316"/>
      <c r="I306" s="316"/>
      <c r="J306" s="316"/>
      <c r="K306" s="316"/>
      <c r="L306" s="316"/>
      <c r="M306" s="316"/>
      <c r="N306" s="316"/>
      <c r="O306" s="316">
        <v>97.3</v>
      </c>
      <c r="P306" s="316"/>
      <c r="Q306" s="226">
        <f t="shared" si="15"/>
        <v>97.3</v>
      </c>
      <c r="R306" s="226" t="str">
        <f t="shared" si="13"/>
        <v>NO</v>
      </c>
      <c r="S306" s="226" t="str">
        <f t="shared" si="14"/>
        <v>Inviable Sanitariamente</v>
      </c>
      <c r="T306" s="315"/>
    </row>
    <row r="307" spans="1:20" s="305" customFormat="1" ht="32.1" customHeight="1" x14ac:dyDescent="0.2">
      <c r="A307" s="487" t="s">
        <v>154</v>
      </c>
      <c r="B307" s="258" t="s">
        <v>3279</v>
      </c>
      <c r="C307" s="258" t="s">
        <v>3280</v>
      </c>
      <c r="D307" s="121">
        <v>22</v>
      </c>
      <c r="E307" s="316"/>
      <c r="F307" s="316">
        <v>24</v>
      </c>
      <c r="G307" s="316"/>
      <c r="H307" s="316"/>
      <c r="I307" s="316"/>
      <c r="J307" s="316"/>
      <c r="K307" s="316"/>
      <c r="L307" s="316">
        <v>97.3</v>
      </c>
      <c r="M307" s="316"/>
      <c r="N307" s="316"/>
      <c r="O307" s="316"/>
      <c r="P307" s="316"/>
      <c r="Q307" s="226">
        <f t="shared" si="15"/>
        <v>60.65</v>
      </c>
      <c r="R307" s="226" t="str">
        <f t="shared" si="13"/>
        <v>NO</v>
      </c>
      <c r="S307" s="226" t="str">
        <f t="shared" si="14"/>
        <v>Alto</v>
      </c>
      <c r="T307" s="315"/>
    </row>
    <row r="308" spans="1:20" s="305" customFormat="1" ht="32.1" customHeight="1" x14ac:dyDescent="0.2">
      <c r="A308" s="487" t="s">
        <v>154</v>
      </c>
      <c r="B308" s="258" t="s">
        <v>1270</v>
      </c>
      <c r="C308" s="258" t="s">
        <v>3281</v>
      </c>
      <c r="D308" s="121">
        <v>46</v>
      </c>
      <c r="E308" s="316"/>
      <c r="F308" s="316"/>
      <c r="G308" s="316">
        <v>97.3</v>
      </c>
      <c r="H308" s="316"/>
      <c r="I308" s="316"/>
      <c r="J308" s="316"/>
      <c r="K308" s="316"/>
      <c r="L308" s="316"/>
      <c r="M308" s="316"/>
      <c r="N308" s="316">
        <v>97.3</v>
      </c>
      <c r="O308" s="316"/>
      <c r="P308" s="316"/>
      <c r="Q308" s="226">
        <f t="shared" si="15"/>
        <v>97.3</v>
      </c>
      <c r="R308" s="226" t="str">
        <f t="shared" si="13"/>
        <v>NO</v>
      </c>
      <c r="S308" s="226" t="str">
        <f t="shared" si="14"/>
        <v>Inviable Sanitariamente</v>
      </c>
      <c r="T308" s="315"/>
    </row>
    <row r="309" spans="1:20" s="305" customFormat="1" ht="32.1" customHeight="1" x14ac:dyDescent="0.2">
      <c r="A309" s="487" t="s">
        <v>154</v>
      </c>
      <c r="B309" s="258" t="s">
        <v>3282</v>
      </c>
      <c r="C309" s="258" t="s">
        <v>3283</v>
      </c>
      <c r="D309" s="116">
        <v>15</v>
      </c>
      <c r="E309" s="316"/>
      <c r="F309" s="316"/>
      <c r="G309" s="316"/>
      <c r="H309" s="316">
        <v>97.3</v>
      </c>
      <c r="I309" s="316"/>
      <c r="J309" s="316"/>
      <c r="K309" s="316"/>
      <c r="L309" s="316"/>
      <c r="M309" s="316"/>
      <c r="N309" s="316">
        <v>97.3</v>
      </c>
      <c r="O309" s="316"/>
      <c r="P309" s="316"/>
      <c r="Q309" s="226">
        <f t="shared" si="15"/>
        <v>97.3</v>
      </c>
      <c r="R309" s="226" t="str">
        <f t="shared" si="13"/>
        <v>NO</v>
      </c>
      <c r="S309" s="226" t="str">
        <f t="shared" si="14"/>
        <v>Inviable Sanitariamente</v>
      </c>
      <c r="T309" s="315"/>
    </row>
    <row r="310" spans="1:20" s="305" customFormat="1" ht="32.1" customHeight="1" x14ac:dyDescent="0.2">
      <c r="A310" s="487" t="s">
        <v>154</v>
      </c>
      <c r="B310" s="258" t="s">
        <v>3284</v>
      </c>
      <c r="C310" s="258" t="s">
        <v>3285</v>
      </c>
      <c r="D310" s="121">
        <v>200</v>
      </c>
      <c r="E310" s="316"/>
      <c r="F310" s="316"/>
      <c r="G310" s="316"/>
      <c r="H310" s="316"/>
      <c r="I310" s="316"/>
      <c r="J310" s="316"/>
      <c r="K310" s="316"/>
      <c r="L310" s="316">
        <v>97.3</v>
      </c>
      <c r="M310" s="316"/>
      <c r="N310" s="316"/>
      <c r="O310" s="316"/>
      <c r="P310" s="316"/>
      <c r="Q310" s="226">
        <f t="shared" si="15"/>
        <v>97.3</v>
      </c>
      <c r="R310" s="226" t="str">
        <f t="shared" si="13"/>
        <v>NO</v>
      </c>
      <c r="S310" s="226" t="str">
        <f t="shared" si="14"/>
        <v>Inviable Sanitariamente</v>
      </c>
      <c r="T310" s="315"/>
    </row>
    <row r="311" spans="1:20" s="305" customFormat="1" ht="32.1" customHeight="1" x14ac:dyDescent="0.2">
      <c r="A311" s="487" t="s">
        <v>154</v>
      </c>
      <c r="B311" s="258" t="s">
        <v>8</v>
      </c>
      <c r="C311" s="258" t="s">
        <v>3286</v>
      </c>
      <c r="D311" s="121">
        <v>200</v>
      </c>
      <c r="E311" s="316"/>
      <c r="F311" s="316"/>
      <c r="G311" s="316"/>
      <c r="H311" s="316"/>
      <c r="I311" s="316"/>
      <c r="J311" s="316"/>
      <c r="K311" s="316">
        <v>97.3</v>
      </c>
      <c r="L311" s="316">
        <v>97.3</v>
      </c>
      <c r="M311" s="316"/>
      <c r="N311" s="316"/>
      <c r="O311" s="316"/>
      <c r="P311" s="316"/>
      <c r="Q311" s="226">
        <f t="shared" si="15"/>
        <v>97.3</v>
      </c>
      <c r="R311" s="226" t="str">
        <f t="shared" si="13"/>
        <v>NO</v>
      </c>
      <c r="S311" s="226" t="str">
        <f t="shared" si="14"/>
        <v>Inviable Sanitariamente</v>
      </c>
      <c r="T311" s="315"/>
    </row>
    <row r="312" spans="1:20" s="305" customFormat="1" ht="32.1" customHeight="1" x14ac:dyDescent="0.2">
      <c r="A312" s="487" t="s">
        <v>154</v>
      </c>
      <c r="B312" s="258" t="s">
        <v>3287</v>
      </c>
      <c r="C312" s="258" t="s">
        <v>3288</v>
      </c>
      <c r="D312" s="116">
        <v>200</v>
      </c>
      <c r="E312" s="316"/>
      <c r="F312" s="316">
        <v>46.9</v>
      </c>
      <c r="G312" s="316"/>
      <c r="H312" s="316"/>
      <c r="I312" s="316"/>
      <c r="J312" s="316"/>
      <c r="K312" s="316"/>
      <c r="L312" s="316">
        <v>97.3</v>
      </c>
      <c r="M312" s="316"/>
      <c r="N312" s="316"/>
      <c r="O312" s="316"/>
      <c r="P312" s="316"/>
      <c r="Q312" s="226">
        <f t="shared" si="15"/>
        <v>72.099999999999994</v>
      </c>
      <c r="R312" s="226" t="str">
        <f t="shared" si="13"/>
        <v>NO</v>
      </c>
      <c r="S312" s="226" t="str">
        <f t="shared" si="14"/>
        <v>Alto</v>
      </c>
      <c r="T312" s="315"/>
    </row>
    <row r="313" spans="1:20" s="305" customFormat="1" ht="32.1" customHeight="1" x14ac:dyDescent="0.2">
      <c r="A313" s="487" t="s">
        <v>154</v>
      </c>
      <c r="B313" s="258" t="s">
        <v>3289</v>
      </c>
      <c r="C313" s="258" t="s">
        <v>3290</v>
      </c>
      <c r="D313" s="121">
        <v>170</v>
      </c>
      <c r="E313" s="316"/>
      <c r="F313" s="316"/>
      <c r="G313" s="316"/>
      <c r="H313" s="316"/>
      <c r="I313" s="316"/>
      <c r="J313" s="316"/>
      <c r="K313" s="316">
        <v>97.3</v>
      </c>
      <c r="L313" s="316"/>
      <c r="M313" s="316"/>
      <c r="N313" s="316"/>
      <c r="O313" s="316">
        <v>97.3</v>
      </c>
      <c r="P313" s="316"/>
      <c r="Q313" s="226">
        <f t="shared" si="15"/>
        <v>97.3</v>
      </c>
      <c r="R313" s="226" t="str">
        <f t="shared" si="13"/>
        <v>NO</v>
      </c>
      <c r="S313" s="226" t="str">
        <f t="shared" si="14"/>
        <v>Inviable Sanitariamente</v>
      </c>
      <c r="T313" s="315"/>
    </row>
    <row r="314" spans="1:20" s="305" customFormat="1" ht="32.1" customHeight="1" x14ac:dyDescent="0.2">
      <c r="A314" s="487" t="s">
        <v>154</v>
      </c>
      <c r="B314" s="258" t="s">
        <v>1354</v>
      </c>
      <c r="C314" s="258" t="s">
        <v>3291</v>
      </c>
      <c r="D314" s="121">
        <v>42</v>
      </c>
      <c r="E314" s="316"/>
      <c r="F314" s="316"/>
      <c r="G314" s="316"/>
      <c r="H314" s="316">
        <v>97.3</v>
      </c>
      <c r="I314" s="316"/>
      <c r="J314" s="316"/>
      <c r="K314" s="316"/>
      <c r="L314" s="316"/>
      <c r="M314" s="316"/>
      <c r="N314" s="316">
        <v>97.3</v>
      </c>
      <c r="O314" s="316"/>
      <c r="P314" s="316"/>
      <c r="Q314" s="226">
        <f t="shared" si="15"/>
        <v>97.3</v>
      </c>
      <c r="R314" s="226" t="str">
        <f t="shared" si="13"/>
        <v>NO</v>
      </c>
      <c r="S314" s="226" t="str">
        <f t="shared" si="14"/>
        <v>Inviable Sanitariamente</v>
      </c>
      <c r="T314" s="315"/>
    </row>
    <row r="315" spans="1:20" s="305" customFormat="1" ht="32.1" customHeight="1" x14ac:dyDescent="0.2">
      <c r="A315" s="487" t="s">
        <v>154</v>
      </c>
      <c r="B315" s="258" t="s">
        <v>1745</v>
      </c>
      <c r="C315" s="258" t="s">
        <v>3292</v>
      </c>
      <c r="D315" s="121">
        <v>65</v>
      </c>
      <c r="E315" s="316"/>
      <c r="F315" s="316"/>
      <c r="G315" s="316"/>
      <c r="H315" s="316">
        <v>97.3</v>
      </c>
      <c r="I315" s="316"/>
      <c r="J315" s="316"/>
      <c r="K315" s="316"/>
      <c r="L315" s="316"/>
      <c r="M315" s="316"/>
      <c r="N315" s="316">
        <v>97.3</v>
      </c>
      <c r="O315" s="316"/>
      <c r="P315" s="316"/>
      <c r="Q315" s="226">
        <f t="shared" si="15"/>
        <v>97.3</v>
      </c>
      <c r="R315" s="226" t="str">
        <f t="shared" si="13"/>
        <v>NO</v>
      </c>
      <c r="S315" s="226" t="str">
        <f t="shared" si="14"/>
        <v>Inviable Sanitariamente</v>
      </c>
      <c r="T315" s="315"/>
    </row>
    <row r="316" spans="1:20" s="305" customFormat="1" ht="32.1" customHeight="1" x14ac:dyDescent="0.2">
      <c r="A316" s="487" t="s">
        <v>154</v>
      </c>
      <c r="B316" s="258" t="s">
        <v>3293</v>
      </c>
      <c r="C316" s="258" t="s">
        <v>3294</v>
      </c>
      <c r="D316" s="121">
        <v>15</v>
      </c>
      <c r="E316" s="316"/>
      <c r="F316" s="316"/>
      <c r="G316" s="316"/>
      <c r="H316" s="316"/>
      <c r="I316" s="316">
        <v>97.3</v>
      </c>
      <c r="J316" s="316"/>
      <c r="K316" s="316"/>
      <c r="L316" s="316"/>
      <c r="M316" s="316"/>
      <c r="N316" s="316"/>
      <c r="O316" s="316">
        <v>97.3</v>
      </c>
      <c r="P316" s="316"/>
      <c r="Q316" s="226">
        <f t="shared" si="15"/>
        <v>97.3</v>
      </c>
      <c r="R316" s="226" t="str">
        <f t="shared" si="13"/>
        <v>NO</v>
      </c>
      <c r="S316" s="226" t="str">
        <f t="shared" si="14"/>
        <v>Inviable Sanitariamente</v>
      </c>
      <c r="T316" s="315"/>
    </row>
    <row r="317" spans="1:20" s="305" customFormat="1" ht="32.1" customHeight="1" x14ac:dyDescent="0.2">
      <c r="A317" s="487" t="s">
        <v>154</v>
      </c>
      <c r="B317" s="258" t="s">
        <v>3295</v>
      </c>
      <c r="C317" s="258" t="s">
        <v>3296</v>
      </c>
      <c r="D317" s="121">
        <v>50</v>
      </c>
      <c r="E317" s="316"/>
      <c r="F317" s="316">
        <v>46.9</v>
      </c>
      <c r="G317" s="316"/>
      <c r="H317" s="316"/>
      <c r="I317" s="316"/>
      <c r="J317" s="316"/>
      <c r="K317" s="316"/>
      <c r="L317" s="316"/>
      <c r="M317" s="316"/>
      <c r="N317" s="316">
        <v>97.3</v>
      </c>
      <c r="O317" s="316"/>
      <c r="P317" s="316"/>
      <c r="Q317" s="226">
        <f t="shared" si="15"/>
        <v>72.099999999999994</v>
      </c>
      <c r="R317" s="226" t="str">
        <f t="shared" si="13"/>
        <v>NO</v>
      </c>
      <c r="S317" s="226" t="str">
        <f t="shared" si="14"/>
        <v>Alto</v>
      </c>
      <c r="T317" s="315"/>
    </row>
    <row r="318" spans="1:20" s="305" customFormat="1" ht="32.1" customHeight="1" x14ac:dyDescent="0.2">
      <c r="A318" s="487" t="s">
        <v>154</v>
      </c>
      <c r="B318" s="258" t="s">
        <v>1049</v>
      </c>
      <c r="C318" s="258" t="s">
        <v>3297</v>
      </c>
      <c r="D318" s="121">
        <v>37</v>
      </c>
      <c r="E318" s="316"/>
      <c r="F318" s="316"/>
      <c r="G318" s="316"/>
      <c r="H318" s="316"/>
      <c r="I318" s="316">
        <v>46.9</v>
      </c>
      <c r="J318" s="316"/>
      <c r="K318" s="316"/>
      <c r="L318" s="316"/>
      <c r="M318" s="316"/>
      <c r="N318" s="316"/>
      <c r="O318" s="316">
        <v>97.3</v>
      </c>
      <c r="P318" s="316"/>
      <c r="Q318" s="226">
        <f t="shared" si="15"/>
        <v>72.099999999999994</v>
      </c>
      <c r="R318" s="226" t="str">
        <f t="shared" si="13"/>
        <v>NO</v>
      </c>
      <c r="S318" s="226" t="str">
        <f t="shared" si="14"/>
        <v>Alto</v>
      </c>
      <c r="T318" s="315"/>
    </row>
    <row r="319" spans="1:20" s="305" customFormat="1" ht="32.1" customHeight="1" x14ac:dyDescent="0.2">
      <c r="A319" s="487" t="s">
        <v>154</v>
      </c>
      <c r="B319" s="258" t="s">
        <v>3298</v>
      </c>
      <c r="C319" s="258" t="s">
        <v>3299</v>
      </c>
      <c r="D319" s="121">
        <v>28</v>
      </c>
      <c r="E319" s="316"/>
      <c r="F319" s="316"/>
      <c r="G319" s="316">
        <v>46.9</v>
      </c>
      <c r="H319" s="316"/>
      <c r="I319" s="316"/>
      <c r="J319" s="316"/>
      <c r="K319" s="316"/>
      <c r="L319" s="316">
        <v>46.9</v>
      </c>
      <c r="M319" s="316"/>
      <c r="N319" s="316"/>
      <c r="O319" s="316"/>
      <c r="P319" s="316"/>
      <c r="Q319" s="226">
        <f t="shared" si="15"/>
        <v>46.9</v>
      </c>
      <c r="R319" s="226" t="str">
        <f t="shared" si="13"/>
        <v>NO</v>
      </c>
      <c r="S319" s="226" t="str">
        <f t="shared" si="14"/>
        <v>Alto</v>
      </c>
      <c r="T319" s="315"/>
    </row>
    <row r="320" spans="1:20" s="305" customFormat="1" ht="32.1" customHeight="1" x14ac:dyDescent="0.2">
      <c r="A320" s="487" t="s">
        <v>154</v>
      </c>
      <c r="B320" s="258" t="s">
        <v>3300</v>
      </c>
      <c r="C320" s="258" t="s">
        <v>3301</v>
      </c>
      <c r="D320" s="121">
        <v>126</v>
      </c>
      <c r="E320" s="316"/>
      <c r="F320" s="316"/>
      <c r="G320" s="316"/>
      <c r="H320" s="316"/>
      <c r="I320" s="316"/>
      <c r="J320" s="316"/>
      <c r="K320" s="316"/>
      <c r="L320" s="316">
        <v>97.3</v>
      </c>
      <c r="M320" s="316"/>
      <c r="N320" s="316"/>
      <c r="O320" s="316"/>
      <c r="P320" s="316"/>
      <c r="Q320" s="226">
        <f t="shared" si="15"/>
        <v>97.3</v>
      </c>
      <c r="R320" s="226" t="str">
        <f t="shared" si="13"/>
        <v>NO</v>
      </c>
      <c r="S320" s="226" t="str">
        <f t="shared" si="14"/>
        <v>Inviable Sanitariamente</v>
      </c>
      <c r="T320" s="315"/>
    </row>
    <row r="321" spans="1:20" s="305" customFormat="1" ht="32.1" customHeight="1" x14ac:dyDescent="0.2">
      <c r="A321" s="487" t="s">
        <v>154</v>
      </c>
      <c r="B321" s="258" t="s">
        <v>3302</v>
      </c>
      <c r="C321" s="258" t="s">
        <v>3303</v>
      </c>
      <c r="D321" s="121">
        <v>56</v>
      </c>
      <c r="E321" s="316">
        <v>46.9</v>
      </c>
      <c r="F321" s="316"/>
      <c r="G321" s="316"/>
      <c r="H321" s="316"/>
      <c r="I321" s="316"/>
      <c r="J321" s="316"/>
      <c r="K321" s="316"/>
      <c r="L321" s="316"/>
      <c r="M321" s="316">
        <v>97.3</v>
      </c>
      <c r="N321" s="316"/>
      <c r="O321" s="316"/>
      <c r="P321" s="316"/>
      <c r="Q321" s="226">
        <f t="shared" si="15"/>
        <v>72.099999999999994</v>
      </c>
      <c r="R321" s="226" t="str">
        <f t="shared" si="13"/>
        <v>NO</v>
      </c>
      <c r="S321" s="226" t="str">
        <f t="shared" si="14"/>
        <v>Alto</v>
      </c>
      <c r="T321" s="315"/>
    </row>
    <row r="322" spans="1:20" s="305" customFormat="1" ht="32.1" customHeight="1" x14ac:dyDescent="0.2">
      <c r="A322" s="487" t="s">
        <v>154</v>
      </c>
      <c r="B322" s="258" t="s">
        <v>3304</v>
      </c>
      <c r="C322" s="258" t="s">
        <v>3305</v>
      </c>
      <c r="D322" s="121">
        <v>20</v>
      </c>
      <c r="E322" s="316"/>
      <c r="F322" s="316"/>
      <c r="G322" s="316">
        <v>46.9</v>
      </c>
      <c r="H322" s="316"/>
      <c r="I322" s="316"/>
      <c r="J322" s="316"/>
      <c r="K322" s="316"/>
      <c r="L322" s="316"/>
      <c r="M322" s="316"/>
      <c r="N322" s="316">
        <v>97.3</v>
      </c>
      <c r="O322" s="316"/>
      <c r="P322" s="316"/>
      <c r="Q322" s="226">
        <f t="shared" si="15"/>
        <v>72.099999999999994</v>
      </c>
      <c r="R322" s="226" t="str">
        <f t="shared" si="13"/>
        <v>NO</v>
      </c>
      <c r="S322" s="226" t="str">
        <f t="shared" si="14"/>
        <v>Alto</v>
      </c>
      <c r="T322" s="315"/>
    </row>
    <row r="323" spans="1:20" s="305" customFormat="1" ht="32.1" customHeight="1" x14ac:dyDescent="0.2">
      <c r="A323" s="487" t="s">
        <v>154</v>
      </c>
      <c r="B323" s="258" t="s">
        <v>3306</v>
      </c>
      <c r="C323" s="258" t="s">
        <v>3307</v>
      </c>
      <c r="D323" s="121">
        <v>83</v>
      </c>
      <c r="E323" s="316"/>
      <c r="F323" s="316"/>
      <c r="G323" s="316"/>
      <c r="H323" s="316">
        <v>97.3</v>
      </c>
      <c r="I323" s="316"/>
      <c r="J323" s="316"/>
      <c r="K323" s="316"/>
      <c r="L323" s="316"/>
      <c r="M323" s="316"/>
      <c r="N323" s="316"/>
      <c r="O323" s="316">
        <v>97.3</v>
      </c>
      <c r="P323" s="316"/>
      <c r="Q323" s="226">
        <f t="shared" si="15"/>
        <v>97.3</v>
      </c>
      <c r="R323" s="226" t="str">
        <f t="shared" si="13"/>
        <v>NO</v>
      </c>
      <c r="S323" s="226" t="str">
        <f t="shared" si="14"/>
        <v>Inviable Sanitariamente</v>
      </c>
      <c r="T323" s="315"/>
    </row>
    <row r="324" spans="1:20" s="305" customFormat="1" ht="32.1" customHeight="1" x14ac:dyDescent="0.2">
      <c r="A324" s="487" t="s">
        <v>154</v>
      </c>
      <c r="B324" s="258" t="s">
        <v>3308</v>
      </c>
      <c r="C324" s="258" t="s">
        <v>3309</v>
      </c>
      <c r="D324" s="121">
        <v>121</v>
      </c>
      <c r="E324" s="316"/>
      <c r="F324" s="316"/>
      <c r="G324" s="316"/>
      <c r="H324" s="316"/>
      <c r="I324" s="316"/>
      <c r="J324" s="316">
        <v>46.9</v>
      </c>
      <c r="K324" s="316"/>
      <c r="L324" s="316"/>
      <c r="M324" s="316"/>
      <c r="N324" s="316">
        <v>97.3</v>
      </c>
      <c r="O324" s="316"/>
      <c r="P324" s="316"/>
      <c r="Q324" s="226">
        <f t="shared" si="15"/>
        <v>72.099999999999994</v>
      </c>
      <c r="R324" s="226" t="str">
        <f t="shared" si="13"/>
        <v>NO</v>
      </c>
      <c r="S324" s="226" t="str">
        <f t="shared" si="14"/>
        <v>Alto</v>
      </c>
      <c r="T324" s="315"/>
    </row>
    <row r="325" spans="1:20" s="305" customFormat="1" ht="32.1" customHeight="1" x14ac:dyDescent="0.2">
      <c r="A325" s="487" t="s">
        <v>154</v>
      </c>
      <c r="B325" s="258" t="s">
        <v>3310</v>
      </c>
      <c r="C325" s="258" t="s">
        <v>3311</v>
      </c>
      <c r="D325" s="121">
        <v>52</v>
      </c>
      <c r="E325" s="316"/>
      <c r="F325" s="316"/>
      <c r="G325" s="316"/>
      <c r="H325" s="316"/>
      <c r="I325" s="316"/>
      <c r="J325" s="316">
        <v>46.9</v>
      </c>
      <c r="K325" s="316"/>
      <c r="L325" s="316"/>
      <c r="M325" s="316"/>
      <c r="N325" s="316"/>
      <c r="O325" s="316">
        <v>97.3</v>
      </c>
      <c r="P325" s="316"/>
      <c r="Q325" s="226">
        <f t="shared" si="15"/>
        <v>72.099999999999994</v>
      </c>
      <c r="R325" s="226" t="str">
        <f t="shared" si="13"/>
        <v>NO</v>
      </c>
      <c r="S325" s="226" t="str">
        <f t="shared" si="14"/>
        <v>Alto</v>
      </c>
      <c r="T325" s="315"/>
    </row>
    <row r="326" spans="1:20" s="305" customFormat="1" ht="32.1" customHeight="1" x14ac:dyDescent="0.2">
      <c r="A326" s="487" t="s">
        <v>154</v>
      </c>
      <c r="B326" s="258" t="s">
        <v>2</v>
      </c>
      <c r="C326" s="258" t="s">
        <v>3312</v>
      </c>
      <c r="D326" s="121">
        <v>10</v>
      </c>
      <c r="E326" s="316"/>
      <c r="F326" s="316"/>
      <c r="G326" s="316"/>
      <c r="H326" s="316"/>
      <c r="I326" s="316">
        <v>97.3</v>
      </c>
      <c r="J326" s="316"/>
      <c r="K326" s="316"/>
      <c r="L326" s="316"/>
      <c r="M326" s="316"/>
      <c r="N326" s="316"/>
      <c r="O326" s="316">
        <v>97.3</v>
      </c>
      <c r="P326" s="316"/>
      <c r="Q326" s="226">
        <f t="shared" si="15"/>
        <v>97.3</v>
      </c>
      <c r="R326" s="226" t="str">
        <f t="shared" si="13"/>
        <v>NO</v>
      </c>
      <c r="S326" s="226" t="str">
        <f t="shared" si="14"/>
        <v>Inviable Sanitariamente</v>
      </c>
      <c r="T326" s="315"/>
    </row>
    <row r="327" spans="1:20" s="305" customFormat="1" ht="32.1" customHeight="1" x14ac:dyDescent="0.2">
      <c r="A327" s="487" t="s">
        <v>154</v>
      </c>
      <c r="B327" s="258" t="s">
        <v>49</v>
      </c>
      <c r="C327" s="258" t="s">
        <v>602</v>
      </c>
      <c r="D327" s="121">
        <v>10</v>
      </c>
      <c r="E327" s="316"/>
      <c r="F327" s="316"/>
      <c r="G327" s="316"/>
      <c r="H327" s="316"/>
      <c r="I327" s="316"/>
      <c r="J327" s="316"/>
      <c r="K327" s="316">
        <v>46.9</v>
      </c>
      <c r="L327" s="316"/>
      <c r="M327" s="316"/>
      <c r="N327" s="316"/>
      <c r="O327" s="316">
        <v>97.3</v>
      </c>
      <c r="P327" s="316"/>
      <c r="Q327" s="226">
        <f t="shared" si="15"/>
        <v>72.099999999999994</v>
      </c>
      <c r="R327" s="226" t="str">
        <f t="shared" si="13"/>
        <v>NO</v>
      </c>
      <c r="S327" s="226" t="str">
        <f t="shared" si="14"/>
        <v>Alto</v>
      </c>
      <c r="T327" s="315"/>
    </row>
    <row r="328" spans="1:20" s="305" customFormat="1" ht="32.1" customHeight="1" x14ac:dyDescent="0.2">
      <c r="A328" s="487" t="s">
        <v>154</v>
      </c>
      <c r="B328" s="258" t="s">
        <v>3313</v>
      </c>
      <c r="C328" s="258" t="s">
        <v>3314</v>
      </c>
      <c r="D328" s="121">
        <v>20</v>
      </c>
      <c r="E328" s="316"/>
      <c r="F328" s="316">
        <v>46.9</v>
      </c>
      <c r="G328" s="316"/>
      <c r="H328" s="316"/>
      <c r="I328" s="316"/>
      <c r="J328" s="316"/>
      <c r="K328" s="316"/>
      <c r="L328" s="316">
        <v>46.9</v>
      </c>
      <c r="M328" s="316"/>
      <c r="N328" s="316"/>
      <c r="O328" s="316"/>
      <c r="P328" s="316"/>
      <c r="Q328" s="226">
        <f t="shared" si="15"/>
        <v>46.9</v>
      </c>
      <c r="R328" s="226" t="str">
        <f t="shared" si="13"/>
        <v>NO</v>
      </c>
      <c r="S328" s="226" t="str">
        <f t="shared" si="14"/>
        <v>Alto</v>
      </c>
      <c r="T328" s="315"/>
    </row>
    <row r="329" spans="1:20" s="305" customFormat="1" ht="32.1" customHeight="1" x14ac:dyDescent="0.2">
      <c r="A329" s="487" t="s">
        <v>154</v>
      </c>
      <c r="B329" s="258" t="s">
        <v>1889</v>
      </c>
      <c r="C329" s="258" t="s">
        <v>3315</v>
      </c>
      <c r="D329" s="121">
        <v>22</v>
      </c>
      <c r="E329" s="316"/>
      <c r="F329" s="316"/>
      <c r="G329" s="316"/>
      <c r="H329" s="316"/>
      <c r="I329" s="316">
        <v>46.9</v>
      </c>
      <c r="J329" s="316"/>
      <c r="K329" s="316"/>
      <c r="L329" s="316"/>
      <c r="M329" s="316"/>
      <c r="N329" s="316"/>
      <c r="O329" s="316">
        <v>97.3</v>
      </c>
      <c r="P329" s="316"/>
      <c r="Q329" s="226">
        <f t="shared" si="15"/>
        <v>72.099999999999994</v>
      </c>
      <c r="R329" s="226" t="str">
        <f t="shared" si="13"/>
        <v>NO</v>
      </c>
      <c r="S329" s="226" t="str">
        <f t="shared" si="14"/>
        <v>Alto</v>
      </c>
      <c r="T329" s="315"/>
    </row>
    <row r="330" spans="1:20" s="305" customFormat="1" ht="32.1" customHeight="1" x14ac:dyDescent="0.2">
      <c r="A330" s="487" t="s">
        <v>154</v>
      </c>
      <c r="B330" s="258" t="s">
        <v>3316</v>
      </c>
      <c r="C330" s="258" t="s">
        <v>3317</v>
      </c>
      <c r="D330" s="121">
        <v>72</v>
      </c>
      <c r="E330" s="316">
        <v>46.9</v>
      </c>
      <c r="F330" s="316"/>
      <c r="G330" s="316"/>
      <c r="H330" s="316"/>
      <c r="I330" s="316"/>
      <c r="J330" s="316"/>
      <c r="K330" s="316"/>
      <c r="L330" s="316"/>
      <c r="M330" s="316">
        <v>97.3</v>
      </c>
      <c r="N330" s="316"/>
      <c r="O330" s="316"/>
      <c r="P330" s="316"/>
      <c r="Q330" s="226">
        <f t="shared" si="15"/>
        <v>72.099999999999994</v>
      </c>
      <c r="R330" s="226" t="str">
        <f t="shared" ref="R330:R393" si="16">IF(Q330&lt;5,"SI","NO")</f>
        <v>NO</v>
      </c>
      <c r="S330" s="226" t="str">
        <f t="shared" si="14"/>
        <v>Alto</v>
      </c>
      <c r="T330" s="315"/>
    </row>
    <row r="331" spans="1:20" s="305" customFormat="1" ht="32.1" customHeight="1" x14ac:dyDescent="0.2">
      <c r="A331" s="487" t="s">
        <v>154</v>
      </c>
      <c r="B331" s="258" t="s">
        <v>3318</v>
      </c>
      <c r="C331" s="258" t="s">
        <v>3319</v>
      </c>
      <c r="D331" s="121">
        <v>15</v>
      </c>
      <c r="E331" s="316"/>
      <c r="F331" s="316"/>
      <c r="G331" s="316"/>
      <c r="H331" s="316"/>
      <c r="I331" s="316"/>
      <c r="J331" s="316"/>
      <c r="K331" s="316">
        <v>97.3</v>
      </c>
      <c r="L331" s="316"/>
      <c r="M331" s="316"/>
      <c r="N331" s="316"/>
      <c r="O331" s="316">
        <v>97.3</v>
      </c>
      <c r="P331" s="316"/>
      <c r="Q331" s="226">
        <f t="shared" si="15"/>
        <v>97.3</v>
      </c>
      <c r="R331" s="226" t="str">
        <f t="shared" si="16"/>
        <v>NO</v>
      </c>
      <c r="S331" s="226" t="str">
        <f t="shared" ref="S331:S394" si="17">IF(Q331&lt;=5,"Sin Riesgo",IF(Q331 &lt;=14,"Bajo",IF(Q331&lt;=35,"Medio",IF(Q331&lt;=80,"Alto","Inviable Sanitariamente"))))</f>
        <v>Inviable Sanitariamente</v>
      </c>
      <c r="T331" s="315"/>
    </row>
    <row r="332" spans="1:20" s="305" customFormat="1" ht="32.1" customHeight="1" x14ac:dyDescent="0.2">
      <c r="A332" s="487" t="s">
        <v>155</v>
      </c>
      <c r="B332" s="258" t="s">
        <v>71</v>
      </c>
      <c r="C332" s="258" t="s">
        <v>3321</v>
      </c>
      <c r="D332" s="121">
        <v>42</v>
      </c>
      <c r="E332" s="316"/>
      <c r="F332" s="316"/>
      <c r="G332" s="316"/>
      <c r="H332" s="316"/>
      <c r="I332" s="316">
        <v>46.9</v>
      </c>
      <c r="J332" s="316"/>
      <c r="K332" s="316"/>
      <c r="L332" s="316"/>
      <c r="M332" s="316"/>
      <c r="N332" s="316"/>
      <c r="O332" s="316"/>
      <c r="P332" s="316"/>
      <c r="Q332" s="226">
        <f t="shared" si="15"/>
        <v>46.9</v>
      </c>
      <c r="R332" s="226" t="str">
        <f t="shared" si="16"/>
        <v>NO</v>
      </c>
      <c r="S332" s="226" t="str">
        <f t="shared" si="17"/>
        <v>Alto</v>
      </c>
      <c r="T332" s="315"/>
    </row>
    <row r="333" spans="1:20" s="305" customFormat="1" ht="32.1" customHeight="1" x14ac:dyDescent="0.2">
      <c r="A333" s="487" t="s">
        <v>155</v>
      </c>
      <c r="B333" s="258" t="s">
        <v>2449</v>
      </c>
      <c r="C333" s="258" t="s">
        <v>3322</v>
      </c>
      <c r="D333" s="121">
        <v>375</v>
      </c>
      <c r="E333" s="316"/>
      <c r="F333" s="316">
        <v>46.9</v>
      </c>
      <c r="G333" s="316"/>
      <c r="H333" s="316"/>
      <c r="I333" s="316"/>
      <c r="J333" s="316"/>
      <c r="K333" s="316"/>
      <c r="L333" s="316"/>
      <c r="M333" s="316"/>
      <c r="N333" s="316"/>
      <c r="O333" s="316"/>
      <c r="P333" s="316"/>
      <c r="Q333" s="226">
        <f t="shared" si="15"/>
        <v>46.9</v>
      </c>
      <c r="R333" s="226" t="str">
        <f t="shared" si="16"/>
        <v>NO</v>
      </c>
      <c r="S333" s="226" t="str">
        <f t="shared" si="17"/>
        <v>Alto</v>
      </c>
      <c r="T333" s="315"/>
    </row>
    <row r="334" spans="1:20" s="305" customFormat="1" ht="32.1" customHeight="1" x14ac:dyDescent="0.2">
      <c r="A334" s="487" t="s">
        <v>155</v>
      </c>
      <c r="B334" s="258" t="s">
        <v>3323</v>
      </c>
      <c r="C334" s="258" t="s">
        <v>3324</v>
      </c>
      <c r="D334" s="121">
        <v>125</v>
      </c>
      <c r="E334" s="316"/>
      <c r="F334" s="316">
        <v>46.9</v>
      </c>
      <c r="G334" s="316"/>
      <c r="H334" s="316">
        <v>97.3</v>
      </c>
      <c r="I334" s="316"/>
      <c r="J334" s="316"/>
      <c r="K334" s="316"/>
      <c r="L334" s="316"/>
      <c r="M334" s="316"/>
      <c r="N334" s="316"/>
      <c r="O334" s="316"/>
      <c r="P334" s="316"/>
      <c r="Q334" s="226">
        <f t="shared" si="15"/>
        <v>72.099999999999994</v>
      </c>
      <c r="R334" s="226" t="str">
        <f t="shared" si="16"/>
        <v>NO</v>
      </c>
      <c r="S334" s="226" t="str">
        <f t="shared" si="17"/>
        <v>Alto</v>
      </c>
      <c r="T334" s="315"/>
    </row>
    <row r="335" spans="1:20" s="305" customFormat="1" ht="32.1" customHeight="1" x14ac:dyDescent="0.2">
      <c r="A335" s="487" t="s">
        <v>155</v>
      </c>
      <c r="B335" s="258" t="s">
        <v>3325</v>
      </c>
      <c r="C335" s="258" t="s">
        <v>3326</v>
      </c>
      <c r="D335" s="121">
        <v>153</v>
      </c>
      <c r="E335" s="316">
        <v>100</v>
      </c>
      <c r="F335" s="316">
        <v>0</v>
      </c>
      <c r="G335" s="316">
        <v>49.18</v>
      </c>
      <c r="H335" s="316">
        <v>0</v>
      </c>
      <c r="I335" s="316">
        <v>38.96</v>
      </c>
      <c r="J335" s="316">
        <v>28.4</v>
      </c>
      <c r="K335" s="316"/>
      <c r="L335" s="316"/>
      <c r="M335" s="316"/>
      <c r="N335" s="316"/>
      <c r="O335" s="316"/>
      <c r="P335" s="316"/>
      <c r="Q335" s="226">
        <f t="shared" si="15"/>
        <v>36.090000000000003</v>
      </c>
      <c r="R335" s="226" t="str">
        <f t="shared" si="16"/>
        <v>NO</v>
      </c>
      <c r="S335" s="226" t="str">
        <f t="shared" si="17"/>
        <v>Alto</v>
      </c>
      <c r="T335" s="315"/>
    </row>
    <row r="336" spans="1:20" s="305" customFormat="1" ht="32.1" customHeight="1" x14ac:dyDescent="0.2">
      <c r="A336" s="487" t="s">
        <v>155</v>
      </c>
      <c r="B336" s="258" t="s">
        <v>3327</v>
      </c>
      <c r="C336" s="258" t="s">
        <v>3328</v>
      </c>
      <c r="D336" s="121">
        <v>80</v>
      </c>
      <c r="E336" s="316"/>
      <c r="F336" s="316"/>
      <c r="G336" s="316"/>
      <c r="H336" s="316">
        <v>97.3</v>
      </c>
      <c r="I336" s="316"/>
      <c r="J336" s="316"/>
      <c r="K336" s="316"/>
      <c r="L336" s="316"/>
      <c r="M336" s="316"/>
      <c r="N336" s="316"/>
      <c r="O336" s="316"/>
      <c r="P336" s="316"/>
      <c r="Q336" s="226">
        <f t="shared" si="15"/>
        <v>97.3</v>
      </c>
      <c r="R336" s="226" t="str">
        <f t="shared" si="16"/>
        <v>NO</v>
      </c>
      <c r="S336" s="226" t="str">
        <f t="shared" si="17"/>
        <v>Inviable Sanitariamente</v>
      </c>
      <c r="T336" s="315"/>
    </row>
    <row r="337" spans="1:20" s="305" customFormat="1" ht="32.1" customHeight="1" x14ac:dyDescent="0.2">
      <c r="A337" s="487" t="s">
        <v>155</v>
      </c>
      <c r="B337" s="258" t="s">
        <v>3329</v>
      </c>
      <c r="C337" s="258" t="s">
        <v>3330</v>
      </c>
      <c r="D337" s="121">
        <v>270</v>
      </c>
      <c r="E337" s="316">
        <v>0</v>
      </c>
      <c r="F337" s="316">
        <v>0</v>
      </c>
      <c r="G337" s="316">
        <v>46.9</v>
      </c>
      <c r="H337" s="316">
        <v>0</v>
      </c>
      <c r="I337" s="316">
        <v>0</v>
      </c>
      <c r="J337" s="316">
        <v>0</v>
      </c>
      <c r="K337" s="316"/>
      <c r="L337" s="316"/>
      <c r="M337" s="316"/>
      <c r="N337" s="316"/>
      <c r="O337" s="316"/>
      <c r="P337" s="316"/>
      <c r="Q337" s="226">
        <f t="shared" si="15"/>
        <v>7.8166666666666664</v>
      </c>
      <c r="R337" s="226" t="str">
        <f t="shared" si="16"/>
        <v>NO</v>
      </c>
      <c r="S337" s="226" t="str">
        <f t="shared" si="17"/>
        <v>Bajo</v>
      </c>
      <c r="T337" s="315"/>
    </row>
    <row r="338" spans="1:20" s="305" customFormat="1" ht="32.1" customHeight="1" x14ac:dyDescent="0.2">
      <c r="A338" s="487" t="s">
        <v>155</v>
      </c>
      <c r="B338" s="258" t="s">
        <v>3331</v>
      </c>
      <c r="C338" s="258" t="s">
        <v>3332</v>
      </c>
      <c r="D338" s="121">
        <v>71</v>
      </c>
      <c r="E338" s="316"/>
      <c r="F338" s="316"/>
      <c r="G338" s="316">
        <v>46.9</v>
      </c>
      <c r="H338" s="316"/>
      <c r="I338" s="316"/>
      <c r="J338" s="316"/>
      <c r="K338" s="316"/>
      <c r="L338" s="316"/>
      <c r="M338" s="316"/>
      <c r="N338" s="316"/>
      <c r="O338" s="316"/>
      <c r="P338" s="316"/>
      <c r="Q338" s="226">
        <f t="shared" si="15"/>
        <v>46.9</v>
      </c>
      <c r="R338" s="226" t="str">
        <f t="shared" si="16"/>
        <v>NO</v>
      </c>
      <c r="S338" s="226" t="str">
        <f t="shared" si="17"/>
        <v>Alto</v>
      </c>
      <c r="T338" s="315"/>
    </row>
    <row r="339" spans="1:20" s="305" customFormat="1" ht="32.1" customHeight="1" x14ac:dyDescent="0.2">
      <c r="A339" s="487" t="s">
        <v>155</v>
      </c>
      <c r="B339" s="258" t="s">
        <v>3333</v>
      </c>
      <c r="C339" s="258" t="s">
        <v>3334</v>
      </c>
      <c r="D339" s="121"/>
      <c r="E339" s="316"/>
      <c r="F339" s="316"/>
      <c r="G339" s="316"/>
      <c r="H339" s="316"/>
      <c r="I339" s="316">
        <v>46.9</v>
      </c>
      <c r="J339" s="316"/>
      <c r="K339" s="316"/>
      <c r="L339" s="316"/>
      <c r="M339" s="316"/>
      <c r="N339" s="316"/>
      <c r="O339" s="316"/>
      <c r="P339" s="316"/>
      <c r="Q339" s="226">
        <f t="shared" si="15"/>
        <v>46.9</v>
      </c>
      <c r="R339" s="226" t="str">
        <f t="shared" si="16"/>
        <v>NO</v>
      </c>
      <c r="S339" s="226" t="str">
        <f t="shared" si="17"/>
        <v>Alto</v>
      </c>
      <c r="T339" s="315"/>
    </row>
    <row r="340" spans="1:20" s="305" customFormat="1" ht="50.1" customHeight="1" x14ac:dyDescent="0.2">
      <c r="A340" s="487" t="s">
        <v>156</v>
      </c>
      <c r="B340" s="258" t="s">
        <v>3335</v>
      </c>
      <c r="C340" s="258" t="s">
        <v>4431</v>
      </c>
      <c r="D340" s="121">
        <v>20</v>
      </c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  <c r="P340" s="316"/>
      <c r="Q340" s="226" t="e">
        <f t="shared" si="15"/>
        <v>#DIV/0!</v>
      </c>
      <c r="R340" s="226" t="e">
        <f t="shared" si="16"/>
        <v>#DIV/0!</v>
      </c>
      <c r="S340" s="226" t="e">
        <f t="shared" si="17"/>
        <v>#DIV/0!</v>
      </c>
      <c r="T340" s="315"/>
    </row>
    <row r="341" spans="1:20" s="305" customFormat="1" ht="50.1" customHeight="1" x14ac:dyDescent="0.2">
      <c r="A341" s="487" t="s">
        <v>156</v>
      </c>
      <c r="B341" s="258" t="s">
        <v>3336</v>
      </c>
      <c r="C341" s="258" t="s">
        <v>4432</v>
      </c>
      <c r="D341" s="121">
        <v>18</v>
      </c>
      <c r="E341" s="316"/>
      <c r="F341" s="316"/>
      <c r="G341" s="316"/>
      <c r="H341" s="316"/>
      <c r="I341" s="316"/>
      <c r="J341" s="316"/>
      <c r="K341" s="316"/>
      <c r="L341" s="316"/>
      <c r="M341" s="316"/>
      <c r="N341" s="316"/>
      <c r="O341" s="316"/>
      <c r="P341" s="316"/>
      <c r="Q341" s="226" t="e">
        <f t="shared" si="15"/>
        <v>#DIV/0!</v>
      </c>
      <c r="R341" s="226" t="e">
        <f t="shared" si="16"/>
        <v>#DIV/0!</v>
      </c>
      <c r="S341" s="226" t="e">
        <f t="shared" si="17"/>
        <v>#DIV/0!</v>
      </c>
      <c r="T341" s="315"/>
    </row>
    <row r="342" spans="1:20" s="305" customFormat="1" ht="50.1" customHeight="1" x14ac:dyDescent="0.2">
      <c r="A342" s="487" t="s">
        <v>156</v>
      </c>
      <c r="B342" s="258" t="s">
        <v>3337</v>
      </c>
      <c r="C342" s="258" t="s">
        <v>4433</v>
      </c>
      <c r="D342" s="121">
        <v>20</v>
      </c>
      <c r="E342" s="31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  <c r="P342" s="316"/>
      <c r="Q342" s="226" t="e">
        <f t="shared" si="15"/>
        <v>#DIV/0!</v>
      </c>
      <c r="R342" s="226" t="e">
        <f t="shared" si="16"/>
        <v>#DIV/0!</v>
      </c>
      <c r="S342" s="226" t="e">
        <f t="shared" si="17"/>
        <v>#DIV/0!</v>
      </c>
      <c r="T342" s="315"/>
    </row>
    <row r="343" spans="1:20" s="305" customFormat="1" ht="50.1" customHeight="1" x14ac:dyDescent="0.2">
      <c r="A343" s="487" t="s">
        <v>156</v>
      </c>
      <c r="B343" s="258" t="s">
        <v>3338</v>
      </c>
      <c r="C343" s="258" t="s">
        <v>4434</v>
      </c>
      <c r="D343" s="121">
        <v>27</v>
      </c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  <c r="P343" s="316"/>
      <c r="Q343" s="226" t="e">
        <f t="shared" si="15"/>
        <v>#DIV/0!</v>
      </c>
      <c r="R343" s="226" t="e">
        <f t="shared" si="16"/>
        <v>#DIV/0!</v>
      </c>
      <c r="S343" s="226" t="e">
        <f t="shared" si="17"/>
        <v>#DIV/0!</v>
      </c>
      <c r="T343" s="315"/>
    </row>
    <row r="344" spans="1:20" s="305" customFormat="1" ht="50.1" customHeight="1" x14ac:dyDescent="0.2">
      <c r="A344" s="487" t="s">
        <v>156</v>
      </c>
      <c r="B344" s="258" t="s">
        <v>3339</v>
      </c>
      <c r="C344" s="258" t="s">
        <v>4435</v>
      </c>
      <c r="D344" s="121">
        <v>32</v>
      </c>
      <c r="E344" s="316"/>
      <c r="F344" s="316"/>
      <c r="G344" s="316"/>
      <c r="H344" s="316"/>
      <c r="I344" s="316"/>
      <c r="J344" s="316"/>
      <c r="K344" s="316"/>
      <c r="L344" s="316"/>
      <c r="M344" s="316"/>
      <c r="N344" s="316"/>
      <c r="O344" s="316"/>
      <c r="P344" s="316"/>
      <c r="Q344" s="226" t="e">
        <f t="shared" si="15"/>
        <v>#DIV/0!</v>
      </c>
      <c r="R344" s="226" t="e">
        <f t="shared" si="16"/>
        <v>#DIV/0!</v>
      </c>
      <c r="S344" s="226" t="e">
        <f t="shared" si="17"/>
        <v>#DIV/0!</v>
      </c>
      <c r="T344" s="315"/>
    </row>
    <row r="345" spans="1:20" s="305" customFormat="1" ht="50.1" customHeight="1" x14ac:dyDescent="0.2">
      <c r="A345" s="487" t="s">
        <v>156</v>
      </c>
      <c r="B345" s="258" t="s">
        <v>3340</v>
      </c>
      <c r="C345" s="258" t="s">
        <v>4436</v>
      </c>
      <c r="D345" s="121">
        <v>28</v>
      </c>
      <c r="E345" s="316"/>
      <c r="F345" s="316"/>
      <c r="G345" s="316"/>
      <c r="H345" s="316"/>
      <c r="I345" s="316"/>
      <c r="J345" s="316"/>
      <c r="K345" s="316"/>
      <c r="L345" s="316"/>
      <c r="M345" s="316"/>
      <c r="N345" s="316"/>
      <c r="O345" s="316"/>
      <c r="P345" s="316"/>
      <c r="Q345" s="226" t="e">
        <f t="shared" ref="Q345:Q408" si="18">AVERAGE(E345:P345)</f>
        <v>#DIV/0!</v>
      </c>
      <c r="R345" s="226" t="e">
        <f t="shared" si="16"/>
        <v>#DIV/0!</v>
      </c>
      <c r="S345" s="226" t="e">
        <f t="shared" si="17"/>
        <v>#DIV/0!</v>
      </c>
      <c r="T345" s="315"/>
    </row>
    <row r="346" spans="1:20" s="305" customFormat="1" ht="50.1" customHeight="1" x14ac:dyDescent="0.2">
      <c r="A346" s="487" t="s">
        <v>156</v>
      </c>
      <c r="B346" s="258" t="s">
        <v>3341</v>
      </c>
      <c r="C346" s="258" t="s">
        <v>4437</v>
      </c>
      <c r="D346" s="121">
        <v>150</v>
      </c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  <c r="P346" s="316"/>
      <c r="Q346" s="226" t="e">
        <f t="shared" si="18"/>
        <v>#DIV/0!</v>
      </c>
      <c r="R346" s="226" t="e">
        <f t="shared" si="16"/>
        <v>#DIV/0!</v>
      </c>
      <c r="S346" s="226" t="e">
        <f t="shared" si="17"/>
        <v>#DIV/0!</v>
      </c>
      <c r="T346" s="315"/>
    </row>
    <row r="347" spans="1:20" s="305" customFormat="1" ht="50.1" customHeight="1" x14ac:dyDescent="0.2">
      <c r="A347" s="487" t="s">
        <v>156</v>
      </c>
      <c r="B347" s="258" t="s">
        <v>94</v>
      </c>
      <c r="C347" s="258" t="s">
        <v>4439</v>
      </c>
      <c r="D347" s="116">
        <v>19</v>
      </c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16"/>
      <c r="P347" s="316"/>
      <c r="Q347" s="226" t="e">
        <f t="shared" si="18"/>
        <v>#DIV/0!</v>
      </c>
      <c r="R347" s="226" t="e">
        <f t="shared" si="16"/>
        <v>#DIV/0!</v>
      </c>
      <c r="S347" s="226" t="e">
        <f t="shared" si="17"/>
        <v>#DIV/0!</v>
      </c>
      <c r="T347" s="315"/>
    </row>
    <row r="348" spans="1:20" s="305" customFormat="1" ht="50.1" customHeight="1" x14ac:dyDescent="0.2">
      <c r="A348" s="487" t="s">
        <v>156</v>
      </c>
      <c r="B348" s="258" t="s">
        <v>3342</v>
      </c>
      <c r="C348" s="258" t="s">
        <v>4438</v>
      </c>
      <c r="D348" s="121">
        <v>45</v>
      </c>
      <c r="E348" s="316"/>
      <c r="F348" s="316"/>
      <c r="G348" s="316"/>
      <c r="H348" s="316"/>
      <c r="I348" s="316"/>
      <c r="J348" s="316"/>
      <c r="K348" s="316"/>
      <c r="L348" s="316"/>
      <c r="M348" s="316"/>
      <c r="N348" s="316"/>
      <c r="O348" s="316"/>
      <c r="P348" s="316"/>
      <c r="Q348" s="226" t="e">
        <f t="shared" si="18"/>
        <v>#DIV/0!</v>
      </c>
      <c r="R348" s="226" t="e">
        <f t="shared" si="16"/>
        <v>#DIV/0!</v>
      </c>
      <c r="S348" s="226" t="e">
        <f t="shared" si="17"/>
        <v>#DIV/0!</v>
      </c>
      <c r="T348" s="315"/>
    </row>
    <row r="349" spans="1:20" s="305" customFormat="1" ht="50.1" customHeight="1" x14ac:dyDescent="0.2">
      <c r="A349" s="487" t="s">
        <v>156</v>
      </c>
      <c r="B349" s="258" t="s">
        <v>3343</v>
      </c>
      <c r="C349" s="258" t="s">
        <v>4440</v>
      </c>
      <c r="D349" s="121">
        <v>15</v>
      </c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6"/>
      <c r="P349" s="316"/>
      <c r="Q349" s="226" t="e">
        <f t="shared" si="18"/>
        <v>#DIV/0!</v>
      </c>
      <c r="R349" s="226" t="e">
        <f t="shared" si="16"/>
        <v>#DIV/0!</v>
      </c>
      <c r="S349" s="226" t="e">
        <f t="shared" si="17"/>
        <v>#DIV/0!</v>
      </c>
      <c r="T349" s="315"/>
    </row>
    <row r="350" spans="1:20" s="305" customFormat="1" ht="50.1" customHeight="1" x14ac:dyDescent="0.2">
      <c r="A350" s="487" t="s">
        <v>156</v>
      </c>
      <c r="B350" s="258" t="s">
        <v>3344</v>
      </c>
      <c r="C350" s="258" t="s">
        <v>4441</v>
      </c>
      <c r="D350" s="116">
        <v>17</v>
      </c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16"/>
      <c r="P350" s="316"/>
      <c r="Q350" s="226" t="e">
        <f t="shared" si="18"/>
        <v>#DIV/0!</v>
      </c>
      <c r="R350" s="226" t="e">
        <f t="shared" si="16"/>
        <v>#DIV/0!</v>
      </c>
      <c r="S350" s="226" t="e">
        <f t="shared" si="17"/>
        <v>#DIV/0!</v>
      </c>
      <c r="T350" s="315"/>
    </row>
    <row r="351" spans="1:20" s="305" customFormat="1" ht="50.1" customHeight="1" x14ac:dyDescent="0.2">
      <c r="A351" s="487" t="s">
        <v>156</v>
      </c>
      <c r="B351" s="258" t="s">
        <v>3345</v>
      </c>
      <c r="C351" s="258" t="s">
        <v>4442</v>
      </c>
      <c r="D351" s="121">
        <v>16</v>
      </c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  <c r="P351" s="316"/>
      <c r="Q351" s="226" t="e">
        <f t="shared" si="18"/>
        <v>#DIV/0!</v>
      </c>
      <c r="R351" s="226" t="e">
        <f t="shared" si="16"/>
        <v>#DIV/0!</v>
      </c>
      <c r="S351" s="226" t="e">
        <f t="shared" si="17"/>
        <v>#DIV/0!</v>
      </c>
      <c r="T351" s="315"/>
    </row>
    <row r="352" spans="1:20" s="305" customFormat="1" ht="50.1" customHeight="1" x14ac:dyDescent="0.2">
      <c r="A352" s="487" t="s">
        <v>156</v>
      </c>
      <c r="B352" s="258" t="s">
        <v>1253</v>
      </c>
      <c r="C352" s="258" t="s">
        <v>4444</v>
      </c>
      <c r="D352" s="121">
        <v>21</v>
      </c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  <c r="P352" s="316"/>
      <c r="Q352" s="226" t="e">
        <f t="shared" si="18"/>
        <v>#DIV/0!</v>
      </c>
      <c r="R352" s="226" t="e">
        <f t="shared" si="16"/>
        <v>#DIV/0!</v>
      </c>
      <c r="S352" s="226" t="e">
        <f t="shared" si="17"/>
        <v>#DIV/0!</v>
      </c>
      <c r="T352" s="315"/>
    </row>
    <row r="353" spans="1:20" s="305" customFormat="1" ht="50.1" customHeight="1" x14ac:dyDescent="0.2">
      <c r="A353" s="487" t="s">
        <v>156</v>
      </c>
      <c r="B353" s="258" t="s">
        <v>3346</v>
      </c>
      <c r="C353" s="258" t="s">
        <v>4443</v>
      </c>
      <c r="D353" s="116">
        <v>15</v>
      </c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226" t="e">
        <f t="shared" si="18"/>
        <v>#DIV/0!</v>
      </c>
      <c r="R353" s="226" t="e">
        <f t="shared" si="16"/>
        <v>#DIV/0!</v>
      </c>
      <c r="S353" s="226" t="e">
        <f t="shared" si="17"/>
        <v>#DIV/0!</v>
      </c>
      <c r="T353" s="315"/>
    </row>
    <row r="354" spans="1:20" s="305" customFormat="1" ht="50.1" customHeight="1" x14ac:dyDescent="0.2">
      <c r="A354" s="487" t="s">
        <v>156</v>
      </c>
      <c r="B354" s="258" t="s">
        <v>3347</v>
      </c>
      <c r="C354" s="258" t="s">
        <v>4445</v>
      </c>
      <c r="D354" s="121">
        <v>17</v>
      </c>
      <c r="E354" s="316"/>
      <c r="F354" s="316"/>
      <c r="G354" s="316"/>
      <c r="H354" s="316"/>
      <c r="I354" s="316"/>
      <c r="J354" s="316"/>
      <c r="K354" s="316"/>
      <c r="L354" s="316"/>
      <c r="M354" s="316"/>
      <c r="N354" s="316"/>
      <c r="O354" s="316"/>
      <c r="P354" s="316"/>
      <c r="Q354" s="226" t="e">
        <f t="shared" si="18"/>
        <v>#DIV/0!</v>
      </c>
      <c r="R354" s="226" t="e">
        <f t="shared" si="16"/>
        <v>#DIV/0!</v>
      </c>
      <c r="S354" s="226" t="e">
        <f t="shared" si="17"/>
        <v>#DIV/0!</v>
      </c>
      <c r="T354" s="315"/>
    </row>
    <row r="355" spans="1:20" s="305" customFormat="1" ht="50.1" customHeight="1" x14ac:dyDescent="0.2">
      <c r="A355" s="487" t="s">
        <v>156</v>
      </c>
      <c r="B355" s="258" t="s">
        <v>3348</v>
      </c>
      <c r="C355" s="258" t="s">
        <v>4446</v>
      </c>
      <c r="D355" s="121">
        <v>22</v>
      </c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16"/>
      <c r="P355" s="316"/>
      <c r="Q355" s="226" t="e">
        <f t="shared" si="18"/>
        <v>#DIV/0!</v>
      </c>
      <c r="R355" s="226" t="e">
        <f t="shared" si="16"/>
        <v>#DIV/0!</v>
      </c>
      <c r="S355" s="226" t="e">
        <f t="shared" si="17"/>
        <v>#DIV/0!</v>
      </c>
      <c r="T355" s="315"/>
    </row>
    <row r="356" spans="1:20" s="305" customFormat="1" ht="50.1" customHeight="1" x14ac:dyDescent="0.2">
      <c r="A356" s="487" t="s">
        <v>156</v>
      </c>
      <c r="B356" s="258" t="s">
        <v>3349</v>
      </c>
      <c r="C356" s="258" t="s">
        <v>4447</v>
      </c>
      <c r="D356" s="121">
        <v>48</v>
      </c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16"/>
      <c r="P356" s="316"/>
      <c r="Q356" s="226" t="e">
        <f t="shared" si="18"/>
        <v>#DIV/0!</v>
      </c>
      <c r="R356" s="226" t="e">
        <f t="shared" si="16"/>
        <v>#DIV/0!</v>
      </c>
      <c r="S356" s="226" t="e">
        <f t="shared" si="17"/>
        <v>#DIV/0!</v>
      </c>
      <c r="T356" s="315"/>
    </row>
    <row r="357" spans="1:20" s="305" customFormat="1" ht="50.1" customHeight="1" x14ac:dyDescent="0.2">
      <c r="A357" s="487" t="s">
        <v>156</v>
      </c>
      <c r="B357" s="258" t="s">
        <v>1498</v>
      </c>
      <c r="C357" s="258" t="s">
        <v>4448</v>
      </c>
      <c r="D357" s="121">
        <v>18</v>
      </c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  <c r="P357" s="316"/>
      <c r="Q357" s="226" t="e">
        <f t="shared" si="18"/>
        <v>#DIV/0!</v>
      </c>
      <c r="R357" s="226" t="e">
        <f t="shared" si="16"/>
        <v>#DIV/0!</v>
      </c>
      <c r="S357" s="226" t="e">
        <f t="shared" si="17"/>
        <v>#DIV/0!</v>
      </c>
      <c r="T357" s="315"/>
    </row>
    <row r="358" spans="1:20" s="305" customFormat="1" ht="50.1" customHeight="1" x14ac:dyDescent="0.2">
      <c r="A358" s="487" t="s">
        <v>156</v>
      </c>
      <c r="B358" s="258" t="s">
        <v>3213</v>
      </c>
      <c r="C358" s="258" t="s">
        <v>4449</v>
      </c>
      <c r="D358" s="121">
        <v>17</v>
      </c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16"/>
      <c r="P358" s="316"/>
      <c r="Q358" s="226" t="e">
        <f t="shared" si="18"/>
        <v>#DIV/0!</v>
      </c>
      <c r="R358" s="226" t="e">
        <f t="shared" si="16"/>
        <v>#DIV/0!</v>
      </c>
      <c r="S358" s="226" t="e">
        <f t="shared" si="17"/>
        <v>#DIV/0!</v>
      </c>
      <c r="T358" s="315"/>
    </row>
    <row r="359" spans="1:20" s="305" customFormat="1" ht="50.1" customHeight="1" x14ac:dyDescent="0.2">
      <c r="A359" s="487" t="s">
        <v>156</v>
      </c>
      <c r="B359" s="258" t="s">
        <v>3350</v>
      </c>
      <c r="C359" s="258" t="s">
        <v>4450</v>
      </c>
      <c r="D359" s="121">
        <v>22</v>
      </c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16"/>
      <c r="P359" s="316"/>
      <c r="Q359" s="226" t="e">
        <f t="shared" si="18"/>
        <v>#DIV/0!</v>
      </c>
      <c r="R359" s="226" t="e">
        <f t="shared" si="16"/>
        <v>#DIV/0!</v>
      </c>
      <c r="S359" s="226" t="e">
        <f t="shared" si="17"/>
        <v>#DIV/0!</v>
      </c>
      <c r="T359" s="315"/>
    </row>
    <row r="360" spans="1:20" s="305" customFormat="1" ht="50.1" customHeight="1" x14ac:dyDescent="0.2">
      <c r="A360" s="487" t="s">
        <v>156</v>
      </c>
      <c r="B360" s="258" t="s">
        <v>3351</v>
      </c>
      <c r="C360" s="258" t="s">
        <v>4451</v>
      </c>
      <c r="D360" s="121">
        <v>12</v>
      </c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16"/>
      <c r="P360" s="316"/>
      <c r="Q360" s="226" t="e">
        <f t="shared" si="18"/>
        <v>#DIV/0!</v>
      </c>
      <c r="R360" s="226" t="e">
        <f t="shared" si="16"/>
        <v>#DIV/0!</v>
      </c>
      <c r="S360" s="226" t="e">
        <f t="shared" si="17"/>
        <v>#DIV/0!</v>
      </c>
      <c r="T360" s="315"/>
    </row>
    <row r="361" spans="1:20" s="305" customFormat="1" ht="50.1" customHeight="1" x14ac:dyDescent="0.2">
      <c r="A361" s="487" t="s">
        <v>156</v>
      </c>
      <c r="B361" s="258" t="s">
        <v>3352</v>
      </c>
      <c r="C361" s="258" t="s">
        <v>4452</v>
      </c>
      <c r="D361" s="121">
        <v>20</v>
      </c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  <c r="P361" s="316"/>
      <c r="Q361" s="226" t="e">
        <f t="shared" si="18"/>
        <v>#DIV/0!</v>
      </c>
      <c r="R361" s="226" t="e">
        <f t="shared" si="16"/>
        <v>#DIV/0!</v>
      </c>
      <c r="S361" s="226" t="e">
        <f t="shared" si="17"/>
        <v>#DIV/0!</v>
      </c>
      <c r="T361" s="315"/>
    </row>
    <row r="362" spans="1:20" s="305" customFormat="1" ht="50.1" customHeight="1" x14ac:dyDescent="0.2">
      <c r="A362" s="487" t="s">
        <v>156</v>
      </c>
      <c r="B362" s="258" t="s">
        <v>3353</v>
      </c>
      <c r="C362" s="258" t="s">
        <v>4453</v>
      </c>
      <c r="D362" s="121">
        <v>20</v>
      </c>
      <c r="E362" s="316"/>
      <c r="F362" s="316"/>
      <c r="G362" s="316"/>
      <c r="H362" s="316"/>
      <c r="I362" s="316"/>
      <c r="J362" s="316"/>
      <c r="K362" s="316"/>
      <c r="L362" s="316"/>
      <c r="M362" s="316"/>
      <c r="N362" s="316"/>
      <c r="O362" s="316"/>
      <c r="P362" s="316"/>
      <c r="Q362" s="226" t="e">
        <f t="shared" si="18"/>
        <v>#DIV/0!</v>
      </c>
      <c r="R362" s="226" t="e">
        <f t="shared" si="16"/>
        <v>#DIV/0!</v>
      </c>
      <c r="S362" s="226" t="e">
        <f t="shared" si="17"/>
        <v>#DIV/0!</v>
      </c>
      <c r="T362" s="315"/>
    </row>
    <row r="363" spans="1:20" s="305" customFormat="1" ht="50.1" customHeight="1" x14ac:dyDescent="0.2">
      <c r="A363" s="487" t="s">
        <v>156</v>
      </c>
      <c r="B363" s="258" t="s">
        <v>3354</v>
      </c>
      <c r="C363" s="258" t="s">
        <v>4454</v>
      </c>
      <c r="D363" s="121">
        <v>19</v>
      </c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  <c r="P363" s="316"/>
      <c r="Q363" s="226" t="e">
        <f t="shared" si="18"/>
        <v>#DIV/0!</v>
      </c>
      <c r="R363" s="226" t="e">
        <f t="shared" si="16"/>
        <v>#DIV/0!</v>
      </c>
      <c r="S363" s="226" t="e">
        <f t="shared" si="17"/>
        <v>#DIV/0!</v>
      </c>
      <c r="T363" s="315"/>
    </row>
    <row r="364" spans="1:20" s="305" customFormat="1" ht="50.1" customHeight="1" x14ac:dyDescent="0.2">
      <c r="A364" s="487" t="s">
        <v>156</v>
      </c>
      <c r="B364" s="258" t="s">
        <v>700</v>
      </c>
      <c r="C364" s="258" t="s">
        <v>4455</v>
      </c>
      <c r="D364" s="121">
        <v>38</v>
      </c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  <c r="P364" s="316"/>
      <c r="Q364" s="226" t="e">
        <f t="shared" si="18"/>
        <v>#DIV/0!</v>
      </c>
      <c r="R364" s="226" t="e">
        <f t="shared" si="16"/>
        <v>#DIV/0!</v>
      </c>
      <c r="S364" s="226" t="e">
        <f t="shared" si="17"/>
        <v>#DIV/0!</v>
      </c>
      <c r="T364" s="315"/>
    </row>
    <row r="365" spans="1:20" s="305" customFormat="1" ht="50.1" customHeight="1" x14ac:dyDescent="0.2">
      <c r="A365" s="487" t="s">
        <v>156</v>
      </c>
      <c r="B365" s="258" t="s">
        <v>3355</v>
      </c>
      <c r="C365" s="258" t="s">
        <v>4456</v>
      </c>
      <c r="D365" s="121">
        <v>45</v>
      </c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  <c r="P365" s="316"/>
      <c r="Q365" s="226" t="e">
        <f t="shared" si="18"/>
        <v>#DIV/0!</v>
      </c>
      <c r="R365" s="226" t="e">
        <f t="shared" si="16"/>
        <v>#DIV/0!</v>
      </c>
      <c r="S365" s="226" t="e">
        <f t="shared" si="17"/>
        <v>#DIV/0!</v>
      </c>
      <c r="T365" s="315"/>
    </row>
    <row r="366" spans="1:20" s="305" customFormat="1" ht="50.1" customHeight="1" x14ac:dyDescent="0.2">
      <c r="A366" s="487" t="s">
        <v>156</v>
      </c>
      <c r="B366" s="258" t="s">
        <v>3356</v>
      </c>
      <c r="C366" s="258" t="s">
        <v>4457</v>
      </c>
      <c r="D366" s="121">
        <v>25</v>
      </c>
      <c r="E366" s="316"/>
      <c r="F366" s="316"/>
      <c r="G366" s="316"/>
      <c r="H366" s="316"/>
      <c r="I366" s="316"/>
      <c r="J366" s="316"/>
      <c r="K366" s="316"/>
      <c r="L366" s="316"/>
      <c r="M366" s="316"/>
      <c r="N366" s="316"/>
      <c r="O366" s="316"/>
      <c r="P366" s="316"/>
      <c r="Q366" s="226" t="e">
        <f t="shared" si="18"/>
        <v>#DIV/0!</v>
      </c>
      <c r="R366" s="226" t="e">
        <f t="shared" si="16"/>
        <v>#DIV/0!</v>
      </c>
      <c r="S366" s="226" t="e">
        <f t="shared" si="17"/>
        <v>#DIV/0!</v>
      </c>
      <c r="T366" s="315"/>
    </row>
    <row r="367" spans="1:20" s="305" customFormat="1" ht="50.1" customHeight="1" x14ac:dyDescent="0.2">
      <c r="A367" s="487" t="s">
        <v>156</v>
      </c>
      <c r="B367" s="258" t="s">
        <v>3357</v>
      </c>
      <c r="C367" s="258" t="s">
        <v>4458</v>
      </c>
      <c r="D367" s="121">
        <v>26</v>
      </c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  <c r="P367" s="316"/>
      <c r="Q367" s="226" t="e">
        <f t="shared" si="18"/>
        <v>#DIV/0!</v>
      </c>
      <c r="R367" s="226" t="e">
        <f t="shared" si="16"/>
        <v>#DIV/0!</v>
      </c>
      <c r="S367" s="226" t="e">
        <f t="shared" si="17"/>
        <v>#DIV/0!</v>
      </c>
      <c r="T367" s="315"/>
    </row>
    <row r="368" spans="1:20" s="305" customFormat="1" ht="50.1" customHeight="1" x14ac:dyDescent="0.2">
      <c r="A368" s="487" t="s">
        <v>156</v>
      </c>
      <c r="B368" s="258" t="s">
        <v>3358</v>
      </c>
      <c r="C368" s="258" t="s">
        <v>4462</v>
      </c>
      <c r="D368" s="121">
        <v>23</v>
      </c>
      <c r="E368" s="316"/>
      <c r="F368" s="316"/>
      <c r="G368" s="316"/>
      <c r="H368" s="316"/>
      <c r="I368" s="316"/>
      <c r="J368" s="316"/>
      <c r="K368" s="316"/>
      <c r="L368" s="316"/>
      <c r="M368" s="316"/>
      <c r="N368" s="316"/>
      <c r="O368" s="316"/>
      <c r="P368" s="316"/>
      <c r="Q368" s="226" t="e">
        <f t="shared" si="18"/>
        <v>#DIV/0!</v>
      </c>
      <c r="R368" s="226" t="e">
        <f t="shared" si="16"/>
        <v>#DIV/0!</v>
      </c>
      <c r="S368" s="226" t="e">
        <f t="shared" si="17"/>
        <v>#DIV/0!</v>
      </c>
      <c r="T368" s="315"/>
    </row>
    <row r="369" spans="1:20" s="305" customFormat="1" ht="50.1" customHeight="1" x14ac:dyDescent="0.2">
      <c r="A369" s="487" t="s">
        <v>156</v>
      </c>
      <c r="B369" s="258" t="s">
        <v>3359</v>
      </c>
      <c r="C369" s="258" t="s">
        <v>4459</v>
      </c>
      <c r="D369" s="121">
        <v>19</v>
      </c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226" t="e">
        <f t="shared" si="18"/>
        <v>#DIV/0!</v>
      </c>
      <c r="R369" s="226" t="e">
        <f t="shared" si="16"/>
        <v>#DIV/0!</v>
      </c>
      <c r="S369" s="226" t="e">
        <f t="shared" si="17"/>
        <v>#DIV/0!</v>
      </c>
      <c r="T369" s="315"/>
    </row>
    <row r="370" spans="1:20" s="305" customFormat="1" ht="50.1" customHeight="1" x14ac:dyDescent="0.2">
      <c r="A370" s="487" t="s">
        <v>156</v>
      </c>
      <c r="B370" s="258" t="s">
        <v>1158</v>
      </c>
      <c r="C370" s="258" t="s">
        <v>4460</v>
      </c>
      <c r="D370" s="121">
        <v>18</v>
      </c>
      <c r="E370" s="316"/>
      <c r="F370" s="316"/>
      <c r="G370" s="316"/>
      <c r="H370" s="316"/>
      <c r="I370" s="316"/>
      <c r="J370" s="316"/>
      <c r="K370" s="316"/>
      <c r="L370" s="316"/>
      <c r="M370" s="316"/>
      <c r="N370" s="316"/>
      <c r="O370" s="316"/>
      <c r="P370" s="316"/>
      <c r="Q370" s="226" t="e">
        <f t="shared" si="18"/>
        <v>#DIV/0!</v>
      </c>
      <c r="R370" s="226" t="e">
        <f t="shared" si="16"/>
        <v>#DIV/0!</v>
      </c>
      <c r="S370" s="226" t="e">
        <f t="shared" si="17"/>
        <v>#DIV/0!</v>
      </c>
      <c r="T370" s="315"/>
    </row>
    <row r="371" spans="1:20" s="305" customFormat="1" ht="50.1" customHeight="1" x14ac:dyDescent="0.2">
      <c r="A371" s="487" t="s">
        <v>156</v>
      </c>
      <c r="B371" s="258" t="s">
        <v>3360</v>
      </c>
      <c r="C371" s="258" t="s">
        <v>4461</v>
      </c>
      <c r="D371" s="121">
        <v>35</v>
      </c>
      <c r="E371" s="316"/>
      <c r="F371" s="316"/>
      <c r="G371" s="316"/>
      <c r="H371" s="316"/>
      <c r="I371" s="316"/>
      <c r="J371" s="316"/>
      <c r="K371" s="316"/>
      <c r="L371" s="316"/>
      <c r="M371" s="316"/>
      <c r="N371" s="316"/>
      <c r="O371" s="316"/>
      <c r="P371" s="316"/>
      <c r="Q371" s="226" t="e">
        <f t="shared" si="18"/>
        <v>#DIV/0!</v>
      </c>
      <c r="R371" s="226" t="e">
        <f t="shared" si="16"/>
        <v>#DIV/0!</v>
      </c>
      <c r="S371" s="226" t="e">
        <f t="shared" si="17"/>
        <v>#DIV/0!</v>
      </c>
      <c r="T371" s="315"/>
    </row>
    <row r="372" spans="1:20" s="305" customFormat="1" ht="32.1" customHeight="1" x14ac:dyDescent="0.2">
      <c r="A372" s="487" t="s">
        <v>157</v>
      </c>
      <c r="B372" s="258" t="s">
        <v>3361</v>
      </c>
      <c r="C372" s="258" t="s">
        <v>3362</v>
      </c>
      <c r="D372" s="121">
        <v>250</v>
      </c>
      <c r="E372" s="316"/>
      <c r="F372" s="316">
        <v>97.3</v>
      </c>
      <c r="G372" s="316"/>
      <c r="H372" s="316"/>
      <c r="I372" s="316">
        <v>97.3</v>
      </c>
      <c r="J372" s="316"/>
      <c r="K372" s="316"/>
      <c r="L372" s="316"/>
      <c r="M372" s="316"/>
      <c r="N372" s="316"/>
      <c r="O372" s="316"/>
      <c r="P372" s="316"/>
      <c r="Q372" s="226">
        <f t="shared" si="18"/>
        <v>97.3</v>
      </c>
      <c r="R372" s="226" t="str">
        <f t="shared" si="16"/>
        <v>NO</v>
      </c>
      <c r="S372" s="226" t="str">
        <f t="shared" si="17"/>
        <v>Inviable Sanitariamente</v>
      </c>
      <c r="T372" s="315"/>
    </row>
    <row r="373" spans="1:20" s="305" customFormat="1" ht="32.1" customHeight="1" x14ac:dyDescent="0.2">
      <c r="A373" s="487" t="s">
        <v>157</v>
      </c>
      <c r="B373" s="258" t="s">
        <v>3363</v>
      </c>
      <c r="C373" s="258" t="s">
        <v>3364</v>
      </c>
      <c r="D373" s="121">
        <v>78</v>
      </c>
      <c r="E373" s="316"/>
      <c r="F373" s="316"/>
      <c r="G373" s="316">
        <v>97.3</v>
      </c>
      <c r="H373" s="316"/>
      <c r="I373" s="316"/>
      <c r="J373" s="316"/>
      <c r="K373" s="316">
        <v>97.3</v>
      </c>
      <c r="L373" s="316"/>
      <c r="M373" s="316"/>
      <c r="N373" s="316"/>
      <c r="O373" s="316"/>
      <c r="P373" s="316"/>
      <c r="Q373" s="226">
        <f t="shared" si="18"/>
        <v>97.3</v>
      </c>
      <c r="R373" s="226" t="str">
        <f t="shared" si="16"/>
        <v>NO</v>
      </c>
      <c r="S373" s="226" t="str">
        <f t="shared" si="17"/>
        <v>Inviable Sanitariamente</v>
      </c>
      <c r="T373" s="315"/>
    </row>
    <row r="374" spans="1:20" s="305" customFormat="1" ht="32.1" customHeight="1" x14ac:dyDescent="0.2">
      <c r="A374" s="487" t="s">
        <v>157</v>
      </c>
      <c r="B374" s="258" t="s">
        <v>3365</v>
      </c>
      <c r="C374" s="258" t="s">
        <v>3366</v>
      </c>
      <c r="D374" s="121">
        <v>56</v>
      </c>
      <c r="E374" s="316"/>
      <c r="F374" s="316"/>
      <c r="G374" s="316"/>
      <c r="H374" s="316">
        <v>97.3</v>
      </c>
      <c r="I374" s="316"/>
      <c r="J374" s="316"/>
      <c r="K374" s="316"/>
      <c r="L374" s="316"/>
      <c r="M374" s="316"/>
      <c r="N374" s="316"/>
      <c r="O374" s="316"/>
      <c r="P374" s="316"/>
      <c r="Q374" s="226">
        <f t="shared" si="18"/>
        <v>97.3</v>
      </c>
      <c r="R374" s="226" t="str">
        <f t="shared" si="16"/>
        <v>NO</v>
      </c>
      <c r="S374" s="226" t="str">
        <f t="shared" si="17"/>
        <v>Inviable Sanitariamente</v>
      </c>
      <c r="T374" s="315"/>
    </row>
    <row r="375" spans="1:20" s="305" customFormat="1" ht="32.1" customHeight="1" x14ac:dyDescent="0.2">
      <c r="A375" s="487" t="s">
        <v>157</v>
      </c>
      <c r="B375" s="258" t="s">
        <v>1049</v>
      </c>
      <c r="C375" s="258" t="s">
        <v>3367</v>
      </c>
      <c r="D375" s="121">
        <v>90</v>
      </c>
      <c r="E375" s="316"/>
      <c r="F375" s="316">
        <v>97.3</v>
      </c>
      <c r="G375" s="316"/>
      <c r="H375" s="316"/>
      <c r="I375" s="316"/>
      <c r="J375" s="316"/>
      <c r="K375" s="316">
        <v>97.3</v>
      </c>
      <c r="L375" s="316"/>
      <c r="M375" s="316"/>
      <c r="N375" s="316"/>
      <c r="O375" s="316"/>
      <c r="P375" s="316"/>
      <c r="Q375" s="226">
        <f t="shared" si="18"/>
        <v>97.3</v>
      </c>
      <c r="R375" s="226" t="str">
        <f t="shared" si="16"/>
        <v>NO</v>
      </c>
      <c r="S375" s="226" t="str">
        <f t="shared" si="17"/>
        <v>Inviable Sanitariamente</v>
      </c>
      <c r="T375" s="315"/>
    </row>
    <row r="376" spans="1:20" s="305" customFormat="1" ht="32.1" customHeight="1" x14ac:dyDescent="0.2">
      <c r="A376" s="487" t="s">
        <v>157</v>
      </c>
      <c r="B376" s="258" t="s">
        <v>2948</v>
      </c>
      <c r="C376" s="258" t="s">
        <v>3368</v>
      </c>
      <c r="D376" s="121">
        <v>80</v>
      </c>
      <c r="E376" s="316"/>
      <c r="F376" s="316"/>
      <c r="G376" s="316"/>
      <c r="H376" s="316"/>
      <c r="I376" s="316">
        <v>97.3</v>
      </c>
      <c r="J376" s="316"/>
      <c r="K376" s="316"/>
      <c r="L376" s="316"/>
      <c r="M376" s="316"/>
      <c r="N376" s="316"/>
      <c r="O376" s="316"/>
      <c r="P376" s="316"/>
      <c r="Q376" s="226">
        <f t="shared" si="18"/>
        <v>97.3</v>
      </c>
      <c r="R376" s="226" t="str">
        <f t="shared" si="16"/>
        <v>NO</v>
      </c>
      <c r="S376" s="226" t="str">
        <f t="shared" si="17"/>
        <v>Inviable Sanitariamente</v>
      </c>
      <c r="T376" s="315"/>
    </row>
    <row r="377" spans="1:20" s="305" customFormat="1" ht="32.1" customHeight="1" x14ac:dyDescent="0.2">
      <c r="A377" s="487" t="s">
        <v>157</v>
      </c>
      <c r="B377" s="258" t="s">
        <v>3369</v>
      </c>
      <c r="C377" s="258" t="s">
        <v>3370</v>
      </c>
      <c r="D377" s="121">
        <v>30</v>
      </c>
      <c r="E377" s="316"/>
      <c r="F377" s="316"/>
      <c r="G377" s="316"/>
      <c r="H377" s="316"/>
      <c r="I377" s="316">
        <v>97.3</v>
      </c>
      <c r="J377" s="316"/>
      <c r="K377" s="316"/>
      <c r="L377" s="316"/>
      <c r="M377" s="316"/>
      <c r="N377" s="316"/>
      <c r="O377" s="316"/>
      <c r="P377" s="316"/>
      <c r="Q377" s="226">
        <f t="shared" si="18"/>
        <v>97.3</v>
      </c>
      <c r="R377" s="226" t="str">
        <f t="shared" si="16"/>
        <v>NO</v>
      </c>
      <c r="S377" s="226" t="str">
        <f t="shared" si="17"/>
        <v>Inviable Sanitariamente</v>
      </c>
      <c r="T377" s="315"/>
    </row>
    <row r="378" spans="1:20" s="305" customFormat="1" ht="32.1" customHeight="1" x14ac:dyDescent="0.2">
      <c r="A378" s="487" t="s">
        <v>157</v>
      </c>
      <c r="B378" s="258" t="s">
        <v>1281</v>
      </c>
      <c r="C378" s="258" t="s">
        <v>3371</v>
      </c>
      <c r="D378" s="121">
        <v>80</v>
      </c>
      <c r="E378" s="316"/>
      <c r="F378" s="316">
        <v>97.3</v>
      </c>
      <c r="G378" s="316"/>
      <c r="H378" s="316"/>
      <c r="I378" s="316"/>
      <c r="J378" s="316"/>
      <c r="K378" s="316"/>
      <c r="L378" s="316">
        <v>97.3</v>
      </c>
      <c r="M378" s="316"/>
      <c r="N378" s="316"/>
      <c r="O378" s="316"/>
      <c r="P378" s="316"/>
      <c r="Q378" s="226">
        <f t="shared" si="18"/>
        <v>97.3</v>
      </c>
      <c r="R378" s="226" t="str">
        <f t="shared" si="16"/>
        <v>NO</v>
      </c>
      <c r="S378" s="226" t="str">
        <f t="shared" si="17"/>
        <v>Inviable Sanitariamente</v>
      </c>
      <c r="T378" s="315"/>
    </row>
    <row r="379" spans="1:20" s="305" customFormat="1" ht="32.1" customHeight="1" x14ac:dyDescent="0.2">
      <c r="A379" s="487" t="s">
        <v>157</v>
      </c>
      <c r="B379" s="258" t="s">
        <v>2577</v>
      </c>
      <c r="C379" s="258" t="s">
        <v>3372</v>
      </c>
      <c r="D379" s="116">
        <v>63</v>
      </c>
      <c r="E379" s="316"/>
      <c r="F379" s="316"/>
      <c r="G379" s="316">
        <v>97.3</v>
      </c>
      <c r="H379" s="316"/>
      <c r="I379" s="316"/>
      <c r="J379" s="316"/>
      <c r="K379" s="316"/>
      <c r="L379" s="316">
        <v>97.3</v>
      </c>
      <c r="M379" s="316"/>
      <c r="N379" s="316"/>
      <c r="O379" s="316"/>
      <c r="P379" s="316"/>
      <c r="Q379" s="226">
        <f t="shared" si="18"/>
        <v>97.3</v>
      </c>
      <c r="R379" s="226" t="str">
        <f t="shared" si="16"/>
        <v>NO</v>
      </c>
      <c r="S379" s="226" t="str">
        <f t="shared" si="17"/>
        <v>Inviable Sanitariamente</v>
      </c>
      <c r="T379" s="315"/>
    </row>
    <row r="380" spans="1:20" s="305" customFormat="1" ht="32.1" customHeight="1" x14ac:dyDescent="0.2">
      <c r="A380" s="487" t="s">
        <v>157</v>
      </c>
      <c r="B380" s="258" t="s">
        <v>3373</v>
      </c>
      <c r="C380" s="258" t="s">
        <v>3374</v>
      </c>
      <c r="D380" s="121">
        <v>45</v>
      </c>
      <c r="E380" s="316"/>
      <c r="F380" s="316"/>
      <c r="G380" s="316">
        <v>97.3</v>
      </c>
      <c r="H380" s="316"/>
      <c r="I380" s="316"/>
      <c r="J380" s="316"/>
      <c r="K380" s="316"/>
      <c r="L380" s="316"/>
      <c r="M380" s="316"/>
      <c r="N380" s="316"/>
      <c r="O380" s="316"/>
      <c r="P380" s="316"/>
      <c r="Q380" s="226">
        <f t="shared" si="18"/>
        <v>97.3</v>
      </c>
      <c r="R380" s="226" t="str">
        <f t="shared" si="16"/>
        <v>NO</v>
      </c>
      <c r="S380" s="226" t="str">
        <f t="shared" si="17"/>
        <v>Inviable Sanitariamente</v>
      </c>
      <c r="T380" s="315"/>
    </row>
    <row r="381" spans="1:20" s="305" customFormat="1" ht="32.1" customHeight="1" x14ac:dyDescent="0.2">
      <c r="A381" s="487" t="s">
        <v>157</v>
      </c>
      <c r="B381" s="258" t="s">
        <v>3375</v>
      </c>
      <c r="C381" s="258" t="s">
        <v>3376</v>
      </c>
      <c r="D381" s="121">
        <v>80</v>
      </c>
      <c r="E381" s="316"/>
      <c r="F381" s="316"/>
      <c r="G381" s="316"/>
      <c r="H381" s="316">
        <v>97.3</v>
      </c>
      <c r="I381" s="316"/>
      <c r="J381" s="316"/>
      <c r="K381" s="316"/>
      <c r="L381" s="316">
        <v>97.3</v>
      </c>
      <c r="M381" s="316"/>
      <c r="N381" s="316"/>
      <c r="O381" s="316"/>
      <c r="P381" s="316"/>
      <c r="Q381" s="226">
        <f t="shared" si="18"/>
        <v>97.3</v>
      </c>
      <c r="R381" s="226" t="str">
        <f t="shared" si="16"/>
        <v>NO</v>
      </c>
      <c r="S381" s="226" t="str">
        <f t="shared" si="17"/>
        <v>Inviable Sanitariamente</v>
      </c>
      <c r="T381" s="315"/>
    </row>
    <row r="382" spans="1:20" s="305" customFormat="1" ht="32.1" customHeight="1" x14ac:dyDescent="0.2">
      <c r="A382" s="487" t="s">
        <v>157</v>
      </c>
      <c r="B382" s="258" t="s">
        <v>3377</v>
      </c>
      <c r="C382" s="258" t="s">
        <v>3378</v>
      </c>
      <c r="D382" s="116">
        <v>70</v>
      </c>
      <c r="E382" s="316"/>
      <c r="F382" s="316"/>
      <c r="G382" s="316"/>
      <c r="H382" s="316"/>
      <c r="I382" s="316">
        <v>97.3</v>
      </c>
      <c r="J382" s="316"/>
      <c r="K382" s="316"/>
      <c r="L382" s="316">
        <v>97.3</v>
      </c>
      <c r="M382" s="316"/>
      <c r="N382" s="316"/>
      <c r="O382" s="316"/>
      <c r="P382" s="316"/>
      <c r="Q382" s="226">
        <f t="shared" si="18"/>
        <v>97.3</v>
      </c>
      <c r="R382" s="226" t="str">
        <f t="shared" si="16"/>
        <v>NO</v>
      </c>
      <c r="S382" s="226" t="str">
        <f t="shared" si="17"/>
        <v>Inviable Sanitariamente</v>
      </c>
      <c r="T382" s="315"/>
    </row>
    <row r="383" spans="1:20" s="305" customFormat="1" ht="32.1" customHeight="1" x14ac:dyDescent="0.2">
      <c r="A383" s="487" t="s">
        <v>157</v>
      </c>
      <c r="B383" s="258" t="s">
        <v>3379</v>
      </c>
      <c r="C383" s="258" t="s">
        <v>3380</v>
      </c>
      <c r="D383" s="121">
        <v>40</v>
      </c>
      <c r="E383" s="316"/>
      <c r="F383" s="316">
        <v>97.3</v>
      </c>
      <c r="G383" s="316"/>
      <c r="H383" s="316"/>
      <c r="I383" s="316"/>
      <c r="J383" s="316"/>
      <c r="K383" s="316">
        <v>97.3</v>
      </c>
      <c r="L383" s="316"/>
      <c r="M383" s="316"/>
      <c r="N383" s="316"/>
      <c r="O383" s="316"/>
      <c r="P383" s="316"/>
      <c r="Q383" s="226">
        <f t="shared" si="18"/>
        <v>97.3</v>
      </c>
      <c r="R383" s="226" t="str">
        <f t="shared" si="16"/>
        <v>NO</v>
      </c>
      <c r="S383" s="226" t="str">
        <f t="shared" si="17"/>
        <v>Inviable Sanitariamente</v>
      </c>
      <c r="T383" s="315"/>
    </row>
    <row r="384" spans="1:20" s="305" customFormat="1" ht="32.1" customHeight="1" x14ac:dyDescent="0.2">
      <c r="A384" s="487" t="s">
        <v>157</v>
      </c>
      <c r="B384" s="258" t="s">
        <v>3287</v>
      </c>
      <c r="C384" s="258" t="s">
        <v>3381</v>
      </c>
      <c r="D384" s="121">
        <v>52</v>
      </c>
      <c r="E384" s="316"/>
      <c r="F384" s="316"/>
      <c r="G384" s="316"/>
      <c r="H384" s="316"/>
      <c r="I384" s="316">
        <v>97.3</v>
      </c>
      <c r="J384" s="316"/>
      <c r="K384" s="316"/>
      <c r="L384" s="316"/>
      <c r="M384" s="316"/>
      <c r="N384" s="316"/>
      <c r="O384" s="316"/>
      <c r="P384" s="316"/>
      <c r="Q384" s="226">
        <f t="shared" si="18"/>
        <v>97.3</v>
      </c>
      <c r="R384" s="226" t="str">
        <f t="shared" si="16"/>
        <v>NO</v>
      </c>
      <c r="S384" s="226" t="str">
        <f t="shared" si="17"/>
        <v>Inviable Sanitariamente</v>
      </c>
      <c r="T384" s="315"/>
    </row>
    <row r="385" spans="1:20" s="305" customFormat="1" ht="32.1" customHeight="1" x14ac:dyDescent="0.2">
      <c r="A385" s="487" t="s">
        <v>157</v>
      </c>
      <c r="B385" s="258" t="s">
        <v>72</v>
      </c>
      <c r="C385" s="258" t="s">
        <v>3382</v>
      </c>
      <c r="D385" s="116">
        <v>28</v>
      </c>
      <c r="E385" s="316"/>
      <c r="F385" s="316"/>
      <c r="G385" s="316"/>
      <c r="H385" s="316"/>
      <c r="I385" s="316">
        <v>97.3</v>
      </c>
      <c r="J385" s="316"/>
      <c r="K385" s="316"/>
      <c r="L385" s="316"/>
      <c r="M385" s="316"/>
      <c r="N385" s="316"/>
      <c r="O385" s="316"/>
      <c r="P385" s="316"/>
      <c r="Q385" s="226">
        <f t="shared" si="18"/>
        <v>97.3</v>
      </c>
      <c r="R385" s="226" t="str">
        <f t="shared" si="16"/>
        <v>NO</v>
      </c>
      <c r="S385" s="226" t="str">
        <f t="shared" si="17"/>
        <v>Inviable Sanitariamente</v>
      </c>
      <c r="T385" s="315"/>
    </row>
    <row r="386" spans="1:20" s="305" customFormat="1" ht="32.1" customHeight="1" x14ac:dyDescent="0.2">
      <c r="A386" s="487" t="s">
        <v>157</v>
      </c>
      <c r="B386" s="258" t="s">
        <v>3383</v>
      </c>
      <c r="C386" s="258" t="s">
        <v>3384</v>
      </c>
      <c r="D386" s="121">
        <v>85</v>
      </c>
      <c r="E386" s="316"/>
      <c r="F386" s="316"/>
      <c r="G386" s="316"/>
      <c r="H386" s="316">
        <v>97.3</v>
      </c>
      <c r="I386" s="316"/>
      <c r="J386" s="316"/>
      <c r="K386" s="316"/>
      <c r="L386" s="316"/>
      <c r="M386" s="316"/>
      <c r="N386" s="316"/>
      <c r="O386" s="316"/>
      <c r="P386" s="316"/>
      <c r="Q386" s="226">
        <f t="shared" si="18"/>
        <v>97.3</v>
      </c>
      <c r="R386" s="226" t="str">
        <f t="shared" si="16"/>
        <v>NO</v>
      </c>
      <c r="S386" s="226" t="str">
        <f t="shared" si="17"/>
        <v>Inviable Sanitariamente</v>
      </c>
      <c r="T386" s="315"/>
    </row>
    <row r="387" spans="1:20" s="305" customFormat="1" ht="32.1" customHeight="1" x14ac:dyDescent="0.2">
      <c r="A387" s="487" t="s">
        <v>157</v>
      </c>
      <c r="B387" s="258" t="s">
        <v>3385</v>
      </c>
      <c r="C387" s="258" t="s">
        <v>3386</v>
      </c>
      <c r="D387" s="121">
        <v>58</v>
      </c>
      <c r="E387" s="316"/>
      <c r="F387" s="316"/>
      <c r="G387" s="316">
        <v>97.3</v>
      </c>
      <c r="H387" s="316"/>
      <c r="I387" s="316"/>
      <c r="J387" s="316"/>
      <c r="K387" s="316"/>
      <c r="L387" s="316"/>
      <c r="M387" s="316"/>
      <c r="N387" s="316"/>
      <c r="O387" s="316"/>
      <c r="P387" s="316"/>
      <c r="Q387" s="226">
        <f t="shared" si="18"/>
        <v>97.3</v>
      </c>
      <c r="R387" s="226" t="str">
        <f t="shared" si="16"/>
        <v>NO</v>
      </c>
      <c r="S387" s="226" t="str">
        <f t="shared" si="17"/>
        <v>Inviable Sanitariamente</v>
      </c>
      <c r="T387" s="315"/>
    </row>
    <row r="388" spans="1:20" s="305" customFormat="1" ht="32.1" customHeight="1" x14ac:dyDescent="0.2">
      <c r="A388" s="487" t="s">
        <v>157</v>
      </c>
      <c r="B388" s="258" t="s">
        <v>1378</v>
      </c>
      <c r="C388" s="258" t="s">
        <v>3387</v>
      </c>
      <c r="D388" s="121">
        <v>30</v>
      </c>
      <c r="E388" s="316"/>
      <c r="F388" s="316"/>
      <c r="G388" s="316"/>
      <c r="H388" s="316"/>
      <c r="I388" s="316"/>
      <c r="J388" s="316"/>
      <c r="K388" s="316"/>
      <c r="L388" s="316"/>
      <c r="M388" s="316"/>
      <c r="N388" s="316"/>
      <c r="O388" s="316"/>
      <c r="P388" s="316"/>
      <c r="Q388" s="226" t="e">
        <f t="shared" si="18"/>
        <v>#DIV/0!</v>
      </c>
      <c r="R388" s="226" t="e">
        <f t="shared" si="16"/>
        <v>#DIV/0!</v>
      </c>
      <c r="S388" s="226" t="e">
        <f t="shared" si="17"/>
        <v>#DIV/0!</v>
      </c>
      <c r="T388" s="315"/>
    </row>
    <row r="389" spans="1:20" s="305" customFormat="1" ht="32.1" customHeight="1" x14ac:dyDescent="0.2">
      <c r="A389" s="487" t="s">
        <v>157</v>
      </c>
      <c r="B389" s="258" t="s">
        <v>3388</v>
      </c>
      <c r="C389" s="258" t="s">
        <v>3389</v>
      </c>
      <c r="D389" s="121">
        <v>30</v>
      </c>
      <c r="E389" s="316"/>
      <c r="F389" s="316"/>
      <c r="G389" s="316">
        <v>97.3</v>
      </c>
      <c r="H389" s="316"/>
      <c r="I389" s="316"/>
      <c r="J389" s="316"/>
      <c r="K389" s="316"/>
      <c r="L389" s="316"/>
      <c r="M389" s="316"/>
      <c r="N389" s="316"/>
      <c r="O389" s="316"/>
      <c r="P389" s="316"/>
      <c r="Q389" s="226">
        <f t="shared" si="18"/>
        <v>97.3</v>
      </c>
      <c r="R389" s="226" t="str">
        <f t="shared" si="16"/>
        <v>NO</v>
      </c>
      <c r="S389" s="226" t="str">
        <f t="shared" si="17"/>
        <v>Inviable Sanitariamente</v>
      </c>
      <c r="T389" s="315"/>
    </row>
    <row r="390" spans="1:20" s="305" customFormat="1" ht="32.1" customHeight="1" x14ac:dyDescent="0.2">
      <c r="A390" s="487" t="s">
        <v>157</v>
      </c>
      <c r="B390" s="258" t="s">
        <v>3390</v>
      </c>
      <c r="C390" s="258" t="s">
        <v>3391</v>
      </c>
      <c r="D390" s="121">
        <v>27</v>
      </c>
      <c r="E390" s="316"/>
      <c r="F390" s="316"/>
      <c r="G390" s="316"/>
      <c r="H390" s="316"/>
      <c r="I390" s="316"/>
      <c r="J390" s="316">
        <v>97.3</v>
      </c>
      <c r="K390" s="316">
        <v>97.3</v>
      </c>
      <c r="L390" s="316"/>
      <c r="M390" s="316"/>
      <c r="N390" s="316"/>
      <c r="O390" s="316"/>
      <c r="P390" s="316"/>
      <c r="Q390" s="226">
        <f t="shared" si="18"/>
        <v>97.3</v>
      </c>
      <c r="R390" s="226" t="str">
        <f t="shared" si="16"/>
        <v>NO</v>
      </c>
      <c r="S390" s="226" t="str">
        <f t="shared" si="17"/>
        <v>Inviable Sanitariamente</v>
      </c>
      <c r="T390" s="315"/>
    </row>
    <row r="391" spans="1:20" s="305" customFormat="1" ht="32.1" customHeight="1" x14ac:dyDescent="0.2">
      <c r="A391" s="487" t="s">
        <v>157</v>
      </c>
      <c r="B391" s="258" t="s">
        <v>3392</v>
      </c>
      <c r="C391" s="258" t="s">
        <v>3393</v>
      </c>
      <c r="D391" s="121">
        <v>25</v>
      </c>
      <c r="E391" s="316"/>
      <c r="F391" s="316"/>
      <c r="G391" s="316"/>
      <c r="H391" s="316"/>
      <c r="I391" s="316"/>
      <c r="J391" s="316"/>
      <c r="K391" s="316"/>
      <c r="L391" s="316"/>
      <c r="M391" s="316"/>
      <c r="N391" s="316"/>
      <c r="O391" s="316"/>
      <c r="P391" s="316"/>
      <c r="Q391" s="226" t="e">
        <f t="shared" si="18"/>
        <v>#DIV/0!</v>
      </c>
      <c r="R391" s="226" t="e">
        <f t="shared" si="16"/>
        <v>#DIV/0!</v>
      </c>
      <c r="S391" s="226" t="e">
        <f t="shared" si="17"/>
        <v>#DIV/0!</v>
      </c>
      <c r="T391" s="315"/>
    </row>
    <row r="392" spans="1:20" s="305" customFormat="1" ht="32.1" customHeight="1" x14ac:dyDescent="0.2">
      <c r="A392" s="487" t="s">
        <v>157</v>
      </c>
      <c r="B392" s="258" t="s">
        <v>3394</v>
      </c>
      <c r="C392" s="258" t="s">
        <v>3395</v>
      </c>
      <c r="D392" s="121">
        <v>35</v>
      </c>
      <c r="E392" s="316"/>
      <c r="F392" s="316">
        <v>97.3</v>
      </c>
      <c r="G392" s="316"/>
      <c r="H392" s="316"/>
      <c r="I392" s="316"/>
      <c r="J392" s="316"/>
      <c r="K392" s="316">
        <v>97.3</v>
      </c>
      <c r="L392" s="316"/>
      <c r="M392" s="316"/>
      <c r="N392" s="316"/>
      <c r="O392" s="316"/>
      <c r="P392" s="316"/>
      <c r="Q392" s="226">
        <f t="shared" si="18"/>
        <v>97.3</v>
      </c>
      <c r="R392" s="226" t="str">
        <f t="shared" si="16"/>
        <v>NO</v>
      </c>
      <c r="S392" s="226" t="str">
        <f t="shared" si="17"/>
        <v>Inviable Sanitariamente</v>
      </c>
      <c r="T392" s="315"/>
    </row>
    <row r="393" spans="1:20" s="305" customFormat="1" ht="32.1" customHeight="1" x14ac:dyDescent="0.2">
      <c r="A393" s="487" t="s">
        <v>157</v>
      </c>
      <c r="B393" s="258" t="s">
        <v>3396</v>
      </c>
      <c r="C393" s="258" t="s">
        <v>3397</v>
      </c>
      <c r="D393" s="121">
        <v>40</v>
      </c>
      <c r="E393" s="316"/>
      <c r="F393" s="316"/>
      <c r="G393" s="316"/>
      <c r="H393" s="316">
        <v>97.3</v>
      </c>
      <c r="I393" s="316"/>
      <c r="J393" s="316"/>
      <c r="K393" s="316"/>
      <c r="L393" s="316"/>
      <c r="M393" s="316"/>
      <c r="N393" s="316"/>
      <c r="O393" s="316"/>
      <c r="P393" s="316"/>
      <c r="Q393" s="226">
        <f t="shared" si="18"/>
        <v>97.3</v>
      </c>
      <c r="R393" s="226" t="str">
        <f t="shared" si="16"/>
        <v>NO</v>
      </c>
      <c r="S393" s="226" t="str">
        <f t="shared" si="17"/>
        <v>Inviable Sanitariamente</v>
      </c>
      <c r="T393" s="315"/>
    </row>
    <row r="394" spans="1:20" s="305" customFormat="1" ht="32.1" customHeight="1" x14ac:dyDescent="0.2">
      <c r="A394" s="487" t="s">
        <v>157</v>
      </c>
      <c r="B394" s="258" t="s">
        <v>53</v>
      </c>
      <c r="C394" s="258" t="s">
        <v>3398</v>
      </c>
      <c r="D394" s="121">
        <v>22</v>
      </c>
      <c r="E394" s="316"/>
      <c r="F394" s="316"/>
      <c r="G394" s="316"/>
      <c r="H394" s="316"/>
      <c r="I394" s="316"/>
      <c r="J394" s="316"/>
      <c r="K394" s="316"/>
      <c r="L394" s="316">
        <v>97.3</v>
      </c>
      <c r="M394" s="316"/>
      <c r="N394" s="316"/>
      <c r="O394" s="316"/>
      <c r="P394" s="316"/>
      <c r="Q394" s="226">
        <f t="shared" si="18"/>
        <v>97.3</v>
      </c>
      <c r="R394" s="226" t="str">
        <f t="shared" ref="R394:R457" si="19">IF(Q394&lt;5,"SI","NO")</f>
        <v>NO</v>
      </c>
      <c r="S394" s="226" t="str">
        <f t="shared" si="17"/>
        <v>Inviable Sanitariamente</v>
      </c>
      <c r="T394" s="315"/>
    </row>
    <row r="395" spans="1:20" s="305" customFormat="1" ht="32.1" customHeight="1" x14ac:dyDescent="0.2">
      <c r="A395" s="487" t="s">
        <v>157</v>
      </c>
      <c r="B395" s="258" t="s">
        <v>1284</v>
      </c>
      <c r="C395" s="258" t="s">
        <v>3399</v>
      </c>
      <c r="D395" s="121">
        <v>20</v>
      </c>
      <c r="E395" s="316"/>
      <c r="F395" s="316"/>
      <c r="G395" s="316"/>
      <c r="H395" s="316"/>
      <c r="I395" s="316"/>
      <c r="J395" s="316"/>
      <c r="K395" s="316"/>
      <c r="L395" s="316"/>
      <c r="M395" s="316"/>
      <c r="N395" s="316"/>
      <c r="O395" s="316"/>
      <c r="P395" s="316"/>
      <c r="Q395" s="226" t="e">
        <f t="shared" si="18"/>
        <v>#DIV/0!</v>
      </c>
      <c r="R395" s="226" t="e">
        <f t="shared" si="19"/>
        <v>#DIV/0!</v>
      </c>
      <c r="S395" s="226" t="e">
        <f t="shared" ref="S395:S458" si="20">IF(Q395&lt;=5,"Sin Riesgo",IF(Q395 &lt;=14,"Bajo",IF(Q395&lt;=35,"Medio",IF(Q395&lt;=80,"Alto","Inviable Sanitariamente"))))</f>
        <v>#DIV/0!</v>
      </c>
      <c r="T395" s="315"/>
    </row>
    <row r="396" spans="1:20" s="305" customFormat="1" ht="32.1" customHeight="1" x14ac:dyDescent="0.2">
      <c r="A396" s="487" t="s">
        <v>157</v>
      </c>
      <c r="B396" s="258" t="s">
        <v>3400</v>
      </c>
      <c r="C396" s="258" t="s">
        <v>3401</v>
      </c>
      <c r="D396" s="121">
        <v>27</v>
      </c>
      <c r="E396" s="316"/>
      <c r="F396" s="316">
        <v>97.3</v>
      </c>
      <c r="G396" s="316"/>
      <c r="H396" s="316"/>
      <c r="I396" s="316"/>
      <c r="J396" s="316"/>
      <c r="K396" s="316"/>
      <c r="L396" s="316"/>
      <c r="M396" s="316"/>
      <c r="N396" s="316"/>
      <c r="O396" s="316"/>
      <c r="P396" s="316"/>
      <c r="Q396" s="226">
        <f t="shared" si="18"/>
        <v>97.3</v>
      </c>
      <c r="R396" s="226" t="str">
        <f t="shared" si="19"/>
        <v>NO</v>
      </c>
      <c r="S396" s="226" t="str">
        <f t="shared" si="20"/>
        <v>Inviable Sanitariamente</v>
      </c>
      <c r="T396" s="315"/>
    </row>
    <row r="397" spans="1:20" s="305" customFormat="1" ht="32.1" customHeight="1" x14ac:dyDescent="0.2">
      <c r="A397" s="487" t="s">
        <v>157</v>
      </c>
      <c r="B397" s="258" t="s">
        <v>3402</v>
      </c>
      <c r="C397" s="258" t="s">
        <v>3403</v>
      </c>
      <c r="D397" s="121">
        <v>50</v>
      </c>
      <c r="E397" s="316"/>
      <c r="F397" s="316"/>
      <c r="G397" s="316"/>
      <c r="H397" s="316">
        <v>97.3</v>
      </c>
      <c r="I397" s="316"/>
      <c r="J397" s="316"/>
      <c r="K397" s="316"/>
      <c r="L397" s="316">
        <v>97.3</v>
      </c>
      <c r="M397" s="316"/>
      <c r="N397" s="316"/>
      <c r="O397" s="316"/>
      <c r="P397" s="316"/>
      <c r="Q397" s="226">
        <f t="shared" si="18"/>
        <v>97.3</v>
      </c>
      <c r="R397" s="226" t="str">
        <f t="shared" si="19"/>
        <v>NO</v>
      </c>
      <c r="S397" s="226" t="str">
        <f t="shared" si="20"/>
        <v>Inviable Sanitariamente</v>
      </c>
      <c r="T397" s="315"/>
    </row>
    <row r="398" spans="1:20" s="305" customFormat="1" ht="32.1" customHeight="1" x14ac:dyDescent="0.2">
      <c r="A398" s="487" t="s">
        <v>158</v>
      </c>
      <c r="B398" s="258" t="s">
        <v>3404</v>
      </c>
      <c r="C398" s="258" t="s">
        <v>3405</v>
      </c>
      <c r="D398" s="121">
        <v>412</v>
      </c>
      <c r="E398" s="316"/>
      <c r="F398" s="316"/>
      <c r="G398" s="316"/>
      <c r="H398" s="316"/>
      <c r="I398" s="316"/>
      <c r="J398" s="316"/>
      <c r="K398" s="316">
        <v>55.75</v>
      </c>
      <c r="L398" s="316"/>
      <c r="M398" s="316"/>
      <c r="N398" s="316"/>
      <c r="O398" s="316"/>
      <c r="P398" s="316"/>
      <c r="Q398" s="226">
        <f t="shared" si="18"/>
        <v>55.75</v>
      </c>
      <c r="R398" s="226" t="str">
        <f t="shared" si="19"/>
        <v>NO</v>
      </c>
      <c r="S398" s="226" t="str">
        <f t="shared" si="20"/>
        <v>Alto</v>
      </c>
      <c r="T398" s="315"/>
    </row>
    <row r="399" spans="1:20" s="305" customFormat="1" ht="32.1" customHeight="1" x14ac:dyDescent="0.2">
      <c r="A399" s="487" t="s">
        <v>158</v>
      </c>
      <c r="B399" s="258" t="s">
        <v>3406</v>
      </c>
      <c r="C399" s="258" t="s">
        <v>3407</v>
      </c>
      <c r="D399" s="121">
        <v>142</v>
      </c>
      <c r="E399" s="316"/>
      <c r="F399" s="316"/>
      <c r="G399" s="316"/>
      <c r="H399" s="316"/>
      <c r="I399" s="316"/>
      <c r="J399" s="316"/>
      <c r="K399" s="316"/>
      <c r="L399" s="316"/>
      <c r="M399" s="316"/>
      <c r="N399" s="316"/>
      <c r="O399" s="316">
        <v>26.5</v>
      </c>
      <c r="P399" s="316"/>
      <c r="Q399" s="226">
        <f t="shared" si="18"/>
        <v>26.5</v>
      </c>
      <c r="R399" s="226" t="str">
        <f t="shared" si="19"/>
        <v>NO</v>
      </c>
      <c r="S399" s="226" t="str">
        <f t="shared" si="20"/>
        <v>Medio</v>
      </c>
      <c r="T399" s="315"/>
    </row>
    <row r="400" spans="1:20" s="305" customFormat="1" ht="32.1" customHeight="1" x14ac:dyDescent="0.2">
      <c r="A400" s="487" t="s">
        <v>158</v>
      </c>
      <c r="B400" s="258" t="s">
        <v>72</v>
      </c>
      <c r="C400" s="258" t="s">
        <v>3408</v>
      </c>
      <c r="D400" s="121">
        <v>220</v>
      </c>
      <c r="E400" s="316"/>
      <c r="F400" s="316"/>
      <c r="G400" s="316"/>
      <c r="H400" s="316"/>
      <c r="I400" s="316"/>
      <c r="J400" s="316"/>
      <c r="K400" s="316"/>
      <c r="L400" s="316"/>
      <c r="M400" s="316"/>
      <c r="N400" s="316">
        <v>2.6</v>
      </c>
      <c r="O400" s="316"/>
      <c r="P400" s="316"/>
      <c r="Q400" s="226">
        <f t="shared" si="18"/>
        <v>2.6</v>
      </c>
      <c r="R400" s="226" t="str">
        <f t="shared" si="19"/>
        <v>SI</v>
      </c>
      <c r="S400" s="226" t="str">
        <f t="shared" si="20"/>
        <v>Sin Riesgo</v>
      </c>
      <c r="T400" s="315"/>
    </row>
    <row r="401" spans="1:20" s="305" customFormat="1" ht="32.1" customHeight="1" x14ac:dyDescent="0.2">
      <c r="A401" s="487" t="s">
        <v>158</v>
      </c>
      <c r="B401" s="258" t="s">
        <v>3409</v>
      </c>
      <c r="C401" s="258" t="s">
        <v>3410</v>
      </c>
      <c r="D401" s="121">
        <v>56</v>
      </c>
      <c r="E401" s="316"/>
      <c r="F401" s="316"/>
      <c r="G401" s="316"/>
      <c r="H401" s="316">
        <v>26.54</v>
      </c>
      <c r="I401" s="316"/>
      <c r="J401" s="316"/>
      <c r="K401" s="316"/>
      <c r="L401" s="316"/>
      <c r="M401" s="316"/>
      <c r="N401" s="316"/>
      <c r="O401" s="316"/>
      <c r="P401" s="316"/>
      <c r="Q401" s="226">
        <f t="shared" si="18"/>
        <v>26.54</v>
      </c>
      <c r="R401" s="226" t="str">
        <f t="shared" si="19"/>
        <v>NO</v>
      </c>
      <c r="S401" s="226" t="str">
        <f t="shared" si="20"/>
        <v>Medio</v>
      </c>
      <c r="T401" s="315"/>
    </row>
    <row r="402" spans="1:20" s="305" customFormat="1" ht="32.1" customHeight="1" x14ac:dyDescent="0.2">
      <c r="A402" s="487" t="s">
        <v>158</v>
      </c>
      <c r="B402" s="258" t="s">
        <v>3411</v>
      </c>
      <c r="C402" s="258" t="s">
        <v>3412</v>
      </c>
      <c r="D402" s="121">
        <v>142</v>
      </c>
      <c r="E402" s="316"/>
      <c r="F402" s="316"/>
      <c r="G402" s="316"/>
      <c r="H402" s="316"/>
      <c r="I402" s="316"/>
      <c r="J402" s="316">
        <v>53.1</v>
      </c>
      <c r="K402" s="316"/>
      <c r="L402" s="316"/>
      <c r="M402" s="316"/>
      <c r="N402" s="316"/>
      <c r="O402" s="316"/>
      <c r="P402" s="316"/>
      <c r="Q402" s="226">
        <f t="shared" si="18"/>
        <v>53.1</v>
      </c>
      <c r="R402" s="226" t="str">
        <f t="shared" si="19"/>
        <v>NO</v>
      </c>
      <c r="S402" s="226" t="str">
        <f t="shared" si="20"/>
        <v>Alto</v>
      </c>
      <c r="T402" s="315"/>
    </row>
    <row r="403" spans="1:20" s="305" customFormat="1" ht="32.1" customHeight="1" x14ac:dyDescent="0.2">
      <c r="A403" s="487" t="s">
        <v>158</v>
      </c>
      <c r="B403" s="258" t="s">
        <v>3234</v>
      </c>
      <c r="C403" s="258" t="s">
        <v>3413</v>
      </c>
      <c r="D403" s="121">
        <v>64</v>
      </c>
      <c r="E403" s="316"/>
      <c r="F403" s="316"/>
      <c r="G403" s="316"/>
      <c r="H403" s="316"/>
      <c r="I403" s="316"/>
      <c r="J403" s="316"/>
      <c r="K403" s="316">
        <v>53.09</v>
      </c>
      <c r="L403" s="316"/>
      <c r="M403" s="316"/>
      <c r="N403" s="316"/>
      <c r="O403" s="316"/>
      <c r="P403" s="316"/>
      <c r="Q403" s="226">
        <f t="shared" si="18"/>
        <v>53.09</v>
      </c>
      <c r="R403" s="226" t="str">
        <f t="shared" si="19"/>
        <v>NO</v>
      </c>
      <c r="S403" s="226" t="str">
        <f t="shared" si="20"/>
        <v>Alto</v>
      </c>
      <c r="T403" s="315"/>
    </row>
    <row r="404" spans="1:20" s="305" customFormat="1" ht="32.1" customHeight="1" x14ac:dyDescent="0.2">
      <c r="A404" s="487" t="s">
        <v>158</v>
      </c>
      <c r="B404" s="258" t="s">
        <v>510</v>
      </c>
      <c r="C404" s="258" t="s">
        <v>3414</v>
      </c>
      <c r="D404" s="121">
        <v>45</v>
      </c>
      <c r="E404" s="316"/>
      <c r="F404" s="316"/>
      <c r="G404" s="316"/>
      <c r="H404" s="316"/>
      <c r="I404" s="316"/>
      <c r="J404" s="316"/>
      <c r="K404" s="316"/>
      <c r="L404" s="316"/>
      <c r="M404" s="316"/>
      <c r="N404" s="316">
        <v>53.1</v>
      </c>
      <c r="O404" s="316"/>
      <c r="P404" s="316"/>
      <c r="Q404" s="226">
        <f t="shared" si="18"/>
        <v>53.1</v>
      </c>
      <c r="R404" s="226" t="str">
        <f t="shared" si="19"/>
        <v>NO</v>
      </c>
      <c r="S404" s="226" t="str">
        <f t="shared" si="20"/>
        <v>Alto</v>
      </c>
      <c r="T404" s="315"/>
    </row>
    <row r="405" spans="1:20" s="305" customFormat="1" ht="32.1" customHeight="1" x14ac:dyDescent="0.2">
      <c r="A405" s="487" t="s">
        <v>158</v>
      </c>
      <c r="B405" s="258" t="s">
        <v>3415</v>
      </c>
      <c r="C405" s="258" t="s">
        <v>3416</v>
      </c>
      <c r="D405" s="116">
        <v>16</v>
      </c>
      <c r="E405" s="316"/>
      <c r="F405" s="316"/>
      <c r="G405" s="316"/>
      <c r="H405" s="316"/>
      <c r="I405" s="316"/>
      <c r="J405" s="316"/>
      <c r="K405" s="316"/>
      <c r="L405" s="316"/>
      <c r="M405" s="316"/>
      <c r="N405" s="316"/>
      <c r="O405" s="316">
        <v>53.1</v>
      </c>
      <c r="P405" s="316"/>
      <c r="Q405" s="226">
        <f t="shared" si="18"/>
        <v>53.1</v>
      </c>
      <c r="R405" s="226" t="str">
        <f t="shared" si="19"/>
        <v>NO</v>
      </c>
      <c r="S405" s="226" t="str">
        <f t="shared" si="20"/>
        <v>Alto</v>
      </c>
      <c r="T405" s="315"/>
    </row>
    <row r="406" spans="1:20" s="305" customFormat="1" ht="32.1" customHeight="1" x14ac:dyDescent="0.2">
      <c r="A406" s="487" t="s">
        <v>158</v>
      </c>
      <c r="B406" s="258" t="s">
        <v>3417</v>
      </c>
      <c r="C406" s="258" t="s">
        <v>3418</v>
      </c>
      <c r="D406" s="121">
        <v>55</v>
      </c>
      <c r="E406" s="316"/>
      <c r="F406" s="316"/>
      <c r="G406" s="316"/>
      <c r="H406" s="316"/>
      <c r="I406" s="316"/>
      <c r="J406" s="316">
        <v>53.1</v>
      </c>
      <c r="K406" s="316"/>
      <c r="L406" s="316"/>
      <c r="M406" s="316"/>
      <c r="N406" s="316"/>
      <c r="O406" s="316"/>
      <c r="P406" s="316"/>
      <c r="Q406" s="226">
        <f t="shared" si="18"/>
        <v>53.1</v>
      </c>
      <c r="R406" s="226" t="str">
        <f t="shared" si="19"/>
        <v>NO</v>
      </c>
      <c r="S406" s="226" t="str">
        <f t="shared" si="20"/>
        <v>Alto</v>
      </c>
      <c r="T406" s="315"/>
    </row>
    <row r="407" spans="1:20" s="305" customFormat="1" ht="32.1" customHeight="1" x14ac:dyDescent="0.2">
      <c r="A407" s="487" t="s">
        <v>158</v>
      </c>
      <c r="B407" s="258" t="s">
        <v>3419</v>
      </c>
      <c r="C407" s="258" t="s">
        <v>3420</v>
      </c>
      <c r="D407" s="121">
        <v>145</v>
      </c>
      <c r="E407" s="316"/>
      <c r="F407" s="316"/>
      <c r="G407" s="316"/>
      <c r="H407" s="316"/>
      <c r="I407" s="316">
        <v>0</v>
      </c>
      <c r="J407" s="316"/>
      <c r="K407" s="316"/>
      <c r="L407" s="316"/>
      <c r="M407" s="316"/>
      <c r="N407" s="316"/>
      <c r="O407" s="316"/>
      <c r="P407" s="316"/>
      <c r="Q407" s="226">
        <f t="shared" si="18"/>
        <v>0</v>
      </c>
      <c r="R407" s="226" t="str">
        <f t="shared" si="19"/>
        <v>SI</v>
      </c>
      <c r="S407" s="226" t="str">
        <f t="shared" si="20"/>
        <v>Sin Riesgo</v>
      </c>
      <c r="T407" s="315"/>
    </row>
    <row r="408" spans="1:20" s="305" customFormat="1" ht="32.1" customHeight="1" x14ac:dyDescent="0.2">
      <c r="A408" s="487" t="s">
        <v>158</v>
      </c>
      <c r="B408" s="258" t="s">
        <v>3421</v>
      </c>
      <c r="C408" s="258" t="s">
        <v>3422</v>
      </c>
      <c r="D408" s="116">
        <v>36</v>
      </c>
      <c r="E408" s="316"/>
      <c r="F408" s="316"/>
      <c r="G408" s="316"/>
      <c r="H408" s="316"/>
      <c r="I408" s="316"/>
      <c r="J408" s="316"/>
      <c r="K408" s="316">
        <v>53.09</v>
      </c>
      <c r="L408" s="316"/>
      <c r="M408" s="316"/>
      <c r="N408" s="316"/>
      <c r="O408" s="316"/>
      <c r="P408" s="316"/>
      <c r="Q408" s="226">
        <f t="shared" si="18"/>
        <v>53.09</v>
      </c>
      <c r="R408" s="226" t="str">
        <f t="shared" si="19"/>
        <v>NO</v>
      </c>
      <c r="S408" s="226" t="str">
        <f t="shared" si="20"/>
        <v>Alto</v>
      </c>
      <c r="T408" s="315"/>
    </row>
    <row r="409" spans="1:20" s="305" customFormat="1" ht="52.5" customHeight="1" x14ac:dyDescent="0.2">
      <c r="A409" s="487" t="s">
        <v>158</v>
      </c>
      <c r="B409" s="258" t="s">
        <v>3423</v>
      </c>
      <c r="C409" s="258" t="s">
        <v>3424</v>
      </c>
      <c r="D409" s="121">
        <v>212</v>
      </c>
      <c r="E409" s="316"/>
      <c r="F409" s="316"/>
      <c r="G409" s="316"/>
      <c r="H409" s="316"/>
      <c r="I409" s="316"/>
      <c r="J409" s="316">
        <v>55.75</v>
      </c>
      <c r="K409" s="316"/>
      <c r="L409" s="316"/>
      <c r="M409" s="316"/>
      <c r="N409" s="316"/>
      <c r="O409" s="316"/>
      <c r="P409" s="316"/>
      <c r="Q409" s="226">
        <f t="shared" ref="Q409:Q472" si="21">AVERAGE(E409:P409)</f>
        <v>55.75</v>
      </c>
      <c r="R409" s="226" t="str">
        <f t="shared" si="19"/>
        <v>NO</v>
      </c>
      <c r="S409" s="226" t="str">
        <f t="shared" si="20"/>
        <v>Alto</v>
      </c>
      <c r="T409" s="315"/>
    </row>
    <row r="410" spans="1:20" s="305" customFormat="1" ht="32.1" customHeight="1" x14ac:dyDescent="0.2">
      <c r="A410" s="487" t="s">
        <v>158</v>
      </c>
      <c r="B410" s="258" t="s">
        <v>3425</v>
      </c>
      <c r="C410" s="258" t="s">
        <v>3426</v>
      </c>
      <c r="D410" s="121">
        <v>38</v>
      </c>
      <c r="E410" s="316"/>
      <c r="F410" s="316"/>
      <c r="G410" s="316"/>
      <c r="H410" s="316"/>
      <c r="I410" s="316"/>
      <c r="J410" s="316"/>
      <c r="K410" s="316"/>
      <c r="L410" s="316"/>
      <c r="M410" s="316"/>
      <c r="N410" s="316">
        <v>53.1</v>
      </c>
      <c r="O410" s="316"/>
      <c r="P410" s="316"/>
      <c r="Q410" s="226">
        <f t="shared" si="21"/>
        <v>53.1</v>
      </c>
      <c r="R410" s="226" t="str">
        <f t="shared" si="19"/>
        <v>NO</v>
      </c>
      <c r="S410" s="226" t="str">
        <f t="shared" si="20"/>
        <v>Alto</v>
      </c>
      <c r="T410" s="315"/>
    </row>
    <row r="411" spans="1:20" s="305" customFormat="1" ht="32.1" customHeight="1" x14ac:dyDescent="0.2">
      <c r="A411" s="487" t="s">
        <v>158</v>
      </c>
      <c r="B411" s="258" t="s">
        <v>709</v>
      </c>
      <c r="C411" s="258" t="s">
        <v>3427</v>
      </c>
      <c r="D411" s="116">
        <v>13</v>
      </c>
      <c r="E411" s="316"/>
      <c r="F411" s="316"/>
      <c r="G411" s="316"/>
      <c r="H411" s="316"/>
      <c r="I411" s="316"/>
      <c r="J411" s="316"/>
      <c r="K411" s="316"/>
      <c r="L411" s="316"/>
      <c r="M411" s="316">
        <v>53.1</v>
      </c>
      <c r="N411" s="316"/>
      <c r="O411" s="316"/>
      <c r="P411" s="316"/>
      <c r="Q411" s="226">
        <f t="shared" si="21"/>
        <v>53.1</v>
      </c>
      <c r="R411" s="226" t="str">
        <f t="shared" si="19"/>
        <v>NO</v>
      </c>
      <c r="S411" s="226" t="str">
        <f t="shared" si="20"/>
        <v>Alto</v>
      </c>
      <c r="T411" s="315"/>
    </row>
    <row r="412" spans="1:20" s="305" customFormat="1" ht="32.1" customHeight="1" x14ac:dyDescent="0.2">
      <c r="A412" s="487" t="s">
        <v>158</v>
      </c>
      <c r="B412" s="258" t="s">
        <v>3428</v>
      </c>
      <c r="C412" s="258" t="s">
        <v>3429</v>
      </c>
      <c r="D412" s="121">
        <v>116</v>
      </c>
      <c r="E412" s="316"/>
      <c r="F412" s="316"/>
      <c r="G412" s="316"/>
      <c r="H412" s="316"/>
      <c r="I412" s="316"/>
      <c r="J412" s="316"/>
      <c r="K412" s="316"/>
      <c r="L412" s="316"/>
      <c r="M412" s="316"/>
      <c r="N412" s="316"/>
      <c r="O412" s="316">
        <v>53.1</v>
      </c>
      <c r="P412" s="316"/>
      <c r="Q412" s="226">
        <f t="shared" si="21"/>
        <v>53.1</v>
      </c>
      <c r="R412" s="226" t="str">
        <f t="shared" si="19"/>
        <v>NO</v>
      </c>
      <c r="S412" s="226" t="str">
        <f t="shared" si="20"/>
        <v>Alto</v>
      </c>
      <c r="T412" s="315"/>
    </row>
    <row r="413" spans="1:20" s="305" customFormat="1" ht="32.1" customHeight="1" x14ac:dyDescent="0.2">
      <c r="A413" s="487" t="s">
        <v>158</v>
      </c>
      <c r="B413" s="258" t="s">
        <v>3430</v>
      </c>
      <c r="C413" s="258" t="s">
        <v>3431</v>
      </c>
      <c r="D413" s="121">
        <v>82</v>
      </c>
      <c r="E413" s="316"/>
      <c r="F413" s="316"/>
      <c r="G413" s="316"/>
      <c r="H413" s="316"/>
      <c r="I413" s="316"/>
      <c r="J413" s="316"/>
      <c r="K413" s="316"/>
      <c r="L413" s="316"/>
      <c r="M413" s="316"/>
      <c r="N413" s="316"/>
      <c r="O413" s="316">
        <v>53.1</v>
      </c>
      <c r="P413" s="316"/>
      <c r="Q413" s="226">
        <f t="shared" si="21"/>
        <v>53.1</v>
      </c>
      <c r="R413" s="226" t="str">
        <f t="shared" si="19"/>
        <v>NO</v>
      </c>
      <c r="S413" s="226" t="str">
        <f t="shared" si="20"/>
        <v>Alto</v>
      </c>
      <c r="T413" s="315"/>
    </row>
    <row r="414" spans="1:20" s="305" customFormat="1" ht="32.1" customHeight="1" x14ac:dyDescent="0.2">
      <c r="A414" s="487" t="s">
        <v>158</v>
      </c>
      <c r="B414" s="258" t="s">
        <v>3432</v>
      </c>
      <c r="C414" s="258" t="s">
        <v>3433</v>
      </c>
      <c r="D414" s="121">
        <v>222</v>
      </c>
      <c r="E414" s="316"/>
      <c r="F414" s="316"/>
      <c r="G414" s="316"/>
      <c r="H414" s="316"/>
      <c r="I414" s="316"/>
      <c r="J414" s="316"/>
      <c r="K414" s="316"/>
      <c r="L414" s="316"/>
      <c r="M414" s="316">
        <v>53.1</v>
      </c>
      <c r="N414" s="316"/>
      <c r="O414" s="316"/>
      <c r="P414" s="316"/>
      <c r="Q414" s="226">
        <f t="shared" si="21"/>
        <v>53.1</v>
      </c>
      <c r="R414" s="226" t="str">
        <f t="shared" si="19"/>
        <v>NO</v>
      </c>
      <c r="S414" s="226" t="str">
        <f t="shared" si="20"/>
        <v>Alto</v>
      </c>
      <c r="T414" s="315"/>
    </row>
    <row r="415" spans="1:20" s="305" customFormat="1" ht="32.1" customHeight="1" x14ac:dyDescent="0.2">
      <c r="A415" s="487" t="s">
        <v>158</v>
      </c>
      <c r="B415" s="258" t="s">
        <v>3434</v>
      </c>
      <c r="C415" s="258" t="s">
        <v>3435</v>
      </c>
      <c r="D415" s="121">
        <v>300</v>
      </c>
      <c r="E415" s="316"/>
      <c r="F415" s="316"/>
      <c r="G415" s="316">
        <v>53.1</v>
      </c>
      <c r="H415" s="316"/>
      <c r="I415" s="316"/>
      <c r="J415" s="316"/>
      <c r="K415" s="316"/>
      <c r="L415" s="316"/>
      <c r="M415" s="316"/>
      <c r="N415" s="316"/>
      <c r="O415" s="316"/>
      <c r="P415" s="316"/>
      <c r="Q415" s="226">
        <f t="shared" si="21"/>
        <v>53.1</v>
      </c>
      <c r="R415" s="226" t="str">
        <f t="shared" si="19"/>
        <v>NO</v>
      </c>
      <c r="S415" s="226" t="str">
        <f t="shared" si="20"/>
        <v>Alto</v>
      </c>
      <c r="T415" s="315"/>
    </row>
    <row r="416" spans="1:20" s="305" customFormat="1" ht="32.1" customHeight="1" x14ac:dyDescent="0.2">
      <c r="A416" s="487" t="s">
        <v>158</v>
      </c>
      <c r="B416" s="258" t="s">
        <v>3436</v>
      </c>
      <c r="C416" s="258" t="s">
        <v>3437</v>
      </c>
      <c r="D416" s="121">
        <v>25</v>
      </c>
      <c r="E416" s="316"/>
      <c r="F416" s="316"/>
      <c r="G416" s="316"/>
      <c r="H416" s="316"/>
      <c r="I416" s="316"/>
      <c r="J416" s="316"/>
      <c r="K416" s="316">
        <v>53.09</v>
      </c>
      <c r="L416" s="316"/>
      <c r="M416" s="316"/>
      <c r="N416" s="316"/>
      <c r="O416" s="316"/>
      <c r="P416" s="316"/>
      <c r="Q416" s="226">
        <f t="shared" si="21"/>
        <v>53.09</v>
      </c>
      <c r="R416" s="226" t="str">
        <f t="shared" si="19"/>
        <v>NO</v>
      </c>
      <c r="S416" s="226" t="str">
        <f t="shared" si="20"/>
        <v>Alto</v>
      </c>
      <c r="T416" s="315"/>
    </row>
    <row r="417" spans="1:20" s="305" customFormat="1" ht="32.1" customHeight="1" x14ac:dyDescent="0.2">
      <c r="A417" s="487" t="s">
        <v>158</v>
      </c>
      <c r="B417" s="258" t="s">
        <v>3438</v>
      </c>
      <c r="C417" s="258" t="s">
        <v>3439</v>
      </c>
      <c r="D417" s="121">
        <v>45</v>
      </c>
      <c r="E417" s="316"/>
      <c r="F417" s="316"/>
      <c r="G417" s="316"/>
      <c r="H417" s="316"/>
      <c r="I417" s="316"/>
      <c r="J417" s="316"/>
      <c r="K417" s="316"/>
      <c r="L417" s="316"/>
      <c r="M417" s="316"/>
      <c r="N417" s="316"/>
      <c r="O417" s="316">
        <v>53.1</v>
      </c>
      <c r="P417" s="316"/>
      <c r="Q417" s="226">
        <f t="shared" si="21"/>
        <v>53.1</v>
      </c>
      <c r="R417" s="226" t="str">
        <f t="shared" si="19"/>
        <v>NO</v>
      </c>
      <c r="S417" s="226" t="str">
        <f t="shared" si="20"/>
        <v>Alto</v>
      </c>
      <c r="T417" s="315"/>
    </row>
    <row r="418" spans="1:20" s="305" customFormat="1" ht="32.1" customHeight="1" x14ac:dyDescent="0.2">
      <c r="A418" s="487" t="s">
        <v>158</v>
      </c>
      <c r="B418" s="258" t="s">
        <v>3440</v>
      </c>
      <c r="C418" s="258" t="s">
        <v>3441</v>
      </c>
      <c r="D418" s="121">
        <v>80</v>
      </c>
      <c r="E418" s="316"/>
      <c r="F418" s="316"/>
      <c r="G418" s="316"/>
      <c r="H418" s="316"/>
      <c r="I418" s="316"/>
      <c r="J418" s="316">
        <v>53.1</v>
      </c>
      <c r="K418" s="316"/>
      <c r="L418" s="316"/>
      <c r="M418" s="316"/>
      <c r="N418" s="316"/>
      <c r="O418" s="316"/>
      <c r="P418" s="316"/>
      <c r="Q418" s="226">
        <f t="shared" si="21"/>
        <v>53.1</v>
      </c>
      <c r="R418" s="226" t="str">
        <f t="shared" si="19"/>
        <v>NO</v>
      </c>
      <c r="S418" s="226" t="str">
        <f t="shared" si="20"/>
        <v>Alto</v>
      </c>
      <c r="T418" s="315"/>
    </row>
    <row r="419" spans="1:20" s="305" customFormat="1" ht="32.1" customHeight="1" x14ac:dyDescent="0.2">
      <c r="A419" s="487" t="s">
        <v>158</v>
      </c>
      <c r="B419" s="258" t="s">
        <v>3442</v>
      </c>
      <c r="C419" s="258" t="s">
        <v>3443</v>
      </c>
      <c r="D419" s="121">
        <v>296</v>
      </c>
      <c r="E419" s="316"/>
      <c r="F419" s="316"/>
      <c r="G419" s="316"/>
      <c r="H419" s="316"/>
      <c r="I419" s="316"/>
      <c r="J419" s="316">
        <v>97.34</v>
      </c>
      <c r="K419" s="316"/>
      <c r="L419" s="316"/>
      <c r="M419" s="316"/>
      <c r="N419" s="316"/>
      <c r="O419" s="316"/>
      <c r="P419" s="316"/>
      <c r="Q419" s="226">
        <f t="shared" si="21"/>
        <v>97.34</v>
      </c>
      <c r="R419" s="226" t="str">
        <f t="shared" si="19"/>
        <v>NO</v>
      </c>
      <c r="S419" s="226" t="str">
        <f t="shared" si="20"/>
        <v>Inviable Sanitariamente</v>
      </c>
      <c r="T419" s="315"/>
    </row>
    <row r="420" spans="1:20" s="305" customFormat="1" ht="32.1" customHeight="1" x14ac:dyDescent="0.2">
      <c r="A420" s="487" t="s">
        <v>158</v>
      </c>
      <c r="B420" s="258" t="s">
        <v>3444</v>
      </c>
      <c r="C420" s="258" t="s">
        <v>3445</v>
      </c>
      <c r="D420" s="121">
        <v>22</v>
      </c>
      <c r="E420" s="316"/>
      <c r="F420" s="316"/>
      <c r="G420" s="316">
        <v>53.1</v>
      </c>
      <c r="H420" s="316"/>
      <c r="I420" s="316"/>
      <c r="J420" s="316"/>
      <c r="K420" s="316"/>
      <c r="L420" s="316"/>
      <c r="M420" s="316"/>
      <c r="N420" s="316"/>
      <c r="O420" s="316"/>
      <c r="P420" s="316"/>
      <c r="Q420" s="226">
        <f t="shared" si="21"/>
        <v>53.1</v>
      </c>
      <c r="R420" s="226" t="str">
        <f t="shared" si="19"/>
        <v>NO</v>
      </c>
      <c r="S420" s="226" t="str">
        <f t="shared" si="20"/>
        <v>Alto</v>
      </c>
      <c r="T420" s="315"/>
    </row>
    <row r="421" spans="1:20" s="305" customFormat="1" ht="32.1" customHeight="1" x14ac:dyDescent="0.2">
      <c r="A421" s="487" t="s">
        <v>158</v>
      </c>
      <c r="B421" s="258" t="s">
        <v>1103</v>
      </c>
      <c r="C421" s="258" t="s">
        <v>3446</v>
      </c>
      <c r="D421" s="121">
        <v>98</v>
      </c>
      <c r="E421" s="316"/>
      <c r="F421" s="316"/>
      <c r="G421" s="316"/>
      <c r="H421" s="316"/>
      <c r="I421" s="316"/>
      <c r="J421" s="316"/>
      <c r="K421" s="316">
        <v>97.34</v>
      </c>
      <c r="L421" s="316"/>
      <c r="M421" s="316"/>
      <c r="N421" s="316"/>
      <c r="O421" s="316"/>
      <c r="P421" s="316"/>
      <c r="Q421" s="226">
        <f t="shared" si="21"/>
        <v>97.34</v>
      </c>
      <c r="R421" s="226" t="str">
        <f t="shared" si="19"/>
        <v>NO</v>
      </c>
      <c r="S421" s="226" t="str">
        <f t="shared" si="20"/>
        <v>Inviable Sanitariamente</v>
      </c>
      <c r="T421" s="315"/>
    </row>
    <row r="422" spans="1:20" s="305" customFormat="1" ht="32.1" customHeight="1" x14ac:dyDescent="0.2">
      <c r="A422" s="487" t="s">
        <v>158</v>
      </c>
      <c r="B422" s="258" t="s">
        <v>3447</v>
      </c>
      <c r="C422" s="258" t="s">
        <v>3448</v>
      </c>
      <c r="D422" s="121">
        <v>182</v>
      </c>
      <c r="E422" s="316"/>
      <c r="F422" s="316"/>
      <c r="G422" s="316"/>
      <c r="H422" s="316"/>
      <c r="I422" s="316">
        <v>53.09</v>
      </c>
      <c r="J422" s="316"/>
      <c r="K422" s="316"/>
      <c r="L422" s="316"/>
      <c r="M422" s="316"/>
      <c r="N422" s="316"/>
      <c r="O422" s="316"/>
      <c r="P422" s="316"/>
      <c r="Q422" s="226">
        <f t="shared" si="21"/>
        <v>53.09</v>
      </c>
      <c r="R422" s="226" t="str">
        <f t="shared" si="19"/>
        <v>NO</v>
      </c>
      <c r="S422" s="226" t="str">
        <f t="shared" si="20"/>
        <v>Alto</v>
      </c>
      <c r="T422" s="315"/>
    </row>
    <row r="423" spans="1:20" s="305" customFormat="1" ht="32.1" customHeight="1" x14ac:dyDescent="0.2">
      <c r="A423" s="487" t="s">
        <v>158</v>
      </c>
      <c r="B423" s="258" t="s">
        <v>3449</v>
      </c>
      <c r="C423" s="258" t="s">
        <v>3450</v>
      </c>
      <c r="D423" s="121">
        <v>210</v>
      </c>
      <c r="E423" s="316"/>
      <c r="F423" s="316"/>
      <c r="G423" s="316"/>
      <c r="H423" s="316"/>
      <c r="I423" s="316"/>
      <c r="J423" s="316">
        <v>55.75</v>
      </c>
      <c r="K423" s="316"/>
      <c r="L423" s="316"/>
      <c r="M423" s="316"/>
      <c r="N423" s="316"/>
      <c r="O423" s="316"/>
      <c r="P423" s="316"/>
      <c r="Q423" s="226">
        <f t="shared" si="21"/>
        <v>55.75</v>
      </c>
      <c r="R423" s="226" t="str">
        <f t="shared" si="19"/>
        <v>NO</v>
      </c>
      <c r="S423" s="226" t="str">
        <f t="shared" si="20"/>
        <v>Alto</v>
      </c>
      <c r="T423" s="315"/>
    </row>
    <row r="424" spans="1:20" s="305" customFormat="1" ht="32.1" customHeight="1" x14ac:dyDescent="0.2">
      <c r="A424" s="487" t="s">
        <v>158</v>
      </c>
      <c r="B424" s="258" t="s">
        <v>3451</v>
      </c>
      <c r="C424" s="258" t="s">
        <v>3452</v>
      </c>
      <c r="D424" s="121">
        <v>28</v>
      </c>
      <c r="E424" s="316"/>
      <c r="F424" s="316"/>
      <c r="G424" s="316"/>
      <c r="H424" s="316"/>
      <c r="I424" s="316"/>
      <c r="J424" s="316"/>
      <c r="K424" s="316"/>
      <c r="L424" s="316"/>
      <c r="M424" s="316"/>
      <c r="N424" s="316"/>
      <c r="O424" s="316">
        <v>53.1</v>
      </c>
      <c r="P424" s="316"/>
      <c r="Q424" s="226">
        <f t="shared" si="21"/>
        <v>53.1</v>
      </c>
      <c r="R424" s="226" t="str">
        <f t="shared" si="19"/>
        <v>NO</v>
      </c>
      <c r="S424" s="226" t="str">
        <f t="shared" si="20"/>
        <v>Alto</v>
      </c>
      <c r="T424" s="315"/>
    </row>
    <row r="425" spans="1:20" s="305" customFormat="1" ht="32.1" customHeight="1" x14ac:dyDescent="0.2">
      <c r="A425" s="487" t="s">
        <v>158</v>
      </c>
      <c r="B425" s="258" t="s">
        <v>3453</v>
      </c>
      <c r="C425" s="258" t="s">
        <v>3454</v>
      </c>
      <c r="D425" s="121">
        <v>32</v>
      </c>
      <c r="E425" s="316"/>
      <c r="F425" s="316"/>
      <c r="G425" s="316"/>
      <c r="H425" s="316"/>
      <c r="I425" s="316"/>
      <c r="J425" s="316"/>
      <c r="K425" s="316"/>
      <c r="L425" s="316"/>
      <c r="M425" s="316"/>
      <c r="N425" s="316"/>
      <c r="O425" s="316">
        <v>53.1</v>
      </c>
      <c r="P425" s="316"/>
      <c r="Q425" s="226">
        <f t="shared" si="21"/>
        <v>53.1</v>
      </c>
      <c r="R425" s="226" t="str">
        <f t="shared" si="19"/>
        <v>NO</v>
      </c>
      <c r="S425" s="226" t="str">
        <f t="shared" si="20"/>
        <v>Alto</v>
      </c>
      <c r="T425" s="315"/>
    </row>
    <row r="426" spans="1:20" s="305" customFormat="1" ht="32.1" customHeight="1" x14ac:dyDescent="0.2">
      <c r="A426" s="487" t="s">
        <v>3455</v>
      </c>
      <c r="B426" s="258" t="s">
        <v>2260</v>
      </c>
      <c r="C426" s="258" t="s">
        <v>2849</v>
      </c>
      <c r="D426" s="121">
        <v>15</v>
      </c>
      <c r="E426" s="316"/>
      <c r="F426" s="316"/>
      <c r="G426" s="316"/>
      <c r="H426" s="316"/>
      <c r="I426" s="316">
        <v>97.3</v>
      </c>
      <c r="J426" s="316"/>
      <c r="K426" s="316"/>
      <c r="L426" s="316"/>
      <c r="M426" s="316"/>
      <c r="N426" s="316"/>
      <c r="O426" s="316"/>
      <c r="P426" s="316"/>
      <c r="Q426" s="226">
        <f t="shared" si="21"/>
        <v>97.3</v>
      </c>
      <c r="R426" s="226" t="str">
        <f t="shared" si="19"/>
        <v>NO</v>
      </c>
      <c r="S426" s="226" t="str">
        <f t="shared" si="20"/>
        <v>Inviable Sanitariamente</v>
      </c>
      <c r="T426" s="315"/>
    </row>
    <row r="427" spans="1:20" s="305" customFormat="1" ht="32.1" customHeight="1" x14ac:dyDescent="0.2">
      <c r="A427" s="487" t="s">
        <v>3455</v>
      </c>
      <c r="B427" s="258" t="s">
        <v>2242</v>
      </c>
      <c r="C427" s="258" t="s">
        <v>3456</v>
      </c>
      <c r="D427" s="121">
        <v>72</v>
      </c>
      <c r="E427" s="316"/>
      <c r="F427" s="316"/>
      <c r="G427" s="316"/>
      <c r="H427" s="316"/>
      <c r="I427" s="316"/>
      <c r="J427" s="316"/>
      <c r="K427" s="316"/>
      <c r="L427" s="316"/>
      <c r="M427" s="316"/>
      <c r="N427" s="316">
        <v>97.3</v>
      </c>
      <c r="O427" s="316"/>
      <c r="P427" s="316"/>
      <c r="Q427" s="226">
        <f t="shared" si="21"/>
        <v>97.3</v>
      </c>
      <c r="R427" s="226" t="str">
        <f t="shared" si="19"/>
        <v>NO</v>
      </c>
      <c r="S427" s="226" t="str">
        <f t="shared" si="20"/>
        <v>Inviable Sanitariamente</v>
      </c>
      <c r="T427" s="315"/>
    </row>
    <row r="428" spans="1:20" s="305" customFormat="1" ht="32.1" customHeight="1" x14ac:dyDescent="0.2">
      <c r="A428" s="487" t="s">
        <v>3455</v>
      </c>
      <c r="B428" s="258" t="s">
        <v>3457</v>
      </c>
      <c r="C428" s="258" t="s">
        <v>3458</v>
      </c>
      <c r="D428" s="121">
        <v>52</v>
      </c>
      <c r="E428" s="316"/>
      <c r="F428" s="316">
        <v>97.3</v>
      </c>
      <c r="G428" s="316"/>
      <c r="H428" s="316"/>
      <c r="I428" s="316"/>
      <c r="J428" s="316"/>
      <c r="K428" s="316"/>
      <c r="L428" s="316"/>
      <c r="M428" s="316"/>
      <c r="N428" s="316"/>
      <c r="O428" s="316"/>
      <c r="P428" s="316"/>
      <c r="Q428" s="226">
        <f t="shared" si="21"/>
        <v>97.3</v>
      </c>
      <c r="R428" s="226" t="str">
        <f t="shared" si="19"/>
        <v>NO</v>
      </c>
      <c r="S428" s="226" t="str">
        <f t="shared" si="20"/>
        <v>Inviable Sanitariamente</v>
      </c>
      <c r="T428" s="315"/>
    </row>
    <row r="429" spans="1:20" s="305" customFormat="1" ht="32.1" customHeight="1" x14ac:dyDescent="0.2">
      <c r="A429" s="487" t="s">
        <v>3455</v>
      </c>
      <c r="B429" s="258" t="s">
        <v>3459</v>
      </c>
      <c r="C429" s="258" t="s">
        <v>3460</v>
      </c>
      <c r="D429" s="121">
        <v>32</v>
      </c>
      <c r="E429" s="316"/>
      <c r="F429" s="316">
        <v>97.3</v>
      </c>
      <c r="G429" s="316"/>
      <c r="H429" s="316"/>
      <c r="I429" s="316"/>
      <c r="J429" s="316"/>
      <c r="K429" s="316"/>
      <c r="L429" s="316"/>
      <c r="M429" s="316"/>
      <c r="N429" s="316"/>
      <c r="O429" s="316"/>
      <c r="P429" s="316"/>
      <c r="Q429" s="226">
        <f t="shared" si="21"/>
        <v>97.3</v>
      </c>
      <c r="R429" s="226" t="str">
        <f t="shared" si="19"/>
        <v>NO</v>
      </c>
      <c r="S429" s="226" t="str">
        <f t="shared" si="20"/>
        <v>Inviable Sanitariamente</v>
      </c>
      <c r="T429" s="315"/>
    </row>
    <row r="430" spans="1:20" s="305" customFormat="1" ht="32.1" customHeight="1" x14ac:dyDescent="0.2">
      <c r="A430" s="487" t="s">
        <v>3455</v>
      </c>
      <c r="B430" s="258" t="s">
        <v>3345</v>
      </c>
      <c r="C430" s="258" t="s">
        <v>3461</v>
      </c>
      <c r="D430" s="121">
        <v>40</v>
      </c>
      <c r="E430" s="316"/>
      <c r="F430" s="316"/>
      <c r="G430" s="316"/>
      <c r="H430" s="316"/>
      <c r="I430" s="316">
        <v>97.3</v>
      </c>
      <c r="J430" s="316"/>
      <c r="K430" s="316"/>
      <c r="L430" s="316"/>
      <c r="M430" s="316"/>
      <c r="N430" s="316"/>
      <c r="O430" s="316"/>
      <c r="P430" s="316"/>
      <c r="Q430" s="226">
        <f t="shared" si="21"/>
        <v>97.3</v>
      </c>
      <c r="R430" s="226" t="str">
        <f t="shared" si="19"/>
        <v>NO</v>
      </c>
      <c r="S430" s="226" t="str">
        <f t="shared" si="20"/>
        <v>Inviable Sanitariamente</v>
      </c>
      <c r="T430" s="315"/>
    </row>
    <row r="431" spans="1:20" s="305" customFormat="1" ht="32.1" customHeight="1" x14ac:dyDescent="0.2">
      <c r="A431" s="487" t="s">
        <v>3455</v>
      </c>
      <c r="B431" s="258" t="s">
        <v>2904</v>
      </c>
      <c r="C431" s="258" t="s">
        <v>3462</v>
      </c>
      <c r="D431" s="121">
        <v>46</v>
      </c>
      <c r="E431" s="316"/>
      <c r="F431" s="316"/>
      <c r="G431" s="316">
        <v>97.3</v>
      </c>
      <c r="H431" s="316"/>
      <c r="I431" s="316"/>
      <c r="J431" s="316"/>
      <c r="K431" s="316"/>
      <c r="L431" s="316"/>
      <c r="M431" s="316"/>
      <c r="N431" s="316"/>
      <c r="O431" s="316"/>
      <c r="P431" s="316"/>
      <c r="Q431" s="226">
        <f t="shared" si="21"/>
        <v>97.3</v>
      </c>
      <c r="R431" s="226" t="str">
        <f t="shared" si="19"/>
        <v>NO</v>
      </c>
      <c r="S431" s="226" t="str">
        <f t="shared" si="20"/>
        <v>Inviable Sanitariamente</v>
      </c>
      <c r="T431" s="315"/>
    </row>
    <row r="432" spans="1:20" s="305" customFormat="1" ht="32.1" customHeight="1" x14ac:dyDescent="0.2">
      <c r="A432" s="487" t="s">
        <v>3455</v>
      </c>
      <c r="B432" s="258" t="s">
        <v>3463</v>
      </c>
      <c r="C432" s="258" t="s">
        <v>3464</v>
      </c>
      <c r="D432" s="121">
        <v>30</v>
      </c>
      <c r="E432" s="316"/>
      <c r="F432" s="316"/>
      <c r="G432" s="316"/>
      <c r="H432" s="316"/>
      <c r="I432" s="316"/>
      <c r="J432" s="316">
        <v>97.3</v>
      </c>
      <c r="K432" s="316"/>
      <c r="L432" s="316"/>
      <c r="M432" s="316"/>
      <c r="N432" s="316"/>
      <c r="O432" s="316"/>
      <c r="P432" s="316"/>
      <c r="Q432" s="226">
        <f t="shared" si="21"/>
        <v>97.3</v>
      </c>
      <c r="R432" s="226" t="str">
        <f t="shared" si="19"/>
        <v>NO</v>
      </c>
      <c r="S432" s="226" t="str">
        <f t="shared" si="20"/>
        <v>Inviable Sanitariamente</v>
      </c>
      <c r="T432" s="315"/>
    </row>
    <row r="433" spans="1:20" s="305" customFormat="1" ht="32.1" customHeight="1" x14ac:dyDescent="0.2">
      <c r="A433" s="487" t="s">
        <v>3455</v>
      </c>
      <c r="B433" s="258" t="s">
        <v>3465</v>
      </c>
      <c r="C433" s="258" t="s">
        <v>3466</v>
      </c>
      <c r="D433" s="116">
        <v>100</v>
      </c>
      <c r="E433" s="316"/>
      <c r="F433" s="316"/>
      <c r="G433" s="316"/>
      <c r="H433" s="316">
        <v>97.3</v>
      </c>
      <c r="I433" s="316"/>
      <c r="J433" s="316"/>
      <c r="K433" s="316"/>
      <c r="L433" s="316"/>
      <c r="M433" s="316"/>
      <c r="N433" s="316"/>
      <c r="O433" s="316"/>
      <c r="P433" s="316"/>
      <c r="Q433" s="226">
        <f t="shared" si="21"/>
        <v>97.3</v>
      </c>
      <c r="R433" s="226" t="str">
        <f t="shared" si="19"/>
        <v>NO</v>
      </c>
      <c r="S433" s="226" t="str">
        <f t="shared" si="20"/>
        <v>Inviable Sanitariamente</v>
      </c>
      <c r="T433" s="315"/>
    </row>
    <row r="434" spans="1:20" s="305" customFormat="1" ht="32.1" customHeight="1" x14ac:dyDescent="0.2">
      <c r="A434" s="487" t="s">
        <v>3455</v>
      </c>
      <c r="B434" s="258" t="s">
        <v>3467</v>
      </c>
      <c r="C434" s="258" t="s">
        <v>3468</v>
      </c>
      <c r="D434" s="121">
        <v>22</v>
      </c>
      <c r="E434" s="316"/>
      <c r="F434" s="316"/>
      <c r="G434" s="316"/>
      <c r="H434" s="316"/>
      <c r="I434" s="316"/>
      <c r="J434" s="316"/>
      <c r="K434" s="316"/>
      <c r="L434" s="316"/>
      <c r="M434" s="316"/>
      <c r="N434" s="316"/>
      <c r="O434" s="316"/>
      <c r="P434" s="316">
        <v>0</v>
      </c>
      <c r="Q434" s="226">
        <f t="shared" si="21"/>
        <v>0</v>
      </c>
      <c r="R434" s="226" t="str">
        <f t="shared" si="19"/>
        <v>SI</v>
      </c>
      <c r="S434" s="226" t="str">
        <f t="shared" si="20"/>
        <v>Sin Riesgo</v>
      </c>
      <c r="T434" s="315"/>
    </row>
    <row r="435" spans="1:20" s="305" customFormat="1" ht="32.1" customHeight="1" x14ac:dyDescent="0.2">
      <c r="A435" s="487" t="s">
        <v>3455</v>
      </c>
      <c r="B435" s="258" t="s">
        <v>2668</v>
      </c>
      <c r="C435" s="258" t="s">
        <v>3469</v>
      </c>
      <c r="D435" s="121">
        <v>152</v>
      </c>
      <c r="E435" s="316"/>
      <c r="F435" s="316"/>
      <c r="G435" s="316"/>
      <c r="H435" s="316"/>
      <c r="I435" s="316"/>
      <c r="J435" s="316"/>
      <c r="K435" s="316"/>
      <c r="L435" s="316"/>
      <c r="M435" s="316"/>
      <c r="N435" s="316"/>
      <c r="O435" s="316">
        <v>0</v>
      </c>
      <c r="P435" s="316"/>
      <c r="Q435" s="226">
        <f t="shared" si="21"/>
        <v>0</v>
      </c>
      <c r="R435" s="226" t="str">
        <f t="shared" si="19"/>
        <v>SI</v>
      </c>
      <c r="S435" s="226" t="str">
        <f t="shared" si="20"/>
        <v>Sin Riesgo</v>
      </c>
      <c r="T435" s="315"/>
    </row>
    <row r="436" spans="1:20" s="305" customFormat="1" ht="32.1" customHeight="1" x14ac:dyDescent="0.2">
      <c r="A436" s="487" t="s">
        <v>3455</v>
      </c>
      <c r="B436" s="258" t="s">
        <v>3470</v>
      </c>
      <c r="C436" s="258" t="s">
        <v>3471</v>
      </c>
      <c r="D436" s="116">
        <v>35</v>
      </c>
      <c r="E436" s="316"/>
      <c r="F436" s="316">
        <v>97.3</v>
      </c>
      <c r="G436" s="316"/>
      <c r="H436" s="316"/>
      <c r="I436" s="316"/>
      <c r="J436" s="316"/>
      <c r="K436" s="316"/>
      <c r="L436" s="316"/>
      <c r="M436" s="316"/>
      <c r="N436" s="316"/>
      <c r="O436" s="316"/>
      <c r="P436" s="316"/>
      <c r="Q436" s="226">
        <f t="shared" si="21"/>
        <v>97.3</v>
      </c>
      <c r="R436" s="226" t="str">
        <f t="shared" si="19"/>
        <v>NO</v>
      </c>
      <c r="S436" s="226" t="str">
        <f t="shared" si="20"/>
        <v>Inviable Sanitariamente</v>
      </c>
      <c r="T436" s="315"/>
    </row>
    <row r="437" spans="1:20" s="305" customFormat="1" ht="32.1" customHeight="1" x14ac:dyDescent="0.2">
      <c r="A437" s="487" t="s">
        <v>3455</v>
      </c>
      <c r="B437" s="258" t="s">
        <v>3472</v>
      </c>
      <c r="C437" s="258" t="s">
        <v>3473</v>
      </c>
      <c r="D437" s="121">
        <v>15</v>
      </c>
      <c r="E437" s="316"/>
      <c r="F437" s="316"/>
      <c r="G437" s="316">
        <v>97.3</v>
      </c>
      <c r="H437" s="316"/>
      <c r="I437" s="316"/>
      <c r="J437" s="316"/>
      <c r="K437" s="316"/>
      <c r="L437" s="316"/>
      <c r="M437" s="316"/>
      <c r="N437" s="316"/>
      <c r="O437" s="316"/>
      <c r="P437" s="316"/>
      <c r="Q437" s="226">
        <f t="shared" si="21"/>
        <v>97.3</v>
      </c>
      <c r="R437" s="226" t="str">
        <f t="shared" si="19"/>
        <v>NO</v>
      </c>
      <c r="S437" s="226" t="str">
        <f t="shared" si="20"/>
        <v>Inviable Sanitariamente</v>
      </c>
      <c r="T437" s="315"/>
    </row>
    <row r="438" spans="1:20" s="305" customFormat="1" ht="32.1" customHeight="1" x14ac:dyDescent="0.2">
      <c r="A438" s="487" t="s">
        <v>3455</v>
      </c>
      <c r="B438" s="258" t="s">
        <v>3474</v>
      </c>
      <c r="C438" s="258" t="s">
        <v>3475</v>
      </c>
      <c r="D438" s="121">
        <v>45</v>
      </c>
      <c r="E438" s="316"/>
      <c r="F438" s="316"/>
      <c r="G438" s="316"/>
      <c r="H438" s="316">
        <v>97.3</v>
      </c>
      <c r="I438" s="316"/>
      <c r="J438" s="316"/>
      <c r="K438" s="316"/>
      <c r="L438" s="316"/>
      <c r="M438" s="316"/>
      <c r="N438" s="316"/>
      <c r="O438" s="316"/>
      <c r="P438" s="316"/>
      <c r="Q438" s="226">
        <f t="shared" si="21"/>
        <v>97.3</v>
      </c>
      <c r="R438" s="226" t="str">
        <f t="shared" si="19"/>
        <v>NO</v>
      </c>
      <c r="S438" s="226" t="str">
        <f t="shared" si="20"/>
        <v>Inviable Sanitariamente</v>
      </c>
      <c r="T438" s="315"/>
    </row>
    <row r="439" spans="1:20" s="305" customFormat="1" ht="32.1" customHeight="1" x14ac:dyDescent="0.2">
      <c r="A439" s="487" t="s">
        <v>3455</v>
      </c>
      <c r="B439" s="258" t="s">
        <v>661</v>
      </c>
      <c r="C439" s="258" t="s">
        <v>3476</v>
      </c>
      <c r="D439" s="116">
        <v>38</v>
      </c>
      <c r="E439" s="316"/>
      <c r="F439" s="316"/>
      <c r="G439" s="316"/>
      <c r="H439" s="316">
        <v>97.3</v>
      </c>
      <c r="I439" s="316"/>
      <c r="J439" s="316"/>
      <c r="K439" s="316"/>
      <c r="L439" s="316"/>
      <c r="M439" s="316"/>
      <c r="N439" s="316"/>
      <c r="O439" s="316"/>
      <c r="P439" s="316"/>
      <c r="Q439" s="226">
        <f t="shared" si="21"/>
        <v>97.3</v>
      </c>
      <c r="R439" s="226" t="str">
        <f t="shared" si="19"/>
        <v>NO</v>
      </c>
      <c r="S439" s="226" t="str">
        <f t="shared" si="20"/>
        <v>Inviable Sanitariamente</v>
      </c>
      <c r="T439" s="315"/>
    </row>
    <row r="440" spans="1:20" s="305" customFormat="1" ht="32.1" customHeight="1" x14ac:dyDescent="0.2">
      <c r="A440" s="487" t="s">
        <v>3455</v>
      </c>
      <c r="B440" s="258" t="s">
        <v>3477</v>
      </c>
      <c r="C440" s="258" t="s">
        <v>3478</v>
      </c>
      <c r="D440" s="121">
        <v>15</v>
      </c>
      <c r="E440" s="316"/>
      <c r="F440" s="316"/>
      <c r="G440" s="316"/>
      <c r="H440" s="316">
        <v>97.3</v>
      </c>
      <c r="I440" s="316"/>
      <c r="J440" s="316"/>
      <c r="K440" s="316"/>
      <c r="L440" s="316"/>
      <c r="M440" s="316"/>
      <c r="N440" s="316"/>
      <c r="O440" s="316"/>
      <c r="P440" s="316"/>
      <c r="Q440" s="226">
        <f t="shared" si="21"/>
        <v>97.3</v>
      </c>
      <c r="R440" s="226" t="str">
        <f t="shared" si="19"/>
        <v>NO</v>
      </c>
      <c r="S440" s="226" t="str">
        <f t="shared" si="20"/>
        <v>Inviable Sanitariamente</v>
      </c>
      <c r="T440" s="315"/>
    </row>
    <row r="441" spans="1:20" s="305" customFormat="1" ht="32.1" customHeight="1" x14ac:dyDescent="0.2">
      <c r="A441" s="487" t="s">
        <v>3455</v>
      </c>
      <c r="B441" s="258" t="s">
        <v>3110</v>
      </c>
      <c r="C441" s="258" t="s">
        <v>3479</v>
      </c>
      <c r="D441" s="121">
        <v>42</v>
      </c>
      <c r="E441" s="316"/>
      <c r="F441" s="316"/>
      <c r="G441" s="316"/>
      <c r="H441" s="316"/>
      <c r="I441" s="316"/>
      <c r="J441" s="316"/>
      <c r="K441" s="316"/>
      <c r="L441" s="316">
        <v>97.3</v>
      </c>
      <c r="M441" s="316"/>
      <c r="N441" s="316"/>
      <c r="O441" s="316"/>
      <c r="P441" s="316"/>
      <c r="Q441" s="226">
        <f t="shared" si="21"/>
        <v>97.3</v>
      </c>
      <c r="R441" s="226" t="str">
        <f t="shared" si="19"/>
        <v>NO</v>
      </c>
      <c r="S441" s="226" t="str">
        <f t="shared" si="20"/>
        <v>Inviable Sanitariamente</v>
      </c>
      <c r="T441" s="315"/>
    </row>
    <row r="442" spans="1:20" s="305" customFormat="1" ht="32.1" customHeight="1" x14ac:dyDescent="0.2">
      <c r="A442" s="487" t="s">
        <v>3455</v>
      </c>
      <c r="B442" s="258" t="s">
        <v>3480</v>
      </c>
      <c r="C442" s="258" t="s">
        <v>3481</v>
      </c>
      <c r="D442" s="121">
        <v>19</v>
      </c>
      <c r="E442" s="316"/>
      <c r="F442" s="316"/>
      <c r="G442" s="316"/>
      <c r="H442" s="316">
        <v>97.3</v>
      </c>
      <c r="I442" s="316"/>
      <c r="J442" s="316"/>
      <c r="K442" s="316"/>
      <c r="L442" s="316"/>
      <c r="M442" s="316"/>
      <c r="N442" s="316"/>
      <c r="O442" s="316"/>
      <c r="P442" s="316"/>
      <c r="Q442" s="226">
        <f t="shared" si="21"/>
        <v>97.3</v>
      </c>
      <c r="R442" s="226" t="str">
        <f t="shared" si="19"/>
        <v>NO</v>
      </c>
      <c r="S442" s="226" t="str">
        <f t="shared" si="20"/>
        <v>Inviable Sanitariamente</v>
      </c>
      <c r="T442" s="315"/>
    </row>
    <row r="443" spans="1:20" s="305" customFormat="1" ht="32.1" customHeight="1" x14ac:dyDescent="0.2">
      <c r="A443" s="487" t="s">
        <v>3455</v>
      </c>
      <c r="B443" s="258" t="s">
        <v>3482</v>
      </c>
      <c r="C443" s="258" t="s">
        <v>3483</v>
      </c>
      <c r="D443" s="166">
        <v>79</v>
      </c>
      <c r="E443" s="316"/>
      <c r="F443" s="316"/>
      <c r="G443" s="316"/>
      <c r="H443" s="316"/>
      <c r="I443" s="316"/>
      <c r="J443" s="316"/>
      <c r="K443" s="316"/>
      <c r="L443" s="316">
        <v>97.3</v>
      </c>
      <c r="M443" s="316"/>
      <c r="N443" s="316"/>
      <c r="O443" s="316"/>
      <c r="P443" s="316"/>
      <c r="Q443" s="226">
        <f t="shared" si="21"/>
        <v>97.3</v>
      </c>
      <c r="R443" s="226" t="str">
        <f t="shared" si="19"/>
        <v>NO</v>
      </c>
      <c r="S443" s="226" t="str">
        <f t="shared" si="20"/>
        <v>Inviable Sanitariamente</v>
      </c>
      <c r="T443" s="315"/>
    </row>
    <row r="444" spans="1:20" s="305" customFormat="1" ht="32.1" customHeight="1" x14ac:dyDescent="0.2">
      <c r="A444" s="487" t="s">
        <v>3455</v>
      </c>
      <c r="B444" s="258" t="s">
        <v>3484</v>
      </c>
      <c r="C444" s="258" t="s">
        <v>3485</v>
      </c>
      <c r="D444" s="121">
        <v>65</v>
      </c>
      <c r="E444" s="316"/>
      <c r="F444" s="316">
        <v>97.3</v>
      </c>
      <c r="G444" s="316"/>
      <c r="H444" s="316"/>
      <c r="I444" s="316"/>
      <c r="J444" s="316"/>
      <c r="K444" s="316"/>
      <c r="L444" s="316"/>
      <c r="M444" s="316"/>
      <c r="N444" s="316"/>
      <c r="O444" s="316"/>
      <c r="P444" s="316"/>
      <c r="Q444" s="226">
        <f t="shared" si="21"/>
        <v>97.3</v>
      </c>
      <c r="R444" s="226" t="str">
        <f t="shared" si="19"/>
        <v>NO</v>
      </c>
      <c r="S444" s="226" t="str">
        <f t="shared" si="20"/>
        <v>Inviable Sanitariamente</v>
      </c>
      <c r="T444" s="315"/>
    </row>
    <row r="445" spans="1:20" s="305" customFormat="1" ht="32.1" customHeight="1" x14ac:dyDescent="0.2">
      <c r="A445" s="487" t="s">
        <v>3455</v>
      </c>
      <c r="B445" s="258" t="s">
        <v>3486</v>
      </c>
      <c r="C445" s="258" t="s">
        <v>3487</v>
      </c>
      <c r="D445" s="121">
        <v>120</v>
      </c>
      <c r="E445" s="316"/>
      <c r="F445" s="316"/>
      <c r="G445" s="316">
        <v>97.3</v>
      </c>
      <c r="H445" s="316"/>
      <c r="I445" s="316"/>
      <c r="J445" s="316"/>
      <c r="K445" s="316"/>
      <c r="L445" s="316"/>
      <c r="M445" s="316"/>
      <c r="N445" s="316"/>
      <c r="O445" s="316"/>
      <c r="P445" s="316"/>
      <c r="Q445" s="226">
        <f t="shared" si="21"/>
        <v>97.3</v>
      </c>
      <c r="R445" s="226" t="str">
        <f t="shared" si="19"/>
        <v>NO</v>
      </c>
      <c r="S445" s="226" t="str">
        <f t="shared" si="20"/>
        <v>Inviable Sanitariamente</v>
      </c>
      <c r="T445" s="315"/>
    </row>
    <row r="446" spans="1:20" s="305" customFormat="1" ht="32.1" customHeight="1" x14ac:dyDescent="0.2">
      <c r="A446" s="487" t="s">
        <v>3455</v>
      </c>
      <c r="B446" s="258" t="s">
        <v>1184</v>
      </c>
      <c r="C446" s="258" t="s">
        <v>3488</v>
      </c>
      <c r="D446" s="166">
        <v>84</v>
      </c>
      <c r="E446" s="316"/>
      <c r="F446" s="316"/>
      <c r="G446" s="316"/>
      <c r="H446" s="316"/>
      <c r="I446" s="316">
        <v>97.3</v>
      </c>
      <c r="J446" s="316"/>
      <c r="K446" s="316"/>
      <c r="L446" s="316"/>
      <c r="M446" s="316"/>
      <c r="N446" s="316"/>
      <c r="O446" s="316"/>
      <c r="P446" s="316"/>
      <c r="Q446" s="226">
        <f t="shared" si="21"/>
        <v>97.3</v>
      </c>
      <c r="R446" s="226" t="str">
        <f t="shared" si="19"/>
        <v>NO</v>
      </c>
      <c r="S446" s="226" t="str">
        <f t="shared" si="20"/>
        <v>Inviable Sanitariamente</v>
      </c>
      <c r="T446" s="315"/>
    </row>
    <row r="447" spans="1:20" s="305" customFormat="1" ht="32.1" customHeight="1" x14ac:dyDescent="0.2">
      <c r="A447" s="487" t="s">
        <v>3455</v>
      </c>
      <c r="B447" s="258" t="s">
        <v>3489</v>
      </c>
      <c r="C447" s="258" t="s">
        <v>3490</v>
      </c>
      <c r="D447" s="166">
        <v>104</v>
      </c>
      <c r="E447" s="316"/>
      <c r="F447" s="316"/>
      <c r="G447" s="316">
        <v>97.3</v>
      </c>
      <c r="H447" s="316"/>
      <c r="I447" s="316"/>
      <c r="J447" s="316"/>
      <c r="K447" s="316"/>
      <c r="L447" s="316"/>
      <c r="M447" s="316"/>
      <c r="N447" s="316"/>
      <c r="O447" s="316"/>
      <c r="P447" s="316"/>
      <c r="Q447" s="226">
        <f t="shared" si="21"/>
        <v>97.3</v>
      </c>
      <c r="R447" s="226" t="str">
        <f t="shared" si="19"/>
        <v>NO</v>
      </c>
      <c r="S447" s="226" t="str">
        <f t="shared" si="20"/>
        <v>Inviable Sanitariamente</v>
      </c>
      <c r="T447" s="315"/>
    </row>
    <row r="448" spans="1:20" s="305" customFormat="1" ht="32.1" customHeight="1" x14ac:dyDescent="0.2">
      <c r="A448" s="487" t="s">
        <v>3455</v>
      </c>
      <c r="B448" s="258" t="s">
        <v>735</v>
      </c>
      <c r="C448" s="258" t="s">
        <v>3491</v>
      </c>
      <c r="D448" s="121">
        <v>22</v>
      </c>
      <c r="E448" s="316"/>
      <c r="F448" s="316"/>
      <c r="G448" s="316"/>
      <c r="H448" s="316"/>
      <c r="I448" s="316"/>
      <c r="J448" s="316">
        <v>97.3</v>
      </c>
      <c r="K448" s="316"/>
      <c r="L448" s="316"/>
      <c r="M448" s="316"/>
      <c r="N448" s="316"/>
      <c r="O448" s="316"/>
      <c r="P448" s="316"/>
      <c r="Q448" s="226">
        <f t="shared" si="21"/>
        <v>97.3</v>
      </c>
      <c r="R448" s="226" t="str">
        <f t="shared" si="19"/>
        <v>NO</v>
      </c>
      <c r="S448" s="226" t="str">
        <f t="shared" si="20"/>
        <v>Inviable Sanitariamente</v>
      </c>
      <c r="T448" s="315"/>
    </row>
    <row r="449" spans="1:20" s="305" customFormat="1" ht="32.1" customHeight="1" x14ac:dyDescent="0.2">
      <c r="A449" s="487" t="s">
        <v>3455</v>
      </c>
      <c r="B449" s="258" t="s">
        <v>3492</v>
      </c>
      <c r="C449" s="258" t="s">
        <v>3493</v>
      </c>
      <c r="D449" s="166">
        <v>6</v>
      </c>
      <c r="E449" s="316"/>
      <c r="F449" s="316"/>
      <c r="G449" s="316">
        <v>97.3</v>
      </c>
      <c r="H449" s="316"/>
      <c r="I449" s="316"/>
      <c r="J449" s="316"/>
      <c r="K449" s="316"/>
      <c r="L449" s="316"/>
      <c r="M449" s="316"/>
      <c r="N449" s="316"/>
      <c r="O449" s="316"/>
      <c r="P449" s="316"/>
      <c r="Q449" s="226">
        <f t="shared" si="21"/>
        <v>97.3</v>
      </c>
      <c r="R449" s="226" t="str">
        <f t="shared" si="19"/>
        <v>NO</v>
      </c>
      <c r="S449" s="226" t="str">
        <f t="shared" si="20"/>
        <v>Inviable Sanitariamente</v>
      </c>
      <c r="T449" s="315"/>
    </row>
    <row r="450" spans="1:20" s="305" customFormat="1" ht="32.1" customHeight="1" x14ac:dyDescent="0.2">
      <c r="A450" s="487" t="s">
        <v>3455</v>
      </c>
      <c r="B450" s="258" t="s">
        <v>3494</v>
      </c>
      <c r="C450" s="258" t="s">
        <v>3495</v>
      </c>
      <c r="D450" s="116">
        <v>46</v>
      </c>
      <c r="E450" s="316"/>
      <c r="F450" s="316"/>
      <c r="G450" s="316"/>
      <c r="H450" s="316">
        <v>97.3</v>
      </c>
      <c r="I450" s="316"/>
      <c r="J450" s="316"/>
      <c r="K450" s="316"/>
      <c r="L450" s="316"/>
      <c r="M450" s="316"/>
      <c r="N450" s="316"/>
      <c r="O450" s="316"/>
      <c r="P450" s="316"/>
      <c r="Q450" s="226">
        <f t="shared" si="21"/>
        <v>97.3</v>
      </c>
      <c r="R450" s="226" t="str">
        <f t="shared" si="19"/>
        <v>NO</v>
      </c>
      <c r="S450" s="226" t="str">
        <f t="shared" si="20"/>
        <v>Inviable Sanitariamente</v>
      </c>
      <c r="T450" s="315"/>
    </row>
    <row r="451" spans="1:20" s="305" customFormat="1" ht="32.1" customHeight="1" x14ac:dyDescent="0.2">
      <c r="A451" s="487" t="s">
        <v>3455</v>
      </c>
      <c r="B451" s="258" t="s">
        <v>3496</v>
      </c>
      <c r="C451" s="258" t="s">
        <v>3497</v>
      </c>
      <c r="D451" s="116">
        <v>97</v>
      </c>
      <c r="E451" s="316"/>
      <c r="F451" s="316"/>
      <c r="G451" s="316"/>
      <c r="H451" s="316"/>
      <c r="I451" s="316">
        <v>97.3</v>
      </c>
      <c r="J451" s="316"/>
      <c r="K451" s="316"/>
      <c r="L451" s="316"/>
      <c r="M451" s="316"/>
      <c r="N451" s="316"/>
      <c r="O451" s="316"/>
      <c r="P451" s="316"/>
      <c r="Q451" s="226">
        <f t="shared" si="21"/>
        <v>97.3</v>
      </c>
      <c r="R451" s="226" t="str">
        <f t="shared" si="19"/>
        <v>NO</v>
      </c>
      <c r="S451" s="226" t="str">
        <f t="shared" si="20"/>
        <v>Inviable Sanitariamente</v>
      </c>
      <c r="T451" s="315"/>
    </row>
    <row r="452" spans="1:20" s="305" customFormat="1" ht="32.1" customHeight="1" x14ac:dyDescent="0.2">
      <c r="A452" s="487" t="s">
        <v>3455</v>
      </c>
      <c r="B452" s="258" t="s">
        <v>3498</v>
      </c>
      <c r="C452" s="258" t="s">
        <v>3499</v>
      </c>
      <c r="D452" s="116">
        <v>82</v>
      </c>
      <c r="E452" s="316"/>
      <c r="F452" s="316"/>
      <c r="G452" s="316"/>
      <c r="H452" s="316"/>
      <c r="I452" s="316">
        <v>97.3</v>
      </c>
      <c r="J452" s="316"/>
      <c r="K452" s="316"/>
      <c r="L452" s="316"/>
      <c r="M452" s="316"/>
      <c r="N452" s="316"/>
      <c r="O452" s="316"/>
      <c r="P452" s="316"/>
      <c r="Q452" s="226">
        <f t="shared" si="21"/>
        <v>97.3</v>
      </c>
      <c r="R452" s="226" t="str">
        <f t="shared" si="19"/>
        <v>NO</v>
      </c>
      <c r="S452" s="226" t="str">
        <f t="shared" si="20"/>
        <v>Inviable Sanitariamente</v>
      </c>
      <c r="T452" s="315"/>
    </row>
    <row r="453" spans="1:20" s="305" customFormat="1" ht="32.1" customHeight="1" x14ac:dyDescent="0.2">
      <c r="A453" s="487" t="s">
        <v>3455</v>
      </c>
      <c r="B453" s="258" t="s">
        <v>3500</v>
      </c>
      <c r="C453" s="258" t="s">
        <v>3501</v>
      </c>
      <c r="D453" s="116">
        <v>60</v>
      </c>
      <c r="E453" s="316"/>
      <c r="F453" s="316"/>
      <c r="G453" s="316">
        <v>97.3</v>
      </c>
      <c r="H453" s="316"/>
      <c r="I453" s="316"/>
      <c r="J453" s="316"/>
      <c r="K453" s="316"/>
      <c r="L453" s="316"/>
      <c r="M453" s="316"/>
      <c r="N453" s="316"/>
      <c r="O453" s="316"/>
      <c r="P453" s="316"/>
      <c r="Q453" s="226">
        <f t="shared" si="21"/>
        <v>97.3</v>
      </c>
      <c r="R453" s="226" t="str">
        <f t="shared" si="19"/>
        <v>NO</v>
      </c>
      <c r="S453" s="226" t="str">
        <f t="shared" si="20"/>
        <v>Inviable Sanitariamente</v>
      </c>
      <c r="T453" s="315"/>
    </row>
    <row r="454" spans="1:20" s="305" customFormat="1" ht="32.1" customHeight="1" x14ac:dyDescent="0.2">
      <c r="A454" s="487" t="s">
        <v>3455</v>
      </c>
      <c r="B454" s="258" t="s">
        <v>3502</v>
      </c>
      <c r="C454" s="258" t="s">
        <v>3503</v>
      </c>
      <c r="D454" s="116">
        <v>59</v>
      </c>
      <c r="E454" s="316"/>
      <c r="F454" s="316"/>
      <c r="G454" s="316"/>
      <c r="H454" s="316"/>
      <c r="I454" s="316"/>
      <c r="J454" s="316"/>
      <c r="K454" s="316"/>
      <c r="L454" s="316">
        <v>97.3</v>
      </c>
      <c r="M454" s="316"/>
      <c r="N454" s="316"/>
      <c r="O454" s="316"/>
      <c r="P454" s="316"/>
      <c r="Q454" s="226">
        <f t="shared" si="21"/>
        <v>97.3</v>
      </c>
      <c r="R454" s="226" t="str">
        <f t="shared" si="19"/>
        <v>NO</v>
      </c>
      <c r="S454" s="226" t="str">
        <f t="shared" si="20"/>
        <v>Inviable Sanitariamente</v>
      </c>
      <c r="T454" s="315"/>
    </row>
    <row r="455" spans="1:20" s="305" customFormat="1" ht="32.1" customHeight="1" x14ac:dyDescent="0.2">
      <c r="A455" s="487" t="s">
        <v>3455</v>
      </c>
      <c r="B455" s="258" t="s">
        <v>3504</v>
      </c>
      <c r="C455" s="258" t="s">
        <v>3505</v>
      </c>
      <c r="D455" s="116">
        <v>108</v>
      </c>
      <c r="E455" s="316"/>
      <c r="F455" s="316"/>
      <c r="G455" s="316"/>
      <c r="H455" s="316">
        <v>97.3</v>
      </c>
      <c r="I455" s="316"/>
      <c r="J455" s="316"/>
      <c r="K455" s="316"/>
      <c r="L455" s="316"/>
      <c r="M455" s="316"/>
      <c r="N455" s="316"/>
      <c r="O455" s="316"/>
      <c r="P455" s="316"/>
      <c r="Q455" s="226">
        <f t="shared" si="21"/>
        <v>97.3</v>
      </c>
      <c r="R455" s="226" t="str">
        <f t="shared" si="19"/>
        <v>NO</v>
      </c>
      <c r="S455" s="226" t="str">
        <f t="shared" si="20"/>
        <v>Inviable Sanitariamente</v>
      </c>
      <c r="T455" s="315"/>
    </row>
    <row r="456" spans="1:20" s="305" customFormat="1" ht="32.1" customHeight="1" x14ac:dyDescent="0.2">
      <c r="A456" s="487" t="s">
        <v>3455</v>
      </c>
      <c r="B456" s="258" t="s">
        <v>3506</v>
      </c>
      <c r="C456" s="258" t="s">
        <v>3507</v>
      </c>
      <c r="D456" s="116">
        <v>83</v>
      </c>
      <c r="E456" s="316">
        <v>97.3</v>
      </c>
      <c r="F456" s="316"/>
      <c r="G456" s="316"/>
      <c r="H456" s="316"/>
      <c r="I456" s="316"/>
      <c r="J456" s="316"/>
      <c r="K456" s="316"/>
      <c r="L456" s="316"/>
      <c r="M456" s="316"/>
      <c r="N456" s="316"/>
      <c r="O456" s="316"/>
      <c r="P456" s="316"/>
      <c r="Q456" s="226">
        <f t="shared" si="21"/>
        <v>97.3</v>
      </c>
      <c r="R456" s="226" t="str">
        <f t="shared" si="19"/>
        <v>NO</v>
      </c>
      <c r="S456" s="226" t="str">
        <f t="shared" si="20"/>
        <v>Inviable Sanitariamente</v>
      </c>
      <c r="T456" s="315"/>
    </row>
    <row r="457" spans="1:20" s="305" customFormat="1" ht="32.1" customHeight="1" x14ac:dyDescent="0.2">
      <c r="A457" s="487" t="s">
        <v>3455</v>
      </c>
      <c r="B457" s="258" t="s">
        <v>2948</v>
      </c>
      <c r="C457" s="258" t="s">
        <v>3508</v>
      </c>
      <c r="D457" s="116">
        <v>32</v>
      </c>
      <c r="E457" s="316"/>
      <c r="F457" s="316"/>
      <c r="G457" s="316"/>
      <c r="H457" s="316"/>
      <c r="I457" s="316"/>
      <c r="J457" s="316">
        <v>97.3</v>
      </c>
      <c r="K457" s="316"/>
      <c r="L457" s="316"/>
      <c r="M457" s="316"/>
      <c r="N457" s="316"/>
      <c r="O457" s="316"/>
      <c r="P457" s="316"/>
      <c r="Q457" s="226">
        <f t="shared" si="21"/>
        <v>97.3</v>
      </c>
      <c r="R457" s="226" t="str">
        <f t="shared" si="19"/>
        <v>NO</v>
      </c>
      <c r="S457" s="226" t="str">
        <f t="shared" si="20"/>
        <v>Inviable Sanitariamente</v>
      </c>
      <c r="T457" s="315"/>
    </row>
    <row r="458" spans="1:20" s="305" customFormat="1" ht="32.1" customHeight="1" x14ac:dyDescent="0.2">
      <c r="A458" s="487" t="s">
        <v>3455</v>
      </c>
      <c r="B458" s="258" t="s">
        <v>3509</v>
      </c>
      <c r="C458" s="258" t="s">
        <v>3510</v>
      </c>
      <c r="D458" s="116">
        <v>179</v>
      </c>
      <c r="E458" s="316"/>
      <c r="F458" s="316"/>
      <c r="G458" s="316"/>
      <c r="H458" s="316"/>
      <c r="I458" s="316"/>
      <c r="J458" s="316"/>
      <c r="K458" s="316"/>
      <c r="L458" s="316"/>
      <c r="M458" s="316"/>
      <c r="N458" s="316"/>
      <c r="O458" s="316">
        <v>0</v>
      </c>
      <c r="P458" s="316"/>
      <c r="Q458" s="226">
        <f t="shared" si="21"/>
        <v>0</v>
      </c>
      <c r="R458" s="226" t="str">
        <f t="shared" ref="R458:R506" si="22">IF(Q458&lt;5,"SI","NO")</f>
        <v>SI</v>
      </c>
      <c r="S458" s="226" t="str">
        <f t="shared" si="20"/>
        <v>Sin Riesgo</v>
      </c>
      <c r="T458" s="315"/>
    </row>
    <row r="459" spans="1:20" s="318" customFormat="1" ht="32.1" customHeight="1" x14ac:dyDescent="0.2">
      <c r="A459" s="487" t="s">
        <v>3455</v>
      </c>
      <c r="B459" s="258" t="s">
        <v>3511</v>
      </c>
      <c r="C459" s="258" t="s">
        <v>3512</v>
      </c>
      <c r="D459" s="121">
        <v>110</v>
      </c>
      <c r="E459" s="316"/>
      <c r="F459" s="316"/>
      <c r="G459" s="316"/>
      <c r="H459" s="316"/>
      <c r="I459" s="316"/>
      <c r="J459" s="316"/>
      <c r="K459" s="316"/>
      <c r="L459" s="316"/>
      <c r="M459" s="316"/>
      <c r="N459" s="316"/>
      <c r="O459" s="316"/>
      <c r="P459" s="316">
        <v>0</v>
      </c>
      <c r="Q459" s="226">
        <f t="shared" si="21"/>
        <v>0</v>
      </c>
      <c r="R459" s="226" t="str">
        <f t="shared" si="22"/>
        <v>SI</v>
      </c>
      <c r="S459" s="226" t="str">
        <f t="shared" ref="S459:S506" si="23">IF(Q459&lt;=5,"Sin Riesgo",IF(Q459 &lt;=14,"Bajo",IF(Q459&lt;=35,"Medio",IF(Q459&lt;=80,"Alto","Inviable Sanitariamente"))))</f>
        <v>Sin Riesgo</v>
      </c>
      <c r="T459" s="317"/>
    </row>
    <row r="460" spans="1:20" ht="32.1" customHeight="1" x14ac:dyDescent="0.2">
      <c r="A460" s="487" t="s">
        <v>3455</v>
      </c>
      <c r="B460" s="258" t="s">
        <v>2977</v>
      </c>
      <c r="C460" s="258" t="s">
        <v>3513</v>
      </c>
      <c r="D460" s="121">
        <v>688</v>
      </c>
      <c r="E460" s="316"/>
      <c r="F460" s="316"/>
      <c r="G460" s="316"/>
      <c r="H460" s="316"/>
      <c r="I460" s="316"/>
      <c r="J460" s="316"/>
      <c r="K460" s="316"/>
      <c r="L460" s="316"/>
      <c r="M460" s="316"/>
      <c r="N460" s="316"/>
      <c r="O460" s="316">
        <v>0</v>
      </c>
      <c r="P460" s="316">
        <v>0</v>
      </c>
      <c r="Q460" s="226">
        <f t="shared" si="21"/>
        <v>0</v>
      </c>
      <c r="R460" s="226" t="str">
        <f t="shared" si="22"/>
        <v>SI</v>
      </c>
      <c r="S460" s="226" t="str">
        <f t="shared" si="23"/>
        <v>Sin Riesgo</v>
      </c>
      <c r="T460" s="317"/>
    </row>
    <row r="461" spans="1:20" ht="32.1" customHeight="1" x14ac:dyDescent="0.2">
      <c r="A461" s="487" t="s">
        <v>3455</v>
      </c>
      <c r="B461" s="258" t="s">
        <v>3514</v>
      </c>
      <c r="C461" s="258" t="s">
        <v>3515</v>
      </c>
      <c r="D461" s="121">
        <v>113</v>
      </c>
      <c r="E461" s="316"/>
      <c r="F461" s="316"/>
      <c r="G461" s="316"/>
      <c r="H461" s="316"/>
      <c r="I461" s="316"/>
      <c r="J461" s="316"/>
      <c r="K461" s="316"/>
      <c r="L461" s="316"/>
      <c r="M461" s="316"/>
      <c r="N461" s="316"/>
      <c r="O461" s="316">
        <v>0</v>
      </c>
      <c r="P461" s="316"/>
      <c r="Q461" s="226">
        <f t="shared" si="21"/>
        <v>0</v>
      </c>
      <c r="R461" s="226" t="str">
        <f t="shared" si="22"/>
        <v>SI</v>
      </c>
      <c r="S461" s="226" t="str">
        <f t="shared" si="23"/>
        <v>Sin Riesgo</v>
      </c>
      <c r="T461" s="317"/>
    </row>
    <row r="462" spans="1:20" ht="32.1" customHeight="1" x14ac:dyDescent="0.2">
      <c r="A462" s="487" t="s">
        <v>3455</v>
      </c>
      <c r="B462" s="258" t="s">
        <v>3516</v>
      </c>
      <c r="C462" s="258" t="s">
        <v>3517</v>
      </c>
      <c r="D462" s="121">
        <v>80</v>
      </c>
      <c r="E462" s="316"/>
      <c r="F462" s="316"/>
      <c r="G462" s="316"/>
      <c r="H462" s="316"/>
      <c r="I462" s="316"/>
      <c r="J462" s="316"/>
      <c r="K462" s="316"/>
      <c r="L462" s="316"/>
      <c r="M462" s="316"/>
      <c r="N462" s="316">
        <v>97.3</v>
      </c>
      <c r="O462" s="316"/>
      <c r="P462" s="316"/>
      <c r="Q462" s="226">
        <f t="shared" si="21"/>
        <v>97.3</v>
      </c>
      <c r="R462" s="226" t="str">
        <f t="shared" si="22"/>
        <v>NO</v>
      </c>
      <c r="S462" s="226" t="str">
        <f t="shared" si="23"/>
        <v>Inviable Sanitariamente</v>
      </c>
      <c r="T462" s="317"/>
    </row>
    <row r="463" spans="1:20" ht="32.1" customHeight="1" x14ac:dyDescent="0.2">
      <c r="A463" s="127" t="s">
        <v>4356</v>
      </c>
      <c r="B463" s="258" t="s">
        <v>3519</v>
      </c>
      <c r="C463" s="258" t="s">
        <v>3520</v>
      </c>
      <c r="D463" s="121">
        <v>125</v>
      </c>
      <c r="E463" s="316"/>
      <c r="F463" s="316"/>
      <c r="G463" s="316"/>
      <c r="H463" s="316"/>
      <c r="I463" s="316"/>
      <c r="J463" s="316"/>
      <c r="K463" s="316"/>
      <c r="L463" s="316"/>
      <c r="M463" s="316"/>
      <c r="N463" s="316">
        <v>53.1</v>
      </c>
      <c r="O463" s="316"/>
      <c r="P463" s="316"/>
      <c r="Q463" s="226">
        <f t="shared" si="21"/>
        <v>53.1</v>
      </c>
      <c r="R463" s="226" t="str">
        <f t="shared" si="22"/>
        <v>NO</v>
      </c>
      <c r="S463" s="226" t="str">
        <f t="shared" si="23"/>
        <v>Alto</v>
      </c>
      <c r="T463" s="317"/>
    </row>
    <row r="464" spans="1:20" ht="32.1" customHeight="1" x14ac:dyDescent="0.2">
      <c r="A464" s="127" t="s">
        <v>4356</v>
      </c>
      <c r="B464" s="258" t="s">
        <v>906</v>
      </c>
      <c r="C464" s="258" t="s">
        <v>3521</v>
      </c>
      <c r="D464" s="121">
        <v>18</v>
      </c>
      <c r="E464" s="316"/>
      <c r="F464" s="316"/>
      <c r="G464" s="316">
        <v>53.1</v>
      </c>
      <c r="H464" s="316"/>
      <c r="I464" s="316"/>
      <c r="J464" s="316"/>
      <c r="K464" s="316"/>
      <c r="L464" s="316"/>
      <c r="M464" s="316"/>
      <c r="N464" s="316"/>
      <c r="O464" s="316"/>
      <c r="P464" s="316"/>
      <c r="Q464" s="226">
        <f t="shared" si="21"/>
        <v>53.1</v>
      </c>
      <c r="R464" s="226" t="str">
        <f t="shared" si="22"/>
        <v>NO</v>
      </c>
      <c r="S464" s="226" t="str">
        <f t="shared" si="23"/>
        <v>Alto</v>
      </c>
      <c r="T464" s="317"/>
    </row>
    <row r="465" spans="1:20" ht="32.1" customHeight="1" x14ac:dyDescent="0.2">
      <c r="A465" s="127" t="s">
        <v>4356</v>
      </c>
      <c r="B465" s="258" t="s">
        <v>3522</v>
      </c>
      <c r="C465" s="258" t="s">
        <v>3523</v>
      </c>
      <c r="D465" s="121">
        <v>70</v>
      </c>
      <c r="E465" s="316"/>
      <c r="F465" s="316"/>
      <c r="G465" s="316">
        <v>53.1</v>
      </c>
      <c r="H465" s="316"/>
      <c r="I465" s="316"/>
      <c r="J465" s="316"/>
      <c r="K465" s="316"/>
      <c r="L465" s="316"/>
      <c r="M465" s="316"/>
      <c r="N465" s="316"/>
      <c r="O465" s="316"/>
      <c r="P465" s="316"/>
      <c r="Q465" s="226">
        <f t="shared" si="21"/>
        <v>53.1</v>
      </c>
      <c r="R465" s="226" t="str">
        <f t="shared" si="22"/>
        <v>NO</v>
      </c>
      <c r="S465" s="226" t="str">
        <f t="shared" si="23"/>
        <v>Alto</v>
      </c>
      <c r="T465" s="317"/>
    </row>
    <row r="466" spans="1:20" ht="32.1" customHeight="1" x14ac:dyDescent="0.2">
      <c r="A466" s="127" t="s">
        <v>4356</v>
      </c>
      <c r="B466" s="258" t="s">
        <v>3524</v>
      </c>
      <c r="C466" s="258" t="s">
        <v>3525</v>
      </c>
      <c r="D466" s="121">
        <v>110</v>
      </c>
      <c r="E466" s="316"/>
      <c r="F466" s="316"/>
      <c r="G466" s="316">
        <v>97.4</v>
      </c>
      <c r="H466" s="316"/>
      <c r="I466" s="316"/>
      <c r="J466" s="316"/>
      <c r="K466" s="316">
        <v>26.55</v>
      </c>
      <c r="L466" s="316">
        <v>26.55</v>
      </c>
      <c r="M466" s="316"/>
      <c r="N466" s="316">
        <v>0</v>
      </c>
      <c r="O466" s="316"/>
      <c r="P466" s="316"/>
      <c r="Q466" s="226">
        <f t="shared" si="21"/>
        <v>37.625</v>
      </c>
      <c r="R466" s="226" t="str">
        <f t="shared" si="22"/>
        <v>NO</v>
      </c>
      <c r="S466" s="226" t="str">
        <f t="shared" si="23"/>
        <v>Alto</v>
      </c>
      <c r="T466" s="317"/>
    </row>
    <row r="467" spans="1:20" ht="32.1" customHeight="1" x14ac:dyDescent="0.2">
      <c r="A467" s="127" t="s">
        <v>4356</v>
      </c>
      <c r="B467" s="258" t="s">
        <v>3526</v>
      </c>
      <c r="C467" s="258" t="s">
        <v>3527</v>
      </c>
      <c r="D467" s="121">
        <v>110</v>
      </c>
      <c r="E467" s="316"/>
      <c r="F467" s="316"/>
      <c r="G467" s="316"/>
      <c r="H467" s="316"/>
      <c r="I467" s="316"/>
      <c r="J467" s="316"/>
      <c r="K467" s="316"/>
      <c r="L467" s="316"/>
      <c r="M467" s="316"/>
      <c r="N467" s="316"/>
      <c r="O467" s="316"/>
      <c r="P467" s="316">
        <v>97.9</v>
      </c>
      <c r="Q467" s="226">
        <f t="shared" si="21"/>
        <v>97.9</v>
      </c>
      <c r="R467" s="226" t="str">
        <f t="shared" si="22"/>
        <v>NO</v>
      </c>
      <c r="S467" s="226" t="str">
        <f t="shared" si="23"/>
        <v>Inviable Sanitariamente</v>
      </c>
      <c r="T467" s="317"/>
    </row>
    <row r="468" spans="1:20" ht="32.1" customHeight="1" x14ac:dyDescent="0.2">
      <c r="A468" s="127" t="s">
        <v>4356</v>
      </c>
      <c r="B468" s="258" t="s">
        <v>3528</v>
      </c>
      <c r="C468" s="258" t="s">
        <v>3529</v>
      </c>
      <c r="D468" s="121">
        <v>67</v>
      </c>
      <c r="E468" s="316"/>
      <c r="F468" s="316"/>
      <c r="G468" s="316"/>
      <c r="H468" s="316"/>
      <c r="I468" s="316"/>
      <c r="J468" s="316"/>
      <c r="K468" s="316"/>
      <c r="L468" s="316"/>
      <c r="M468" s="316"/>
      <c r="N468" s="316"/>
      <c r="O468" s="316"/>
      <c r="P468" s="316">
        <v>97.9</v>
      </c>
      <c r="Q468" s="226">
        <f t="shared" si="21"/>
        <v>97.9</v>
      </c>
      <c r="R468" s="226" t="str">
        <f t="shared" si="22"/>
        <v>NO</v>
      </c>
      <c r="S468" s="226" t="str">
        <f t="shared" si="23"/>
        <v>Inviable Sanitariamente</v>
      </c>
      <c r="T468" s="317"/>
    </row>
    <row r="469" spans="1:20" ht="32.1" customHeight="1" x14ac:dyDescent="0.2">
      <c r="A469" s="127" t="s">
        <v>4356</v>
      </c>
      <c r="B469" s="258" t="s">
        <v>3530</v>
      </c>
      <c r="C469" s="258" t="s">
        <v>3531</v>
      </c>
      <c r="D469" s="121">
        <v>117</v>
      </c>
      <c r="E469" s="316">
        <v>0</v>
      </c>
      <c r="F469" s="316"/>
      <c r="G469" s="316">
        <v>26.6</v>
      </c>
      <c r="H469" s="316">
        <v>76.900000000000006</v>
      </c>
      <c r="I469" s="316"/>
      <c r="J469" s="316"/>
      <c r="K469" s="316">
        <v>0</v>
      </c>
      <c r="L469" s="316"/>
      <c r="M469" s="316"/>
      <c r="N469" s="316"/>
      <c r="O469" s="316">
        <v>55.94</v>
      </c>
      <c r="P469" s="316">
        <v>0</v>
      </c>
      <c r="Q469" s="226">
        <f t="shared" si="21"/>
        <v>26.573333333333334</v>
      </c>
      <c r="R469" s="226" t="str">
        <f t="shared" si="22"/>
        <v>NO</v>
      </c>
      <c r="S469" s="226" t="str">
        <f t="shared" si="23"/>
        <v>Medio</v>
      </c>
      <c r="T469" s="317"/>
    </row>
    <row r="470" spans="1:20" ht="32.1" customHeight="1" x14ac:dyDescent="0.2">
      <c r="A470" s="127" t="s">
        <v>4356</v>
      </c>
      <c r="B470" s="258" t="s">
        <v>3532</v>
      </c>
      <c r="C470" s="258" t="s">
        <v>3533</v>
      </c>
      <c r="D470" s="116">
        <v>100</v>
      </c>
      <c r="E470" s="316"/>
      <c r="F470" s="316"/>
      <c r="G470" s="316"/>
      <c r="H470" s="316"/>
      <c r="I470" s="316"/>
      <c r="J470" s="316"/>
      <c r="K470" s="316">
        <v>97.4</v>
      </c>
      <c r="L470" s="316"/>
      <c r="M470" s="316"/>
      <c r="N470" s="316"/>
      <c r="O470" s="316"/>
      <c r="P470" s="316"/>
      <c r="Q470" s="226">
        <f t="shared" si="21"/>
        <v>97.4</v>
      </c>
      <c r="R470" s="226" t="str">
        <f t="shared" si="22"/>
        <v>NO</v>
      </c>
      <c r="S470" s="226" t="str">
        <f t="shared" si="23"/>
        <v>Inviable Sanitariamente</v>
      </c>
      <c r="T470" s="317"/>
    </row>
    <row r="471" spans="1:20" ht="32.1" customHeight="1" x14ac:dyDescent="0.2">
      <c r="A471" s="127" t="s">
        <v>4356</v>
      </c>
      <c r="B471" s="258" t="s">
        <v>3534</v>
      </c>
      <c r="C471" s="258" t="s">
        <v>3535</v>
      </c>
      <c r="D471" s="121">
        <v>179</v>
      </c>
      <c r="E471" s="316"/>
      <c r="F471" s="316"/>
      <c r="G471" s="316">
        <v>97.4</v>
      </c>
      <c r="H471" s="316"/>
      <c r="I471" s="316"/>
      <c r="J471" s="316"/>
      <c r="K471" s="316">
        <v>0</v>
      </c>
      <c r="L471" s="316"/>
      <c r="M471" s="316"/>
      <c r="N471" s="316"/>
      <c r="O471" s="316"/>
      <c r="P471" s="316"/>
      <c r="Q471" s="226">
        <f t="shared" si="21"/>
        <v>48.7</v>
      </c>
      <c r="R471" s="226" t="str">
        <f t="shared" si="22"/>
        <v>NO</v>
      </c>
      <c r="S471" s="226" t="str">
        <f t="shared" si="23"/>
        <v>Alto</v>
      </c>
    </row>
    <row r="472" spans="1:20" ht="32.1" customHeight="1" x14ac:dyDescent="0.2">
      <c r="A472" s="127" t="s">
        <v>4356</v>
      </c>
      <c r="B472" s="258" t="s">
        <v>3536</v>
      </c>
      <c r="C472" s="258" t="s">
        <v>3537</v>
      </c>
      <c r="D472" s="121">
        <v>69</v>
      </c>
      <c r="E472" s="316"/>
      <c r="F472" s="316"/>
      <c r="G472" s="316"/>
      <c r="H472" s="316"/>
      <c r="I472" s="316"/>
      <c r="J472" s="316"/>
      <c r="K472" s="316">
        <v>97.4</v>
      </c>
      <c r="L472" s="316"/>
      <c r="M472" s="316"/>
      <c r="N472" s="316"/>
      <c r="O472" s="316"/>
      <c r="P472" s="316"/>
      <c r="Q472" s="226">
        <f t="shared" si="21"/>
        <v>97.4</v>
      </c>
      <c r="R472" s="226" t="str">
        <f t="shared" si="22"/>
        <v>NO</v>
      </c>
      <c r="S472" s="226" t="str">
        <f t="shared" si="23"/>
        <v>Inviable Sanitariamente</v>
      </c>
    </row>
    <row r="473" spans="1:20" ht="32.1" customHeight="1" x14ac:dyDescent="0.2">
      <c r="A473" s="127" t="s">
        <v>4356</v>
      </c>
      <c r="B473" s="258" t="s">
        <v>3538</v>
      </c>
      <c r="C473" s="258" t="s">
        <v>3539</v>
      </c>
      <c r="D473" s="116">
        <v>102</v>
      </c>
      <c r="E473" s="316"/>
      <c r="F473" s="316"/>
      <c r="G473" s="316"/>
      <c r="H473" s="316"/>
      <c r="I473" s="316">
        <v>21</v>
      </c>
      <c r="J473" s="316"/>
      <c r="K473" s="316"/>
      <c r="L473" s="316"/>
      <c r="M473" s="316"/>
      <c r="N473" s="316"/>
      <c r="O473" s="316"/>
      <c r="P473" s="316">
        <v>0</v>
      </c>
      <c r="Q473" s="226">
        <f t="shared" ref="Q473:Q506" si="24">AVERAGE(E473:P473)</f>
        <v>10.5</v>
      </c>
      <c r="R473" s="226" t="str">
        <f t="shared" si="22"/>
        <v>NO</v>
      </c>
      <c r="S473" s="226" t="str">
        <f t="shared" si="23"/>
        <v>Bajo</v>
      </c>
    </row>
    <row r="474" spans="1:20" ht="32.1" customHeight="1" x14ac:dyDescent="0.2">
      <c r="A474" s="127" t="s">
        <v>4356</v>
      </c>
      <c r="B474" s="258" t="s">
        <v>3540</v>
      </c>
      <c r="C474" s="258" t="s">
        <v>3541</v>
      </c>
      <c r="D474" s="121">
        <v>65</v>
      </c>
      <c r="E474" s="316"/>
      <c r="F474" s="316"/>
      <c r="G474" s="316"/>
      <c r="H474" s="316"/>
      <c r="I474" s="316"/>
      <c r="J474" s="316"/>
      <c r="K474" s="316"/>
      <c r="L474" s="316">
        <v>97.4</v>
      </c>
      <c r="M474" s="316"/>
      <c r="N474" s="316"/>
      <c r="O474" s="316"/>
      <c r="P474" s="316"/>
      <c r="Q474" s="226">
        <f t="shared" si="24"/>
        <v>97.4</v>
      </c>
      <c r="R474" s="226" t="str">
        <f t="shared" si="22"/>
        <v>NO</v>
      </c>
      <c r="S474" s="226" t="str">
        <f t="shared" si="23"/>
        <v>Inviable Sanitariamente</v>
      </c>
    </row>
    <row r="475" spans="1:20" ht="32.1" customHeight="1" x14ac:dyDescent="0.2">
      <c r="A475" s="127" t="s">
        <v>4356</v>
      </c>
      <c r="B475" s="258" t="s">
        <v>478</v>
      </c>
      <c r="C475" s="258" t="s">
        <v>3542</v>
      </c>
      <c r="D475" s="121">
        <v>15</v>
      </c>
      <c r="E475" s="316"/>
      <c r="F475" s="316"/>
      <c r="G475" s="316"/>
      <c r="H475" s="316"/>
      <c r="I475" s="316"/>
      <c r="J475" s="316"/>
      <c r="K475" s="316"/>
      <c r="L475" s="316">
        <v>97.4</v>
      </c>
      <c r="M475" s="316"/>
      <c r="N475" s="316"/>
      <c r="O475" s="316"/>
      <c r="P475" s="316"/>
      <c r="Q475" s="226">
        <f t="shared" si="24"/>
        <v>97.4</v>
      </c>
      <c r="R475" s="226" t="str">
        <f t="shared" si="22"/>
        <v>NO</v>
      </c>
      <c r="S475" s="226" t="str">
        <f t="shared" si="23"/>
        <v>Inviable Sanitariamente</v>
      </c>
    </row>
    <row r="476" spans="1:20" ht="32.1" customHeight="1" x14ac:dyDescent="0.2">
      <c r="A476" s="127" t="s">
        <v>4356</v>
      </c>
      <c r="B476" s="258" t="s">
        <v>3108</v>
      </c>
      <c r="C476" s="258" t="s">
        <v>3109</v>
      </c>
      <c r="D476" s="116">
        <v>32</v>
      </c>
      <c r="E476" s="316"/>
      <c r="F476" s="316"/>
      <c r="G476" s="316"/>
      <c r="H476" s="316"/>
      <c r="I476" s="316"/>
      <c r="J476" s="316"/>
      <c r="K476" s="316"/>
      <c r="L476" s="316">
        <v>53.1</v>
      </c>
      <c r="M476" s="316"/>
      <c r="N476" s="316"/>
      <c r="O476" s="316"/>
      <c r="P476" s="316"/>
      <c r="Q476" s="226">
        <f t="shared" si="24"/>
        <v>53.1</v>
      </c>
      <c r="R476" s="226" t="str">
        <f t="shared" si="22"/>
        <v>NO</v>
      </c>
      <c r="S476" s="226" t="str">
        <f t="shared" si="23"/>
        <v>Alto</v>
      </c>
    </row>
    <row r="477" spans="1:20" ht="32.1" customHeight="1" x14ac:dyDescent="0.2">
      <c r="A477" s="127" t="s">
        <v>4356</v>
      </c>
      <c r="B477" s="258" t="s">
        <v>3543</v>
      </c>
      <c r="C477" s="258" t="s">
        <v>3544</v>
      </c>
      <c r="D477" s="121">
        <v>86</v>
      </c>
      <c r="E477" s="316"/>
      <c r="F477" s="316">
        <v>0</v>
      </c>
      <c r="G477" s="316">
        <v>70.8</v>
      </c>
      <c r="H477" s="316">
        <v>0</v>
      </c>
      <c r="I477" s="316">
        <v>0</v>
      </c>
      <c r="J477" s="316"/>
      <c r="K477" s="316">
        <v>0</v>
      </c>
      <c r="L477" s="316"/>
      <c r="M477" s="316"/>
      <c r="N477" s="316"/>
      <c r="O477" s="316">
        <v>55.94</v>
      </c>
      <c r="P477" s="316">
        <v>0</v>
      </c>
      <c r="Q477" s="226">
        <f t="shared" si="24"/>
        <v>18.105714285714285</v>
      </c>
      <c r="R477" s="226" t="str">
        <f t="shared" si="22"/>
        <v>NO</v>
      </c>
      <c r="S477" s="226" t="str">
        <f t="shared" si="23"/>
        <v>Medio</v>
      </c>
    </row>
    <row r="478" spans="1:20" ht="32.1" customHeight="1" x14ac:dyDescent="0.2">
      <c r="A478" s="127" t="s">
        <v>4356</v>
      </c>
      <c r="B478" s="258" t="s">
        <v>3545</v>
      </c>
      <c r="C478" s="258" t="s">
        <v>3546</v>
      </c>
      <c r="D478" s="121">
        <v>93</v>
      </c>
      <c r="E478" s="316">
        <v>97.4</v>
      </c>
      <c r="F478" s="316"/>
      <c r="G478" s="316"/>
      <c r="H478" s="316"/>
      <c r="I478" s="316"/>
      <c r="J478" s="316"/>
      <c r="K478" s="316"/>
      <c r="L478" s="316"/>
      <c r="M478" s="316"/>
      <c r="N478" s="316"/>
      <c r="O478" s="316"/>
      <c r="P478" s="316"/>
      <c r="Q478" s="226">
        <f t="shared" si="24"/>
        <v>97.4</v>
      </c>
      <c r="R478" s="226" t="str">
        <f t="shared" si="22"/>
        <v>NO</v>
      </c>
      <c r="S478" s="226" t="str">
        <f t="shared" si="23"/>
        <v>Inviable Sanitariamente</v>
      </c>
    </row>
    <row r="479" spans="1:20" ht="32.1" customHeight="1" x14ac:dyDescent="0.2">
      <c r="A479" s="127" t="s">
        <v>4356</v>
      </c>
      <c r="B479" s="258" t="s">
        <v>3547</v>
      </c>
      <c r="C479" s="258" t="s">
        <v>3548</v>
      </c>
      <c r="D479" s="121">
        <v>55</v>
      </c>
      <c r="E479" s="316"/>
      <c r="F479" s="316"/>
      <c r="G479" s="316"/>
      <c r="H479" s="316"/>
      <c r="I479" s="316"/>
      <c r="J479" s="316"/>
      <c r="K479" s="316"/>
      <c r="L479" s="316"/>
      <c r="M479" s="316"/>
      <c r="N479" s="316"/>
      <c r="O479" s="316"/>
      <c r="P479" s="316"/>
      <c r="Q479" s="226" t="e">
        <f t="shared" si="24"/>
        <v>#DIV/0!</v>
      </c>
      <c r="R479" s="226" t="e">
        <f t="shared" si="22"/>
        <v>#DIV/0!</v>
      </c>
      <c r="S479" s="226" t="e">
        <f t="shared" si="23"/>
        <v>#DIV/0!</v>
      </c>
    </row>
    <row r="480" spans="1:20" ht="32.1" customHeight="1" x14ac:dyDescent="0.2">
      <c r="A480" s="127" t="s">
        <v>4356</v>
      </c>
      <c r="B480" s="258" t="s">
        <v>3549</v>
      </c>
      <c r="C480" s="258" t="s">
        <v>3550</v>
      </c>
      <c r="D480" s="121">
        <v>30</v>
      </c>
      <c r="E480" s="316"/>
      <c r="F480" s="316"/>
      <c r="G480" s="316"/>
      <c r="H480" s="316"/>
      <c r="I480" s="316"/>
      <c r="J480" s="316"/>
      <c r="K480" s="316"/>
      <c r="L480" s="316">
        <v>97.4</v>
      </c>
      <c r="M480" s="316"/>
      <c r="N480" s="316"/>
      <c r="O480" s="316"/>
      <c r="P480" s="316"/>
      <c r="Q480" s="226">
        <f t="shared" si="24"/>
        <v>97.4</v>
      </c>
      <c r="R480" s="226" t="str">
        <f t="shared" si="22"/>
        <v>NO</v>
      </c>
      <c r="S480" s="226" t="str">
        <f t="shared" si="23"/>
        <v>Inviable Sanitariamente</v>
      </c>
    </row>
    <row r="481" spans="1:19" ht="32.1" customHeight="1" x14ac:dyDescent="0.2">
      <c r="A481" s="127" t="s">
        <v>4356</v>
      </c>
      <c r="B481" s="258" t="s">
        <v>3551</v>
      </c>
      <c r="C481" s="258" t="s">
        <v>3552</v>
      </c>
      <c r="D481" s="121">
        <v>15</v>
      </c>
      <c r="E481" s="316"/>
      <c r="F481" s="316"/>
      <c r="G481" s="316"/>
      <c r="H481" s="316"/>
      <c r="I481" s="316"/>
      <c r="J481" s="316"/>
      <c r="K481" s="316"/>
      <c r="L481" s="316"/>
      <c r="M481" s="316"/>
      <c r="N481" s="316">
        <v>53.1</v>
      </c>
      <c r="O481" s="316"/>
      <c r="P481" s="316"/>
      <c r="Q481" s="226">
        <f t="shared" si="24"/>
        <v>53.1</v>
      </c>
      <c r="R481" s="226" t="str">
        <f t="shared" si="22"/>
        <v>NO</v>
      </c>
      <c r="S481" s="226" t="str">
        <f t="shared" si="23"/>
        <v>Alto</v>
      </c>
    </row>
    <row r="482" spans="1:19" ht="32.1" customHeight="1" x14ac:dyDescent="0.2">
      <c r="A482" s="127" t="s">
        <v>4356</v>
      </c>
      <c r="B482" s="258" t="s">
        <v>3457</v>
      </c>
      <c r="C482" s="258" t="s">
        <v>3553</v>
      </c>
      <c r="D482" s="121">
        <v>96</v>
      </c>
      <c r="E482" s="316"/>
      <c r="F482" s="316">
        <v>0</v>
      </c>
      <c r="G482" s="316">
        <v>0</v>
      </c>
      <c r="H482" s="316">
        <v>0</v>
      </c>
      <c r="I482" s="316">
        <v>0</v>
      </c>
      <c r="J482" s="316">
        <v>0</v>
      </c>
      <c r="K482" s="316"/>
      <c r="L482" s="316"/>
      <c r="M482" s="316"/>
      <c r="N482" s="316"/>
      <c r="O482" s="316"/>
      <c r="P482" s="316">
        <v>0</v>
      </c>
      <c r="Q482" s="226">
        <f t="shared" si="24"/>
        <v>0</v>
      </c>
      <c r="R482" s="226" t="str">
        <f t="shared" si="22"/>
        <v>SI</v>
      </c>
      <c r="S482" s="226" t="str">
        <f t="shared" si="23"/>
        <v>Sin Riesgo</v>
      </c>
    </row>
    <row r="483" spans="1:19" ht="32.1" customHeight="1" x14ac:dyDescent="0.2">
      <c r="A483" s="127" t="s">
        <v>4356</v>
      </c>
      <c r="B483" s="258" t="s">
        <v>3554</v>
      </c>
      <c r="C483" s="258" t="s">
        <v>3555</v>
      </c>
      <c r="D483" s="121">
        <v>118</v>
      </c>
      <c r="E483" s="316"/>
      <c r="F483" s="316"/>
      <c r="G483" s="316"/>
      <c r="H483" s="316"/>
      <c r="I483" s="316"/>
      <c r="J483" s="316"/>
      <c r="K483" s="316">
        <v>97.35</v>
      </c>
      <c r="L483" s="316"/>
      <c r="M483" s="316"/>
      <c r="N483" s="316"/>
      <c r="O483" s="316"/>
      <c r="P483" s="316"/>
      <c r="Q483" s="226">
        <f t="shared" si="24"/>
        <v>97.35</v>
      </c>
      <c r="R483" s="226" t="str">
        <f t="shared" si="22"/>
        <v>NO</v>
      </c>
      <c r="S483" s="226" t="str">
        <f t="shared" si="23"/>
        <v>Inviable Sanitariamente</v>
      </c>
    </row>
    <row r="484" spans="1:19" ht="32.1" customHeight="1" x14ac:dyDescent="0.2">
      <c r="A484" s="127" t="s">
        <v>4356</v>
      </c>
      <c r="B484" s="258" t="s">
        <v>3556</v>
      </c>
      <c r="C484" s="258" t="s">
        <v>3557</v>
      </c>
      <c r="D484" s="121">
        <v>271</v>
      </c>
      <c r="E484" s="316"/>
      <c r="F484" s="316"/>
      <c r="G484" s="316">
        <v>0</v>
      </c>
      <c r="H484" s="316"/>
      <c r="I484" s="316"/>
      <c r="J484" s="316"/>
      <c r="K484" s="316"/>
      <c r="L484" s="316"/>
      <c r="M484" s="316"/>
      <c r="N484" s="316"/>
      <c r="O484" s="316">
        <v>0</v>
      </c>
      <c r="P484" s="316">
        <v>0</v>
      </c>
      <c r="Q484" s="226">
        <f t="shared" si="24"/>
        <v>0</v>
      </c>
      <c r="R484" s="226" t="str">
        <f t="shared" si="22"/>
        <v>SI</v>
      </c>
      <c r="S484" s="226" t="str">
        <f t="shared" si="23"/>
        <v>Sin Riesgo</v>
      </c>
    </row>
    <row r="485" spans="1:19" ht="32.1" customHeight="1" x14ac:dyDescent="0.2">
      <c r="A485" s="127" t="s">
        <v>4356</v>
      </c>
      <c r="B485" s="258" t="s">
        <v>3558</v>
      </c>
      <c r="C485" s="258" t="s">
        <v>3559</v>
      </c>
      <c r="D485" s="121">
        <v>380</v>
      </c>
      <c r="E485" s="316">
        <v>97.4</v>
      </c>
      <c r="F485" s="316"/>
      <c r="G485" s="316"/>
      <c r="H485" s="316"/>
      <c r="I485" s="316"/>
      <c r="J485" s="316"/>
      <c r="K485" s="316"/>
      <c r="L485" s="316"/>
      <c r="M485" s="316"/>
      <c r="N485" s="316"/>
      <c r="O485" s="316"/>
      <c r="P485" s="316"/>
      <c r="Q485" s="226">
        <f t="shared" si="24"/>
        <v>97.4</v>
      </c>
      <c r="R485" s="226" t="str">
        <f t="shared" si="22"/>
        <v>NO</v>
      </c>
      <c r="S485" s="226" t="str">
        <f t="shared" si="23"/>
        <v>Inviable Sanitariamente</v>
      </c>
    </row>
    <row r="486" spans="1:19" ht="32.1" customHeight="1" x14ac:dyDescent="0.2">
      <c r="A486" s="127" t="s">
        <v>4356</v>
      </c>
      <c r="B486" s="258" t="s">
        <v>1103</v>
      </c>
      <c r="C486" s="258" t="s">
        <v>3560</v>
      </c>
      <c r="D486" s="121">
        <v>260</v>
      </c>
      <c r="E486" s="316">
        <v>0</v>
      </c>
      <c r="F486" s="316">
        <v>0</v>
      </c>
      <c r="G486" s="316">
        <v>0</v>
      </c>
      <c r="H486" s="316">
        <v>0</v>
      </c>
      <c r="I486" s="316">
        <v>0</v>
      </c>
      <c r="J486" s="316">
        <v>0</v>
      </c>
      <c r="K486" s="316"/>
      <c r="L486" s="316"/>
      <c r="M486" s="316"/>
      <c r="N486" s="316"/>
      <c r="O486" s="316"/>
      <c r="P486" s="316">
        <v>0</v>
      </c>
      <c r="Q486" s="226">
        <f t="shared" si="24"/>
        <v>0</v>
      </c>
      <c r="R486" s="226" t="str">
        <f t="shared" si="22"/>
        <v>SI</v>
      </c>
      <c r="S486" s="226" t="str">
        <f t="shared" si="23"/>
        <v>Sin Riesgo</v>
      </c>
    </row>
    <row r="487" spans="1:19" ht="32.1" customHeight="1" x14ac:dyDescent="0.2">
      <c r="A487" s="127" t="s">
        <v>4356</v>
      </c>
      <c r="B487" s="258" t="s">
        <v>3561</v>
      </c>
      <c r="C487" s="258" t="s">
        <v>3562</v>
      </c>
      <c r="D487" s="121">
        <v>1103</v>
      </c>
      <c r="E487" s="316"/>
      <c r="F487" s="316">
        <v>0</v>
      </c>
      <c r="G487" s="316">
        <v>0</v>
      </c>
      <c r="H487" s="316">
        <v>0</v>
      </c>
      <c r="I487" s="316">
        <v>0</v>
      </c>
      <c r="J487" s="316">
        <v>0</v>
      </c>
      <c r="K487" s="316"/>
      <c r="L487" s="316"/>
      <c r="M487" s="316"/>
      <c r="N487" s="316"/>
      <c r="O487" s="316"/>
      <c r="P487" s="316">
        <v>0</v>
      </c>
      <c r="Q487" s="226">
        <f t="shared" si="24"/>
        <v>0</v>
      </c>
      <c r="R487" s="226" t="str">
        <f t="shared" si="22"/>
        <v>SI</v>
      </c>
      <c r="S487" s="226" t="str">
        <f t="shared" si="23"/>
        <v>Sin Riesgo</v>
      </c>
    </row>
    <row r="488" spans="1:19" ht="32.1" customHeight="1" x14ac:dyDescent="0.2">
      <c r="A488" s="127" t="s">
        <v>4356</v>
      </c>
      <c r="B488" s="258" t="s">
        <v>3563</v>
      </c>
      <c r="C488" s="258" t="s">
        <v>3564</v>
      </c>
      <c r="D488" s="121">
        <v>94</v>
      </c>
      <c r="E488" s="316">
        <v>0</v>
      </c>
      <c r="F488" s="316">
        <v>0</v>
      </c>
      <c r="G488" s="316">
        <v>0</v>
      </c>
      <c r="H488" s="316">
        <v>0</v>
      </c>
      <c r="I488" s="316">
        <v>0</v>
      </c>
      <c r="J488" s="316">
        <v>0</v>
      </c>
      <c r="K488" s="316"/>
      <c r="L488" s="316"/>
      <c r="M488" s="316"/>
      <c r="N488" s="316"/>
      <c r="O488" s="316"/>
      <c r="P488" s="316"/>
      <c r="Q488" s="226">
        <f t="shared" si="24"/>
        <v>0</v>
      </c>
      <c r="R488" s="226" t="str">
        <f t="shared" si="22"/>
        <v>SI</v>
      </c>
      <c r="S488" s="226" t="str">
        <f t="shared" si="23"/>
        <v>Sin Riesgo</v>
      </c>
    </row>
    <row r="489" spans="1:19" ht="32.1" customHeight="1" x14ac:dyDescent="0.2">
      <c r="A489" s="127" t="s">
        <v>4356</v>
      </c>
      <c r="B489" s="187" t="s">
        <v>3565</v>
      </c>
      <c r="C489" s="187" t="s">
        <v>3566</v>
      </c>
      <c r="D489" s="121">
        <v>40</v>
      </c>
      <c r="E489" s="316"/>
      <c r="F489" s="316"/>
      <c r="G489" s="316"/>
      <c r="H489" s="316"/>
      <c r="I489" s="316"/>
      <c r="J489" s="316"/>
      <c r="K489" s="316"/>
      <c r="L489" s="316"/>
      <c r="M489" s="316"/>
      <c r="N489" s="316"/>
      <c r="O489" s="316">
        <v>97.4</v>
      </c>
      <c r="P489" s="316"/>
      <c r="Q489" s="226">
        <f t="shared" si="24"/>
        <v>97.4</v>
      </c>
      <c r="R489" s="226" t="str">
        <f t="shared" si="22"/>
        <v>NO</v>
      </c>
      <c r="S489" s="226" t="str">
        <f t="shared" si="23"/>
        <v>Inviable Sanitariamente</v>
      </c>
    </row>
    <row r="490" spans="1:19" ht="32.1" customHeight="1" x14ac:dyDescent="0.2">
      <c r="A490" s="489" t="s">
        <v>161</v>
      </c>
      <c r="B490" s="258" t="s">
        <v>3568</v>
      </c>
      <c r="C490" s="258" t="s">
        <v>3569</v>
      </c>
      <c r="D490" s="121">
        <v>17</v>
      </c>
      <c r="E490" s="316"/>
      <c r="F490" s="316">
        <v>97.34</v>
      </c>
      <c r="G490" s="316"/>
      <c r="H490" s="316"/>
      <c r="I490" s="316"/>
      <c r="J490" s="316"/>
      <c r="K490" s="316"/>
      <c r="L490" s="316"/>
      <c r="M490" s="316"/>
      <c r="N490" s="316"/>
      <c r="O490" s="316"/>
      <c r="P490" s="316"/>
      <c r="Q490" s="226">
        <f t="shared" si="24"/>
        <v>97.34</v>
      </c>
      <c r="R490" s="226" t="str">
        <f t="shared" si="22"/>
        <v>NO</v>
      </c>
      <c r="S490" s="226" t="str">
        <f t="shared" si="23"/>
        <v>Inviable Sanitariamente</v>
      </c>
    </row>
    <row r="491" spans="1:19" ht="32.1" customHeight="1" x14ac:dyDescent="0.2">
      <c r="A491" s="489" t="s">
        <v>161</v>
      </c>
      <c r="B491" s="258" t="s">
        <v>3570</v>
      </c>
      <c r="C491" s="258" t="s">
        <v>3571</v>
      </c>
      <c r="D491" s="121">
        <v>26</v>
      </c>
      <c r="E491" s="316"/>
      <c r="F491" s="316"/>
      <c r="G491" s="316"/>
      <c r="H491" s="316"/>
      <c r="I491" s="316">
        <v>97.34</v>
      </c>
      <c r="J491" s="316"/>
      <c r="K491" s="316"/>
      <c r="L491" s="316"/>
      <c r="M491" s="316"/>
      <c r="N491" s="316"/>
      <c r="O491" s="316"/>
      <c r="P491" s="316"/>
      <c r="Q491" s="226">
        <f t="shared" si="24"/>
        <v>97.34</v>
      </c>
      <c r="R491" s="226" t="str">
        <f t="shared" si="22"/>
        <v>NO</v>
      </c>
      <c r="S491" s="226" t="str">
        <f t="shared" si="23"/>
        <v>Inviable Sanitariamente</v>
      </c>
    </row>
    <row r="492" spans="1:19" ht="32.1" customHeight="1" x14ac:dyDescent="0.2">
      <c r="A492" s="489" t="s">
        <v>161</v>
      </c>
      <c r="B492" s="258" t="s">
        <v>3572</v>
      </c>
      <c r="C492" s="258" t="s">
        <v>3573</v>
      </c>
      <c r="D492" s="121">
        <v>67</v>
      </c>
      <c r="E492" s="316"/>
      <c r="F492" s="316"/>
      <c r="G492" s="316"/>
      <c r="H492" s="316">
        <v>97.34</v>
      </c>
      <c r="I492" s="316"/>
      <c r="J492" s="316"/>
      <c r="K492" s="316"/>
      <c r="L492" s="316"/>
      <c r="M492" s="316"/>
      <c r="N492" s="316"/>
      <c r="O492" s="316"/>
      <c r="P492" s="316"/>
      <c r="Q492" s="226">
        <f t="shared" si="24"/>
        <v>97.34</v>
      </c>
      <c r="R492" s="226" t="str">
        <f t="shared" si="22"/>
        <v>NO</v>
      </c>
      <c r="S492" s="226" t="str">
        <f t="shared" si="23"/>
        <v>Inviable Sanitariamente</v>
      </c>
    </row>
    <row r="493" spans="1:19" ht="32.1" customHeight="1" x14ac:dyDescent="0.2">
      <c r="A493" s="489" t="s">
        <v>161</v>
      </c>
      <c r="B493" s="258" t="s">
        <v>3574</v>
      </c>
      <c r="C493" s="258" t="s">
        <v>3575</v>
      </c>
      <c r="D493" s="121">
        <v>42</v>
      </c>
      <c r="E493" s="316"/>
      <c r="F493" s="316"/>
      <c r="G493" s="316"/>
      <c r="H493" s="316"/>
      <c r="I493" s="316">
        <v>97.34</v>
      </c>
      <c r="J493" s="316"/>
      <c r="K493" s="316"/>
      <c r="L493" s="316"/>
      <c r="M493" s="316"/>
      <c r="N493" s="316"/>
      <c r="O493" s="316"/>
      <c r="P493" s="316"/>
      <c r="Q493" s="226">
        <f t="shared" si="24"/>
        <v>97.34</v>
      </c>
      <c r="R493" s="226" t="str">
        <f t="shared" si="22"/>
        <v>NO</v>
      </c>
      <c r="S493" s="226" t="str">
        <f t="shared" si="23"/>
        <v>Inviable Sanitariamente</v>
      </c>
    </row>
    <row r="494" spans="1:19" ht="32.1" customHeight="1" x14ac:dyDescent="0.2">
      <c r="A494" s="489" t="s">
        <v>161</v>
      </c>
      <c r="B494" s="258" t="s">
        <v>2948</v>
      </c>
      <c r="C494" s="258" t="s">
        <v>3576</v>
      </c>
      <c r="D494" s="121">
        <v>120</v>
      </c>
      <c r="E494" s="316"/>
      <c r="F494" s="316"/>
      <c r="G494" s="316"/>
      <c r="H494" s="316"/>
      <c r="I494" s="316"/>
      <c r="J494" s="316"/>
      <c r="K494" s="316"/>
      <c r="L494" s="316"/>
      <c r="M494" s="316">
        <v>97.34</v>
      </c>
      <c r="N494" s="316"/>
      <c r="O494" s="316"/>
      <c r="P494" s="316"/>
      <c r="Q494" s="226">
        <f t="shared" si="24"/>
        <v>97.34</v>
      </c>
      <c r="R494" s="226" t="str">
        <f t="shared" si="22"/>
        <v>NO</v>
      </c>
      <c r="S494" s="226" t="str">
        <f t="shared" si="23"/>
        <v>Inviable Sanitariamente</v>
      </c>
    </row>
    <row r="495" spans="1:19" ht="32.1" customHeight="1" x14ac:dyDescent="0.2">
      <c r="A495" s="489" t="s">
        <v>161</v>
      </c>
      <c r="B495" s="258" t="s">
        <v>704</v>
      </c>
      <c r="C495" s="258" t="s">
        <v>3577</v>
      </c>
      <c r="D495" s="121">
        <v>34</v>
      </c>
      <c r="E495" s="316"/>
      <c r="F495" s="316">
        <v>97.34</v>
      </c>
      <c r="G495" s="316"/>
      <c r="H495" s="316"/>
      <c r="I495" s="316"/>
      <c r="J495" s="316"/>
      <c r="K495" s="316"/>
      <c r="L495" s="316"/>
      <c r="M495" s="316"/>
      <c r="N495" s="316"/>
      <c r="O495" s="316"/>
      <c r="P495" s="316"/>
      <c r="Q495" s="226">
        <f t="shared" si="24"/>
        <v>97.34</v>
      </c>
      <c r="R495" s="226" t="str">
        <f t="shared" si="22"/>
        <v>NO</v>
      </c>
      <c r="S495" s="226" t="str">
        <f t="shared" si="23"/>
        <v>Inviable Sanitariamente</v>
      </c>
    </row>
    <row r="496" spans="1:19" ht="32.1" customHeight="1" x14ac:dyDescent="0.2">
      <c r="A496" s="489" t="s">
        <v>161</v>
      </c>
      <c r="B496" s="258" t="s">
        <v>1496</v>
      </c>
      <c r="C496" s="258" t="s">
        <v>3578</v>
      </c>
      <c r="D496" s="121">
        <v>7</v>
      </c>
      <c r="E496" s="316"/>
      <c r="F496" s="316">
        <v>97.34</v>
      </c>
      <c r="G496" s="316"/>
      <c r="H496" s="316"/>
      <c r="I496" s="316"/>
      <c r="J496" s="316"/>
      <c r="K496" s="316"/>
      <c r="L496" s="316"/>
      <c r="M496" s="316"/>
      <c r="N496" s="316"/>
      <c r="O496" s="316"/>
      <c r="P496" s="316"/>
      <c r="Q496" s="226">
        <f t="shared" si="24"/>
        <v>97.34</v>
      </c>
      <c r="R496" s="226" t="str">
        <f t="shared" si="22"/>
        <v>NO</v>
      </c>
      <c r="S496" s="226" t="str">
        <f t="shared" si="23"/>
        <v>Inviable Sanitariamente</v>
      </c>
    </row>
    <row r="497" spans="1:19" ht="32.1" customHeight="1" x14ac:dyDescent="0.2">
      <c r="A497" s="489" t="s">
        <v>161</v>
      </c>
      <c r="B497" s="258" t="s">
        <v>2226</v>
      </c>
      <c r="C497" s="258" t="s">
        <v>3579</v>
      </c>
      <c r="D497" s="116">
        <v>40</v>
      </c>
      <c r="E497" s="316"/>
      <c r="F497" s="316"/>
      <c r="G497" s="316"/>
      <c r="H497" s="316">
        <v>97.34</v>
      </c>
      <c r="I497" s="316"/>
      <c r="J497" s="316"/>
      <c r="K497" s="316"/>
      <c r="L497" s="316"/>
      <c r="M497" s="316"/>
      <c r="N497" s="316"/>
      <c r="O497" s="316"/>
      <c r="P497" s="316"/>
      <c r="Q497" s="226">
        <f t="shared" si="24"/>
        <v>97.34</v>
      </c>
      <c r="R497" s="226" t="str">
        <f t="shared" si="22"/>
        <v>NO</v>
      </c>
      <c r="S497" s="226" t="str">
        <f t="shared" si="23"/>
        <v>Inviable Sanitariamente</v>
      </c>
    </row>
    <row r="498" spans="1:19" ht="32.1" customHeight="1" x14ac:dyDescent="0.2">
      <c r="A498" s="489" t="s">
        <v>161</v>
      </c>
      <c r="B498" s="258" t="s">
        <v>3580</v>
      </c>
      <c r="C498" s="258" t="s">
        <v>3581</v>
      </c>
      <c r="D498" s="121">
        <v>12</v>
      </c>
      <c r="E498" s="316"/>
      <c r="F498" s="316"/>
      <c r="G498" s="316"/>
      <c r="H498" s="316"/>
      <c r="I498" s="316">
        <v>97.34</v>
      </c>
      <c r="J498" s="316"/>
      <c r="K498" s="316"/>
      <c r="L498" s="316"/>
      <c r="M498" s="316"/>
      <c r="N498" s="316"/>
      <c r="O498" s="316"/>
      <c r="P498" s="316"/>
      <c r="Q498" s="226">
        <f t="shared" si="24"/>
        <v>97.34</v>
      </c>
      <c r="R498" s="226" t="str">
        <f t="shared" si="22"/>
        <v>NO</v>
      </c>
      <c r="S498" s="226" t="str">
        <f t="shared" si="23"/>
        <v>Inviable Sanitariamente</v>
      </c>
    </row>
    <row r="499" spans="1:19" ht="32.1" customHeight="1" x14ac:dyDescent="0.2">
      <c r="A499" s="489" t="s">
        <v>161</v>
      </c>
      <c r="B499" s="258" t="s">
        <v>3582</v>
      </c>
      <c r="C499" s="258" t="s">
        <v>3583</v>
      </c>
      <c r="D499" s="121" t="s">
        <v>3584</v>
      </c>
      <c r="E499" s="316"/>
      <c r="F499" s="316"/>
      <c r="G499" s="316"/>
      <c r="H499" s="316"/>
      <c r="I499" s="316"/>
      <c r="J499" s="316"/>
      <c r="K499" s="316"/>
      <c r="L499" s="316"/>
      <c r="M499" s="316"/>
      <c r="N499" s="316"/>
      <c r="O499" s="316"/>
      <c r="P499" s="316"/>
      <c r="Q499" s="226" t="e">
        <f t="shared" si="24"/>
        <v>#DIV/0!</v>
      </c>
      <c r="R499" s="226" t="e">
        <f t="shared" si="22"/>
        <v>#DIV/0!</v>
      </c>
      <c r="S499" s="226" t="e">
        <f t="shared" si="23"/>
        <v>#DIV/0!</v>
      </c>
    </row>
    <row r="500" spans="1:19" ht="32.1" customHeight="1" x14ac:dyDescent="0.2">
      <c r="A500" s="489" t="s">
        <v>161</v>
      </c>
      <c r="B500" s="258" t="s">
        <v>8</v>
      </c>
      <c r="C500" s="258" t="s">
        <v>3585</v>
      </c>
      <c r="D500" s="116">
        <v>20</v>
      </c>
      <c r="E500" s="316"/>
      <c r="F500" s="316"/>
      <c r="G500" s="316"/>
      <c r="H500" s="316"/>
      <c r="I500" s="316"/>
      <c r="J500" s="316"/>
      <c r="K500" s="316"/>
      <c r="L500" s="316"/>
      <c r="M500" s="316">
        <v>97.34</v>
      </c>
      <c r="N500" s="316"/>
      <c r="O500" s="316"/>
      <c r="P500" s="316"/>
      <c r="Q500" s="226">
        <f t="shared" si="24"/>
        <v>97.34</v>
      </c>
      <c r="R500" s="226" t="str">
        <f t="shared" si="22"/>
        <v>NO</v>
      </c>
      <c r="S500" s="226" t="str">
        <f t="shared" si="23"/>
        <v>Inviable Sanitariamente</v>
      </c>
    </row>
    <row r="501" spans="1:19" ht="32.1" customHeight="1" x14ac:dyDescent="0.2">
      <c r="A501" s="489" t="s">
        <v>161</v>
      </c>
      <c r="B501" s="258" t="s">
        <v>53</v>
      </c>
      <c r="C501" s="258" t="s">
        <v>3586</v>
      </c>
      <c r="D501" s="121">
        <v>28</v>
      </c>
      <c r="E501" s="316"/>
      <c r="F501" s="316"/>
      <c r="G501" s="316">
        <v>97.34</v>
      </c>
      <c r="H501" s="316"/>
      <c r="I501" s="316"/>
      <c r="J501" s="316"/>
      <c r="K501" s="316"/>
      <c r="L501" s="316"/>
      <c r="M501" s="316"/>
      <c r="N501" s="316"/>
      <c r="O501" s="316"/>
      <c r="P501" s="316"/>
      <c r="Q501" s="226">
        <f t="shared" si="24"/>
        <v>97.34</v>
      </c>
      <c r="R501" s="226" t="str">
        <f t="shared" si="22"/>
        <v>NO</v>
      </c>
      <c r="S501" s="226" t="str">
        <f t="shared" si="23"/>
        <v>Inviable Sanitariamente</v>
      </c>
    </row>
    <row r="502" spans="1:19" ht="32.1" customHeight="1" x14ac:dyDescent="0.2">
      <c r="A502" s="489" t="s">
        <v>161</v>
      </c>
      <c r="B502" s="258" t="s">
        <v>3587</v>
      </c>
      <c r="C502" s="258" t="s">
        <v>3588</v>
      </c>
      <c r="D502" s="121">
        <v>28</v>
      </c>
      <c r="E502" s="316"/>
      <c r="F502" s="316"/>
      <c r="G502" s="316"/>
      <c r="H502" s="316"/>
      <c r="I502" s="316">
        <v>97.34</v>
      </c>
      <c r="J502" s="316"/>
      <c r="K502" s="316"/>
      <c r="L502" s="316"/>
      <c r="M502" s="316"/>
      <c r="N502" s="316"/>
      <c r="O502" s="316"/>
      <c r="P502" s="316"/>
      <c r="Q502" s="226">
        <f t="shared" si="24"/>
        <v>97.34</v>
      </c>
      <c r="R502" s="226" t="str">
        <f t="shared" si="22"/>
        <v>NO</v>
      </c>
      <c r="S502" s="226" t="str">
        <f t="shared" si="23"/>
        <v>Inviable Sanitariamente</v>
      </c>
    </row>
    <row r="503" spans="1:19" ht="32.1" customHeight="1" x14ac:dyDescent="0.2">
      <c r="A503" s="489" t="s">
        <v>161</v>
      </c>
      <c r="B503" s="258" t="s">
        <v>3589</v>
      </c>
      <c r="C503" s="258" t="s">
        <v>3590</v>
      </c>
      <c r="D503" s="116">
        <v>16</v>
      </c>
      <c r="E503" s="316"/>
      <c r="F503" s="316"/>
      <c r="G503" s="316"/>
      <c r="H503" s="316"/>
      <c r="I503" s="316">
        <v>97.34</v>
      </c>
      <c r="J503" s="316"/>
      <c r="K503" s="316"/>
      <c r="L503" s="316"/>
      <c r="M503" s="316"/>
      <c r="N503" s="316"/>
      <c r="O503" s="316"/>
      <c r="P503" s="316"/>
      <c r="Q503" s="226">
        <f t="shared" si="24"/>
        <v>97.34</v>
      </c>
      <c r="R503" s="226" t="str">
        <f t="shared" si="22"/>
        <v>NO</v>
      </c>
      <c r="S503" s="226" t="str">
        <f t="shared" si="23"/>
        <v>Inviable Sanitariamente</v>
      </c>
    </row>
    <row r="504" spans="1:19" ht="32.1" customHeight="1" x14ac:dyDescent="0.2">
      <c r="A504" s="489" t="s">
        <v>161</v>
      </c>
      <c r="B504" s="258" t="s">
        <v>3591</v>
      </c>
      <c r="C504" s="258" t="s">
        <v>3592</v>
      </c>
      <c r="D504" s="121">
        <v>25</v>
      </c>
      <c r="E504" s="316"/>
      <c r="F504" s="316"/>
      <c r="G504" s="316"/>
      <c r="H504" s="316"/>
      <c r="I504" s="316">
        <v>97.34</v>
      </c>
      <c r="J504" s="316"/>
      <c r="K504" s="316"/>
      <c r="L504" s="316"/>
      <c r="M504" s="316"/>
      <c r="N504" s="316"/>
      <c r="O504" s="316"/>
      <c r="P504" s="316"/>
      <c r="Q504" s="226">
        <f t="shared" si="24"/>
        <v>97.34</v>
      </c>
      <c r="R504" s="226" t="str">
        <f t="shared" si="22"/>
        <v>NO</v>
      </c>
      <c r="S504" s="226" t="str">
        <f t="shared" si="23"/>
        <v>Inviable Sanitariamente</v>
      </c>
    </row>
    <row r="505" spans="1:19" ht="32.1" customHeight="1" x14ac:dyDescent="0.2">
      <c r="A505" s="489" t="s">
        <v>161</v>
      </c>
      <c r="B505" s="258" t="s">
        <v>1595</v>
      </c>
      <c r="C505" s="258" t="s">
        <v>3593</v>
      </c>
      <c r="D505" s="121">
        <v>42</v>
      </c>
      <c r="E505" s="316"/>
      <c r="F505" s="316"/>
      <c r="G505" s="316">
        <v>97.34</v>
      </c>
      <c r="H505" s="316"/>
      <c r="I505" s="316"/>
      <c r="J505" s="316"/>
      <c r="K505" s="316"/>
      <c r="L505" s="316"/>
      <c r="M505" s="316"/>
      <c r="N505" s="316"/>
      <c r="O505" s="316"/>
      <c r="P505" s="316"/>
      <c r="Q505" s="226">
        <f t="shared" si="24"/>
        <v>97.34</v>
      </c>
      <c r="R505" s="226" t="str">
        <f t="shared" si="22"/>
        <v>NO</v>
      </c>
      <c r="S505" s="226" t="str">
        <f t="shared" si="23"/>
        <v>Inviable Sanitariamente</v>
      </c>
    </row>
    <row r="506" spans="1:19" ht="32.1" customHeight="1" x14ac:dyDescent="0.2">
      <c r="A506" s="489" t="s">
        <v>161</v>
      </c>
      <c r="B506" s="258" t="s">
        <v>3594</v>
      </c>
      <c r="C506" s="258" t="s">
        <v>3595</v>
      </c>
      <c r="D506" s="121">
        <v>32</v>
      </c>
      <c r="E506" s="316"/>
      <c r="F506" s="316"/>
      <c r="G506" s="316"/>
      <c r="H506" s="316"/>
      <c r="I506" s="316"/>
      <c r="J506" s="316"/>
      <c r="K506" s="316"/>
      <c r="L506" s="316"/>
      <c r="M506" s="316"/>
      <c r="N506" s="316">
        <v>97.34</v>
      </c>
      <c r="O506" s="316"/>
      <c r="P506" s="316"/>
      <c r="Q506" s="226">
        <f t="shared" si="24"/>
        <v>97.34</v>
      </c>
      <c r="R506" s="226" t="str">
        <f t="shared" si="22"/>
        <v>NO</v>
      </c>
      <c r="S506" s="226" t="str">
        <f t="shared" si="23"/>
        <v>Inviable Sanitariamente</v>
      </c>
    </row>
    <row r="507" spans="1:19" ht="32.1" customHeight="1" x14ac:dyDescent="0.2">
      <c r="A507" s="251"/>
      <c r="B507" s="328"/>
      <c r="C507" s="328"/>
      <c r="D507" s="431"/>
      <c r="E507" s="434"/>
      <c r="F507" s="434"/>
      <c r="G507" s="434"/>
      <c r="H507" s="434"/>
      <c r="I507" s="434"/>
      <c r="J507" s="434"/>
      <c r="K507" s="434"/>
      <c r="L507" s="434"/>
      <c r="M507" s="434"/>
      <c r="N507" s="434"/>
      <c r="O507" s="434"/>
      <c r="P507" s="434"/>
      <c r="Q507" s="451"/>
      <c r="R507" s="451"/>
      <c r="S507" s="452"/>
    </row>
    <row r="508" spans="1:19" ht="32.1" customHeight="1" x14ac:dyDescent="0.2">
      <c r="A508" s="319"/>
      <c r="B508" s="319"/>
      <c r="C508" s="319"/>
      <c r="D508" s="319"/>
    </row>
    <row r="509" spans="1:19" ht="32.1" customHeight="1" x14ac:dyDescent="0.2">
      <c r="A509" s="512" t="s">
        <v>4430</v>
      </c>
      <c r="B509" s="512" t="s">
        <v>4478</v>
      </c>
      <c r="D509" s="319"/>
    </row>
    <row r="510" spans="1:19" ht="32.1" customHeight="1" x14ac:dyDescent="0.2">
      <c r="A510" s="516" t="s">
        <v>4358</v>
      </c>
      <c r="B510" s="518">
        <f>COUNTIF(E10:P506,"&lt;=5")</f>
        <v>80</v>
      </c>
      <c r="D510" s="319"/>
    </row>
    <row r="511" spans="1:19" ht="32.1" customHeight="1" x14ac:dyDescent="0.2">
      <c r="A511" s="502" t="s">
        <v>4359</v>
      </c>
      <c r="B511" s="515">
        <f>COUNTIFS(E10:P506,"&gt;5",E10:P506,"&lt;=14")</f>
        <v>0</v>
      </c>
      <c r="D511" s="319"/>
    </row>
    <row r="512" spans="1:19" ht="32.1" customHeight="1" x14ac:dyDescent="0.2">
      <c r="A512" s="503" t="s">
        <v>4360</v>
      </c>
      <c r="B512" s="509">
        <f>COUNTIFS(E10:P506,"&gt;14",E10:P506,"&lt;=35")</f>
        <v>8</v>
      </c>
      <c r="D512" s="319"/>
    </row>
    <row r="513" spans="1:4" ht="32.1" customHeight="1" x14ac:dyDescent="0.2">
      <c r="A513" s="504" t="s">
        <v>4361</v>
      </c>
      <c r="B513" s="509">
        <f>COUNTIFS(E10:P506,"&gt;35",E10:P506,"&lt;=80")</f>
        <v>84</v>
      </c>
      <c r="D513" s="319"/>
    </row>
    <row r="514" spans="1:4" ht="32.1" customHeight="1" x14ac:dyDescent="0.2">
      <c r="A514" s="505" t="s">
        <v>4362</v>
      </c>
      <c r="B514" s="509">
        <f>COUNTIFS(E10:P506,"&gt;80",E10:P506,"&lt;=100")</f>
        <v>332</v>
      </c>
      <c r="D514" s="319"/>
    </row>
    <row r="515" spans="1:4" ht="32.1" customHeight="1" x14ac:dyDescent="0.2">
      <c r="A515" s="533" t="s">
        <v>4363</v>
      </c>
      <c r="B515" s="534">
        <f>COUNT(E10:P506)</f>
        <v>504</v>
      </c>
      <c r="D515" s="319"/>
    </row>
    <row r="516" spans="1:4" ht="36.75" customHeight="1" x14ac:dyDescent="0.2">
      <c r="A516" s="508" t="s">
        <v>4366</v>
      </c>
      <c r="B516" s="510">
        <f>B515-B510</f>
        <v>424</v>
      </c>
      <c r="C516" s="319"/>
      <c r="D516" s="319"/>
    </row>
    <row r="517" spans="1:4" ht="32.1" customHeight="1" x14ac:dyDescent="0.2">
      <c r="A517" s="319"/>
      <c r="B517" s="319"/>
      <c r="C517" s="319"/>
      <c r="D517" s="319"/>
    </row>
    <row r="518" spans="1:4" ht="32.1" customHeight="1" x14ac:dyDescent="0.2">
      <c r="A518" s="319"/>
      <c r="B518" s="319"/>
      <c r="C518" s="319"/>
    </row>
    <row r="519" spans="1:4" ht="32.1" customHeight="1" x14ac:dyDescent="0.2">
      <c r="A519" s="319"/>
      <c r="B519" s="319"/>
      <c r="C519" s="319"/>
    </row>
    <row r="520" spans="1:4" ht="32.1" customHeight="1" x14ac:dyDescent="0.2">
      <c r="A520" s="319"/>
      <c r="B520" s="319"/>
      <c r="C520" s="319"/>
    </row>
    <row r="521" spans="1:4" ht="32.1" customHeight="1" x14ac:dyDescent="0.2">
      <c r="A521" s="319"/>
      <c r="B521" s="319"/>
      <c r="C521" s="319"/>
    </row>
    <row r="522" spans="1:4" ht="32.1" customHeight="1" x14ac:dyDescent="0.2">
      <c r="A522" s="319"/>
      <c r="B522" s="319"/>
      <c r="C522" s="319"/>
    </row>
    <row r="523" spans="1:4" ht="32.1" customHeight="1" x14ac:dyDescent="0.2">
      <c r="A523" s="319"/>
      <c r="B523" s="319"/>
      <c r="C523" s="319"/>
    </row>
    <row r="524" spans="1:4" ht="32.1" customHeight="1" x14ac:dyDescent="0.2">
      <c r="A524" s="319"/>
      <c r="B524" s="319"/>
    </row>
    <row r="525" spans="1:4" ht="32.1" customHeight="1" x14ac:dyDescent="0.2">
      <c r="A525" s="319"/>
      <c r="B525" s="319"/>
      <c r="C525" s="319"/>
      <c r="D525" s="319"/>
    </row>
    <row r="526" spans="1:4" ht="32.1" customHeight="1" x14ac:dyDescent="0.2">
      <c r="A526" s="319"/>
      <c r="B526" s="319"/>
      <c r="C526" s="319"/>
      <c r="D526" s="319"/>
    </row>
    <row r="527" spans="1:4" ht="32.1" customHeight="1" x14ac:dyDescent="0.2">
      <c r="A527" s="319"/>
      <c r="B527" s="319"/>
      <c r="C527" s="319"/>
      <c r="D527" s="319"/>
    </row>
    <row r="528" spans="1:4" ht="32.1" customHeight="1" x14ac:dyDescent="0.2">
      <c r="A528" s="319"/>
      <c r="B528" s="319"/>
      <c r="C528" s="319"/>
      <c r="D528" s="319"/>
    </row>
    <row r="529" spans="1:4" ht="32.1" customHeight="1" x14ac:dyDescent="0.2">
      <c r="A529" s="319"/>
      <c r="B529" s="319"/>
      <c r="C529" s="319"/>
      <c r="D529" s="319"/>
    </row>
    <row r="530" spans="1:4" ht="32.1" customHeight="1" x14ac:dyDescent="0.2">
      <c r="A530" s="319"/>
      <c r="B530" s="319"/>
      <c r="C530" s="319"/>
      <c r="D530" s="319"/>
    </row>
    <row r="531" spans="1:4" ht="32.1" customHeight="1" x14ac:dyDescent="0.2">
      <c r="A531" s="319"/>
      <c r="B531" s="319"/>
      <c r="C531" s="319"/>
      <c r="D531" s="319"/>
    </row>
    <row r="532" spans="1:4" ht="32.1" customHeight="1" x14ac:dyDescent="0.2">
      <c r="A532" s="319"/>
      <c r="B532" s="319"/>
      <c r="C532" s="319"/>
      <c r="D532" s="319"/>
    </row>
    <row r="533" spans="1:4" ht="32.1" customHeight="1" x14ac:dyDescent="0.2">
      <c r="A533" s="319"/>
      <c r="B533" s="319"/>
      <c r="C533" s="319"/>
      <c r="D533" s="319"/>
    </row>
    <row r="534" spans="1:4" ht="32.1" customHeight="1" x14ac:dyDescent="0.2">
      <c r="A534" s="319"/>
      <c r="B534" s="319"/>
      <c r="C534" s="319"/>
      <c r="D534" s="319"/>
    </row>
    <row r="535" spans="1:4" ht="32.1" customHeight="1" x14ac:dyDescent="0.2">
      <c r="A535" s="319"/>
      <c r="B535" s="319"/>
      <c r="C535" s="319"/>
      <c r="D535" s="319"/>
    </row>
    <row r="536" spans="1:4" ht="32.1" customHeight="1" x14ac:dyDescent="0.2">
      <c r="A536" s="319"/>
      <c r="B536" s="319"/>
      <c r="C536" s="319"/>
      <c r="D536" s="319"/>
    </row>
    <row r="537" spans="1:4" ht="32.1" customHeight="1" x14ac:dyDescent="0.2">
      <c r="A537" s="319"/>
      <c r="B537" s="319"/>
      <c r="C537" s="319"/>
      <c r="D537" s="319"/>
    </row>
    <row r="538" spans="1:4" ht="32.1" customHeight="1" x14ac:dyDescent="0.2">
      <c r="A538" s="319"/>
      <c r="B538" s="319"/>
      <c r="C538" s="319"/>
      <c r="D538" s="319"/>
    </row>
    <row r="539" spans="1:4" ht="32.1" customHeight="1" x14ac:dyDescent="0.2">
      <c r="A539" s="319"/>
      <c r="B539" s="319"/>
      <c r="C539" s="319"/>
      <c r="D539" s="319"/>
    </row>
    <row r="540" spans="1:4" ht="32.1" customHeight="1" x14ac:dyDescent="0.2">
      <c r="A540" s="319"/>
      <c r="B540" s="319"/>
      <c r="C540" s="319"/>
      <c r="D540" s="319"/>
    </row>
    <row r="541" spans="1:4" ht="32.1" customHeight="1" x14ac:dyDescent="0.2">
      <c r="A541" s="319"/>
      <c r="B541" s="319"/>
      <c r="C541" s="319"/>
      <c r="D541" s="319"/>
    </row>
    <row r="542" spans="1:4" ht="32.1" customHeight="1" x14ac:dyDescent="0.2">
      <c r="A542" s="319"/>
      <c r="B542" s="319"/>
      <c r="C542" s="319"/>
      <c r="D542" s="319"/>
    </row>
    <row r="543" spans="1:4" ht="32.1" customHeight="1" x14ac:dyDescent="0.2">
      <c r="A543" s="319"/>
      <c r="B543" s="319"/>
      <c r="C543" s="319"/>
      <c r="D543" s="319"/>
    </row>
    <row r="544" spans="1:4" ht="32.1" customHeight="1" x14ac:dyDescent="0.2">
      <c r="A544" s="319"/>
      <c r="B544" s="319"/>
      <c r="C544" s="319"/>
      <c r="D544" s="319"/>
    </row>
    <row r="545" spans="1:4" ht="32.1" customHeight="1" x14ac:dyDescent="0.2">
      <c r="A545" s="319"/>
      <c r="B545" s="319"/>
      <c r="C545" s="319"/>
      <c r="D545" s="319"/>
    </row>
    <row r="546" spans="1:4" ht="32.1" customHeight="1" x14ac:dyDescent="0.2">
      <c r="A546" s="319"/>
      <c r="B546" s="319"/>
      <c r="C546" s="319"/>
      <c r="D546" s="319"/>
    </row>
    <row r="547" spans="1:4" ht="32.1" customHeight="1" x14ac:dyDescent="0.2">
      <c r="A547" s="319"/>
      <c r="B547" s="319"/>
      <c r="C547" s="319"/>
      <c r="D547" s="319"/>
    </row>
    <row r="548" spans="1:4" ht="32.1" customHeight="1" x14ac:dyDescent="0.2">
      <c r="A548" s="319"/>
      <c r="B548" s="319"/>
      <c r="C548" s="319"/>
      <c r="D548" s="319"/>
    </row>
    <row r="549" spans="1:4" ht="32.1" customHeight="1" x14ac:dyDescent="0.2">
      <c r="A549" s="319"/>
      <c r="B549" s="319"/>
      <c r="C549" s="319"/>
      <c r="D549" s="319"/>
    </row>
    <row r="550" spans="1:4" ht="32.1" customHeight="1" x14ac:dyDescent="0.2">
      <c r="A550" s="319"/>
      <c r="B550" s="319"/>
      <c r="C550" s="319"/>
      <c r="D550" s="319"/>
    </row>
    <row r="551" spans="1:4" ht="32.1" customHeight="1" x14ac:dyDescent="0.2">
      <c r="A551" s="319"/>
      <c r="B551" s="319"/>
      <c r="C551" s="319"/>
      <c r="D551" s="319"/>
    </row>
    <row r="552" spans="1:4" ht="32.1" customHeight="1" x14ac:dyDescent="0.2">
      <c r="A552" s="319"/>
      <c r="B552" s="319"/>
      <c r="C552" s="319"/>
      <c r="D552" s="319"/>
    </row>
    <row r="553" spans="1:4" ht="32.1" customHeight="1" x14ac:dyDescent="0.2">
      <c r="A553" s="319"/>
      <c r="B553" s="319"/>
      <c r="C553" s="319"/>
      <c r="D553" s="319"/>
    </row>
    <row r="554" spans="1:4" ht="32.1" customHeight="1" x14ac:dyDescent="0.2">
      <c r="A554" s="319"/>
      <c r="B554" s="319"/>
      <c r="C554" s="319"/>
      <c r="D554" s="319"/>
    </row>
    <row r="555" spans="1:4" ht="32.1" customHeight="1" x14ac:dyDescent="0.2">
      <c r="A555" s="319"/>
      <c r="B555" s="319"/>
      <c r="C555" s="319"/>
      <c r="D555" s="319"/>
    </row>
    <row r="556" spans="1:4" ht="32.1" customHeight="1" x14ac:dyDescent="0.2">
      <c r="A556" s="319"/>
      <c r="B556" s="319"/>
      <c r="C556" s="319"/>
      <c r="D556" s="319"/>
    </row>
    <row r="557" spans="1:4" ht="32.1" customHeight="1" x14ac:dyDescent="0.2">
      <c r="A557" s="319"/>
      <c r="B557" s="319"/>
      <c r="C557" s="319"/>
      <c r="D557" s="319"/>
    </row>
    <row r="558" spans="1:4" ht="32.1" customHeight="1" x14ac:dyDescent="0.2">
      <c r="A558" s="319"/>
      <c r="B558" s="319"/>
      <c r="C558" s="319"/>
      <c r="D558" s="319"/>
    </row>
    <row r="559" spans="1:4" ht="32.1" customHeight="1" x14ac:dyDescent="0.2">
      <c r="A559" s="319"/>
      <c r="B559" s="319"/>
      <c r="C559" s="319"/>
      <c r="D559" s="319"/>
    </row>
    <row r="560" spans="1:4" ht="32.1" customHeight="1" x14ac:dyDescent="0.2">
      <c r="A560" s="319"/>
      <c r="B560" s="319"/>
      <c r="C560" s="319"/>
      <c r="D560" s="319"/>
    </row>
    <row r="561" spans="1:4" ht="32.1" customHeight="1" x14ac:dyDescent="0.2">
      <c r="A561" s="319"/>
      <c r="B561" s="319"/>
      <c r="C561" s="319"/>
      <c r="D561" s="319"/>
    </row>
    <row r="562" spans="1:4" ht="32.1" customHeight="1" x14ac:dyDescent="0.2">
      <c r="A562" s="319"/>
      <c r="B562" s="319"/>
      <c r="C562" s="319"/>
      <c r="D562" s="319"/>
    </row>
    <row r="563" spans="1:4" ht="32.1" customHeight="1" x14ac:dyDescent="0.2">
      <c r="A563" s="319"/>
      <c r="B563" s="319"/>
      <c r="C563" s="319"/>
      <c r="D563" s="319"/>
    </row>
    <row r="564" spans="1:4" ht="32.1" customHeight="1" x14ac:dyDescent="0.2">
      <c r="A564" s="319"/>
      <c r="B564" s="319"/>
      <c r="C564" s="319"/>
      <c r="D564" s="319"/>
    </row>
    <row r="565" spans="1:4" ht="32.1" customHeight="1" x14ac:dyDescent="0.2">
      <c r="A565" s="319"/>
      <c r="B565" s="319"/>
      <c r="C565" s="319"/>
      <c r="D565" s="319"/>
    </row>
    <row r="566" spans="1:4" ht="32.1" customHeight="1" x14ac:dyDescent="0.2">
      <c r="A566" s="319"/>
      <c r="B566" s="319"/>
      <c r="C566" s="319"/>
      <c r="D566" s="319"/>
    </row>
    <row r="567" spans="1:4" ht="32.1" customHeight="1" x14ac:dyDescent="0.2">
      <c r="A567" s="319"/>
      <c r="B567" s="319"/>
      <c r="C567" s="319"/>
      <c r="D567" s="319"/>
    </row>
    <row r="568" spans="1:4" ht="32.1" customHeight="1" x14ac:dyDescent="0.2">
      <c r="A568" s="319"/>
      <c r="B568" s="319"/>
      <c r="C568" s="319"/>
      <c r="D568" s="319"/>
    </row>
    <row r="569" spans="1:4" ht="32.1" customHeight="1" x14ac:dyDescent="0.2">
      <c r="A569" s="319"/>
      <c r="B569" s="319"/>
      <c r="C569" s="319"/>
      <c r="D569" s="319"/>
    </row>
    <row r="570" spans="1:4" ht="32.1" customHeight="1" x14ac:dyDescent="0.2">
      <c r="A570" s="319"/>
      <c r="B570" s="319"/>
      <c r="C570" s="319"/>
      <c r="D570" s="319"/>
    </row>
    <row r="571" spans="1:4" ht="32.1" customHeight="1" x14ac:dyDescent="0.2">
      <c r="A571" s="319"/>
      <c r="B571" s="319"/>
      <c r="C571" s="319"/>
      <c r="D571" s="319"/>
    </row>
    <row r="572" spans="1:4" ht="32.1" customHeight="1" x14ac:dyDescent="0.2">
      <c r="A572" s="319"/>
      <c r="B572" s="319"/>
      <c r="C572" s="319"/>
      <c r="D572" s="319"/>
    </row>
    <row r="573" spans="1:4" ht="32.1" customHeight="1" x14ac:dyDescent="0.2">
      <c r="A573" s="319"/>
      <c r="B573" s="319"/>
      <c r="C573" s="319"/>
      <c r="D573" s="319"/>
    </row>
    <row r="574" spans="1:4" ht="32.1" customHeight="1" x14ac:dyDescent="0.2">
      <c r="A574" s="319"/>
      <c r="B574" s="319"/>
      <c r="C574" s="319"/>
      <c r="D574" s="319"/>
    </row>
    <row r="575" spans="1:4" ht="32.1" customHeight="1" x14ac:dyDescent="0.2">
      <c r="A575" s="319"/>
      <c r="B575" s="319"/>
      <c r="C575" s="319"/>
      <c r="D575" s="319"/>
    </row>
    <row r="576" spans="1:4" ht="32.1" customHeight="1" x14ac:dyDescent="0.2">
      <c r="A576" s="319"/>
      <c r="B576" s="319"/>
      <c r="C576" s="319"/>
      <c r="D576" s="319"/>
    </row>
    <row r="577" spans="1:4" ht="32.1" customHeight="1" x14ac:dyDescent="0.2">
      <c r="A577" s="319"/>
      <c r="B577" s="319"/>
      <c r="C577" s="319"/>
      <c r="D577" s="319"/>
    </row>
    <row r="578" spans="1:4" ht="32.1" customHeight="1" x14ac:dyDescent="0.2">
      <c r="A578" s="319"/>
      <c r="B578" s="319"/>
      <c r="C578" s="319"/>
      <c r="D578" s="319"/>
    </row>
    <row r="579" spans="1:4" ht="32.1" customHeight="1" x14ac:dyDescent="0.2">
      <c r="A579" s="319"/>
      <c r="B579" s="319"/>
      <c r="C579" s="319"/>
      <c r="D579" s="319"/>
    </row>
    <row r="580" spans="1:4" ht="32.1" customHeight="1" x14ac:dyDescent="0.2">
      <c r="A580" s="319"/>
      <c r="B580" s="319"/>
      <c r="C580" s="319"/>
      <c r="D580" s="319"/>
    </row>
    <row r="581" spans="1:4" ht="32.1" customHeight="1" x14ac:dyDescent="0.2">
      <c r="A581" s="319"/>
      <c r="B581" s="319"/>
      <c r="C581" s="319"/>
      <c r="D581" s="319"/>
    </row>
    <row r="582" spans="1:4" ht="32.1" customHeight="1" x14ac:dyDescent="0.2">
      <c r="A582" s="319"/>
      <c r="B582" s="319"/>
      <c r="C582" s="319"/>
      <c r="D582" s="319"/>
    </row>
    <row r="583" spans="1:4" ht="32.1" customHeight="1" x14ac:dyDescent="0.2">
      <c r="A583" s="319"/>
      <c r="B583" s="319"/>
      <c r="C583" s="319"/>
      <c r="D583" s="319"/>
    </row>
    <row r="584" spans="1:4" ht="32.1" customHeight="1" x14ac:dyDescent="0.2">
      <c r="A584" s="319"/>
      <c r="B584" s="319"/>
      <c r="C584" s="319"/>
      <c r="D584" s="319"/>
    </row>
    <row r="585" spans="1:4" ht="32.1" customHeight="1" x14ac:dyDescent="0.2">
      <c r="A585" s="319"/>
      <c r="B585" s="319"/>
      <c r="C585" s="319"/>
      <c r="D585" s="319"/>
    </row>
    <row r="586" spans="1:4" ht="32.1" customHeight="1" x14ac:dyDescent="0.2">
      <c r="A586" s="319"/>
      <c r="B586" s="319"/>
      <c r="C586" s="319"/>
      <c r="D586" s="319"/>
    </row>
    <row r="587" spans="1:4" ht="32.1" customHeight="1" x14ac:dyDescent="0.2">
      <c r="A587" s="319"/>
      <c r="B587" s="319"/>
      <c r="C587" s="319"/>
      <c r="D587" s="319"/>
    </row>
    <row r="588" spans="1:4" ht="32.1" customHeight="1" x14ac:dyDescent="0.2">
      <c r="A588" s="319"/>
      <c r="B588" s="319"/>
      <c r="C588" s="319"/>
      <c r="D588" s="319"/>
    </row>
    <row r="589" spans="1:4" ht="32.1" customHeight="1" x14ac:dyDescent="0.2">
      <c r="A589" s="319"/>
      <c r="B589" s="319"/>
      <c r="C589" s="319"/>
      <c r="D589" s="319"/>
    </row>
    <row r="590" spans="1:4" ht="32.1" customHeight="1" x14ac:dyDescent="0.2">
      <c r="A590" s="319"/>
      <c r="B590" s="319"/>
      <c r="C590" s="319"/>
      <c r="D590" s="319"/>
    </row>
    <row r="591" spans="1:4" ht="32.1" customHeight="1" x14ac:dyDescent="0.2">
      <c r="A591" s="319"/>
      <c r="B591" s="319"/>
      <c r="C591" s="319"/>
      <c r="D591" s="319"/>
    </row>
    <row r="592" spans="1:4" ht="32.1" customHeight="1" x14ac:dyDescent="0.2">
      <c r="A592" s="319"/>
      <c r="B592" s="319"/>
      <c r="C592" s="319"/>
      <c r="D592" s="319"/>
    </row>
    <row r="593" spans="1:4" ht="32.1" customHeight="1" x14ac:dyDescent="0.2">
      <c r="A593" s="319"/>
      <c r="B593" s="319"/>
      <c r="C593" s="319"/>
      <c r="D593" s="319"/>
    </row>
    <row r="594" spans="1:4" ht="32.1" customHeight="1" x14ac:dyDescent="0.2">
      <c r="A594" s="319"/>
      <c r="B594" s="319"/>
      <c r="C594" s="319"/>
      <c r="D594" s="319"/>
    </row>
    <row r="595" spans="1:4" ht="32.1" customHeight="1" x14ac:dyDescent="0.2">
      <c r="A595" s="319"/>
      <c r="B595" s="319"/>
      <c r="C595" s="319"/>
      <c r="D595" s="319"/>
    </row>
    <row r="596" spans="1:4" ht="32.1" customHeight="1" x14ac:dyDescent="0.2">
      <c r="A596" s="319"/>
      <c r="B596" s="319"/>
      <c r="C596" s="319"/>
      <c r="D596" s="319"/>
    </row>
    <row r="597" spans="1:4" ht="32.1" customHeight="1" x14ac:dyDescent="0.2">
      <c r="A597" s="319"/>
      <c r="B597" s="319"/>
      <c r="C597" s="319"/>
      <c r="D597" s="319"/>
    </row>
    <row r="598" spans="1:4" ht="32.1" customHeight="1" x14ac:dyDescent="0.2">
      <c r="A598" s="319"/>
      <c r="B598" s="319"/>
      <c r="C598" s="319"/>
      <c r="D598" s="319"/>
    </row>
    <row r="599" spans="1:4" ht="32.1" customHeight="1" x14ac:dyDescent="0.2">
      <c r="A599" s="319"/>
      <c r="B599" s="319"/>
      <c r="C599" s="319"/>
      <c r="D599" s="319"/>
    </row>
    <row r="600" spans="1:4" ht="32.1" customHeight="1" x14ac:dyDescent="0.2">
      <c r="A600" s="319"/>
      <c r="B600" s="319"/>
      <c r="C600" s="319"/>
      <c r="D600" s="319"/>
    </row>
    <row r="601" spans="1:4" ht="32.1" customHeight="1" x14ac:dyDescent="0.2">
      <c r="A601" s="319"/>
      <c r="B601" s="319"/>
      <c r="C601" s="319"/>
      <c r="D601" s="319"/>
    </row>
    <row r="602" spans="1:4" ht="32.1" customHeight="1" x14ac:dyDescent="0.2">
      <c r="A602" s="319"/>
      <c r="B602" s="319"/>
      <c r="C602" s="319"/>
      <c r="D602" s="319"/>
    </row>
    <row r="603" spans="1:4" ht="32.1" customHeight="1" x14ac:dyDescent="0.2">
      <c r="A603" s="319"/>
      <c r="B603" s="319"/>
      <c r="C603" s="319"/>
      <c r="D603" s="319"/>
    </row>
    <row r="604" spans="1:4" ht="32.1" customHeight="1" x14ac:dyDescent="0.2">
      <c r="A604" s="319"/>
      <c r="B604" s="319"/>
      <c r="C604" s="319"/>
      <c r="D604" s="319"/>
    </row>
    <row r="605" spans="1:4" ht="32.1" customHeight="1" x14ac:dyDescent="0.2">
      <c r="A605" s="319"/>
      <c r="B605" s="319"/>
      <c r="C605" s="319"/>
      <c r="D605" s="319"/>
    </row>
    <row r="606" spans="1:4" ht="32.1" customHeight="1" x14ac:dyDescent="0.2">
      <c r="A606" s="319"/>
      <c r="B606" s="319"/>
      <c r="C606" s="319"/>
      <c r="D606" s="319"/>
    </row>
    <row r="607" spans="1:4" ht="32.1" customHeight="1" x14ac:dyDescent="0.2">
      <c r="A607" s="319"/>
      <c r="B607" s="319"/>
      <c r="C607" s="319"/>
      <c r="D607" s="319"/>
    </row>
    <row r="608" spans="1:4" ht="32.1" customHeight="1" x14ac:dyDescent="0.2">
      <c r="A608" s="319"/>
      <c r="B608" s="319"/>
      <c r="C608" s="319"/>
      <c r="D608" s="319"/>
    </row>
    <row r="609" spans="1:4" ht="32.1" customHeight="1" x14ac:dyDescent="0.2">
      <c r="A609" s="319"/>
      <c r="B609" s="319"/>
      <c r="C609" s="319"/>
      <c r="D609" s="319"/>
    </row>
    <row r="610" spans="1:4" ht="32.1" customHeight="1" x14ac:dyDescent="0.2">
      <c r="A610" s="319"/>
      <c r="B610" s="319"/>
      <c r="C610" s="319"/>
      <c r="D610" s="319"/>
    </row>
    <row r="611" spans="1:4" ht="32.1" customHeight="1" x14ac:dyDescent="0.2">
      <c r="A611" s="319"/>
      <c r="B611" s="319"/>
      <c r="C611" s="319"/>
      <c r="D611" s="319"/>
    </row>
    <row r="612" spans="1:4" ht="32.1" customHeight="1" x14ac:dyDescent="0.2">
      <c r="A612" s="319"/>
      <c r="B612" s="319"/>
      <c r="C612" s="319"/>
      <c r="D612" s="319"/>
    </row>
    <row r="613" spans="1:4" ht="32.1" customHeight="1" x14ac:dyDescent="0.2">
      <c r="A613" s="319"/>
      <c r="B613" s="319"/>
      <c r="C613" s="319"/>
      <c r="D613" s="319"/>
    </row>
    <row r="614" spans="1:4" ht="32.1" customHeight="1" x14ac:dyDescent="0.2">
      <c r="A614" s="319"/>
      <c r="B614" s="319"/>
      <c r="C614" s="319"/>
      <c r="D614" s="319"/>
    </row>
    <row r="615" spans="1:4" ht="32.1" customHeight="1" x14ac:dyDescent="0.2">
      <c r="A615" s="319"/>
      <c r="B615" s="319"/>
      <c r="C615" s="319"/>
      <c r="D615" s="319"/>
    </row>
    <row r="616" spans="1:4" ht="32.1" customHeight="1" x14ac:dyDescent="0.2">
      <c r="A616" s="319"/>
      <c r="B616" s="319"/>
      <c r="C616" s="319"/>
      <c r="D616" s="319"/>
    </row>
    <row r="617" spans="1:4" ht="32.1" customHeight="1" x14ac:dyDescent="0.2">
      <c r="A617" s="319"/>
      <c r="B617" s="319"/>
      <c r="C617" s="319"/>
      <c r="D617" s="319"/>
    </row>
    <row r="618" spans="1:4" ht="32.1" customHeight="1" x14ac:dyDescent="0.2">
      <c r="A618" s="319"/>
      <c r="B618" s="319"/>
      <c r="C618" s="319"/>
      <c r="D618" s="319"/>
    </row>
    <row r="619" spans="1:4" ht="32.1" customHeight="1" x14ac:dyDescent="0.2">
      <c r="A619" s="319"/>
      <c r="B619" s="319"/>
      <c r="C619" s="319"/>
      <c r="D619" s="319"/>
    </row>
    <row r="620" spans="1:4" ht="32.1" customHeight="1" x14ac:dyDescent="0.2">
      <c r="A620" s="319"/>
      <c r="B620" s="319"/>
      <c r="C620" s="319"/>
      <c r="D620" s="319"/>
    </row>
    <row r="621" spans="1:4" ht="32.1" customHeight="1" x14ac:dyDescent="0.2">
      <c r="A621" s="319"/>
      <c r="B621" s="319"/>
      <c r="C621" s="319"/>
      <c r="D621" s="319"/>
    </row>
    <row r="622" spans="1:4" ht="32.1" customHeight="1" x14ac:dyDescent="0.2">
      <c r="A622" s="319"/>
      <c r="B622" s="319"/>
      <c r="C622" s="319"/>
      <c r="D622" s="319"/>
    </row>
    <row r="623" spans="1:4" ht="32.1" customHeight="1" x14ac:dyDescent="0.2">
      <c r="A623" s="319"/>
      <c r="B623" s="319"/>
      <c r="C623" s="319"/>
      <c r="D623" s="319"/>
    </row>
    <row r="624" spans="1:4" ht="32.1" customHeight="1" x14ac:dyDescent="0.2">
      <c r="A624" s="319"/>
      <c r="B624" s="319"/>
      <c r="C624" s="319"/>
      <c r="D624" s="319"/>
    </row>
    <row r="625" spans="1:4" ht="32.1" customHeight="1" x14ac:dyDescent="0.2">
      <c r="A625" s="319"/>
      <c r="B625" s="319"/>
      <c r="C625" s="319"/>
      <c r="D625" s="319"/>
    </row>
    <row r="626" spans="1:4" ht="32.1" customHeight="1" x14ac:dyDescent="0.2">
      <c r="A626" s="319"/>
      <c r="B626" s="319"/>
      <c r="C626" s="319"/>
      <c r="D626" s="319"/>
    </row>
    <row r="627" spans="1:4" ht="32.1" customHeight="1" x14ac:dyDescent="0.2">
      <c r="A627" s="319"/>
      <c r="B627" s="319"/>
      <c r="C627" s="319"/>
      <c r="D627" s="319"/>
    </row>
    <row r="628" spans="1:4" ht="32.1" customHeight="1" x14ac:dyDescent="0.2">
      <c r="A628" s="319"/>
      <c r="B628" s="319"/>
      <c r="C628" s="319"/>
      <c r="D628" s="319"/>
    </row>
    <row r="629" spans="1:4" ht="32.1" customHeight="1" x14ac:dyDescent="0.2">
      <c r="A629" s="319"/>
      <c r="B629" s="319"/>
      <c r="C629" s="319"/>
      <c r="D629" s="319"/>
    </row>
    <row r="630" spans="1:4" ht="32.1" customHeight="1" x14ac:dyDescent="0.2">
      <c r="A630" s="319"/>
      <c r="B630" s="319"/>
      <c r="C630" s="319"/>
      <c r="D630" s="319"/>
    </row>
    <row r="631" spans="1:4" ht="32.1" customHeight="1" x14ac:dyDescent="0.2">
      <c r="A631" s="319"/>
      <c r="B631" s="319"/>
      <c r="C631" s="319"/>
      <c r="D631" s="319"/>
    </row>
    <row r="632" spans="1:4" ht="32.1" customHeight="1" x14ac:dyDescent="0.2">
      <c r="A632" s="319"/>
      <c r="B632" s="319"/>
      <c r="C632" s="319"/>
      <c r="D632" s="319"/>
    </row>
    <row r="633" spans="1:4" ht="32.1" customHeight="1" x14ac:dyDescent="0.2">
      <c r="A633" s="319"/>
      <c r="B633" s="319"/>
      <c r="C633" s="319"/>
      <c r="D633" s="319"/>
    </row>
    <row r="634" spans="1:4" ht="32.1" customHeight="1" x14ac:dyDescent="0.2">
      <c r="A634" s="319"/>
      <c r="B634" s="319"/>
      <c r="C634" s="319"/>
      <c r="D634" s="319"/>
    </row>
    <row r="635" spans="1:4" ht="32.1" customHeight="1" x14ac:dyDescent="0.2">
      <c r="A635" s="319"/>
      <c r="B635" s="319"/>
      <c r="C635" s="319"/>
      <c r="D635" s="319"/>
    </row>
    <row r="636" spans="1:4" ht="32.1" customHeight="1" x14ac:dyDescent="0.2">
      <c r="A636" s="319"/>
      <c r="B636" s="319"/>
      <c r="C636" s="319"/>
      <c r="D636" s="319"/>
    </row>
    <row r="637" spans="1:4" ht="32.1" customHeight="1" x14ac:dyDescent="0.2">
      <c r="A637" s="319"/>
      <c r="B637" s="319"/>
      <c r="C637" s="319"/>
      <c r="D637" s="319"/>
    </row>
    <row r="638" spans="1:4" ht="32.1" customHeight="1" x14ac:dyDescent="0.2">
      <c r="A638" s="319"/>
      <c r="B638" s="319"/>
      <c r="C638" s="319"/>
      <c r="D638" s="319"/>
    </row>
    <row r="639" spans="1:4" ht="32.1" customHeight="1" x14ac:dyDescent="0.2">
      <c r="A639" s="319"/>
      <c r="B639" s="319"/>
      <c r="C639" s="319"/>
      <c r="D639" s="319"/>
    </row>
    <row r="640" spans="1:4" ht="32.1" customHeight="1" x14ac:dyDescent="0.2">
      <c r="A640" s="319"/>
      <c r="B640" s="319"/>
      <c r="C640" s="319"/>
      <c r="D640" s="319"/>
    </row>
    <row r="641" spans="1:4" ht="32.1" customHeight="1" x14ac:dyDescent="0.2">
      <c r="A641" s="319"/>
      <c r="B641" s="319"/>
      <c r="C641" s="319"/>
      <c r="D641" s="319"/>
    </row>
    <row r="642" spans="1:4" ht="32.1" customHeight="1" x14ac:dyDescent="0.2">
      <c r="A642" s="319"/>
      <c r="B642" s="319"/>
      <c r="C642" s="319"/>
      <c r="D642" s="319"/>
    </row>
    <row r="643" spans="1:4" ht="32.1" customHeight="1" x14ac:dyDescent="0.2">
      <c r="A643" s="319"/>
      <c r="B643" s="319"/>
      <c r="C643" s="319"/>
      <c r="D643" s="319"/>
    </row>
    <row r="644" spans="1:4" ht="32.1" customHeight="1" x14ac:dyDescent="0.2">
      <c r="A644" s="319"/>
      <c r="B644" s="319"/>
      <c r="C644" s="319"/>
      <c r="D644" s="319"/>
    </row>
    <row r="645" spans="1:4" ht="32.1" customHeight="1" x14ac:dyDescent="0.2">
      <c r="A645" s="319"/>
      <c r="B645" s="319"/>
      <c r="C645" s="319"/>
      <c r="D645" s="319"/>
    </row>
    <row r="646" spans="1:4" ht="32.1" customHeight="1" x14ac:dyDescent="0.2">
      <c r="A646" s="319"/>
      <c r="B646" s="319"/>
      <c r="C646" s="319"/>
      <c r="D646" s="319"/>
    </row>
    <row r="647" spans="1:4" ht="32.1" customHeight="1" x14ac:dyDescent="0.2">
      <c r="A647" s="319"/>
      <c r="B647" s="319"/>
      <c r="C647" s="319"/>
      <c r="D647" s="319"/>
    </row>
    <row r="648" spans="1:4" ht="32.1" customHeight="1" x14ac:dyDescent="0.2">
      <c r="A648" s="319"/>
      <c r="B648" s="319"/>
      <c r="C648" s="319"/>
      <c r="D648" s="319"/>
    </row>
    <row r="649" spans="1:4" x14ac:dyDescent="0.2">
      <c r="A649" s="319"/>
      <c r="B649" s="319"/>
      <c r="C649" s="319"/>
      <c r="D649" s="319"/>
    </row>
    <row r="650" spans="1:4" x14ac:dyDescent="0.2">
      <c r="A650" s="319"/>
      <c r="B650" s="319"/>
      <c r="C650" s="319"/>
      <c r="D650" s="319"/>
    </row>
    <row r="651" spans="1:4" x14ac:dyDescent="0.2">
      <c r="A651" s="319"/>
      <c r="B651" s="319"/>
      <c r="C651" s="319"/>
      <c r="D651" s="319"/>
    </row>
    <row r="652" spans="1:4" x14ac:dyDescent="0.2">
      <c r="A652" s="319"/>
      <c r="B652" s="319"/>
      <c r="C652" s="319"/>
      <c r="D652" s="319"/>
    </row>
    <row r="653" spans="1:4" x14ac:dyDescent="0.2">
      <c r="A653" s="319"/>
      <c r="B653" s="319"/>
      <c r="C653" s="319"/>
      <c r="D653" s="319"/>
    </row>
    <row r="654" spans="1:4" x14ac:dyDescent="0.2">
      <c r="A654" s="319"/>
      <c r="B654" s="319"/>
      <c r="C654" s="319"/>
      <c r="D654" s="319"/>
    </row>
    <row r="655" spans="1:4" x14ac:dyDescent="0.2"/>
    <row r="656" spans="1:4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</sheetData>
  <autoFilter ref="A9:W506">
    <sortState ref="A11:W506">
      <sortCondition ref="A9:A506"/>
    </sortState>
  </autoFilter>
  <customSheetViews>
    <customSheetView guid="{45C8AF51-29EC-46A5-AB7F-1F0634E55D82}" scale="60" hiddenRows="1" hiddenColumns="1">
      <pane xSplit="3" ySplit="9" topLeftCell="D10" activePane="bottomRight" state="frozenSplit"/>
      <selection pane="bottomRight" activeCell="B2" sqref="B2:D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hiddenRows="1" hiddenColumns="1">
      <pane xSplit="3" ySplit="9" topLeftCell="D335" activePane="bottomRight" state="frozenSplit"/>
      <selection pane="bottomRight" activeCell="C372" sqref="C37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AEDE1BDB-8710-4CDA-8488-31F49D423ACE}" scale="60" hiddenRows="1">
      <pane xSplit="3" ySplit="9" topLeftCell="D470" activePane="bottomRight" state="frozenSplit"/>
      <selection pane="bottomRight" activeCell="D488" sqref="D48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75DD7674-E7DE-4BB1-A36D-76AA33452CB3}" scale="60" showAutoFilter="1" hiddenRows="1" hiddenColumns="1">
      <pane xSplit="3" ySplit="9" topLeftCell="D10" activePane="bottomRight" state="frozenSplit"/>
      <selection pane="bottomRight" activeCell="D256" sqref="D256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506">
        <sortState ref="A11:W506">
          <sortCondition ref="A9:A506"/>
        </sortState>
      </autoFilter>
    </customSheetView>
  </customSheetViews>
  <mergeCells count="20">
    <mergeCell ref="A8:A9"/>
    <mergeCell ref="E8:P8"/>
    <mergeCell ref="Q8:Q9"/>
    <mergeCell ref="S8:S9"/>
    <mergeCell ref="R8:R9"/>
    <mergeCell ref="B8:B9"/>
    <mergeCell ref="C8:C9"/>
    <mergeCell ref="D8:D9"/>
    <mergeCell ref="S5:S6"/>
    <mergeCell ref="B1:D1"/>
    <mergeCell ref="B2:D2"/>
    <mergeCell ref="B4:D4"/>
    <mergeCell ref="B5:B6"/>
    <mergeCell ref="C5:C6"/>
    <mergeCell ref="D5:D6"/>
    <mergeCell ref="E5:G6"/>
    <mergeCell ref="H5:J6"/>
    <mergeCell ref="K5:M6"/>
    <mergeCell ref="N5:P6"/>
    <mergeCell ref="Q5:R6"/>
  </mergeCells>
  <phoneticPr fontId="2" type="noConversion"/>
  <conditionalFormatting sqref="E81:P139 E223:P240 E433:P437 E422:P430 E140:J151 E352:P376 E59:P71 E154:P220">
    <cfRule type="containsBlanks" dxfId="4572" priority="2249" stopIfTrue="1">
      <formula>LEN(TRIM(E59))=0</formula>
    </cfRule>
    <cfRule type="cellIs" dxfId="4571" priority="2250" stopIfTrue="1" operator="between">
      <formula>79.1</formula>
      <formula>100</formula>
    </cfRule>
    <cfRule type="cellIs" dxfId="4570" priority="2251" stopIfTrue="1" operator="between">
      <formula>34.1</formula>
      <formula>79</formula>
    </cfRule>
    <cfRule type="cellIs" dxfId="4569" priority="2252" stopIfTrue="1" operator="between">
      <formula>13.1</formula>
      <formula>34</formula>
    </cfRule>
    <cfRule type="cellIs" dxfId="4568" priority="2253" stopIfTrue="1" operator="between">
      <formula>5.1</formula>
      <formula>13</formula>
    </cfRule>
    <cfRule type="cellIs" dxfId="4567" priority="2254" stopIfTrue="1" operator="between">
      <formula>0</formula>
      <formula>5</formula>
    </cfRule>
    <cfRule type="containsBlanks" dxfId="4566" priority="2255" stopIfTrue="1">
      <formula>LEN(TRIM(E59))=0</formula>
    </cfRule>
  </conditionalFormatting>
  <conditionalFormatting sqref="E222:P222 E325:E350 E244:P247 O241:P241 M243:P243 E250:P250 O248:P248 N249:P249 E253:P294 N251:P251 E387:J389 E37:P40 E152:P153 E72:P80 Q11:Q507">
    <cfRule type="containsBlanks" dxfId="4565" priority="2067" stopIfTrue="1">
      <formula>LEN(TRIM(E11))=0</formula>
    </cfRule>
    <cfRule type="cellIs" dxfId="4564" priority="2068" stopIfTrue="1" operator="between">
      <formula>80.1</formula>
      <formula>100</formula>
    </cfRule>
    <cfRule type="cellIs" dxfId="4563" priority="2069" stopIfTrue="1" operator="between">
      <formula>35.1</formula>
      <formula>80</formula>
    </cfRule>
    <cfRule type="cellIs" dxfId="4562" priority="2070" stopIfTrue="1" operator="between">
      <formula>14.1</formula>
      <formula>35</formula>
    </cfRule>
    <cfRule type="cellIs" dxfId="4561" priority="2071" stopIfTrue="1" operator="between">
      <formula>5.1</formula>
      <formula>14</formula>
    </cfRule>
    <cfRule type="cellIs" dxfId="4560" priority="2072" stopIfTrue="1" operator="between">
      <formula>0</formula>
      <formula>5</formula>
    </cfRule>
    <cfRule type="containsBlanks" dxfId="4559" priority="2073" stopIfTrue="1">
      <formula>LEN(TRIM(E11))=0</formula>
    </cfRule>
  </conditionalFormatting>
  <conditionalFormatting sqref="E21:J36">
    <cfRule type="containsBlanks" dxfId="4558" priority="2026" stopIfTrue="1">
      <formula>LEN(TRIM(E21))=0</formula>
    </cfRule>
    <cfRule type="cellIs" dxfId="4557" priority="2027" stopIfTrue="1" operator="between">
      <formula>79.1</formula>
      <formula>100</formula>
    </cfRule>
    <cfRule type="cellIs" dxfId="4556" priority="2028" stopIfTrue="1" operator="between">
      <formula>34.1</formula>
      <formula>79</formula>
    </cfRule>
    <cfRule type="cellIs" dxfId="4555" priority="2029" stopIfTrue="1" operator="between">
      <formula>13.1</formula>
      <formula>34</formula>
    </cfRule>
    <cfRule type="cellIs" dxfId="4554" priority="2030" stopIfTrue="1" operator="between">
      <formula>5.1</formula>
      <formula>13</formula>
    </cfRule>
    <cfRule type="cellIs" dxfId="4553" priority="2031" stopIfTrue="1" operator="between">
      <formula>0</formula>
      <formula>5</formula>
    </cfRule>
    <cfRule type="containsBlanks" dxfId="4552" priority="2032" stopIfTrue="1">
      <formula>LEN(TRIM(E21))=0</formula>
    </cfRule>
  </conditionalFormatting>
  <conditionalFormatting sqref="E221:P221">
    <cfRule type="containsBlanks" dxfId="4551" priority="1991" stopIfTrue="1">
      <formula>LEN(TRIM(E221))=0</formula>
    </cfRule>
    <cfRule type="cellIs" dxfId="4550" priority="1992" stopIfTrue="1" operator="between">
      <formula>79.1</formula>
      <formula>100</formula>
    </cfRule>
    <cfRule type="cellIs" dxfId="4549" priority="1993" stopIfTrue="1" operator="between">
      <formula>34.1</formula>
      <formula>79</formula>
    </cfRule>
    <cfRule type="cellIs" dxfId="4548" priority="1994" stopIfTrue="1" operator="between">
      <formula>13.1</formula>
      <formula>34</formula>
    </cfRule>
    <cfRule type="cellIs" dxfId="4547" priority="1995" stopIfTrue="1" operator="between">
      <formula>5.1</formula>
      <formula>13</formula>
    </cfRule>
    <cfRule type="cellIs" dxfId="4546" priority="1996" stopIfTrue="1" operator="between">
      <formula>0</formula>
      <formula>5</formula>
    </cfRule>
    <cfRule type="containsBlanks" dxfId="4545" priority="1997" stopIfTrue="1">
      <formula>LEN(TRIM(E221))=0</formula>
    </cfRule>
  </conditionalFormatting>
  <conditionalFormatting sqref="E140:P140 E148:P151">
    <cfRule type="containsBlanks" dxfId="4544" priority="2005" stopIfTrue="1">
      <formula>LEN(TRIM(E140))=0</formula>
    </cfRule>
    <cfRule type="cellIs" dxfId="4543" priority="2006" stopIfTrue="1" operator="between">
      <formula>79.1</formula>
      <formula>100</formula>
    </cfRule>
    <cfRule type="cellIs" dxfId="4542" priority="2007" stopIfTrue="1" operator="between">
      <formula>34.1</formula>
      <formula>79</formula>
    </cfRule>
    <cfRule type="cellIs" dxfId="4541" priority="2008" stopIfTrue="1" operator="between">
      <formula>13.1</formula>
      <formula>34</formula>
    </cfRule>
    <cfRule type="cellIs" dxfId="4540" priority="2009" stopIfTrue="1" operator="between">
      <formula>5.1</formula>
      <formula>13</formula>
    </cfRule>
    <cfRule type="cellIs" dxfId="4539" priority="2010" stopIfTrue="1" operator="between">
      <formula>0</formula>
      <formula>5</formula>
    </cfRule>
    <cfRule type="containsBlanks" dxfId="4538" priority="2011" stopIfTrue="1">
      <formula>LEN(TRIM(E140))=0</formula>
    </cfRule>
  </conditionalFormatting>
  <conditionalFormatting sqref="E351">
    <cfRule type="containsBlanks" dxfId="4537" priority="1963" stopIfTrue="1">
      <formula>LEN(TRIM(E351))=0</formula>
    </cfRule>
    <cfRule type="cellIs" dxfId="4536" priority="1964" stopIfTrue="1" operator="between">
      <formula>79.1</formula>
      <formula>100</formula>
    </cfRule>
    <cfRule type="cellIs" dxfId="4535" priority="1965" stopIfTrue="1" operator="between">
      <formula>34.1</formula>
      <formula>79</formula>
    </cfRule>
    <cfRule type="cellIs" dxfId="4534" priority="1966" stopIfTrue="1" operator="between">
      <formula>13.1</formula>
      <formula>34</formula>
    </cfRule>
    <cfRule type="cellIs" dxfId="4533" priority="1967" stopIfTrue="1" operator="between">
      <formula>5.1</formula>
      <formula>13</formula>
    </cfRule>
    <cfRule type="cellIs" dxfId="4532" priority="1968" stopIfTrue="1" operator="between">
      <formula>0</formula>
      <formula>5</formula>
    </cfRule>
    <cfRule type="containsBlanks" dxfId="4531" priority="1969" stopIfTrue="1">
      <formula>LEN(TRIM(E351))=0</formula>
    </cfRule>
  </conditionalFormatting>
  <conditionalFormatting sqref="N393:P393 P413 E409:P409 E404:P404 E395:P395 E399:P401 O398:P398 M407:P407 O396:P396 O408:P408 P410 O405:P405 P402">
    <cfRule type="containsBlanks" dxfId="4530" priority="1956" stopIfTrue="1">
      <formula>LEN(TRIM(E393))=0</formula>
    </cfRule>
    <cfRule type="cellIs" dxfId="4529" priority="1957" stopIfTrue="1" operator="between">
      <formula>79.1</formula>
      <formula>100</formula>
    </cfRule>
    <cfRule type="cellIs" dxfId="4528" priority="1958" stopIfTrue="1" operator="between">
      <formula>34.1</formula>
      <formula>79</formula>
    </cfRule>
    <cfRule type="cellIs" dxfId="4527" priority="1959" stopIfTrue="1" operator="between">
      <formula>13.1</formula>
      <formula>34</formula>
    </cfRule>
    <cfRule type="cellIs" dxfId="4526" priority="1960" stopIfTrue="1" operator="between">
      <formula>5.1</formula>
      <formula>13</formula>
    </cfRule>
    <cfRule type="cellIs" dxfId="4525" priority="1961" stopIfTrue="1" operator="between">
      <formula>0</formula>
      <formula>5</formula>
    </cfRule>
    <cfRule type="containsBlanks" dxfId="4524" priority="1962" stopIfTrue="1">
      <formula>LEN(TRIM(E393))=0</formula>
    </cfRule>
  </conditionalFormatting>
  <conditionalFormatting sqref="I431:J432">
    <cfRule type="containsBlanks" dxfId="4523" priority="1949" stopIfTrue="1">
      <formula>LEN(TRIM(I431))=0</formula>
    </cfRule>
    <cfRule type="cellIs" dxfId="4522" priority="1950" stopIfTrue="1" operator="between">
      <formula>79.1</formula>
      <formula>100</formula>
    </cfRule>
    <cfRule type="cellIs" dxfId="4521" priority="1951" stopIfTrue="1" operator="between">
      <formula>34.1</formula>
      <formula>79</formula>
    </cfRule>
    <cfRule type="cellIs" dxfId="4520" priority="1952" stopIfTrue="1" operator="between">
      <formula>13.1</formula>
      <formula>34</formula>
    </cfRule>
    <cfRule type="cellIs" dxfId="4519" priority="1953" stopIfTrue="1" operator="between">
      <formula>5.1</formula>
      <formula>13</formula>
    </cfRule>
    <cfRule type="cellIs" dxfId="4518" priority="1954" stopIfTrue="1" operator="between">
      <formula>0</formula>
      <formula>5</formula>
    </cfRule>
    <cfRule type="containsBlanks" dxfId="4517" priority="1955" stopIfTrue="1">
      <formula>LEN(TRIM(I431))=0</formula>
    </cfRule>
  </conditionalFormatting>
  <conditionalFormatting sqref="M440:P440 M456:P457 J439:P439 E452:P453 N450:P450 K449:P449 K445:P445 P443 K442:P442 J441:P441 E455:P455 N454:P454 J444:P444 E448:P448 I446:P446 P447 M451:P451 E458:P506">
    <cfRule type="containsBlanks" dxfId="4516" priority="1942" stopIfTrue="1">
      <formula>LEN(TRIM(E439))=0</formula>
    </cfRule>
    <cfRule type="cellIs" dxfId="4515" priority="1943" stopIfTrue="1" operator="between">
      <formula>79.1</formula>
      <formula>100</formula>
    </cfRule>
    <cfRule type="cellIs" dxfId="4514" priority="1944" stopIfTrue="1" operator="between">
      <formula>34.1</formula>
      <formula>79</formula>
    </cfRule>
    <cfRule type="cellIs" dxfId="4513" priority="1945" stopIfTrue="1" operator="between">
      <formula>13.1</formula>
      <formula>34</formula>
    </cfRule>
    <cfRule type="cellIs" dxfId="4512" priority="1946" stopIfTrue="1" operator="between">
      <formula>5.1</formula>
      <formula>13</formula>
    </cfRule>
    <cfRule type="cellIs" dxfId="4511" priority="1947" stopIfTrue="1" operator="between">
      <formula>0</formula>
      <formula>5</formula>
    </cfRule>
    <cfRule type="containsBlanks" dxfId="4510" priority="1948" stopIfTrue="1">
      <formula>LEN(TRIM(E439))=0</formula>
    </cfRule>
  </conditionalFormatting>
  <conditionalFormatting sqref="F42 H42:P42">
    <cfRule type="containsBlanks" dxfId="4509" priority="1905" stopIfTrue="1">
      <formula>LEN(TRIM(F42))=0</formula>
    </cfRule>
    <cfRule type="cellIs" dxfId="4508" priority="1906" stopIfTrue="1" operator="between">
      <formula>80.1</formula>
      <formula>100</formula>
    </cfRule>
    <cfRule type="cellIs" dxfId="4507" priority="1907" stopIfTrue="1" operator="between">
      <formula>35.1</formula>
      <formula>80</formula>
    </cfRule>
    <cfRule type="cellIs" dxfId="4506" priority="1908" stopIfTrue="1" operator="between">
      <formula>14.1</formula>
      <formula>35</formula>
    </cfRule>
    <cfRule type="cellIs" dxfId="4505" priority="1909" stopIfTrue="1" operator="between">
      <formula>5.1</formula>
      <formula>14</formula>
    </cfRule>
    <cfRule type="cellIs" dxfId="4504" priority="1910" stopIfTrue="1" operator="between">
      <formula>0</formula>
      <formula>5</formula>
    </cfRule>
    <cfRule type="containsBlanks" dxfId="4503" priority="1911" stopIfTrue="1">
      <formula>LEN(TRIM(F42))=0</formula>
    </cfRule>
  </conditionalFormatting>
  <conditionalFormatting sqref="E42">
    <cfRule type="containsBlanks" dxfId="4502" priority="1898" stopIfTrue="1">
      <formula>LEN(TRIM(E42))=0</formula>
    </cfRule>
    <cfRule type="cellIs" dxfId="4501" priority="1899" stopIfTrue="1" operator="between">
      <formula>80.1</formula>
      <formula>100</formula>
    </cfRule>
    <cfRule type="cellIs" dxfId="4500" priority="1900" stopIfTrue="1" operator="between">
      <formula>35.1</formula>
      <formula>80</formula>
    </cfRule>
    <cfRule type="cellIs" dxfId="4499" priority="1901" stopIfTrue="1" operator="between">
      <formula>14.1</formula>
      <formula>35</formula>
    </cfRule>
    <cfRule type="cellIs" dxfId="4498" priority="1902" stopIfTrue="1" operator="between">
      <formula>5.1</formula>
      <formula>14</formula>
    </cfRule>
    <cfRule type="cellIs" dxfId="4497" priority="1903" stopIfTrue="1" operator="between">
      <formula>0</formula>
      <formula>5</formula>
    </cfRule>
    <cfRule type="containsBlanks" dxfId="4496" priority="1904" stopIfTrue="1">
      <formula>LEN(TRIM(E42))=0</formula>
    </cfRule>
  </conditionalFormatting>
  <conditionalFormatting sqref="F49:P49">
    <cfRule type="containsBlanks" dxfId="4495" priority="1883" stopIfTrue="1">
      <formula>LEN(TRIM(F49))=0</formula>
    </cfRule>
    <cfRule type="cellIs" dxfId="4494" priority="1884" stopIfTrue="1" operator="between">
      <formula>80.1</formula>
      <formula>100</formula>
    </cfRule>
    <cfRule type="cellIs" dxfId="4493" priority="1885" stopIfTrue="1" operator="between">
      <formula>35.1</formula>
      <formula>80</formula>
    </cfRule>
    <cfRule type="cellIs" dxfId="4492" priority="1886" stopIfTrue="1" operator="between">
      <formula>14.1</formula>
      <formula>35</formula>
    </cfRule>
    <cfRule type="cellIs" dxfId="4491" priority="1887" stopIfTrue="1" operator="between">
      <formula>5.1</formula>
      <formula>14</formula>
    </cfRule>
    <cfRule type="cellIs" dxfId="4490" priority="1888" stopIfTrue="1" operator="between">
      <formula>0</formula>
      <formula>5</formula>
    </cfRule>
    <cfRule type="containsBlanks" dxfId="4489" priority="1889" stopIfTrue="1">
      <formula>LEN(TRIM(F49))=0</formula>
    </cfRule>
  </conditionalFormatting>
  <conditionalFormatting sqref="E49">
    <cfRule type="containsBlanks" dxfId="4488" priority="1876" stopIfTrue="1">
      <formula>LEN(TRIM(E49))=0</formula>
    </cfRule>
    <cfRule type="cellIs" dxfId="4487" priority="1877" stopIfTrue="1" operator="between">
      <formula>80.1</formula>
      <formula>100</formula>
    </cfRule>
    <cfRule type="cellIs" dxfId="4486" priority="1878" stopIfTrue="1" operator="between">
      <formula>35.1</formula>
      <formula>80</formula>
    </cfRule>
    <cfRule type="cellIs" dxfId="4485" priority="1879" stopIfTrue="1" operator="between">
      <formula>14.1</formula>
      <formula>35</formula>
    </cfRule>
    <cfRule type="cellIs" dxfId="4484" priority="1880" stopIfTrue="1" operator="between">
      <formula>5.1</formula>
      <formula>14</formula>
    </cfRule>
    <cfRule type="cellIs" dxfId="4483" priority="1881" stopIfTrue="1" operator="between">
      <formula>0</formula>
      <formula>5</formula>
    </cfRule>
    <cfRule type="containsBlanks" dxfId="4482" priority="1882" stopIfTrue="1">
      <formula>LEN(TRIM(E49))=0</formula>
    </cfRule>
  </conditionalFormatting>
  <conditionalFormatting sqref="F50:P50">
    <cfRule type="containsBlanks" dxfId="4481" priority="1839" stopIfTrue="1">
      <formula>LEN(TRIM(F50))=0</formula>
    </cfRule>
    <cfRule type="cellIs" dxfId="4480" priority="1840" stopIfTrue="1" operator="between">
      <formula>80.1</formula>
      <formula>100</formula>
    </cfRule>
    <cfRule type="cellIs" dxfId="4479" priority="1841" stopIfTrue="1" operator="between">
      <formula>35.1</formula>
      <formula>80</formula>
    </cfRule>
    <cfRule type="cellIs" dxfId="4478" priority="1842" stopIfTrue="1" operator="between">
      <formula>14.1</formula>
      <formula>35</formula>
    </cfRule>
    <cfRule type="cellIs" dxfId="4477" priority="1843" stopIfTrue="1" operator="between">
      <formula>5.1</formula>
      <formula>14</formula>
    </cfRule>
    <cfRule type="cellIs" dxfId="4476" priority="1844" stopIfTrue="1" operator="between">
      <formula>0</formula>
      <formula>5</formula>
    </cfRule>
    <cfRule type="containsBlanks" dxfId="4475" priority="1845" stopIfTrue="1">
      <formula>LEN(TRIM(F50))=0</formula>
    </cfRule>
  </conditionalFormatting>
  <conditionalFormatting sqref="E50">
    <cfRule type="containsBlanks" dxfId="4474" priority="1832" stopIfTrue="1">
      <formula>LEN(TRIM(E50))=0</formula>
    </cfRule>
    <cfRule type="cellIs" dxfId="4473" priority="1833" stopIfTrue="1" operator="between">
      <formula>80.1</formula>
      <formula>100</formula>
    </cfRule>
    <cfRule type="cellIs" dxfId="4472" priority="1834" stopIfTrue="1" operator="between">
      <formula>35.1</formula>
      <formula>80</formula>
    </cfRule>
    <cfRule type="cellIs" dxfId="4471" priority="1835" stopIfTrue="1" operator="between">
      <formula>14.1</formula>
      <formula>35</formula>
    </cfRule>
    <cfRule type="cellIs" dxfId="4470" priority="1836" stopIfTrue="1" operator="between">
      <formula>5.1</formula>
      <formula>14</formula>
    </cfRule>
    <cfRule type="cellIs" dxfId="4469" priority="1837" stopIfTrue="1" operator="between">
      <formula>0</formula>
      <formula>5</formula>
    </cfRule>
    <cfRule type="containsBlanks" dxfId="4468" priority="1838" stopIfTrue="1">
      <formula>LEN(TRIM(E50))=0</formula>
    </cfRule>
  </conditionalFormatting>
  <conditionalFormatting sqref="F51:P51">
    <cfRule type="containsBlanks" dxfId="4467" priority="1795" stopIfTrue="1">
      <formula>LEN(TRIM(F51))=0</formula>
    </cfRule>
    <cfRule type="cellIs" dxfId="4466" priority="1796" stopIfTrue="1" operator="between">
      <formula>80.1</formula>
      <formula>100</formula>
    </cfRule>
    <cfRule type="cellIs" dxfId="4465" priority="1797" stopIfTrue="1" operator="between">
      <formula>35.1</formula>
      <formula>80</formula>
    </cfRule>
    <cfRule type="cellIs" dxfId="4464" priority="1798" stopIfTrue="1" operator="between">
      <formula>14.1</formula>
      <formula>35</formula>
    </cfRule>
    <cfRule type="cellIs" dxfId="4463" priority="1799" stopIfTrue="1" operator="between">
      <formula>5.1</formula>
      <formula>14</formula>
    </cfRule>
    <cfRule type="cellIs" dxfId="4462" priority="1800" stopIfTrue="1" operator="between">
      <formula>0</formula>
      <formula>5</formula>
    </cfRule>
    <cfRule type="containsBlanks" dxfId="4461" priority="1801" stopIfTrue="1">
      <formula>LEN(TRIM(F51))=0</formula>
    </cfRule>
  </conditionalFormatting>
  <conditionalFormatting sqref="E51">
    <cfRule type="containsBlanks" dxfId="4460" priority="1788" stopIfTrue="1">
      <formula>LEN(TRIM(E51))=0</formula>
    </cfRule>
    <cfRule type="cellIs" dxfId="4459" priority="1789" stopIfTrue="1" operator="between">
      <formula>80.1</formula>
      <formula>100</formula>
    </cfRule>
    <cfRule type="cellIs" dxfId="4458" priority="1790" stopIfTrue="1" operator="between">
      <formula>35.1</formula>
      <formula>80</formula>
    </cfRule>
    <cfRule type="cellIs" dxfId="4457" priority="1791" stopIfTrue="1" operator="between">
      <formula>14.1</formula>
      <formula>35</formula>
    </cfRule>
    <cfRule type="cellIs" dxfId="4456" priority="1792" stopIfTrue="1" operator="between">
      <formula>5.1</formula>
      <formula>14</formula>
    </cfRule>
    <cfRule type="cellIs" dxfId="4455" priority="1793" stopIfTrue="1" operator="between">
      <formula>0</formula>
      <formula>5</formula>
    </cfRule>
    <cfRule type="containsBlanks" dxfId="4454" priority="1794" stopIfTrue="1">
      <formula>LEN(TRIM(E51))=0</formula>
    </cfRule>
  </conditionalFormatting>
  <conditionalFormatting sqref="F47:P47">
    <cfRule type="containsBlanks" dxfId="4453" priority="1729" stopIfTrue="1">
      <formula>LEN(TRIM(F47))=0</formula>
    </cfRule>
    <cfRule type="cellIs" dxfId="4452" priority="1730" stopIfTrue="1" operator="between">
      <formula>80.1</formula>
      <formula>100</formula>
    </cfRule>
    <cfRule type="cellIs" dxfId="4451" priority="1731" stopIfTrue="1" operator="between">
      <formula>35.1</formula>
      <formula>80</formula>
    </cfRule>
    <cfRule type="cellIs" dxfId="4450" priority="1732" stopIfTrue="1" operator="between">
      <formula>14.1</formula>
      <formula>35</formula>
    </cfRule>
    <cfRule type="cellIs" dxfId="4449" priority="1733" stopIfTrue="1" operator="between">
      <formula>5.1</formula>
      <formula>14</formula>
    </cfRule>
    <cfRule type="cellIs" dxfId="4448" priority="1734" stopIfTrue="1" operator="between">
      <formula>0</formula>
      <formula>5</formula>
    </cfRule>
    <cfRule type="containsBlanks" dxfId="4447" priority="1735" stopIfTrue="1">
      <formula>LEN(TRIM(F47))=0</formula>
    </cfRule>
  </conditionalFormatting>
  <conditionalFormatting sqref="E47">
    <cfRule type="containsBlanks" dxfId="4446" priority="1722" stopIfTrue="1">
      <formula>LEN(TRIM(E47))=0</formula>
    </cfRule>
    <cfRule type="cellIs" dxfId="4445" priority="1723" stopIfTrue="1" operator="between">
      <formula>80.1</formula>
      <formula>100</formula>
    </cfRule>
    <cfRule type="cellIs" dxfId="4444" priority="1724" stopIfTrue="1" operator="between">
      <formula>35.1</formula>
      <formula>80</formula>
    </cfRule>
    <cfRule type="cellIs" dxfId="4443" priority="1725" stopIfTrue="1" operator="between">
      <formula>14.1</formula>
      <formula>35</formula>
    </cfRule>
    <cfRule type="cellIs" dxfId="4442" priority="1726" stopIfTrue="1" operator="between">
      <formula>5.1</formula>
      <formula>14</formula>
    </cfRule>
    <cfRule type="cellIs" dxfId="4441" priority="1727" stopIfTrue="1" operator="between">
      <formula>0</formula>
      <formula>5</formula>
    </cfRule>
    <cfRule type="containsBlanks" dxfId="4440" priority="1728" stopIfTrue="1">
      <formula>LEN(TRIM(E47))=0</formula>
    </cfRule>
  </conditionalFormatting>
  <conditionalFormatting sqref="F48:P48">
    <cfRule type="containsBlanks" dxfId="4439" priority="1707" stopIfTrue="1">
      <formula>LEN(TRIM(F48))=0</formula>
    </cfRule>
    <cfRule type="cellIs" dxfId="4438" priority="1708" stopIfTrue="1" operator="between">
      <formula>80.1</formula>
      <formula>100</formula>
    </cfRule>
    <cfRule type="cellIs" dxfId="4437" priority="1709" stopIfTrue="1" operator="between">
      <formula>35.1</formula>
      <formula>80</formula>
    </cfRule>
    <cfRule type="cellIs" dxfId="4436" priority="1710" stopIfTrue="1" operator="between">
      <formula>14.1</formula>
      <formula>35</formula>
    </cfRule>
    <cfRule type="cellIs" dxfId="4435" priority="1711" stopIfTrue="1" operator="between">
      <formula>5.1</formula>
      <formula>14</formula>
    </cfRule>
    <cfRule type="cellIs" dxfId="4434" priority="1712" stopIfTrue="1" operator="between">
      <formula>0</formula>
      <formula>5</formula>
    </cfRule>
    <cfRule type="containsBlanks" dxfId="4433" priority="1713" stopIfTrue="1">
      <formula>LEN(TRIM(F48))=0</formula>
    </cfRule>
  </conditionalFormatting>
  <conditionalFormatting sqref="E48">
    <cfRule type="containsBlanks" dxfId="4432" priority="1700" stopIfTrue="1">
      <formula>LEN(TRIM(E48))=0</formula>
    </cfRule>
    <cfRule type="cellIs" dxfId="4431" priority="1701" stopIfTrue="1" operator="between">
      <formula>80.1</formula>
      <formula>100</formula>
    </cfRule>
    <cfRule type="cellIs" dxfId="4430" priority="1702" stopIfTrue="1" operator="between">
      <formula>35.1</formula>
      <formula>80</formula>
    </cfRule>
    <cfRule type="cellIs" dxfId="4429" priority="1703" stopIfTrue="1" operator="between">
      <formula>14.1</formula>
      <formula>35</formula>
    </cfRule>
    <cfRule type="cellIs" dxfId="4428" priority="1704" stopIfTrue="1" operator="between">
      <formula>5.1</formula>
      <formula>14</formula>
    </cfRule>
    <cfRule type="cellIs" dxfId="4427" priority="1705" stopIfTrue="1" operator="between">
      <formula>0</formula>
      <formula>5</formula>
    </cfRule>
    <cfRule type="containsBlanks" dxfId="4426" priority="1706" stopIfTrue="1">
      <formula>LEN(TRIM(E48))=0</formula>
    </cfRule>
  </conditionalFormatting>
  <conditionalFormatting sqref="F43:P43">
    <cfRule type="containsBlanks" dxfId="4425" priority="1685" stopIfTrue="1">
      <formula>LEN(TRIM(F43))=0</formula>
    </cfRule>
    <cfRule type="cellIs" dxfId="4424" priority="1686" stopIfTrue="1" operator="between">
      <formula>80.1</formula>
      <formula>100</formula>
    </cfRule>
    <cfRule type="cellIs" dxfId="4423" priority="1687" stopIfTrue="1" operator="between">
      <formula>35.1</formula>
      <formula>80</formula>
    </cfRule>
    <cfRule type="cellIs" dxfId="4422" priority="1688" stopIfTrue="1" operator="between">
      <formula>14.1</formula>
      <formula>35</formula>
    </cfRule>
    <cfRule type="cellIs" dxfId="4421" priority="1689" stopIfTrue="1" operator="between">
      <formula>5.1</formula>
      <formula>14</formula>
    </cfRule>
    <cfRule type="cellIs" dxfId="4420" priority="1690" stopIfTrue="1" operator="between">
      <formula>0</formula>
      <formula>5</formula>
    </cfRule>
    <cfRule type="containsBlanks" dxfId="4419" priority="1691" stopIfTrue="1">
      <formula>LEN(TRIM(F43))=0</formula>
    </cfRule>
  </conditionalFormatting>
  <conditionalFormatting sqref="E43">
    <cfRule type="containsBlanks" dxfId="4418" priority="1678" stopIfTrue="1">
      <formula>LEN(TRIM(E43))=0</formula>
    </cfRule>
    <cfRule type="cellIs" dxfId="4417" priority="1679" stopIfTrue="1" operator="between">
      <formula>80.1</formula>
      <formula>100</formula>
    </cfRule>
    <cfRule type="cellIs" dxfId="4416" priority="1680" stopIfTrue="1" operator="between">
      <formula>35.1</formula>
      <formula>80</formula>
    </cfRule>
    <cfRule type="cellIs" dxfId="4415" priority="1681" stopIfTrue="1" operator="between">
      <formula>14.1</formula>
      <formula>35</formula>
    </cfRule>
    <cfRule type="cellIs" dxfId="4414" priority="1682" stopIfTrue="1" operator="between">
      <formula>5.1</formula>
      <formula>14</formula>
    </cfRule>
    <cfRule type="cellIs" dxfId="4413" priority="1683" stopIfTrue="1" operator="between">
      <formula>0</formula>
      <formula>5</formula>
    </cfRule>
    <cfRule type="containsBlanks" dxfId="4412" priority="1684" stopIfTrue="1">
      <formula>LEN(TRIM(E43))=0</formula>
    </cfRule>
  </conditionalFormatting>
  <conditionalFormatting sqref="F41:P41">
    <cfRule type="containsBlanks" dxfId="4411" priority="1641" stopIfTrue="1">
      <formula>LEN(TRIM(F41))=0</formula>
    </cfRule>
    <cfRule type="cellIs" dxfId="4410" priority="1642" stopIfTrue="1" operator="between">
      <formula>80.1</formula>
      <formula>100</formula>
    </cfRule>
    <cfRule type="cellIs" dxfId="4409" priority="1643" stopIfTrue="1" operator="between">
      <formula>35.1</formula>
      <formula>80</formula>
    </cfRule>
    <cfRule type="cellIs" dxfId="4408" priority="1644" stopIfTrue="1" operator="between">
      <formula>14.1</formula>
      <formula>35</formula>
    </cfRule>
    <cfRule type="cellIs" dxfId="4407" priority="1645" stopIfTrue="1" operator="between">
      <formula>5.1</formula>
      <formula>14</formula>
    </cfRule>
    <cfRule type="cellIs" dxfId="4406" priority="1646" stopIfTrue="1" operator="between">
      <formula>0</formula>
      <formula>5</formula>
    </cfRule>
    <cfRule type="containsBlanks" dxfId="4405" priority="1647" stopIfTrue="1">
      <formula>LEN(TRIM(F41))=0</formula>
    </cfRule>
  </conditionalFormatting>
  <conditionalFormatting sqref="E41">
    <cfRule type="containsBlanks" dxfId="4404" priority="1634" stopIfTrue="1">
      <formula>LEN(TRIM(E41))=0</formula>
    </cfRule>
    <cfRule type="cellIs" dxfId="4403" priority="1635" stopIfTrue="1" operator="between">
      <formula>80.1</formula>
      <formula>100</formula>
    </cfRule>
    <cfRule type="cellIs" dxfId="4402" priority="1636" stopIfTrue="1" operator="between">
      <formula>35.1</formula>
      <formula>80</formula>
    </cfRule>
    <cfRule type="cellIs" dxfId="4401" priority="1637" stopIfTrue="1" operator="between">
      <formula>14.1</formula>
      <formula>35</formula>
    </cfRule>
    <cfRule type="cellIs" dxfId="4400" priority="1638" stopIfTrue="1" operator="between">
      <formula>5.1</formula>
      <formula>14</formula>
    </cfRule>
    <cfRule type="cellIs" dxfId="4399" priority="1639" stopIfTrue="1" operator="between">
      <formula>0</formula>
      <formula>5</formula>
    </cfRule>
    <cfRule type="containsBlanks" dxfId="4398" priority="1640" stopIfTrue="1">
      <formula>LEN(TRIM(E41))=0</formula>
    </cfRule>
  </conditionalFormatting>
  <conditionalFormatting sqref="F141:P141">
    <cfRule type="containsBlanks" dxfId="4397" priority="1597" stopIfTrue="1">
      <formula>LEN(TRIM(F141))=0</formula>
    </cfRule>
    <cfRule type="cellIs" dxfId="4396" priority="1598" stopIfTrue="1" operator="between">
      <formula>80.1</formula>
      <formula>100</formula>
    </cfRule>
    <cfRule type="cellIs" dxfId="4395" priority="1599" stopIfTrue="1" operator="between">
      <formula>35.1</formula>
      <formula>80</formula>
    </cfRule>
    <cfRule type="cellIs" dxfId="4394" priority="1600" stopIfTrue="1" operator="between">
      <formula>14.1</formula>
      <formula>35</formula>
    </cfRule>
    <cfRule type="cellIs" dxfId="4393" priority="1601" stopIfTrue="1" operator="between">
      <formula>5.1</formula>
      <formula>14</formula>
    </cfRule>
    <cfRule type="cellIs" dxfId="4392" priority="1602" stopIfTrue="1" operator="between">
      <formula>0</formula>
      <formula>5</formula>
    </cfRule>
    <cfRule type="containsBlanks" dxfId="4391" priority="1603" stopIfTrue="1">
      <formula>LEN(TRIM(F141))=0</formula>
    </cfRule>
  </conditionalFormatting>
  <conditionalFormatting sqref="E141">
    <cfRule type="containsBlanks" dxfId="4390" priority="1590" stopIfTrue="1">
      <formula>LEN(TRIM(E141))=0</formula>
    </cfRule>
    <cfRule type="cellIs" dxfId="4389" priority="1591" stopIfTrue="1" operator="between">
      <formula>80.1</formula>
      <formula>100</formula>
    </cfRule>
    <cfRule type="cellIs" dxfId="4388" priority="1592" stopIfTrue="1" operator="between">
      <formula>35.1</formula>
      <formula>80</formula>
    </cfRule>
    <cfRule type="cellIs" dxfId="4387" priority="1593" stopIfTrue="1" operator="between">
      <formula>14.1</formula>
      <formula>35</formula>
    </cfRule>
    <cfRule type="cellIs" dxfId="4386" priority="1594" stopIfTrue="1" operator="between">
      <formula>5.1</formula>
      <formula>14</formula>
    </cfRule>
    <cfRule type="cellIs" dxfId="4385" priority="1595" stopIfTrue="1" operator="between">
      <formula>0</formula>
      <formula>5</formula>
    </cfRule>
    <cfRule type="containsBlanks" dxfId="4384" priority="1596" stopIfTrue="1">
      <formula>LEN(TRIM(E141))=0</formula>
    </cfRule>
  </conditionalFormatting>
  <conditionalFormatting sqref="F142:P142">
    <cfRule type="containsBlanks" dxfId="4383" priority="1575" stopIfTrue="1">
      <formula>LEN(TRIM(F142))=0</formula>
    </cfRule>
    <cfRule type="cellIs" dxfId="4382" priority="1576" stopIfTrue="1" operator="between">
      <formula>80.1</formula>
      <formula>100</formula>
    </cfRule>
    <cfRule type="cellIs" dxfId="4381" priority="1577" stopIfTrue="1" operator="between">
      <formula>35.1</formula>
      <formula>80</formula>
    </cfRule>
    <cfRule type="cellIs" dxfId="4380" priority="1578" stopIfTrue="1" operator="between">
      <formula>14.1</formula>
      <formula>35</formula>
    </cfRule>
    <cfRule type="cellIs" dxfId="4379" priority="1579" stopIfTrue="1" operator="between">
      <formula>5.1</formula>
      <formula>14</formula>
    </cfRule>
    <cfRule type="cellIs" dxfId="4378" priority="1580" stopIfTrue="1" operator="between">
      <formula>0</formula>
      <formula>5</formula>
    </cfRule>
    <cfRule type="containsBlanks" dxfId="4377" priority="1581" stopIfTrue="1">
      <formula>LEN(TRIM(F142))=0</formula>
    </cfRule>
  </conditionalFormatting>
  <conditionalFormatting sqref="E142">
    <cfRule type="containsBlanks" dxfId="4376" priority="1568" stopIfTrue="1">
      <formula>LEN(TRIM(E142))=0</formula>
    </cfRule>
    <cfRule type="cellIs" dxfId="4375" priority="1569" stopIfTrue="1" operator="between">
      <formula>80.1</formula>
      <formula>100</formula>
    </cfRule>
    <cfRule type="cellIs" dxfId="4374" priority="1570" stopIfTrue="1" operator="between">
      <formula>35.1</formula>
      <formula>80</formula>
    </cfRule>
    <cfRule type="cellIs" dxfId="4373" priority="1571" stopIfTrue="1" operator="between">
      <formula>14.1</formula>
      <formula>35</formula>
    </cfRule>
    <cfRule type="cellIs" dxfId="4372" priority="1572" stopIfTrue="1" operator="between">
      <formula>5.1</formula>
      <formula>14</formula>
    </cfRule>
    <cfRule type="cellIs" dxfId="4371" priority="1573" stopIfTrue="1" operator="between">
      <formula>0</formula>
      <formula>5</formula>
    </cfRule>
    <cfRule type="containsBlanks" dxfId="4370" priority="1574" stopIfTrue="1">
      <formula>LEN(TRIM(E142))=0</formula>
    </cfRule>
  </conditionalFormatting>
  <conditionalFormatting sqref="F143:P143">
    <cfRule type="containsBlanks" dxfId="4369" priority="1553" stopIfTrue="1">
      <formula>LEN(TRIM(F143))=0</formula>
    </cfRule>
    <cfRule type="cellIs" dxfId="4368" priority="1554" stopIfTrue="1" operator="between">
      <formula>80.1</formula>
      <formula>100</formula>
    </cfRule>
    <cfRule type="cellIs" dxfId="4367" priority="1555" stopIfTrue="1" operator="between">
      <formula>35.1</formula>
      <formula>80</formula>
    </cfRule>
    <cfRule type="cellIs" dxfId="4366" priority="1556" stopIfTrue="1" operator="between">
      <formula>14.1</formula>
      <formula>35</formula>
    </cfRule>
    <cfRule type="cellIs" dxfId="4365" priority="1557" stopIfTrue="1" operator="between">
      <formula>5.1</formula>
      <formula>14</formula>
    </cfRule>
    <cfRule type="cellIs" dxfId="4364" priority="1558" stopIfTrue="1" operator="between">
      <formula>0</formula>
      <formula>5</formula>
    </cfRule>
    <cfRule type="containsBlanks" dxfId="4363" priority="1559" stopIfTrue="1">
      <formula>LEN(TRIM(F143))=0</formula>
    </cfRule>
  </conditionalFormatting>
  <conditionalFormatting sqref="E143">
    <cfRule type="containsBlanks" dxfId="4362" priority="1546" stopIfTrue="1">
      <formula>LEN(TRIM(E143))=0</formula>
    </cfRule>
    <cfRule type="cellIs" dxfId="4361" priority="1547" stopIfTrue="1" operator="between">
      <formula>80.1</formula>
      <formula>100</formula>
    </cfRule>
    <cfRule type="cellIs" dxfId="4360" priority="1548" stopIfTrue="1" operator="between">
      <formula>35.1</formula>
      <formula>80</formula>
    </cfRule>
    <cfRule type="cellIs" dxfId="4359" priority="1549" stopIfTrue="1" operator="between">
      <formula>14.1</formula>
      <formula>35</formula>
    </cfRule>
    <cfRule type="cellIs" dxfId="4358" priority="1550" stopIfTrue="1" operator="between">
      <formula>5.1</formula>
      <formula>14</formula>
    </cfRule>
    <cfRule type="cellIs" dxfId="4357" priority="1551" stopIfTrue="1" operator="between">
      <formula>0</formula>
      <formula>5</formula>
    </cfRule>
    <cfRule type="containsBlanks" dxfId="4356" priority="1552" stopIfTrue="1">
      <formula>LEN(TRIM(E143))=0</formula>
    </cfRule>
  </conditionalFormatting>
  <conditionalFormatting sqref="F144:P144">
    <cfRule type="containsBlanks" dxfId="4355" priority="1531" stopIfTrue="1">
      <formula>LEN(TRIM(F144))=0</formula>
    </cfRule>
    <cfRule type="cellIs" dxfId="4354" priority="1532" stopIfTrue="1" operator="between">
      <formula>80.1</formula>
      <formula>100</formula>
    </cfRule>
    <cfRule type="cellIs" dxfId="4353" priority="1533" stopIfTrue="1" operator="between">
      <formula>35.1</formula>
      <formula>80</formula>
    </cfRule>
    <cfRule type="cellIs" dxfId="4352" priority="1534" stopIfTrue="1" operator="between">
      <formula>14.1</formula>
      <formula>35</formula>
    </cfRule>
    <cfRule type="cellIs" dxfId="4351" priority="1535" stopIfTrue="1" operator="between">
      <formula>5.1</formula>
      <formula>14</formula>
    </cfRule>
    <cfRule type="cellIs" dxfId="4350" priority="1536" stopIfTrue="1" operator="between">
      <formula>0</formula>
      <formula>5</formula>
    </cfRule>
    <cfRule type="containsBlanks" dxfId="4349" priority="1537" stopIfTrue="1">
      <formula>LEN(TRIM(F144))=0</formula>
    </cfRule>
  </conditionalFormatting>
  <conditionalFormatting sqref="E144">
    <cfRule type="containsBlanks" dxfId="4348" priority="1524" stopIfTrue="1">
      <formula>LEN(TRIM(E144))=0</formula>
    </cfRule>
    <cfRule type="cellIs" dxfId="4347" priority="1525" stopIfTrue="1" operator="between">
      <formula>80.1</formula>
      <formula>100</formula>
    </cfRule>
    <cfRule type="cellIs" dxfId="4346" priority="1526" stopIfTrue="1" operator="between">
      <formula>35.1</formula>
      <formula>80</formula>
    </cfRule>
    <cfRule type="cellIs" dxfId="4345" priority="1527" stopIfTrue="1" operator="between">
      <formula>14.1</formula>
      <formula>35</formula>
    </cfRule>
    <cfRule type="cellIs" dxfId="4344" priority="1528" stopIfTrue="1" operator="between">
      <formula>5.1</formula>
      <formula>14</formula>
    </cfRule>
    <cfRule type="cellIs" dxfId="4343" priority="1529" stopIfTrue="1" operator="between">
      <formula>0</formula>
      <formula>5</formula>
    </cfRule>
    <cfRule type="containsBlanks" dxfId="4342" priority="1530" stopIfTrue="1">
      <formula>LEN(TRIM(E144))=0</formula>
    </cfRule>
  </conditionalFormatting>
  <conditionalFormatting sqref="F145:P145">
    <cfRule type="containsBlanks" dxfId="4341" priority="1509" stopIfTrue="1">
      <formula>LEN(TRIM(F145))=0</formula>
    </cfRule>
    <cfRule type="cellIs" dxfId="4340" priority="1510" stopIfTrue="1" operator="between">
      <formula>80.1</formula>
      <formula>100</formula>
    </cfRule>
    <cfRule type="cellIs" dxfId="4339" priority="1511" stopIfTrue="1" operator="between">
      <formula>35.1</formula>
      <formula>80</formula>
    </cfRule>
    <cfRule type="cellIs" dxfId="4338" priority="1512" stopIfTrue="1" operator="between">
      <formula>14.1</formula>
      <formula>35</formula>
    </cfRule>
    <cfRule type="cellIs" dxfId="4337" priority="1513" stopIfTrue="1" operator="between">
      <formula>5.1</formula>
      <formula>14</formula>
    </cfRule>
    <cfRule type="cellIs" dxfId="4336" priority="1514" stopIfTrue="1" operator="between">
      <formula>0</formula>
      <formula>5</formula>
    </cfRule>
    <cfRule type="containsBlanks" dxfId="4335" priority="1515" stopIfTrue="1">
      <formula>LEN(TRIM(F145))=0</formula>
    </cfRule>
  </conditionalFormatting>
  <conditionalFormatting sqref="E145">
    <cfRule type="containsBlanks" dxfId="4334" priority="1502" stopIfTrue="1">
      <formula>LEN(TRIM(E145))=0</formula>
    </cfRule>
    <cfRule type="cellIs" dxfId="4333" priority="1503" stopIfTrue="1" operator="between">
      <formula>80.1</formula>
      <formula>100</formula>
    </cfRule>
    <cfRule type="cellIs" dxfId="4332" priority="1504" stopIfTrue="1" operator="between">
      <formula>35.1</formula>
      <formula>80</formula>
    </cfRule>
    <cfRule type="cellIs" dxfId="4331" priority="1505" stopIfTrue="1" operator="between">
      <formula>14.1</formula>
      <formula>35</formula>
    </cfRule>
    <cfRule type="cellIs" dxfId="4330" priority="1506" stopIfTrue="1" operator="between">
      <formula>5.1</formula>
      <formula>14</formula>
    </cfRule>
    <cfRule type="cellIs" dxfId="4329" priority="1507" stopIfTrue="1" operator="between">
      <formula>0</formula>
      <formula>5</formula>
    </cfRule>
    <cfRule type="containsBlanks" dxfId="4328" priority="1508" stopIfTrue="1">
      <formula>LEN(TRIM(E145))=0</formula>
    </cfRule>
  </conditionalFormatting>
  <conditionalFormatting sqref="F147:P147">
    <cfRule type="containsBlanks" dxfId="4327" priority="1487" stopIfTrue="1">
      <formula>LEN(TRIM(F147))=0</formula>
    </cfRule>
    <cfRule type="cellIs" dxfId="4326" priority="1488" stopIfTrue="1" operator="between">
      <formula>80.1</formula>
      <formula>100</formula>
    </cfRule>
    <cfRule type="cellIs" dxfId="4325" priority="1489" stopIfTrue="1" operator="between">
      <formula>35.1</formula>
      <formula>80</formula>
    </cfRule>
    <cfRule type="cellIs" dxfId="4324" priority="1490" stopIfTrue="1" operator="between">
      <formula>14.1</formula>
      <formula>35</formula>
    </cfRule>
    <cfRule type="cellIs" dxfId="4323" priority="1491" stopIfTrue="1" operator="between">
      <formula>5.1</formula>
      <formula>14</formula>
    </cfRule>
    <cfRule type="cellIs" dxfId="4322" priority="1492" stopIfTrue="1" operator="between">
      <formula>0</formula>
      <formula>5</formula>
    </cfRule>
    <cfRule type="containsBlanks" dxfId="4321" priority="1493" stopIfTrue="1">
      <formula>LEN(TRIM(F147))=0</formula>
    </cfRule>
  </conditionalFormatting>
  <conditionalFormatting sqref="E147">
    <cfRule type="containsBlanks" dxfId="4320" priority="1480" stopIfTrue="1">
      <formula>LEN(TRIM(E147))=0</formula>
    </cfRule>
    <cfRule type="cellIs" dxfId="4319" priority="1481" stopIfTrue="1" operator="between">
      <formula>80.1</formula>
      <formula>100</formula>
    </cfRule>
    <cfRule type="cellIs" dxfId="4318" priority="1482" stopIfTrue="1" operator="between">
      <formula>35.1</formula>
      <formula>80</formula>
    </cfRule>
    <cfRule type="cellIs" dxfId="4317" priority="1483" stopIfTrue="1" operator="between">
      <formula>14.1</formula>
      <formula>35</formula>
    </cfRule>
    <cfRule type="cellIs" dxfId="4316" priority="1484" stopIfTrue="1" operator="between">
      <formula>5.1</formula>
      <formula>14</formula>
    </cfRule>
    <cfRule type="cellIs" dxfId="4315" priority="1485" stopIfTrue="1" operator="between">
      <formula>0</formula>
      <formula>5</formula>
    </cfRule>
    <cfRule type="containsBlanks" dxfId="4314" priority="1486" stopIfTrue="1">
      <formula>LEN(TRIM(E147))=0</formula>
    </cfRule>
  </conditionalFormatting>
  <conditionalFormatting sqref="F146:P146">
    <cfRule type="containsBlanks" dxfId="4313" priority="1465" stopIfTrue="1">
      <formula>LEN(TRIM(F146))=0</formula>
    </cfRule>
    <cfRule type="cellIs" dxfId="4312" priority="1466" stopIfTrue="1" operator="between">
      <formula>80.1</formula>
      <formula>100</formula>
    </cfRule>
    <cfRule type="cellIs" dxfId="4311" priority="1467" stopIfTrue="1" operator="between">
      <formula>35.1</formula>
      <formula>80</formula>
    </cfRule>
    <cfRule type="cellIs" dxfId="4310" priority="1468" stopIfTrue="1" operator="between">
      <formula>14.1</formula>
      <formula>35</formula>
    </cfRule>
    <cfRule type="cellIs" dxfId="4309" priority="1469" stopIfTrue="1" operator="between">
      <formula>5.1</formula>
      <formula>14</formula>
    </cfRule>
    <cfRule type="cellIs" dxfId="4308" priority="1470" stopIfTrue="1" operator="between">
      <formula>0</formula>
      <formula>5</formula>
    </cfRule>
    <cfRule type="containsBlanks" dxfId="4307" priority="1471" stopIfTrue="1">
      <formula>LEN(TRIM(F146))=0</formula>
    </cfRule>
  </conditionalFormatting>
  <conditionalFormatting sqref="E146">
    <cfRule type="containsBlanks" dxfId="4306" priority="1458" stopIfTrue="1">
      <formula>LEN(TRIM(E146))=0</formula>
    </cfRule>
    <cfRule type="cellIs" dxfId="4305" priority="1459" stopIfTrue="1" operator="between">
      <formula>80.1</formula>
      <formula>100</formula>
    </cfRule>
    <cfRule type="cellIs" dxfId="4304" priority="1460" stopIfTrue="1" operator="between">
      <formula>35.1</formula>
      <formula>80</formula>
    </cfRule>
    <cfRule type="cellIs" dxfId="4303" priority="1461" stopIfTrue="1" operator="between">
      <formula>14.1</formula>
      <formula>35</formula>
    </cfRule>
    <cfRule type="cellIs" dxfId="4302" priority="1462" stopIfTrue="1" operator="between">
      <formula>5.1</formula>
      <formula>14</formula>
    </cfRule>
    <cfRule type="cellIs" dxfId="4301" priority="1463" stopIfTrue="1" operator="between">
      <formula>0</formula>
      <formula>5</formula>
    </cfRule>
    <cfRule type="containsBlanks" dxfId="4300" priority="1464" stopIfTrue="1">
      <formula>LEN(TRIM(E146))=0</formula>
    </cfRule>
  </conditionalFormatting>
  <conditionalFormatting sqref="P390">
    <cfRule type="containsBlanks" dxfId="4299" priority="1377" stopIfTrue="1">
      <formula>LEN(TRIM(P390))=0</formula>
    </cfRule>
    <cfRule type="cellIs" dxfId="4298" priority="1378" stopIfTrue="1" operator="between">
      <formula>80.1</formula>
      <formula>100</formula>
    </cfRule>
    <cfRule type="cellIs" dxfId="4297" priority="1379" stopIfTrue="1" operator="between">
      <formula>35.1</formula>
      <formula>80</formula>
    </cfRule>
    <cfRule type="cellIs" dxfId="4296" priority="1380" stopIfTrue="1" operator="between">
      <formula>14.1</formula>
      <formula>35</formula>
    </cfRule>
    <cfRule type="cellIs" dxfId="4295" priority="1381" stopIfTrue="1" operator="between">
      <formula>5.1</formula>
      <formula>14</formula>
    </cfRule>
    <cfRule type="cellIs" dxfId="4294" priority="1382" stopIfTrue="1" operator="between">
      <formula>0</formula>
      <formula>5</formula>
    </cfRule>
    <cfRule type="containsBlanks" dxfId="4293" priority="1383" stopIfTrue="1">
      <formula>LEN(TRIM(P390))=0</formula>
    </cfRule>
  </conditionalFormatting>
  <conditionalFormatting sqref="E409:J409 E404:J404 E395:J395 E399:J401">
    <cfRule type="containsBlanks" dxfId="4292" priority="1370" stopIfTrue="1">
      <formula>LEN(TRIM(E395))=0</formula>
    </cfRule>
    <cfRule type="cellIs" dxfId="4291" priority="1371" stopIfTrue="1" operator="between">
      <formula>80.1</formula>
      <formula>100</formula>
    </cfRule>
    <cfRule type="cellIs" dxfId="4290" priority="1372" stopIfTrue="1" operator="between">
      <formula>35.1</formula>
      <formula>80</formula>
    </cfRule>
    <cfRule type="cellIs" dxfId="4289" priority="1373" stopIfTrue="1" operator="between">
      <formula>14.1</formula>
      <formula>35</formula>
    </cfRule>
    <cfRule type="cellIs" dxfId="4288" priority="1374" stopIfTrue="1" operator="between">
      <formula>5.1</formula>
      <formula>14</formula>
    </cfRule>
    <cfRule type="cellIs" dxfId="4287" priority="1375" stopIfTrue="1" operator="between">
      <formula>0</formula>
      <formula>5</formula>
    </cfRule>
    <cfRule type="containsBlanks" dxfId="4286" priority="1376" stopIfTrue="1">
      <formula>LEN(TRIM(E395))=0</formula>
    </cfRule>
  </conditionalFormatting>
  <conditionalFormatting sqref="O385:P385">
    <cfRule type="containsBlanks" dxfId="4285" priority="1355" stopIfTrue="1">
      <formula>LEN(TRIM(O385))=0</formula>
    </cfRule>
    <cfRule type="cellIs" dxfId="4284" priority="1356" stopIfTrue="1" operator="between">
      <formula>80.1</formula>
      <formula>100</formula>
    </cfRule>
    <cfRule type="cellIs" dxfId="4283" priority="1357" stopIfTrue="1" operator="between">
      <formula>35.1</formula>
      <formula>80</formula>
    </cfRule>
    <cfRule type="cellIs" dxfId="4282" priority="1358" stopIfTrue="1" operator="between">
      <formula>14.1</formula>
      <formula>35</formula>
    </cfRule>
    <cfRule type="cellIs" dxfId="4281" priority="1359" stopIfTrue="1" operator="between">
      <formula>5.1</formula>
      <formula>14</formula>
    </cfRule>
    <cfRule type="cellIs" dxfId="4280" priority="1360" stopIfTrue="1" operator="between">
      <formula>0</formula>
      <formula>5</formula>
    </cfRule>
    <cfRule type="containsBlanks" dxfId="4279" priority="1361" stopIfTrue="1">
      <formula>LEN(TRIM(O385))=0</formula>
    </cfRule>
  </conditionalFormatting>
  <conditionalFormatting sqref="P384">
    <cfRule type="containsBlanks" dxfId="4278" priority="1135" stopIfTrue="1">
      <formula>LEN(TRIM(P384))=0</formula>
    </cfRule>
    <cfRule type="cellIs" dxfId="4277" priority="1136" stopIfTrue="1" operator="between">
      <formula>80.1</formula>
      <formula>100</formula>
    </cfRule>
    <cfRule type="cellIs" dxfId="4276" priority="1137" stopIfTrue="1" operator="between">
      <formula>35.1</formula>
      <formula>80</formula>
    </cfRule>
    <cfRule type="cellIs" dxfId="4275" priority="1138" stopIfTrue="1" operator="between">
      <formula>14.1</formula>
      <formula>35</formula>
    </cfRule>
    <cfRule type="cellIs" dxfId="4274" priority="1139" stopIfTrue="1" operator="between">
      <formula>5.1</formula>
      <formula>14</formula>
    </cfRule>
    <cfRule type="cellIs" dxfId="4273" priority="1140" stopIfTrue="1" operator="between">
      <formula>0</formula>
      <formula>5</formula>
    </cfRule>
    <cfRule type="containsBlanks" dxfId="4272" priority="1141" stopIfTrue="1">
      <formula>LEN(TRIM(P384))=0</formula>
    </cfRule>
  </conditionalFormatting>
  <conditionalFormatting sqref="K381:P381">
    <cfRule type="containsBlanks" dxfId="4271" priority="1047" stopIfTrue="1">
      <formula>LEN(TRIM(K381))=0</formula>
    </cfRule>
    <cfRule type="cellIs" dxfId="4270" priority="1048" stopIfTrue="1" operator="between">
      <formula>80.1</formula>
      <formula>100</formula>
    </cfRule>
    <cfRule type="cellIs" dxfId="4269" priority="1049" stopIfTrue="1" operator="between">
      <formula>35.1</formula>
      <formula>80</formula>
    </cfRule>
    <cfRule type="cellIs" dxfId="4268" priority="1050" stopIfTrue="1" operator="between">
      <formula>14.1</formula>
      <formula>35</formula>
    </cfRule>
    <cfRule type="cellIs" dxfId="4267" priority="1051" stopIfTrue="1" operator="between">
      <formula>5.1</formula>
      <formula>14</formula>
    </cfRule>
    <cfRule type="cellIs" dxfId="4266" priority="1052" stopIfTrue="1" operator="between">
      <formula>0</formula>
      <formula>5</formula>
    </cfRule>
    <cfRule type="containsBlanks" dxfId="4265" priority="1053" stopIfTrue="1">
      <formula>LEN(TRIM(K381))=0</formula>
    </cfRule>
  </conditionalFormatting>
  <conditionalFormatting sqref="P383">
    <cfRule type="containsBlanks" dxfId="4264" priority="1157" stopIfTrue="1">
      <formula>LEN(TRIM(P383))=0</formula>
    </cfRule>
    <cfRule type="cellIs" dxfId="4263" priority="1158" stopIfTrue="1" operator="between">
      <formula>80.1</formula>
      <formula>100</formula>
    </cfRule>
    <cfRule type="cellIs" dxfId="4262" priority="1159" stopIfTrue="1" operator="between">
      <formula>35.1</formula>
      <formula>80</formula>
    </cfRule>
    <cfRule type="cellIs" dxfId="4261" priority="1160" stopIfTrue="1" operator="between">
      <formula>14.1</formula>
      <formula>35</formula>
    </cfRule>
    <cfRule type="cellIs" dxfId="4260" priority="1161" stopIfTrue="1" operator="between">
      <formula>5.1</formula>
      <formula>14</formula>
    </cfRule>
    <cfRule type="cellIs" dxfId="4259" priority="1162" stopIfTrue="1" operator="between">
      <formula>0</formula>
      <formula>5</formula>
    </cfRule>
    <cfRule type="containsBlanks" dxfId="4258" priority="1163" stopIfTrue="1">
      <formula>LEN(TRIM(P383))=0</formula>
    </cfRule>
  </conditionalFormatting>
  <conditionalFormatting sqref="K387:P389">
    <cfRule type="containsBlanks" dxfId="4257" priority="1025" stopIfTrue="1">
      <formula>LEN(TRIM(K387))=0</formula>
    </cfRule>
    <cfRule type="cellIs" dxfId="4256" priority="1026" stopIfTrue="1" operator="between">
      <formula>80.1</formula>
      <formula>100</formula>
    </cfRule>
    <cfRule type="cellIs" dxfId="4255" priority="1027" stopIfTrue="1" operator="between">
      <formula>35.1</formula>
      <formula>80</formula>
    </cfRule>
    <cfRule type="cellIs" dxfId="4254" priority="1028" stopIfTrue="1" operator="between">
      <formula>14.1</formula>
      <formula>35</formula>
    </cfRule>
    <cfRule type="cellIs" dxfId="4253" priority="1029" stopIfTrue="1" operator="between">
      <formula>5.1</formula>
      <formula>14</formula>
    </cfRule>
    <cfRule type="cellIs" dxfId="4252" priority="1030" stopIfTrue="1" operator="between">
      <formula>0</formula>
      <formula>5</formula>
    </cfRule>
    <cfRule type="containsBlanks" dxfId="4251" priority="1031" stopIfTrue="1">
      <formula>LEN(TRIM(K387))=0</formula>
    </cfRule>
  </conditionalFormatting>
  <conditionalFormatting sqref="K379:P380 P378">
    <cfRule type="containsBlanks" dxfId="4250" priority="1069" stopIfTrue="1">
      <formula>LEN(TRIM(K378))=0</formula>
    </cfRule>
    <cfRule type="cellIs" dxfId="4249" priority="1070" stopIfTrue="1" operator="between">
      <formula>80.1</formula>
      <formula>100</formula>
    </cfRule>
    <cfRule type="cellIs" dxfId="4248" priority="1071" stopIfTrue="1" operator="between">
      <formula>35.1</formula>
      <formula>80</formula>
    </cfRule>
    <cfRule type="cellIs" dxfId="4247" priority="1072" stopIfTrue="1" operator="between">
      <formula>14.1</formula>
      <formula>35</formula>
    </cfRule>
    <cfRule type="cellIs" dxfId="4246" priority="1073" stopIfTrue="1" operator="between">
      <formula>5.1</formula>
      <formula>14</formula>
    </cfRule>
    <cfRule type="cellIs" dxfId="4245" priority="1074" stopIfTrue="1" operator="between">
      <formula>0</formula>
      <formula>5</formula>
    </cfRule>
    <cfRule type="containsBlanks" dxfId="4244" priority="1075" stopIfTrue="1">
      <formula>LEN(TRIM(K378))=0</formula>
    </cfRule>
  </conditionalFormatting>
  <conditionalFormatting sqref="E52:P57">
    <cfRule type="containsBlanks" dxfId="4243" priority="976" stopIfTrue="1">
      <formula>LEN(TRIM(E52))=0</formula>
    </cfRule>
    <cfRule type="cellIs" dxfId="4242" priority="977" stopIfTrue="1" operator="between">
      <formula>79.1</formula>
      <formula>100</formula>
    </cfRule>
    <cfRule type="cellIs" dxfId="4241" priority="978" stopIfTrue="1" operator="between">
      <formula>34.1</formula>
      <formula>79</formula>
    </cfRule>
    <cfRule type="cellIs" dxfId="4240" priority="979" stopIfTrue="1" operator="between">
      <formula>13.1</formula>
      <formula>34</formula>
    </cfRule>
    <cfRule type="cellIs" dxfId="4239" priority="980" stopIfTrue="1" operator="between">
      <formula>5.1</formula>
      <formula>13</formula>
    </cfRule>
    <cfRule type="cellIs" dxfId="4238" priority="981" stopIfTrue="1" operator="between">
      <formula>0</formula>
      <formula>5</formula>
    </cfRule>
    <cfRule type="containsBlanks" dxfId="4237" priority="982" stopIfTrue="1">
      <formula>LEN(TRIM(E52))=0</formula>
    </cfRule>
  </conditionalFormatting>
  <conditionalFormatting sqref="G42">
    <cfRule type="containsBlanks" dxfId="4236" priority="941" stopIfTrue="1">
      <formula>LEN(TRIM(G42))=0</formula>
    </cfRule>
    <cfRule type="cellIs" dxfId="4235" priority="942" stopIfTrue="1" operator="between">
      <formula>79.1</formula>
      <formula>100</formula>
    </cfRule>
    <cfRule type="cellIs" dxfId="4234" priority="943" stopIfTrue="1" operator="between">
      <formula>34.1</formula>
      <formula>79</formula>
    </cfRule>
    <cfRule type="cellIs" dxfId="4233" priority="944" stopIfTrue="1" operator="between">
      <formula>13.1</formula>
      <formula>34</formula>
    </cfRule>
    <cfRule type="cellIs" dxfId="4232" priority="945" stopIfTrue="1" operator="between">
      <formula>5.1</formula>
      <formula>13</formula>
    </cfRule>
    <cfRule type="cellIs" dxfId="4231" priority="946" stopIfTrue="1" operator="between">
      <formula>0</formula>
      <formula>5</formula>
    </cfRule>
    <cfRule type="containsBlanks" dxfId="4230" priority="947" stopIfTrue="1">
      <formula>LEN(TRIM(G42))=0</formula>
    </cfRule>
  </conditionalFormatting>
  <conditionalFormatting sqref="E58:P58">
    <cfRule type="containsBlanks" dxfId="4229" priority="969" stopIfTrue="1">
      <formula>LEN(TRIM(E58))=0</formula>
    </cfRule>
    <cfRule type="cellIs" dxfId="4228" priority="970" stopIfTrue="1" operator="between">
      <formula>79.1</formula>
      <formula>100</formula>
    </cfRule>
    <cfRule type="cellIs" dxfId="4227" priority="971" stopIfTrue="1" operator="between">
      <formula>34.1</formula>
      <formula>79</formula>
    </cfRule>
    <cfRule type="cellIs" dxfId="4226" priority="972" stopIfTrue="1" operator="between">
      <formula>13.1</formula>
      <formula>34</formula>
    </cfRule>
    <cfRule type="cellIs" dxfId="4225" priority="973" stopIfTrue="1" operator="between">
      <formula>5.1</formula>
      <formula>13</formula>
    </cfRule>
    <cfRule type="cellIs" dxfId="4224" priority="974" stopIfTrue="1" operator="between">
      <formula>0</formula>
      <formula>5</formula>
    </cfRule>
    <cfRule type="containsBlanks" dxfId="4223" priority="975" stopIfTrue="1">
      <formula>LEN(TRIM(E58))=0</formula>
    </cfRule>
  </conditionalFormatting>
  <conditionalFormatting sqref="N309">
    <cfRule type="containsBlanks" dxfId="4222" priority="850" stopIfTrue="1">
      <formula>LEN(TRIM(N309))=0</formula>
    </cfRule>
    <cfRule type="cellIs" dxfId="4221" priority="851" stopIfTrue="1" operator="between">
      <formula>79.1</formula>
      <formula>100</formula>
    </cfRule>
    <cfRule type="cellIs" dxfId="4220" priority="852" stopIfTrue="1" operator="between">
      <formula>34.1</formula>
      <formula>79</formula>
    </cfRule>
    <cfRule type="cellIs" dxfId="4219" priority="853" stopIfTrue="1" operator="between">
      <formula>13.1</formula>
      <formula>34</formula>
    </cfRule>
    <cfRule type="cellIs" dxfId="4218" priority="854" stopIfTrue="1" operator="between">
      <formula>5.1</formula>
      <formula>13</formula>
    </cfRule>
    <cfRule type="cellIs" dxfId="4217" priority="855" stopIfTrue="1" operator="between">
      <formula>0</formula>
      <formula>5</formula>
    </cfRule>
    <cfRule type="containsBlanks" dxfId="4216" priority="856" stopIfTrue="1">
      <formula>LEN(TRIM(N309))=0</formula>
    </cfRule>
  </conditionalFormatting>
  <conditionalFormatting sqref="E44:P45">
    <cfRule type="containsBlanks" dxfId="4215" priority="955" stopIfTrue="1">
      <formula>LEN(TRIM(E44))=0</formula>
    </cfRule>
    <cfRule type="cellIs" dxfId="4214" priority="956" stopIfTrue="1" operator="between">
      <formula>79.1</formula>
      <formula>100</formula>
    </cfRule>
    <cfRule type="cellIs" dxfId="4213" priority="957" stopIfTrue="1" operator="between">
      <formula>34.1</formula>
      <formula>79</formula>
    </cfRule>
    <cfRule type="cellIs" dxfId="4212" priority="958" stopIfTrue="1" operator="between">
      <formula>13.1</formula>
      <formula>34</formula>
    </cfRule>
    <cfRule type="cellIs" dxfId="4211" priority="959" stopIfTrue="1" operator="between">
      <formula>5.1</formula>
      <formula>13</formula>
    </cfRule>
    <cfRule type="cellIs" dxfId="4210" priority="960" stopIfTrue="1" operator="between">
      <formula>0</formula>
      <formula>5</formula>
    </cfRule>
    <cfRule type="containsBlanks" dxfId="4209" priority="961" stopIfTrue="1">
      <formula>LEN(TRIM(E44))=0</formula>
    </cfRule>
  </conditionalFormatting>
  <conditionalFormatting sqref="E46:P46">
    <cfRule type="containsBlanks" dxfId="4208" priority="948" stopIfTrue="1">
      <formula>LEN(TRIM(E46))=0</formula>
    </cfRule>
    <cfRule type="cellIs" dxfId="4207" priority="949" stopIfTrue="1" operator="between">
      <formula>79.1</formula>
      <formula>100</formula>
    </cfRule>
    <cfRule type="cellIs" dxfId="4206" priority="950" stopIfTrue="1" operator="between">
      <formula>34.1</formula>
      <formula>79</formula>
    </cfRule>
    <cfRule type="cellIs" dxfId="4205" priority="951" stopIfTrue="1" operator="between">
      <formula>13.1</formula>
      <formula>34</formula>
    </cfRule>
    <cfRule type="cellIs" dxfId="4204" priority="952" stopIfTrue="1" operator="between">
      <formula>5.1</formula>
      <formula>13</formula>
    </cfRule>
    <cfRule type="cellIs" dxfId="4203" priority="953" stopIfTrue="1" operator="between">
      <formula>0</formula>
      <formula>5</formula>
    </cfRule>
    <cfRule type="containsBlanks" dxfId="4202" priority="954" stopIfTrue="1">
      <formula>LEN(TRIM(E46))=0</formula>
    </cfRule>
  </conditionalFormatting>
  <conditionalFormatting sqref="E322 E295:P295 M296:P296 E296:K296 E304:H304 E307:H307 E313:H314 E315:I315 E316:G317 I316:J317 E308:F309 O309:P309 G309:M309 K315:P317 E318:P321 H308:P308 J304:P304 G322:P322 J313:P314 J307:P307 E305:P306 E297:P303 E323:P324 E310:P312">
    <cfRule type="containsBlanks" dxfId="4201" priority="892" stopIfTrue="1">
      <formula>LEN(TRIM(E295))=0</formula>
    </cfRule>
    <cfRule type="cellIs" dxfId="4200" priority="893" stopIfTrue="1" operator="between">
      <formula>79.1</formula>
      <formula>100</formula>
    </cfRule>
    <cfRule type="cellIs" dxfId="4199" priority="894" stopIfTrue="1" operator="between">
      <formula>34.1</formula>
      <formula>79</formula>
    </cfRule>
    <cfRule type="cellIs" dxfId="4198" priority="895" stopIfTrue="1" operator="between">
      <formula>13.1</formula>
      <formula>34</formula>
    </cfRule>
    <cfRule type="cellIs" dxfId="4197" priority="896" stopIfTrue="1" operator="between">
      <formula>5.1</formula>
      <formula>13</formula>
    </cfRule>
    <cfRule type="cellIs" dxfId="4196" priority="897" stopIfTrue="1" operator="between">
      <formula>0</formula>
      <formula>5</formula>
    </cfRule>
    <cfRule type="containsBlanks" dxfId="4195" priority="898" stopIfTrue="1">
      <formula>LEN(TRIM(E295))=0</formula>
    </cfRule>
  </conditionalFormatting>
  <conditionalFormatting sqref="J315">
    <cfRule type="containsBlanks" dxfId="4194" priority="885" stopIfTrue="1">
      <formula>LEN(TRIM(J315))=0</formula>
    </cfRule>
    <cfRule type="cellIs" dxfId="4193" priority="886" stopIfTrue="1" operator="between">
      <formula>79.1</formula>
      <formula>100</formula>
    </cfRule>
    <cfRule type="cellIs" dxfId="4192" priority="887" stopIfTrue="1" operator="between">
      <formula>34.1</formula>
      <formula>79</formula>
    </cfRule>
    <cfRule type="cellIs" dxfId="4191" priority="888" stopIfTrue="1" operator="between">
      <formula>13.1</formula>
      <formula>34</formula>
    </cfRule>
    <cfRule type="cellIs" dxfId="4190" priority="889" stopIfTrue="1" operator="between">
      <formula>5.1</formula>
      <formula>13</formula>
    </cfRule>
    <cfRule type="cellIs" dxfId="4189" priority="890" stopIfTrue="1" operator="between">
      <formula>0</formula>
      <formula>5</formula>
    </cfRule>
    <cfRule type="containsBlanks" dxfId="4188" priority="891" stopIfTrue="1">
      <formula>LEN(TRIM(J315))=0</formula>
    </cfRule>
  </conditionalFormatting>
  <conditionalFormatting sqref="I313">
    <cfRule type="containsBlanks" dxfId="4187" priority="878" stopIfTrue="1">
      <formula>LEN(TRIM(I313))=0</formula>
    </cfRule>
    <cfRule type="cellIs" dxfId="4186" priority="879" stopIfTrue="1" operator="between">
      <formula>79.1</formula>
      <formula>100</formula>
    </cfRule>
    <cfRule type="cellIs" dxfId="4185" priority="880" stopIfTrue="1" operator="between">
      <formula>34.1</formula>
      <formula>79</formula>
    </cfRule>
    <cfRule type="cellIs" dxfId="4184" priority="881" stopIfTrue="1" operator="between">
      <formula>13.1</formula>
      <formula>34</formula>
    </cfRule>
    <cfRule type="cellIs" dxfId="4183" priority="882" stopIfTrue="1" operator="between">
      <formula>5.1</formula>
      <formula>13</formula>
    </cfRule>
    <cfRule type="cellIs" dxfId="4182" priority="883" stopIfTrue="1" operator="between">
      <formula>0</formula>
      <formula>5</formula>
    </cfRule>
    <cfRule type="containsBlanks" dxfId="4181" priority="884" stopIfTrue="1">
      <formula>LEN(TRIM(I313))=0</formula>
    </cfRule>
  </conditionalFormatting>
  <conditionalFormatting sqref="H316">
    <cfRule type="containsBlanks" dxfId="4180" priority="871" stopIfTrue="1">
      <formula>LEN(TRIM(H316))=0</formula>
    </cfRule>
    <cfRule type="cellIs" dxfId="4179" priority="872" stopIfTrue="1" operator="between">
      <formula>79.1</formula>
      <formula>100</formula>
    </cfRule>
    <cfRule type="cellIs" dxfId="4178" priority="873" stopIfTrue="1" operator="between">
      <formula>34.1</formula>
      <formula>79</formula>
    </cfRule>
    <cfRule type="cellIs" dxfId="4177" priority="874" stopIfTrue="1" operator="between">
      <formula>13.1</formula>
      <formula>34</formula>
    </cfRule>
    <cfRule type="cellIs" dxfId="4176" priority="875" stopIfTrue="1" operator="between">
      <formula>5.1</formula>
      <formula>13</formula>
    </cfRule>
    <cfRule type="cellIs" dxfId="4175" priority="876" stopIfTrue="1" operator="between">
      <formula>0</formula>
      <formula>5</formula>
    </cfRule>
    <cfRule type="containsBlanks" dxfId="4174" priority="877" stopIfTrue="1">
      <formula>LEN(TRIM(H316))=0</formula>
    </cfRule>
  </conditionalFormatting>
  <conditionalFormatting sqref="I304">
    <cfRule type="containsBlanks" dxfId="4173" priority="864" stopIfTrue="1">
      <formula>LEN(TRIM(I304))=0</formula>
    </cfRule>
    <cfRule type="cellIs" dxfId="4172" priority="865" stopIfTrue="1" operator="between">
      <formula>79.1</formula>
      <formula>100</formula>
    </cfRule>
    <cfRule type="cellIs" dxfId="4171" priority="866" stopIfTrue="1" operator="between">
      <formula>34.1</formula>
      <formula>79</formula>
    </cfRule>
    <cfRule type="cellIs" dxfId="4170" priority="867" stopIfTrue="1" operator="between">
      <formula>13.1</formula>
      <formula>34</formula>
    </cfRule>
    <cfRule type="cellIs" dxfId="4169" priority="868" stopIfTrue="1" operator="between">
      <formula>5.1</formula>
      <formula>13</formula>
    </cfRule>
    <cfRule type="cellIs" dxfId="4168" priority="869" stopIfTrue="1" operator="between">
      <formula>0</formula>
      <formula>5</formula>
    </cfRule>
    <cfRule type="containsBlanks" dxfId="4167" priority="870" stopIfTrue="1">
      <formula>LEN(TRIM(I304))=0</formula>
    </cfRule>
  </conditionalFormatting>
  <conditionalFormatting sqref="L296">
    <cfRule type="containsBlanks" dxfId="4166" priority="857" stopIfTrue="1">
      <formula>LEN(TRIM(L296))=0</formula>
    </cfRule>
    <cfRule type="cellIs" dxfId="4165" priority="858" stopIfTrue="1" operator="between">
      <formula>79.1</formula>
      <formula>100</formula>
    </cfRule>
    <cfRule type="cellIs" dxfId="4164" priority="859" stopIfTrue="1" operator="between">
      <formula>34.1</formula>
      <formula>79</formula>
    </cfRule>
    <cfRule type="cellIs" dxfId="4163" priority="860" stopIfTrue="1" operator="between">
      <formula>13.1</formula>
      <formula>34</formula>
    </cfRule>
    <cfRule type="cellIs" dxfId="4162" priority="861" stopIfTrue="1" operator="between">
      <formula>5.1</formula>
      <formula>13</formula>
    </cfRule>
    <cfRule type="cellIs" dxfId="4161" priority="862" stopIfTrue="1" operator="between">
      <formula>0</formula>
      <formula>5</formula>
    </cfRule>
    <cfRule type="containsBlanks" dxfId="4160" priority="863" stopIfTrue="1">
      <formula>LEN(TRIM(L296))=0</formula>
    </cfRule>
  </conditionalFormatting>
  <conditionalFormatting sqref="E379:J381">
    <cfRule type="containsBlanks" dxfId="4159" priority="829" stopIfTrue="1">
      <formula>LEN(TRIM(E379))=0</formula>
    </cfRule>
    <cfRule type="cellIs" dxfId="4158" priority="830" stopIfTrue="1" operator="between">
      <formula>80.1</formula>
      <formula>100</formula>
    </cfRule>
    <cfRule type="cellIs" dxfId="4157" priority="831" stopIfTrue="1" operator="between">
      <formula>35.1</formula>
      <formula>80</formula>
    </cfRule>
    <cfRule type="cellIs" dxfId="4156" priority="832" stopIfTrue="1" operator="between">
      <formula>14.1</formula>
      <formula>35</formula>
    </cfRule>
    <cfRule type="cellIs" dxfId="4155" priority="833" stopIfTrue="1" operator="between">
      <formula>5.1</formula>
      <formula>14</formula>
    </cfRule>
    <cfRule type="cellIs" dxfId="4154" priority="834" stopIfTrue="1" operator="between">
      <formula>0</formula>
      <formula>5</formula>
    </cfRule>
    <cfRule type="containsBlanks" dxfId="4153" priority="835" stopIfTrue="1">
      <formula>LEN(TRIM(E379))=0</formula>
    </cfRule>
  </conditionalFormatting>
  <conditionalFormatting sqref="K431:P432 O438:P438">
    <cfRule type="containsBlanks" dxfId="4152" priority="815" stopIfTrue="1">
      <formula>LEN(TRIM(K431))=0</formula>
    </cfRule>
    <cfRule type="cellIs" dxfId="4151" priority="816" stopIfTrue="1" operator="between">
      <formula>79.1</formula>
      <formula>100</formula>
    </cfRule>
    <cfRule type="cellIs" dxfId="4150" priority="817" stopIfTrue="1" operator="between">
      <formula>34.1</formula>
      <formula>79</formula>
    </cfRule>
    <cfRule type="cellIs" dxfId="4149" priority="818" stopIfTrue="1" operator="between">
      <formula>13.1</formula>
      <formula>34</formula>
    </cfRule>
    <cfRule type="cellIs" dxfId="4148" priority="819" stopIfTrue="1" operator="between">
      <formula>5.1</formula>
      <formula>13</formula>
    </cfRule>
    <cfRule type="cellIs" dxfId="4147" priority="820" stopIfTrue="1" operator="between">
      <formula>0</formula>
      <formula>5</formula>
    </cfRule>
    <cfRule type="containsBlanks" dxfId="4146" priority="821" stopIfTrue="1">
      <formula>LEN(TRIM(K431))=0</formula>
    </cfRule>
  </conditionalFormatting>
  <conditionalFormatting sqref="K21:P36">
    <cfRule type="containsBlanks" dxfId="4145" priority="822" stopIfTrue="1">
      <formula>LEN(TRIM(K21))=0</formula>
    </cfRule>
    <cfRule type="cellIs" dxfId="4144" priority="823" stopIfTrue="1" operator="between">
      <formula>79.1</formula>
      <formula>100</formula>
    </cfRule>
    <cfRule type="cellIs" dxfId="4143" priority="824" stopIfTrue="1" operator="between">
      <formula>34.1</formula>
      <formula>79</formula>
    </cfRule>
    <cfRule type="cellIs" dxfId="4142" priority="825" stopIfTrue="1" operator="between">
      <formula>13.1</formula>
      <formula>34</formula>
    </cfRule>
    <cfRule type="cellIs" dxfId="4141" priority="826" stopIfTrue="1" operator="between">
      <formula>5.1</formula>
      <formula>13</formula>
    </cfRule>
    <cfRule type="cellIs" dxfId="4140" priority="827" stopIfTrue="1" operator="between">
      <formula>0</formula>
      <formula>5</formula>
    </cfRule>
    <cfRule type="containsBlanks" dxfId="4139" priority="828" stopIfTrue="1">
      <formula>LEN(TRIM(K21))=0</formula>
    </cfRule>
  </conditionalFormatting>
  <conditionalFormatting sqref="Q326">
    <cfRule type="containsBlanks" dxfId="4138" priority="630" stopIfTrue="1">
      <formula>LEN(TRIM(Q326))=0</formula>
    </cfRule>
    <cfRule type="cellIs" dxfId="4137" priority="631" stopIfTrue="1" operator="between">
      <formula>80.1</formula>
      <formula>100</formula>
    </cfRule>
    <cfRule type="cellIs" dxfId="4136" priority="632" stopIfTrue="1" operator="between">
      <formula>35.1</formula>
      <formula>80</formula>
    </cfRule>
    <cfRule type="cellIs" dxfId="4135" priority="633" stopIfTrue="1" operator="between">
      <formula>14.1</formula>
      <formula>35</formula>
    </cfRule>
    <cfRule type="cellIs" dxfId="4134" priority="634" stopIfTrue="1" operator="between">
      <formula>5.1</formula>
      <formula>14</formula>
    </cfRule>
    <cfRule type="cellIs" dxfId="4133" priority="635" stopIfTrue="1" operator="between">
      <formula>0</formula>
      <formula>5</formula>
    </cfRule>
    <cfRule type="containsBlanks" dxfId="4132" priority="636" stopIfTrue="1">
      <formula>LEN(TRIM(Q326))=0</formula>
    </cfRule>
  </conditionalFormatting>
  <conditionalFormatting sqref="F325:Q325 F344:Q344 F340:P343 F345:P351 F335:Q339 F334:P334 F327:Q333 F326:P326">
    <cfRule type="containsBlanks" dxfId="4131" priority="729" stopIfTrue="1">
      <formula>LEN(TRIM(F325))=0</formula>
    </cfRule>
    <cfRule type="cellIs" dxfId="4130" priority="730" stopIfTrue="1" operator="between">
      <formula>80.1</formula>
      <formula>100</formula>
    </cfRule>
    <cfRule type="cellIs" dxfId="4129" priority="731" stopIfTrue="1" operator="between">
      <formula>35.1</formula>
      <formula>80</formula>
    </cfRule>
    <cfRule type="cellIs" dxfId="4128" priority="732" stopIfTrue="1" operator="between">
      <formula>14.1</formula>
      <formula>35</formula>
    </cfRule>
    <cfRule type="cellIs" dxfId="4127" priority="733" stopIfTrue="1" operator="between">
      <formula>5.1</formula>
      <formula>14</formula>
    </cfRule>
    <cfRule type="cellIs" dxfId="4126" priority="734" stopIfTrue="1" operator="between">
      <formula>0</formula>
      <formula>5</formula>
    </cfRule>
    <cfRule type="containsBlanks" dxfId="4125" priority="735" stopIfTrue="1">
      <formula>LEN(TRIM(F325))=0</formula>
    </cfRule>
  </conditionalFormatting>
  <conditionalFormatting sqref="Q340">
    <cfRule type="containsBlanks" dxfId="4124" priority="722" stopIfTrue="1">
      <formula>LEN(TRIM(Q340))=0</formula>
    </cfRule>
    <cfRule type="cellIs" dxfId="4123" priority="723" stopIfTrue="1" operator="between">
      <formula>80.1</formula>
      <formula>100</formula>
    </cfRule>
    <cfRule type="cellIs" dxfId="4122" priority="724" stopIfTrue="1" operator="between">
      <formula>35.1</formula>
      <formula>80</formula>
    </cfRule>
    <cfRule type="cellIs" dxfId="4121" priority="725" stopIfTrue="1" operator="between">
      <formula>14.1</formula>
      <formula>35</formula>
    </cfRule>
    <cfRule type="cellIs" dxfId="4120" priority="726" stopIfTrue="1" operator="between">
      <formula>5.1</formula>
      <formula>14</formula>
    </cfRule>
    <cfRule type="cellIs" dxfId="4119" priority="727" stopIfTrue="1" operator="between">
      <formula>0</formula>
      <formula>5</formula>
    </cfRule>
    <cfRule type="containsBlanks" dxfId="4118" priority="728" stopIfTrue="1">
      <formula>LEN(TRIM(Q340))=0</formula>
    </cfRule>
  </conditionalFormatting>
  <conditionalFormatting sqref="Q341">
    <cfRule type="containsBlanks" dxfId="4117" priority="715" stopIfTrue="1">
      <formula>LEN(TRIM(Q341))=0</formula>
    </cfRule>
    <cfRule type="cellIs" dxfId="4116" priority="716" stopIfTrue="1" operator="between">
      <formula>80.1</formula>
      <formula>100</formula>
    </cfRule>
    <cfRule type="cellIs" dxfId="4115" priority="717" stopIfTrue="1" operator="between">
      <formula>35.1</formula>
      <formula>80</formula>
    </cfRule>
    <cfRule type="cellIs" dxfId="4114" priority="718" stopIfTrue="1" operator="between">
      <formula>14.1</formula>
      <formula>35</formula>
    </cfRule>
    <cfRule type="cellIs" dxfId="4113" priority="719" stopIfTrue="1" operator="between">
      <formula>5.1</formula>
      <formula>14</formula>
    </cfRule>
    <cfRule type="cellIs" dxfId="4112" priority="720" stopIfTrue="1" operator="between">
      <formula>0</formula>
      <formula>5</formula>
    </cfRule>
    <cfRule type="containsBlanks" dxfId="4111" priority="721" stopIfTrue="1">
      <formula>LEN(TRIM(Q341))=0</formula>
    </cfRule>
  </conditionalFormatting>
  <conditionalFormatting sqref="Q342">
    <cfRule type="containsBlanks" dxfId="4110" priority="708" stopIfTrue="1">
      <formula>LEN(TRIM(Q342))=0</formula>
    </cfRule>
    <cfRule type="cellIs" dxfId="4109" priority="709" stopIfTrue="1" operator="between">
      <formula>80.1</formula>
      <formula>100</formula>
    </cfRule>
    <cfRule type="cellIs" dxfId="4108" priority="710" stopIfTrue="1" operator="between">
      <formula>35.1</formula>
      <formula>80</formula>
    </cfRule>
    <cfRule type="cellIs" dxfId="4107" priority="711" stopIfTrue="1" operator="between">
      <formula>14.1</formula>
      <formula>35</formula>
    </cfRule>
    <cfRule type="cellIs" dxfId="4106" priority="712" stopIfTrue="1" operator="between">
      <formula>5.1</formula>
      <formula>14</formula>
    </cfRule>
    <cfRule type="cellIs" dxfId="4105" priority="713" stopIfTrue="1" operator="between">
      <formula>0</formula>
      <formula>5</formula>
    </cfRule>
    <cfRule type="containsBlanks" dxfId="4104" priority="714" stopIfTrue="1">
      <formula>LEN(TRIM(Q342))=0</formula>
    </cfRule>
  </conditionalFormatting>
  <conditionalFormatting sqref="Q343">
    <cfRule type="containsBlanks" dxfId="4103" priority="701" stopIfTrue="1">
      <formula>LEN(TRIM(Q343))=0</formula>
    </cfRule>
    <cfRule type="cellIs" dxfId="4102" priority="702" stopIfTrue="1" operator="between">
      <formula>80.1</formula>
      <formula>100</formula>
    </cfRule>
    <cfRule type="cellIs" dxfId="4101" priority="703" stopIfTrue="1" operator="between">
      <formula>35.1</formula>
      <formula>80</formula>
    </cfRule>
    <cfRule type="cellIs" dxfId="4100" priority="704" stopIfTrue="1" operator="between">
      <formula>14.1</formula>
      <formula>35</formula>
    </cfRule>
    <cfRule type="cellIs" dxfId="4099" priority="705" stopIfTrue="1" operator="between">
      <formula>5.1</formula>
      <formula>14</formula>
    </cfRule>
    <cfRule type="cellIs" dxfId="4098" priority="706" stopIfTrue="1" operator="between">
      <formula>0</formula>
      <formula>5</formula>
    </cfRule>
    <cfRule type="containsBlanks" dxfId="4097" priority="707" stopIfTrue="1">
      <formula>LEN(TRIM(Q343))=0</formula>
    </cfRule>
  </conditionalFormatting>
  <conditionalFormatting sqref="Q345">
    <cfRule type="containsBlanks" dxfId="4096" priority="694" stopIfTrue="1">
      <formula>LEN(TRIM(Q345))=0</formula>
    </cfRule>
    <cfRule type="cellIs" dxfId="4095" priority="695" stopIfTrue="1" operator="between">
      <formula>80.1</formula>
      <formula>100</formula>
    </cfRule>
    <cfRule type="cellIs" dxfId="4094" priority="696" stopIfTrue="1" operator="between">
      <formula>35.1</formula>
      <formula>80</formula>
    </cfRule>
    <cfRule type="cellIs" dxfId="4093" priority="697" stopIfTrue="1" operator="between">
      <formula>14.1</formula>
      <formula>35</formula>
    </cfRule>
    <cfRule type="cellIs" dxfId="4092" priority="698" stopIfTrue="1" operator="between">
      <formula>5.1</formula>
      <formula>14</formula>
    </cfRule>
    <cfRule type="cellIs" dxfId="4091" priority="699" stopIfTrue="1" operator="between">
      <formula>0</formula>
      <formula>5</formula>
    </cfRule>
    <cfRule type="containsBlanks" dxfId="4090" priority="700" stopIfTrue="1">
      <formula>LEN(TRIM(Q345))=0</formula>
    </cfRule>
  </conditionalFormatting>
  <conditionalFormatting sqref="Q346">
    <cfRule type="containsBlanks" dxfId="4089" priority="687" stopIfTrue="1">
      <formula>LEN(TRIM(Q346))=0</formula>
    </cfRule>
    <cfRule type="cellIs" dxfId="4088" priority="688" stopIfTrue="1" operator="between">
      <formula>80.1</formula>
      <formula>100</formula>
    </cfRule>
    <cfRule type="cellIs" dxfId="4087" priority="689" stopIfTrue="1" operator="between">
      <formula>35.1</formula>
      <formula>80</formula>
    </cfRule>
    <cfRule type="cellIs" dxfId="4086" priority="690" stopIfTrue="1" operator="between">
      <formula>14.1</formula>
      <formula>35</formula>
    </cfRule>
    <cfRule type="cellIs" dxfId="4085" priority="691" stopIfTrue="1" operator="between">
      <formula>5.1</formula>
      <formula>14</formula>
    </cfRule>
    <cfRule type="cellIs" dxfId="4084" priority="692" stopIfTrue="1" operator="between">
      <formula>0</formula>
      <formula>5</formula>
    </cfRule>
    <cfRule type="containsBlanks" dxfId="4083" priority="693" stopIfTrue="1">
      <formula>LEN(TRIM(Q346))=0</formula>
    </cfRule>
  </conditionalFormatting>
  <conditionalFormatting sqref="Q347">
    <cfRule type="containsBlanks" dxfId="4082" priority="680" stopIfTrue="1">
      <formula>LEN(TRIM(Q347))=0</formula>
    </cfRule>
    <cfRule type="cellIs" dxfId="4081" priority="681" stopIfTrue="1" operator="between">
      <formula>80.1</formula>
      <formula>100</formula>
    </cfRule>
    <cfRule type="cellIs" dxfId="4080" priority="682" stopIfTrue="1" operator="between">
      <formula>35.1</formula>
      <formula>80</formula>
    </cfRule>
    <cfRule type="cellIs" dxfId="4079" priority="683" stopIfTrue="1" operator="between">
      <formula>14.1</formula>
      <formula>35</formula>
    </cfRule>
    <cfRule type="cellIs" dxfId="4078" priority="684" stopIfTrue="1" operator="between">
      <formula>5.1</formula>
      <formula>14</formula>
    </cfRule>
    <cfRule type="cellIs" dxfId="4077" priority="685" stopIfTrue="1" operator="between">
      <formula>0</formula>
      <formula>5</formula>
    </cfRule>
    <cfRule type="containsBlanks" dxfId="4076" priority="686" stopIfTrue="1">
      <formula>LEN(TRIM(Q347))=0</formula>
    </cfRule>
  </conditionalFormatting>
  <conditionalFormatting sqref="Q348">
    <cfRule type="containsBlanks" dxfId="4075" priority="673" stopIfTrue="1">
      <formula>LEN(TRIM(Q348))=0</formula>
    </cfRule>
    <cfRule type="cellIs" dxfId="4074" priority="674" stopIfTrue="1" operator="between">
      <formula>80.1</formula>
      <formula>100</formula>
    </cfRule>
    <cfRule type="cellIs" dxfId="4073" priority="675" stopIfTrue="1" operator="between">
      <formula>35.1</formula>
      <formula>80</formula>
    </cfRule>
    <cfRule type="cellIs" dxfId="4072" priority="676" stopIfTrue="1" operator="between">
      <formula>14.1</formula>
      <formula>35</formula>
    </cfRule>
    <cfRule type="cellIs" dxfId="4071" priority="677" stopIfTrue="1" operator="between">
      <formula>5.1</formula>
      <formula>14</formula>
    </cfRule>
    <cfRule type="cellIs" dxfId="4070" priority="678" stopIfTrue="1" operator="between">
      <formula>0</formula>
      <formula>5</formula>
    </cfRule>
    <cfRule type="containsBlanks" dxfId="4069" priority="679" stopIfTrue="1">
      <formula>LEN(TRIM(Q348))=0</formula>
    </cfRule>
  </conditionalFormatting>
  <conditionalFormatting sqref="Q349">
    <cfRule type="containsBlanks" dxfId="4068" priority="666" stopIfTrue="1">
      <formula>LEN(TRIM(Q349))=0</formula>
    </cfRule>
    <cfRule type="cellIs" dxfId="4067" priority="667" stopIfTrue="1" operator="between">
      <formula>80.1</formula>
      <formula>100</formula>
    </cfRule>
    <cfRule type="cellIs" dxfId="4066" priority="668" stopIfTrue="1" operator="between">
      <formula>35.1</formula>
      <formula>80</formula>
    </cfRule>
    <cfRule type="cellIs" dxfId="4065" priority="669" stopIfTrue="1" operator="between">
      <formula>14.1</formula>
      <formula>35</formula>
    </cfRule>
    <cfRule type="cellIs" dxfId="4064" priority="670" stopIfTrue="1" operator="between">
      <formula>5.1</formula>
      <formula>14</formula>
    </cfRule>
    <cfRule type="cellIs" dxfId="4063" priority="671" stopIfTrue="1" operator="between">
      <formula>0</formula>
      <formula>5</formula>
    </cfRule>
    <cfRule type="containsBlanks" dxfId="4062" priority="672" stopIfTrue="1">
      <formula>LEN(TRIM(Q349))=0</formula>
    </cfRule>
  </conditionalFormatting>
  <conditionalFormatting sqref="Q334">
    <cfRule type="containsBlanks" dxfId="4061" priority="645" stopIfTrue="1">
      <formula>LEN(TRIM(Q334))=0</formula>
    </cfRule>
    <cfRule type="cellIs" dxfId="4060" priority="646" stopIfTrue="1" operator="between">
      <formula>80.1</formula>
      <formula>100</formula>
    </cfRule>
    <cfRule type="cellIs" dxfId="4059" priority="647" stopIfTrue="1" operator="between">
      <formula>35.1</formula>
      <formula>80</formula>
    </cfRule>
    <cfRule type="cellIs" dxfId="4058" priority="648" stopIfTrue="1" operator="between">
      <formula>14.1</formula>
      <formula>35</formula>
    </cfRule>
    <cfRule type="cellIs" dxfId="4057" priority="649" stopIfTrue="1" operator="between">
      <formula>5.1</formula>
      <formula>14</formula>
    </cfRule>
    <cfRule type="cellIs" dxfId="4056" priority="650" stopIfTrue="1" operator="between">
      <formula>0</formula>
      <formula>5</formula>
    </cfRule>
    <cfRule type="containsBlanks" dxfId="4055" priority="651" stopIfTrue="1">
      <formula>LEN(TRIM(Q334))=0</formula>
    </cfRule>
  </conditionalFormatting>
  <conditionalFormatting sqref="Q351">
    <cfRule type="containsBlanks" dxfId="4054" priority="637" stopIfTrue="1">
      <formula>LEN(TRIM(Q351))=0</formula>
    </cfRule>
    <cfRule type="cellIs" dxfId="4053" priority="638" stopIfTrue="1" operator="between">
      <formula>80.1</formula>
      <formula>100</formula>
    </cfRule>
    <cfRule type="cellIs" dxfId="4052" priority="639" stopIfTrue="1" operator="between">
      <formula>35.1</formula>
      <formula>80</formula>
    </cfRule>
    <cfRule type="cellIs" dxfId="4051" priority="640" stopIfTrue="1" operator="between">
      <formula>14.1</formula>
      <formula>35</formula>
    </cfRule>
    <cfRule type="cellIs" dxfId="4050" priority="641" stopIfTrue="1" operator="between">
      <formula>5.1</formula>
      <formula>14</formula>
    </cfRule>
    <cfRule type="cellIs" dxfId="4049" priority="642" stopIfTrue="1" operator="between">
      <formula>0</formula>
      <formula>5</formula>
    </cfRule>
    <cfRule type="containsBlanks" dxfId="4048" priority="643" stopIfTrue="1">
      <formula>LEN(TRIM(Q351))=0</formula>
    </cfRule>
  </conditionalFormatting>
  <conditionalFormatting sqref="Q350">
    <cfRule type="containsBlanks" dxfId="4047" priority="623" stopIfTrue="1">
      <formula>LEN(TRIM(Q350))=0</formula>
    </cfRule>
    <cfRule type="cellIs" dxfId="4046" priority="624" stopIfTrue="1" operator="between">
      <formula>80.1</formula>
      <formula>100</formula>
    </cfRule>
    <cfRule type="cellIs" dxfId="4045" priority="625" stopIfTrue="1" operator="between">
      <formula>35.1</formula>
      <formula>80</formula>
    </cfRule>
    <cfRule type="cellIs" dxfId="4044" priority="626" stopIfTrue="1" operator="between">
      <formula>14.1</formula>
      <formula>35</formula>
    </cfRule>
    <cfRule type="cellIs" dxfId="4043" priority="627" stopIfTrue="1" operator="between">
      <formula>5.1</formula>
      <formula>14</formula>
    </cfRule>
    <cfRule type="cellIs" dxfId="4042" priority="628" stopIfTrue="1" operator="between">
      <formula>0</formula>
      <formula>5</formula>
    </cfRule>
    <cfRule type="containsBlanks" dxfId="4041" priority="629" stopIfTrue="1">
      <formula>LEN(TRIM(Q350))=0</formula>
    </cfRule>
  </conditionalFormatting>
  <conditionalFormatting sqref="E391:P391">
    <cfRule type="containsBlanks" dxfId="4040" priority="616" stopIfTrue="1">
      <formula>LEN(TRIM(E391))=0</formula>
    </cfRule>
    <cfRule type="cellIs" dxfId="4039" priority="617" stopIfTrue="1" operator="between">
      <formula>79.1</formula>
      <formula>100</formula>
    </cfRule>
    <cfRule type="cellIs" dxfId="4038" priority="618" stopIfTrue="1" operator="between">
      <formula>34.1</formula>
      <formula>79</formula>
    </cfRule>
    <cfRule type="cellIs" dxfId="4037" priority="619" stopIfTrue="1" operator="between">
      <formula>13.1</formula>
      <formula>34</formula>
    </cfRule>
    <cfRule type="cellIs" dxfId="4036" priority="620" stopIfTrue="1" operator="between">
      <formula>5.1</formula>
      <formula>13</formula>
    </cfRule>
    <cfRule type="cellIs" dxfId="4035" priority="621" stopIfTrue="1" operator="between">
      <formula>0</formula>
      <formula>5</formula>
    </cfRule>
    <cfRule type="containsBlanks" dxfId="4034" priority="622" stopIfTrue="1">
      <formula>LEN(TRIM(E391))=0</formula>
    </cfRule>
  </conditionalFormatting>
  <conditionalFormatting sqref="E411:P411">
    <cfRule type="containsBlanks" dxfId="4033" priority="609" stopIfTrue="1">
      <formula>LEN(TRIM(E411))=0</formula>
    </cfRule>
    <cfRule type="cellIs" dxfId="4032" priority="610" stopIfTrue="1" operator="between">
      <formula>79.1</formula>
      <formula>100</formula>
    </cfRule>
    <cfRule type="cellIs" dxfId="4031" priority="611" stopIfTrue="1" operator="between">
      <formula>34.1</formula>
      <formula>79</formula>
    </cfRule>
    <cfRule type="cellIs" dxfId="4030" priority="612" stopIfTrue="1" operator="between">
      <formula>13.1</formula>
      <formula>34</formula>
    </cfRule>
    <cfRule type="cellIs" dxfId="4029" priority="613" stopIfTrue="1" operator="between">
      <formula>5.1</formula>
      <formula>13</formula>
    </cfRule>
    <cfRule type="cellIs" dxfId="4028" priority="614" stopIfTrue="1" operator="between">
      <formula>0</formula>
      <formula>5</formula>
    </cfRule>
    <cfRule type="containsBlanks" dxfId="4027" priority="615" stopIfTrue="1">
      <formula>LEN(TRIM(E411))=0</formula>
    </cfRule>
  </conditionalFormatting>
  <conditionalFormatting sqref="E406:P406">
    <cfRule type="containsBlanks" dxfId="4026" priority="602" stopIfTrue="1">
      <formula>LEN(TRIM(E406))=0</formula>
    </cfRule>
    <cfRule type="cellIs" dxfId="4025" priority="603" stopIfTrue="1" operator="between">
      <formula>79.1</formula>
      <formula>100</formula>
    </cfRule>
    <cfRule type="cellIs" dxfId="4024" priority="604" stopIfTrue="1" operator="between">
      <formula>34.1</formula>
      <formula>79</formula>
    </cfRule>
    <cfRule type="cellIs" dxfId="4023" priority="605" stopIfTrue="1" operator="between">
      <formula>13.1</formula>
      <formula>34</formula>
    </cfRule>
    <cfRule type="cellIs" dxfId="4022" priority="606" stopIfTrue="1" operator="between">
      <formula>5.1</formula>
      <formula>13</formula>
    </cfRule>
    <cfRule type="cellIs" dxfId="4021" priority="607" stopIfTrue="1" operator="between">
      <formula>0</formula>
      <formula>5</formula>
    </cfRule>
    <cfRule type="containsBlanks" dxfId="4020" priority="608" stopIfTrue="1">
      <formula>LEN(TRIM(E406))=0</formula>
    </cfRule>
  </conditionalFormatting>
  <conditionalFormatting sqref="E392:P392">
    <cfRule type="containsBlanks" dxfId="4019" priority="595" stopIfTrue="1">
      <formula>LEN(TRIM(E392))=0</formula>
    </cfRule>
    <cfRule type="cellIs" dxfId="4018" priority="596" stopIfTrue="1" operator="between">
      <formula>79.1</formula>
      <formula>100</formula>
    </cfRule>
    <cfRule type="cellIs" dxfId="4017" priority="597" stopIfTrue="1" operator="between">
      <formula>34.1</formula>
      <formula>79</formula>
    </cfRule>
    <cfRule type="cellIs" dxfId="4016" priority="598" stopIfTrue="1" operator="between">
      <formula>13.1</formula>
      <formula>34</formula>
    </cfRule>
    <cfRule type="cellIs" dxfId="4015" priority="599" stopIfTrue="1" operator="between">
      <formula>5.1</formula>
      <formula>13</formula>
    </cfRule>
    <cfRule type="cellIs" dxfId="4014" priority="600" stopIfTrue="1" operator="between">
      <formula>0</formula>
      <formula>5</formula>
    </cfRule>
    <cfRule type="containsBlanks" dxfId="4013" priority="601" stopIfTrue="1">
      <formula>LEN(TRIM(E392))=0</formula>
    </cfRule>
  </conditionalFormatting>
  <conditionalFormatting sqref="E386:P386">
    <cfRule type="containsBlanks" dxfId="4012" priority="588" stopIfTrue="1">
      <formula>LEN(TRIM(E386))=0</formula>
    </cfRule>
    <cfRule type="cellIs" dxfId="4011" priority="589" stopIfTrue="1" operator="between">
      <formula>79.1</formula>
      <formula>100</formula>
    </cfRule>
    <cfRule type="cellIs" dxfId="4010" priority="590" stopIfTrue="1" operator="between">
      <formula>34.1</formula>
      <formula>79</formula>
    </cfRule>
    <cfRule type="cellIs" dxfId="4009" priority="591" stopIfTrue="1" operator="between">
      <formula>13.1</formula>
      <formula>34</formula>
    </cfRule>
    <cfRule type="cellIs" dxfId="4008" priority="592" stopIfTrue="1" operator="between">
      <formula>5.1</formula>
      <formula>13</formula>
    </cfRule>
    <cfRule type="cellIs" dxfId="4007" priority="593" stopIfTrue="1" operator="between">
      <formula>0</formula>
      <formula>5</formula>
    </cfRule>
    <cfRule type="containsBlanks" dxfId="4006" priority="594" stopIfTrue="1">
      <formula>LEN(TRIM(E386))=0</formula>
    </cfRule>
  </conditionalFormatting>
  <conditionalFormatting sqref="E403:P403">
    <cfRule type="containsBlanks" dxfId="4005" priority="581" stopIfTrue="1">
      <formula>LEN(TRIM(E403))=0</formula>
    </cfRule>
    <cfRule type="cellIs" dxfId="4004" priority="582" stopIfTrue="1" operator="between">
      <formula>79.1</formula>
      <formula>100</formula>
    </cfRule>
    <cfRule type="cellIs" dxfId="4003" priority="583" stopIfTrue="1" operator="between">
      <formula>34.1</formula>
      <formula>79</formula>
    </cfRule>
    <cfRule type="cellIs" dxfId="4002" priority="584" stopIfTrue="1" operator="between">
      <formula>13.1</formula>
      <formula>34</formula>
    </cfRule>
    <cfRule type="cellIs" dxfId="4001" priority="585" stopIfTrue="1" operator="between">
      <formula>5.1</formula>
      <formula>13</formula>
    </cfRule>
    <cfRule type="cellIs" dxfId="4000" priority="586" stopIfTrue="1" operator="between">
      <formula>0</formula>
      <formula>5</formula>
    </cfRule>
    <cfRule type="containsBlanks" dxfId="3999" priority="587" stopIfTrue="1">
      <formula>LEN(TRIM(E403))=0</formula>
    </cfRule>
  </conditionalFormatting>
  <conditionalFormatting sqref="E412:P412">
    <cfRule type="containsBlanks" dxfId="3998" priority="574" stopIfTrue="1">
      <formula>LEN(TRIM(E412))=0</formula>
    </cfRule>
    <cfRule type="cellIs" dxfId="3997" priority="575" stopIfTrue="1" operator="between">
      <formula>79.1</formula>
      <formula>100</formula>
    </cfRule>
    <cfRule type="cellIs" dxfId="3996" priority="576" stopIfTrue="1" operator="between">
      <formula>34.1</formula>
      <formula>79</formula>
    </cfRule>
    <cfRule type="cellIs" dxfId="3995" priority="577" stopIfTrue="1" operator="between">
      <formula>13.1</formula>
      <formula>34</formula>
    </cfRule>
    <cfRule type="cellIs" dxfId="3994" priority="578" stopIfTrue="1" operator="between">
      <formula>5.1</formula>
      <formula>13</formula>
    </cfRule>
    <cfRule type="cellIs" dxfId="3993" priority="579" stopIfTrue="1" operator="between">
      <formula>0</formula>
      <formula>5</formula>
    </cfRule>
    <cfRule type="containsBlanks" dxfId="3992" priority="580" stopIfTrue="1">
      <formula>LEN(TRIM(E412))=0</formula>
    </cfRule>
  </conditionalFormatting>
  <conditionalFormatting sqref="E394:P394">
    <cfRule type="containsBlanks" dxfId="3991" priority="567" stopIfTrue="1">
      <formula>LEN(TRIM(E394))=0</formula>
    </cfRule>
    <cfRule type="cellIs" dxfId="3990" priority="568" stopIfTrue="1" operator="between">
      <formula>79.1</formula>
      <formula>100</formula>
    </cfRule>
    <cfRule type="cellIs" dxfId="3989" priority="569" stopIfTrue="1" operator="between">
      <formula>34.1</formula>
      <formula>79</formula>
    </cfRule>
    <cfRule type="cellIs" dxfId="3988" priority="570" stopIfTrue="1" operator="between">
      <formula>13.1</formula>
      <formula>34</formula>
    </cfRule>
    <cfRule type="cellIs" dxfId="3987" priority="571" stopIfTrue="1" operator="between">
      <formula>5.1</formula>
      <formula>13</formula>
    </cfRule>
    <cfRule type="cellIs" dxfId="3986" priority="572" stopIfTrue="1" operator="between">
      <formula>0</formula>
      <formula>5</formula>
    </cfRule>
    <cfRule type="containsBlanks" dxfId="3985" priority="573" stopIfTrue="1">
      <formula>LEN(TRIM(E394))=0</formula>
    </cfRule>
  </conditionalFormatting>
  <conditionalFormatting sqref="E397:P397">
    <cfRule type="containsBlanks" dxfId="3984" priority="560" stopIfTrue="1">
      <formula>LEN(TRIM(E397))=0</formula>
    </cfRule>
    <cfRule type="cellIs" dxfId="3983" priority="561" stopIfTrue="1" operator="between">
      <formula>79.1</formula>
      <formula>100</formula>
    </cfRule>
    <cfRule type="cellIs" dxfId="3982" priority="562" stopIfTrue="1" operator="between">
      <formula>34.1</formula>
      <formula>79</formula>
    </cfRule>
    <cfRule type="cellIs" dxfId="3981" priority="563" stopIfTrue="1" operator="between">
      <formula>13.1</formula>
      <formula>34</formula>
    </cfRule>
    <cfRule type="cellIs" dxfId="3980" priority="564" stopIfTrue="1" operator="between">
      <formula>5.1</formula>
      <formula>13</formula>
    </cfRule>
    <cfRule type="cellIs" dxfId="3979" priority="565" stopIfTrue="1" operator="between">
      <formula>0</formula>
      <formula>5</formula>
    </cfRule>
    <cfRule type="containsBlanks" dxfId="3978" priority="566" stopIfTrue="1">
      <formula>LEN(TRIM(E397))=0</formula>
    </cfRule>
  </conditionalFormatting>
  <conditionalFormatting sqref="E382:P382">
    <cfRule type="containsBlanks" dxfId="3977" priority="553" stopIfTrue="1">
      <formula>LEN(TRIM(E382))=0</formula>
    </cfRule>
    <cfRule type="cellIs" dxfId="3976" priority="554" stopIfTrue="1" operator="between">
      <formula>79.1</formula>
      <formula>100</formula>
    </cfRule>
    <cfRule type="cellIs" dxfId="3975" priority="555" stopIfTrue="1" operator="between">
      <formula>34.1</formula>
      <formula>79</formula>
    </cfRule>
    <cfRule type="cellIs" dxfId="3974" priority="556" stopIfTrue="1" operator="between">
      <formula>13.1</formula>
      <formula>34</formula>
    </cfRule>
    <cfRule type="cellIs" dxfId="3973" priority="557" stopIfTrue="1" operator="between">
      <formula>5.1</formula>
      <formula>13</formula>
    </cfRule>
    <cfRule type="cellIs" dxfId="3972" priority="558" stopIfTrue="1" operator="between">
      <formula>0</formula>
      <formula>5</formula>
    </cfRule>
    <cfRule type="containsBlanks" dxfId="3971" priority="559" stopIfTrue="1">
      <formula>LEN(TRIM(E382))=0</formula>
    </cfRule>
  </conditionalFormatting>
  <conditionalFormatting sqref="E385:N385">
    <cfRule type="containsBlanks" dxfId="3970" priority="546" stopIfTrue="1">
      <formula>LEN(TRIM(E385))=0</formula>
    </cfRule>
    <cfRule type="cellIs" dxfId="3969" priority="547" stopIfTrue="1" operator="between">
      <formula>79.1</formula>
      <formula>100</formula>
    </cfRule>
    <cfRule type="cellIs" dxfId="3968" priority="548" stopIfTrue="1" operator="between">
      <formula>34.1</formula>
      <formula>79</formula>
    </cfRule>
    <cfRule type="cellIs" dxfId="3967" priority="549" stopIfTrue="1" operator="between">
      <formula>13.1</formula>
      <formula>34</formula>
    </cfRule>
    <cfRule type="cellIs" dxfId="3966" priority="550" stopIfTrue="1" operator="between">
      <formula>5.1</formula>
      <formula>13</formula>
    </cfRule>
    <cfRule type="cellIs" dxfId="3965" priority="551" stopIfTrue="1" operator="between">
      <formula>0</formula>
      <formula>5</formula>
    </cfRule>
    <cfRule type="containsBlanks" dxfId="3964" priority="552" stopIfTrue="1">
      <formula>LEN(TRIM(E385))=0</formula>
    </cfRule>
  </conditionalFormatting>
  <conditionalFormatting sqref="E384:O384">
    <cfRule type="containsBlanks" dxfId="3963" priority="539" stopIfTrue="1">
      <formula>LEN(TRIM(E384))=0</formula>
    </cfRule>
    <cfRule type="cellIs" dxfId="3962" priority="540" stopIfTrue="1" operator="between">
      <formula>79.1</formula>
      <formula>100</formula>
    </cfRule>
    <cfRule type="cellIs" dxfId="3961" priority="541" stopIfTrue="1" operator="between">
      <formula>34.1</formula>
      <formula>79</formula>
    </cfRule>
    <cfRule type="cellIs" dxfId="3960" priority="542" stopIfTrue="1" operator="between">
      <formula>13.1</formula>
      <formula>34</formula>
    </cfRule>
    <cfRule type="cellIs" dxfId="3959" priority="543" stopIfTrue="1" operator="between">
      <formula>5.1</formula>
      <formula>13</formula>
    </cfRule>
    <cfRule type="cellIs" dxfId="3958" priority="544" stopIfTrue="1" operator="between">
      <formula>0</formula>
      <formula>5</formula>
    </cfRule>
    <cfRule type="containsBlanks" dxfId="3957" priority="545" stopIfTrue="1">
      <formula>LEN(TRIM(E384))=0</formula>
    </cfRule>
  </conditionalFormatting>
  <conditionalFormatting sqref="E377:P377">
    <cfRule type="containsBlanks" dxfId="3956" priority="532" stopIfTrue="1">
      <formula>LEN(TRIM(E377))=0</formula>
    </cfRule>
    <cfRule type="cellIs" dxfId="3955" priority="533" stopIfTrue="1" operator="between">
      <formula>79.1</formula>
      <formula>100</formula>
    </cfRule>
    <cfRule type="cellIs" dxfId="3954" priority="534" stopIfTrue="1" operator="between">
      <formula>34.1</formula>
      <formula>79</formula>
    </cfRule>
    <cfRule type="cellIs" dxfId="3953" priority="535" stopIfTrue="1" operator="between">
      <formula>13.1</formula>
      <formula>34</formula>
    </cfRule>
    <cfRule type="cellIs" dxfId="3952" priority="536" stopIfTrue="1" operator="between">
      <formula>5.1</formula>
      <formula>13</formula>
    </cfRule>
    <cfRule type="cellIs" dxfId="3951" priority="537" stopIfTrue="1" operator="between">
      <formula>0</formula>
      <formula>5</formula>
    </cfRule>
    <cfRule type="containsBlanks" dxfId="3950" priority="538" stopIfTrue="1">
      <formula>LEN(TRIM(E377))=0</formula>
    </cfRule>
  </conditionalFormatting>
  <conditionalFormatting sqref="E398:N398">
    <cfRule type="containsBlanks" dxfId="3949" priority="525" stopIfTrue="1">
      <formula>LEN(TRIM(E398))=0</formula>
    </cfRule>
    <cfRule type="cellIs" dxfId="3948" priority="526" stopIfTrue="1" operator="between">
      <formula>79.1</formula>
      <formula>100</formula>
    </cfRule>
    <cfRule type="cellIs" dxfId="3947" priority="527" stopIfTrue="1" operator="between">
      <formula>34.1</formula>
      <formula>79</formula>
    </cfRule>
    <cfRule type="cellIs" dxfId="3946" priority="528" stopIfTrue="1" operator="between">
      <formula>13.1</formula>
      <formula>34</formula>
    </cfRule>
    <cfRule type="cellIs" dxfId="3945" priority="529" stopIfTrue="1" operator="between">
      <formula>5.1</formula>
      <formula>13</formula>
    </cfRule>
    <cfRule type="cellIs" dxfId="3944" priority="530" stopIfTrue="1" operator="between">
      <formula>0</formula>
      <formula>5</formula>
    </cfRule>
    <cfRule type="containsBlanks" dxfId="3943" priority="531" stopIfTrue="1">
      <formula>LEN(TRIM(E398))=0</formula>
    </cfRule>
  </conditionalFormatting>
  <conditionalFormatting sqref="E413:O413">
    <cfRule type="containsBlanks" dxfId="3942" priority="518" stopIfTrue="1">
      <formula>LEN(TRIM(E413))=0</formula>
    </cfRule>
    <cfRule type="cellIs" dxfId="3941" priority="519" stopIfTrue="1" operator="between">
      <formula>79.1</formula>
      <formula>100</formula>
    </cfRule>
    <cfRule type="cellIs" dxfId="3940" priority="520" stopIfTrue="1" operator="between">
      <formula>34.1</formula>
      <formula>79</formula>
    </cfRule>
    <cfRule type="cellIs" dxfId="3939" priority="521" stopIfTrue="1" operator="between">
      <formula>13.1</formula>
      <formula>34</formula>
    </cfRule>
    <cfRule type="cellIs" dxfId="3938" priority="522" stopIfTrue="1" operator="between">
      <formula>5.1</formula>
      <formula>13</formula>
    </cfRule>
    <cfRule type="cellIs" dxfId="3937" priority="523" stopIfTrue="1" operator="between">
      <formula>0</formula>
      <formula>5</formula>
    </cfRule>
    <cfRule type="containsBlanks" dxfId="3936" priority="524" stopIfTrue="1">
      <formula>LEN(TRIM(E413))=0</formula>
    </cfRule>
  </conditionalFormatting>
  <conditionalFormatting sqref="E393:M393">
    <cfRule type="containsBlanks" dxfId="3935" priority="511" stopIfTrue="1">
      <formula>LEN(TRIM(E393))=0</formula>
    </cfRule>
    <cfRule type="cellIs" dxfId="3934" priority="512" stopIfTrue="1" operator="between">
      <formula>79.1</formula>
      <formula>100</formula>
    </cfRule>
    <cfRule type="cellIs" dxfId="3933" priority="513" stopIfTrue="1" operator="between">
      <formula>34.1</formula>
      <formula>79</formula>
    </cfRule>
    <cfRule type="cellIs" dxfId="3932" priority="514" stopIfTrue="1" operator="between">
      <formula>13.1</formula>
      <formula>34</formula>
    </cfRule>
    <cfRule type="cellIs" dxfId="3931" priority="515" stopIfTrue="1" operator="between">
      <formula>5.1</formula>
      <formula>13</formula>
    </cfRule>
    <cfRule type="cellIs" dxfId="3930" priority="516" stopIfTrue="1" operator="between">
      <formula>0</formula>
      <formula>5</formula>
    </cfRule>
    <cfRule type="containsBlanks" dxfId="3929" priority="517" stopIfTrue="1">
      <formula>LEN(TRIM(E393))=0</formula>
    </cfRule>
  </conditionalFormatting>
  <conditionalFormatting sqref="E407:L407">
    <cfRule type="containsBlanks" dxfId="3928" priority="504" stopIfTrue="1">
      <formula>LEN(TRIM(E407))=0</formula>
    </cfRule>
    <cfRule type="cellIs" dxfId="3927" priority="505" stopIfTrue="1" operator="between">
      <formula>79.1</formula>
      <formula>100</formula>
    </cfRule>
    <cfRule type="cellIs" dxfId="3926" priority="506" stopIfTrue="1" operator="between">
      <formula>34.1</formula>
      <formula>79</formula>
    </cfRule>
    <cfRule type="cellIs" dxfId="3925" priority="507" stopIfTrue="1" operator="between">
      <formula>13.1</formula>
      <formula>34</formula>
    </cfRule>
    <cfRule type="cellIs" dxfId="3924" priority="508" stopIfTrue="1" operator="between">
      <formula>5.1</formula>
      <formula>13</formula>
    </cfRule>
    <cfRule type="cellIs" dxfId="3923" priority="509" stopIfTrue="1" operator="between">
      <formula>0</formula>
      <formula>5</formula>
    </cfRule>
    <cfRule type="containsBlanks" dxfId="3922" priority="510" stopIfTrue="1">
      <formula>LEN(TRIM(E407))=0</formula>
    </cfRule>
  </conditionalFormatting>
  <conditionalFormatting sqref="E396:N396">
    <cfRule type="containsBlanks" dxfId="3921" priority="497" stopIfTrue="1">
      <formula>LEN(TRIM(E396))=0</formula>
    </cfRule>
    <cfRule type="cellIs" dxfId="3920" priority="498" stopIfTrue="1" operator="between">
      <formula>79.1</formula>
      <formula>100</formula>
    </cfRule>
    <cfRule type="cellIs" dxfId="3919" priority="499" stopIfTrue="1" operator="between">
      <formula>34.1</formula>
      <formula>79</formula>
    </cfRule>
    <cfRule type="cellIs" dxfId="3918" priority="500" stopIfTrue="1" operator="between">
      <formula>13.1</formula>
      <formula>34</formula>
    </cfRule>
    <cfRule type="cellIs" dxfId="3917" priority="501" stopIfTrue="1" operator="between">
      <formula>5.1</formula>
      <formula>13</formula>
    </cfRule>
    <cfRule type="cellIs" dxfId="3916" priority="502" stopIfTrue="1" operator="between">
      <formula>0</formula>
      <formula>5</formula>
    </cfRule>
    <cfRule type="containsBlanks" dxfId="3915" priority="503" stopIfTrue="1">
      <formula>LEN(TRIM(E396))=0</formula>
    </cfRule>
  </conditionalFormatting>
  <conditionalFormatting sqref="E408:N408">
    <cfRule type="containsBlanks" dxfId="3914" priority="490" stopIfTrue="1">
      <formula>LEN(TRIM(E408))=0</formula>
    </cfRule>
    <cfRule type="cellIs" dxfId="3913" priority="491" stopIfTrue="1" operator="between">
      <formula>79.1</formula>
      <formula>100</formula>
    </cfRule>
    <cfRule type="cellIs" dxfId="3912" priority="492" stopIfTrue="1" operator="between">
      <formula>34.1</formula>
      <formula>79</formula>
    </cfRule>
    <cfRule type="cellIs" dxfId="3911" priority="493" stopIfTrue="1" operator="between">
      <formula>13.1</formula>
      <formula>34</formula>
    </cfRule>
    <cfRule type="cellIs" dxfId="3910" priority="494" stopIfTrue="1" operator="between">
      <formula>5.1</formula>
      <formula>13</formula>
    </cfRule>
    <cfRule type="cellIs" dxfId="3909" priority="495" stopIfTrue="1" operator="between">
      <formula>0</formula>
      <formula>5</formula>
    </cfRule>
    <cfRule type="containsBlanks" dxfId="3908" priority="496" stopIfTrue="1">
      <formula>LEN(TRIM(E408))=0</formula>
    </cfRule>
  </conditionalFormatting>
  <conditionalFormatting sqref="E390:O390">
    <cfRule type="containsBlanks" dxfId="3907" priority="483" stopIfTrue="1">
      <formula>LEN(TRIM(E390))=0</formula>
    </cfRule>
    <cfRule type="cellIs" dxfId="3906" priority="484" stopIfTrue="1" operator="between">
      <formula>79.1</formula>
      <formula>100</formula>
    </cfRule>
    <cfRule type="cellIs" dxfId="3905" priority="485" stopIfTrue="1" operator="between">
      <formula>34.1</formula>
      <formula>79</formula>
    </cfRule>
    <cfRule type="cellIs" dxfId="3904" priority="486" stopIfTrue="1" operator="between">
      <formula>13.1</formula>
      <formula>34</formula>
    </cfRule>
    <cfRule type="cellIs" dxfId="3903" priority="487" stopIfTrue="1" operator="between">
      <formula>5.1</formula>
      <formula>13</formula>
    </cfRule>
    <cfRule type="cellIs" dxfId="3902" priority="488" stopIfTrue="1" operator="between">
      <formula>0</formula>
      <formula>5</formula>
    </cfRule>
    <cfRule type="containsBlanks" dxfId="3901" priority="489" stopIfTrue="1">
      <formula>LEN(TRIM(E390))=0</formula>
    </cfRule>
  </conditionalFormatting>
  <conditionalFormatting sqref="E410:O410">
    <cfRule type="containsBlanks" dxfId="3900" priority="476" stopIfTrue="1">
      <formula>LEN(TRIM(E410))=0</formula>
    </cfRule>
    <cfRule type="cellIs" dxfId="3899" priority="477" stopIfTrue="1" operator="between">
      <formula>79.1</formula>
      <formula>100</formula>
    </cfRule>
    <cfRule type="cellIs" dxfId="3898" priority="478" stopIfTrue="1" operator="between">
      <formula>34.1</formula>
      <formula>79</formula>
    </cfRule>
    <cfRule type="cellIs" dxfId="3897" priority="479" stopIfTrue="1" operator="between">
      <formula>13.1</formula>
      <formula>34</formula>
    </cfRule>
    <cfRule type="cellIs" dxfId="3896" priority="480" stopIfTrue="1" operator="between">
      <formula>5.1</formula>
      <formula>13</formula>
    </cfRule>
    <cfRule type="cellIs" dxfId="3895" priority="481" stopIfTrue="1" operator="between">
      <formula>0</formula>
      <formula>5</formula>
    </cfRule>
    <cfRule type="containsBlanks" dxfId="3894" priority="482" stopIfTrue="1">
      <formula>LEN(TRIM(E410))=0</formula>
    </cfRule>
  </conditionalFormatting>
  <conditionalFormatting sqref="E405:N405">
    <cfRule type="containsBlanks" dxfId="3893" priority="469" stopIfTrue="1">
      <formula>LEN(TRIM(E405))=0</formula>
    </cfRule>
    <cfRule type="cellIs" dxfId="3892" priority="470" stopIfTrue="1" operator="between">
      <formula>79.1</formula>
      <formula>100</formula>
    </cfRule>
    <cfRule type="cellIs" dxfId="3891" priority="471" stopIfTrue="1" operator="between">
      <formula>34.1</formula>
      <formula>79</formula>
    </cfRule>
    <cfRule type="cellIs" dxfId="3890" priority="472" stopIfTrue="1" operator="between">
      <formula>13.1</formula>
      <formula>34</formula>
    </cfRule>
    <cfRule type="cellIs" dxfId="3889" priority="473" stopIfTrue="1" operator="between">
      <formula>5.1</formula>
      <formula>13</formula>
    </cfRule>
    <cfRule type="cellIs" dxfId="3888" priority="474" stopIfTrue="1" operator="between">
      <formula>0</formula>
      <formula>5</formula>
    </cfRule>
    <cfRule type="containsBlanks" dxfId="3887" priority="475" stopIfTrue="1">
      <formula>LEN(TRIM(E405))=0</formula>
    </cfRule>
  </conditionalFormatting>
  <conditionalFormatting sqref="E402:O402">
    <cfRule type="containsBlanks" dxfId="3886" priority="462" stopIfTrue="1">
      <formula>LEN(TRIM(E402))=0</formula>
    </cfRule>
    <cfRule type="cellIs" dxfId="3885" priority="463" stopIfTrue="1" operator="between">
      <formula>79.1</formula>
      <formula>100</formula>
    </cfRule>
    <cfRule type="cellIs" dxfId="3884" priority="464" stopIfTrue="1" operator="between">
      <formula>34.1</formula>
      <formula>79</formula>
    </cfRule>
    <cfRule type="cellIs" dxfId="3883" priority="465" stopIfTrue="1" operator="between">
      <formula>13.1</formula>
      <formula>34</formula>
    </cfRule>
    <cfRule type="cellIs" dxfId="3882" priority="466" stopIfTrue="1" operator="between">
      <formula>5.1</formula>
      <formula>13</formula>
    </cfRule>
    <cfRule type="cellIs" dxfId="3881" priority="467" stopIfTrue="1" operator="between">
      <formula>0</formula>
      <formula>5</formula>
    </cfRule>
    <cfRule type="containsBlanks" dxfId="3880" priority="468" stopIfTrue="1">
      <formula>LEN(TRIM(E402))=0</formula>
    </cfRule>
  </conditionalFormatting>
  <conditionalFormatting sqref="E383:O383">
    <cfRule type="containsBlanks" dxfId="3879" priority="455" stopIfTrue="1">
      <formula>LEN(TRIM(E383))=0</formula>
    </cfRule>
    <cfRule type="cellIs" dxfId="3878" priority="456" stopIfTrue="1" operator="between">
      <formula>79.1</formula>
      <formula>100</formula>
    </cfRule>
    <cfRule type="cellIs" dxfId="3877" priority="457" stopIfTrue="1" operator="between">
      <formula>34.1</formula>
      <formula>79</formula>
    </cfRule>
    <cfRule type="cellIs" dxfId="3876" priority="458" stopIfTrue="1" operator="between">
      <formula>13.1</formula>
      <formula>34</formula>
    </cfRule>
    <cfRule type="cellIs" dxfId="3875" priority="459" stopIfTrue="1" operator="between">
      <formula>5.1</formula>
      <formula>13</formula>
    </cfRule>
    <cfRule type="cellIs" dxfId="3874" priority="460" stopIfTrue="1" operator="between">
      <formula>0</formula>
      <formula>5</formula>
    </cfRule>
    <cfRule type="containsBlanks" dxfId="3873" priority="461" stopIfTrue="1">
      <formula>LEN(TRIM(E383))=0</formula>
    </cfRule>
  </conditionalFormatting>
  <conditionalFormatting sqref="E378:O378">
    <cfRule type="containsBlanks" dxfId="3872" priority="448" stopIfTrue="1">
      <formula>LEN(TRIM(E378))=0</formula>
    </cfRule>
    <cfRule type="cellIs" dxfId="3871" priority="449" stopIfTrue="1" operator="between">
      <formula>79.1</formula>
      <formula>100</formula>
    </cfRule>
    <cfRule type="cellIs" dxfId="3870" priority="450" stopIfTrue="1" operator="between">
      <formula>34.1</formula>
      <formula>79</formula>
    </cfRule>
    <cfRule type="cellIs" dxfId="3869" priority="451" stopIfTrue="1" operator="between">
      <formula>13.1</formula>
      <formula>34</formula>
    </cfRule>
    <cfRule type="cellIs" dxfId="3868" priority="452" stopIfTrue="1" operator="between">
      <formula>5.1</formula>
      <formula>13</formula>
    </cfRule>
    <cfRule type="cellIs" dxfId="3867" priority="453" stopIfTrue="1" operator="between">
      <formula>0</formula>
      <formula>5</formula>
    </cfRule>
    <cfRule type="containsBlanks" dxfId="3866" priority="454" stopIfTrue="1">
      <formula>LEN(TRIM(E378))=0</formula>
    </cfRule>
  </conditionalFormatting>
  <conditionalFormatting sqref="E431:H432">
    <cfRule type="containsBlanks" dxfId="3865" priority="413" stopIfTrue="1">
      <formula>LEN(TRIM(E431))=0</formula>
    </cfRule>
    <cfRule type="cellIs" dxfId="3864" priority="414" stopIfTrue="1" operator="between">
      <formula>79.1</formula>
      <formula>100</formula>
    </cfRule>
    <cfRule type="cellIs" dxfId="3863" priority="415" stopIfTrue="1" operator="between">
      <formula>34.1</formula>
      <formula>79</formula>
    </cfRule>
    <cfRule type="cellIs" dxfId="3862" priority="416" stopIfTrue="1" operator="between">
      <formula>13.1</formula>
      <formula>34</formula>
    </cfRule>
    <cfRule type="cellIs" dxfId="3861" priority="417" stopIfTrue="1" operator="between">
      <formula>5.1</formula>
      <formula>13</formula>
    </cfRule>
    <cfRule type="cellIs" dxfId="3860" priority="418" stopIfTrue="1" operator="between">
      <formula>0</formula>
      <formula>5</formula>
    </cfRule>
    <cfRule type="containsBlanks" dxfId="3859" priority="419" stopIfTrue="1">
      <formula>LEN(TRIM(E431))=0</formula>
    </cfRule>
  </conditionalFormatting>
  <conditionalFormatting sqref="E414:P414">
    <cfRule type="containsBlanks" dxfId="3858" priority="441" stopIfTrue="1">
      <formula>LEN(TRIM(E414))=0</formula>
    </cfRule>
    <cfRule type="cellIs" dxfId="3857" priority="442" stopIfTrue="1" operator="between">
      <formula>79.1</formula>
      <formula>100</formula>
    </cfRule>
    <cfRule type="cellIs" dxfId="3856" priority="443" stopIfTrue="1" operator="between">
      <formula>34.1</formula>
      <formula>79</formula>
    </cfRule>
    <cfRule type="cellIs" dxfId="3855" priority="444" stopIfTrue="1" operator="between">
      <formula>13.1</formula>
      <formula>34</formula>
    </cfRule>
    <cfRule type="cellIs" dxfId="3854" priority="445" stopIfTrue="1" operator="between">
      <formula>5.1</formula>
      <formula>13</formula>
    </cfRule>
    <cfRule type="cellIs" dxfId="3853" priority="446" stopIfTrue="1" operator="between">
      <formula>0</formula>
      <formula>5</formula>
    </cfRule>
    <cfRule type="containsBlanks" dxfId="3852" priority="447" stopIfTrue="1">
      <formula>LEN(TRIM(E414))=0</formula>
    </cfRule>
  </conditionalFormatting>
  <conditionalFormatting sqref="E415:P421">
    <cfRule type="containsBlanks" dxfId="3851" priority="434" stopIfTrue="1">
      <formula>LEN(TRIM(E415))=0</formula>
    </cfRule>
    <cfRule type="cellIs" dxfId="3850" priority="435" stopIfTrue="1" operator="between">
      <formula>79.1</formula>
      <formula>100</formula>
    </cfRule>
    <cfRule type="cellIs" dxfId="3849" priority="436" stopIfTrue="1" operator="between">
      <formula>34.1</formula>
      <formula>79</formula>
    </cfRule>
    <cfRule type="cellIs" dxfId="3848" priority="437" stopIfTrue="1" operator="between">
      <formula>13.1</formula>
      <formula>34</formula>
    </cfRule>
    <cfRule type="cellIs" dxfId="3847" priority="438" stopIfTrue="1" operator="between">
      <formula>5.1</formula>
      <formula>13</formula>
    </cfRule>
    <cfRule type="cellIs" dxfId="3846" priority="439" stopIfTrue="1" operator="between">
      <formula>0</formula>
      <formula>5</formula>
    </cfRule>
    <cfRule type="containsBlanks" dxfId="3845" priority="440" stopIfTrue="1">
      <formula>LEN(TRIM(E415))=0</formula>
    </cfRule>
  </conditionalFormatting>
  <conditionalFormatting sqref="E438:N438">
    <cfRule type="containsBlanks" dxfId="3844" priority="406" stopIfTrue="1">
      <formula>LEN(TRIM(E438))=0</formula>
    </cfRule>
    <cfRule type="cellIs" dxfId="3843" priority="407" stopIfTrue="1" operator="between">
      <formula>79.1</formula>
      <formula>100</formula>
    </cfRule>
    <cfRule type="cellIs" dxfId="3842" priority="408" stopIfTrue="1" operator="between">
      <formula>34.1</formula>
      <formula>79</formula>
    </cfRule>
    <cfRule type="cellIs" dxfId="3841" priority="409" stopIfTrue="1" operator="between">
      <formula>13.1</formula>
      <formula>34</formula>
    </cfRule>
    <cfRule type="cellIs" dxfId="3840" priority="410" stopIfTrue="1" operator="between">
      <formula>5.1</formula>
      <formula>13</formula>
    </cfRule>
    <cfRule type="cellIs" dxfId="3839" priority="411" stopIfTrue="1" operator="between">
      <formula>0</formula>
      <formula>5</formula>
    </cfRule>
    <cfRule type="containsBlanks" dxfId="3838" priority="412" stopIfTrue="1">
      <formula>LEN(TRIM(E438))=0</formula>
    </cfRule>
  </conditionalFormatting>
  <conditionalFormatting sqref="F446:H446">
    <cfRule type="containsBlanks" dxfId="3837" priority="208" stopIfTrue="1">
      <formula>LEN(TRIM(F446))=0</formula>
    </cfRule>
    <cfRule type="cellIs" dxfId="3836" priority="209" stopIfTrue="1" operator="between">
      <formula>80.1</formula>
      <formula>100</formula>
    </cfRule>
    <cfRule type="cellIs" dxfId="3835" priority="210" stopIfTrue="1" operator="between">
      <formula>35.1</formula>
      <formula>80</formula>
    </cfRule>
    <cfRule type="cellIs" dxfId="3834" priority="211" stopIfTrue="1" operator="between">
      <formula>14.1</formula>
      <formula>35</formula>
    </cfRule>
    <cfRule type="cellIs" dxfId="3833" priority="212" stopIfTrue="1" operator="between">
      <formula>5.1</formula>
      <formula>14</formula>
    </cfRule>
    <cfRule type="cellIs" dxfId="3832" priority="213" stopIfTrue="1" operator="between">
      <formula>0</formula>
      <formula>5</formula>
    </cfRule>
    <cfRule type="containsBlanks" dxfId="3831" priority="214" stopIfTrue="1">
      <formula>LEN(TRIM(F446))=0</formula>
    </cfRule>
  </conditionalFormatting>
  <conditionalFormatting sqref="Q438">
    <cfRule type="containsBlanks" dxfId="3830" priority="397" stopIfTrue="1">
      <formula>LEN(TRIM(Q438))=0</formula>
    </cfRule>
    <cfRule type="cellIs" dxfId="3829" priority="398" stopIfTrue="1" operator="between">
      <formula>80.1</formula>
      <formula>100</formula>
    </cfRule>
    <cfRule type="cellIs" dxfId="3828" priority="399" stopIfTrue="1" operator="between">
      <formula>35.1</formula>
      <formula>80</formula>
    </cfRule>
    <cfRule type="cellIs" dxfId="3827" priority="400" stopIfTrue="1" operator="between">
      <formula>14.1</formula>
      <formula>35</formula>
    </cfRule>
    <cfRule type="cellIs" dxfId="3826" priority="401" stopIfTrue="1" operator="between">
      <formula>5.1</formula>
      <formula>14</formula>
    </cfRule>
    <cfRule type="cellIs" dxfId="3825" priority="402" stopIfTrue="1" operator="between">
      <formula>0</formula>
      <formula>5</formula>
    </cfRule>
    <cfRule type="containsBlanks" dxfId="3824" priority="403" stopIfTrue="1">
      <formula>LEN(TRIM(Q438))=0</formula>
    </cfRule>
  </conditionalFormatting>
  <conditionalFormatting sqref="Q456">
    <cfRule type="containsBlanks" dxfId="3823" priority="382" stopIfTrue="1">
      <formula>LEN(TRIM(Q456))=0</formula>
    </cfRule>
    <cfRule type="cellIs" dxfId="3822" priority="383" stopIfTrue="1" operator="between">
      <formula>80.1</formula>
      <formula>100</formula>
    </cfRule>
    <cfRule type="cellIs" dxfId="3821" priority="384" stopIfTrue="1" operator="between">
      <formula>35.1</formula>
      <formula>80</formula>
    </cfRule>
    <cfRule type="cellIs" dxfId="3820" priority="385" stopIfTrue="1" operator="between">
      <formula>14.1</formula>
      <formula>35</formula>
    </cfRule>
    <cfRule type="cellIs" dxfId="3819" priority="386" stopIfTrue="1" operator="between">
      <formula>5.1</formula>
      <formula>14</formula>
    </cfRule>
    <cfRule type="cellIs" dxfId="3818" priority="387" stopIfTrue="1" operator="between">
      <formula>0</formula>
      <formula>5</formula>
    </cfRule>
    <cfRule type="containsBlanks" dxfId="3817" priority="388" stopIfTrue="1">
      <formula>LEN(TRIM(Q456))=0</formula>
    </cfRule>
  </conditionalFormatting>
  <conditionalFormatting sqref="E456:L457">
    <cfRule type="containsBlanks" dxfId="3816" priority="369" stopIfTrue="1">
      <formula>LEN(TRIM(E456))=0</formula>
    </cfRule>
    <cfRule type="cellIs" dxfId="3815" priority="370" stopIfTrue="1" operator="between">
      <formula>80.1</formula>
      <formula>100</formula>
    </cfRule>
    <cfRule type="cellIs" dxfId="3814" priority="371" stopIfTrue="1" operator="between">
      <formula>35.1</formula>
      <formula>80</formula>
    </cfRule>
    <cfRule type="cellIs" dxfId="3813" priority="372" stopIfTrue="1" operator="between">
      <formula>14.1</formula>
      <formula>35</formula>
    </cfRule>
    <cfRule type="cellIs" dxfId="3812" priority="373" stopIfTrue="1" operator="between">
      <formula>5.1</formula>
      <formula>14</formula>
    </cfRule>
    <cfRule type="cellIs" dxfId="3811" priority="374" stopIfTrue="1" operator="between">
      <formula>0</formula>
      <formula>5</formula>
    </cfRule>
    <cfRule type="containsBlanks" dxfId="3810" priority="375" stopIfTrue="1">
      <formula>LEN(TRIM(E456))=0</formula>
    </cfRule>
  </conditionalFormatting>
  <conditionalFormatting sqref="F456:J457">
    <cfRule type="containsBlanks" dxfId="3809" priority="362" stopIfTrue="1">
      <formula>LEN(TRIM(F456))=0</formula>
    </cfRule>
    <cfRule type="cellIs" dxfId="3808" priority="363" stopIfTrue="1" operator="between">
      <formula>80.1</formula>
      <formula>100</formula>
    </cfRule>
    <cfRule type="cellIs" dxfId="3807" priority="364" stopIfTrue="1" operator="between">
      <formula>35.1</formula>
      <formula>80</formula>
    </cfRule>
    <cfRule type="cellIs" dxfId="3806" priority="365" stopIfTrue="1" operator="between">
      <formula>14.1</formula>
      <formula>35</formula>
    </cfRule>
    <cfRule type="cellIs" dxfId="3805" priority="366" stopIfTrue="1" operator="between">
      <formula>5.1</formula>
      <formula>14</formula>
    </cfRule>
    <cfRule type="cellIs" dxfId="3804" priority="367" stopIfTrue="1" operator="between">
      <formula>0</formula>
      <formula>5</formula>
    </cfRule>
    <cfRule type="containsBlanks" dxfId="3803" priority="368" stopIfTrue="1">
      <formula>LEN(TRIM(F456))=0</formula>
    </cfRule>
  </conditionalFormatting>
  <conditionalFormatting sqref="E439:I439">
    <cfRule type="containsBlanks" dxfId="3802" priority="355" stopIfTrue="1">
      <formula>LEN(TRIM(E439))=0</formula>
    </cfRule>
    <cfRule type="cellIs" dxfId="3801" priority="356" stopIfTrue="1" operator="between">
      <formula>80.1</formula>
      <formula>100</formula>
    </cfRule>
    <cfRule type="cellIs" dxfId="3800" priority="357" stopIfTrue="1" operator="between">
      <formula>35.1</formula>
      <formula>80</formula>
    </cfRule>
    <cfRule type="cellIs" dxfId="3799" priority="358" stopIfTrue="1" operator="between">
      <formula>14.1</formula>
      <formula>35</formula>
    </cfRule>
    <cfRule type="cellIs" dxfId="3798" priority="359" stopIfTrue="1" operator="between">
      <formula>5.1</formula>
      <formula>14</formula>
    </cfRule>
    <cfRule type="cellIs" dxfId="3797" priority="360" stopIfTrue="1" operator="between">
      <formula>0</formula>
      <formula>5</formula>
    </cfRule>
    <cfRule type="containsBlanks" dxfId="3796" priority="361" stopIfTrue="1">
      <formula>LEN(TRIM(E439))=0</formula>
    </cfRule>
  </conditionalFormatting>
  <conditionalFormatting sqref="F439:I439">
    <cfRule type="containsBlanks" dxfId="3795" priority="348" stopIfTrue="1">
      <formula>LEN(TRIM(F439))=0</formula>
    </cfRule>
    <cfRule type="cellIs" dxfId="3794" priority="349" stopIfTrue="1" operator="between">
      <formula>80.1</formula>
      <formula>100</formula>
    </cfRule>
    <cfRule type="cellIs" dxfId="3793" priority="350" stopIfTrue="1" operator="between">
      <formula>35.1</formula>
      <formula>80</formula>
    </cfRule>
    <cfRule type="cellIs" dxfId="3792" priority="351" stopIfTrue="1" operator="between">
      <formula>14.1</formula>
      <formula>35</formula>
    </cfRule>
    <cfRule type="cellIs" dxfId="3791" priority="352" stopIfTrue="1" operator="between">
      <formula>5.1</formula>
      <formula>14</formula>
    </cfRule>
    <cfRule type="cellIs" dxfId="3790" priority="353" stopIfTrue="1" operator="between">
      <formula>0</formula>
      <formula>5</formula>
    </cfRule>
    <cfRule type="containsBlanks" dxfId="3789" priority="354" stopIfTrue="1">
      <formula>LEN(TRIM(F439))=0</formula>
    </cfRule>
  </conditionalFormatting>
  <conditionalFormatting sqref="E450:M450">
    <cfRule type="containsBlanks" dxfId="3788" priority="341" stopIfTrue="1">
      <formula>LEN(TRIM(E450))=0</formula>
    </cfRule>
    <cfRule type="cellIs" dxfId="3787" priority="342" stopIfTrue="1" operator="between">
      <formula>80.1</formula>
      <formula>100</formula>
    </cfRule>
    <cfRule type="cellIs" dxfId="3786" priority="343" stopIfTrue="1" operator="between">
      <formula>35.1</formula>
      <formula>80</formula>
    </cfRule>
    <cfRule type="cellIs" dxfId="3785" priority="344" stopIfTrue="1" operator="between">
      <formula>14.1</formula>
      <formula>35</formula>
    </cfRule>
    <cfRule type="cellIs" dxfId="3784" priority="345" stopIfTrue="1" operator="between">
      <formula>5.1</formula>
      <formula>14</formula>
    </cfRule>
    <cfRule type="cellIs" dxfId="3783" priority="346" stopIfTrue="1" operator="between">
      <formula>0</formula>
      <formula>5</formula>
    </cfRule>
    <cfRule type="containsBlanks" dxfId="3782" priority="347" stopIfTrue="1">
      <formula>LEN(TRIM(E450))=0</formula>
    </cfRule>
  </conditionalFormatting>
  <conditionalFormatting sqref="F450:J450">
    <cfRule type="containsBlanks" dxfId="3781" priority="334" stopIfTrue="1">
      <formula>LEN(TRIM(F450))=0</formula>
    </cfRule>
    <cfRule type="cellIs" dxfId="3780" priority="335" stopIfTrue="1" operator="between">
      <formula>80.1</formula>
      <formula>100</formula>
    </cfRule>
    <cfRule type="cellIs" dxfId="3779" priority="336" stopIfTrue="1" operator="between">
      <formula>35.1</formula>
      <formula>80</formula>
    </cfRule>
    <cfRule type="cellIs" dxfId="3778" priority="337" stopIfTrue="1" operator="between">
      <formula>14.1</formula>
      <formula>35</formula>
    </cfRule>
    <cfRule type="cellIs" dxfId="3777" priority="338" stopIfTrue="1" operator="between">
      <formula>5.1</formula>
      <formula>14</formula>
    </cfRule>
    <cfRule type="cellIs" dxfId="3776" priority="339" stopIfTrue="1" operator="between">
      <formula>0</formula>
      <formula>5</formula>
    </cfRule>
    <cfRule type="containsBlanks" dxfId="3775" priority="340" stopIfTrue="1">
      <formula>LEN(TRIM(F450))=0</formula>
    </cfRule>
  </conditionalFormatting>
  <conditionalFormatting sqref="M450">
    <cfRule type="containsBlanks" dxfId="3774" priority="327" stopIfTrue="1">
      <formula>LEN(TRIM(M450))=0</formula>
    </cfRule>
    <cfRule type="cellIs" dxfId="3773" priority="328" stopIfTrue="1" operator="between">
      <formula>80.1</formula>
      <formula>100</formula>
    </cfRule>
    <cfRule type="cellIs" dxfId="3772" priority="329" stopIfTrue="1" operator="between">
      <formula>35.1</formula>
      <formula>80</formula>
    </cfRule>
    <cfRule type="cellIs" dxfId="3771" priority="330" stopIfTrue="1" operator="between">
      <formula>14.1</formula>
      <formula>35</formula>
    </cfRule>
    <cfRule type="cellIs" dxfId="3770" priority="331" stopIfTrue="1" operator="between">
      <formula>5.1</formula>
      <formula>14</formula>
    </cfRule>
    <cfRule type="cellIs" dxfId="3769" priority="332" stopIfTrue="1" operator="between">
      <formula>0</formula>
      <formula>5</formula>
    </cfRule>
    <cfRule type="containsBlanks" dxfId="3768" priority="333" stopIfTrue="1">
      <formula>LEN(TRIM(M450))=0</formula>
    </cfRule>
  </conditionalFormatting>
  <conditionalFormatting sqref="E449:J449">
    <cfRule type="containsBlanks" dxfId="3767" priority="320" stopIfTrue="1">
      <formula>LEN(TRIM(E449))=0</formula>
    </cfRule>
    <cfRule type="cellIs" dxfId="3766" priority="321" stopIfTrue="1" operator="between">
      <formula>80.1</formula>
      <formula>100</formula>
    </cfRule>
    <cfRule type="cellIs" dxfId="3765" priority="322" stopIfTrue="1" operator="between">
      <formula>35.1</formula>
      <formula>80</formula>
    </cfRule>
    <cfRule type="cellIs" dxfId="3764" priority="323" stopIfTrue="1" operator="between">
      <formula>14.1</formula>
      <formula>35</formula>
    </cfRule>
    <cfRule type="cellIs" dxfId="3763" priority="324" stopIfTrue="1" operator="between">
      <formula>5.1</formula>
      <formula>14</formula>
    </cfRule>
    <cfRule type="cellIs" dxfId="3762" priority="325" stopIfTrue="1" operator="between">
      <formula>0</formula>
      <formula>5</formula>
    </cfRule>
    <cfRule type="containsBlanks" dxfId="3761" priority="326" stopIfTrue="1">
      <formula>LEN(TRIM(E449))=0</formula>
    </cfRule>
  </conditionalFormatting>
  <conditionalFormatting sqref="F449:J449">
    <cfRule type="containsBlanks" dxfId="3760" priority="313" stopIfTrue="1">
      <formula>LEN(TRIM(F449))=0</formula>
    </cfRule>
    <cfRule type="cellIs" dxfId="3759" priority="314" stopIfTrue="1" operator="between">
      <formula>80.1</formula>
      <formula>100</formula>
    </cfRule>
    <cfRule type="cellIs" dxfId="3758" priority="315" stopIfTrue="1" operator="between">
      <formula>35.1</formula>
      <formula>80</formula>
    </cfRule>
    <cfRule type="cellIs" dxfId="3757" priority="316" stopIfTrue="1" operator="between">
      <formula>14.1</formula>
      <formula>35</formula>
    </cfRule>
    <cfRule type="cellIs" dxfId="3756" priority="317" stopIfTrue="1" operator="between">
      <formula>5.1</formula>
      <formula>14</formula>
    </cfRule>
    <cfRule type="cellIs" dxfId="3755" priority="318" stopIfTrue="1" operator="between">
      <formula>0</formula>
      <formula>5</formula>
    </cfRule>
    <cfRule type="containsBlanks" dxfId="3754" priority="319" stopIfTrue="1">
      <formula>LEN(TRIM(F449))=0</formula>
    </cfRule>
  </conditionalFormatting>
  <conditionalFormatting sqref="E443:O443">
    <cfRule type="containsBlanks" dxfId="3753" priority="306" stopIfTrue="1">
      <formula>LEN(TRIM(E443))=0</formula>
    </cfRule>
    <cfRule type="cellIs" dxfId="3752" priority="307" stopIfTrue="1" operator="between">
      <formula>80.1</formula>
      <formula>100</formula>
    </cfRule>
    <cfRule type="cellIs" dxfId="3751" priority="308" stopIfTrue="1" operator="between">
      <formula>35.1</formula>
      <formula>80</formula>
    </cfRule>
    <cfRule type="cellIs" dxfId="3750" priority="309" stopIfTrue="1" operator="between">
      <formula>14.1</formula>
      <formula>35</formula>
    </cfRule>
    <cfRule type="cellIs" dxfId="3749" priority="310" stopIfTrue="1" operator="between">
      <formula>5.1</formula>
      <formula>14</formula>
    </cfRule>
    <cfRule type="cellIs" dxfId="3748" priority="311" stopIfTrue="1" operator="between">
      <formula>0</formula>
      <formula>5</formula>
    </cfRule>
    <cfRule type="containsBlanks" dxfId="3747" priority="312" stopIfTrue="1">
      <formula>LEN(TRIM(E443))=0</formula>
    </cfRule>
  </conditionalFormatting>
  <conditionalFormatting sqref="F443:J443">
    <cfRule type="containsBlanks" dxfId="3746" priority="299" stopIfTrue="1">
      <formula>LEN(TRIM(F443))=0</formula>
    </cfRule>
    <cfRule type="cellIs" dxfId="3745" priority="300" stopIfTrue="1" operator="between">
      <formula>80.1</formula>
      <formula>100</formula>
    </cfRule>
    <cfRule type="cellIs" dxfId="3744" priority="301" stopIfTrue="1" operator="between">
      <formula>35.1</formula>
      <formula>80</formula>
    </cfRule>
    <cfRule type="cellIs" dxfId="3743" priority="302" stopIfTrue="1" operator="between">
      <formula>14.1</formula>
      <formula>35</formula>
    </cfRule>
    <cfRule type="cellIs" dxfId="3742" priority="303" stopIfTrue="1" operator="between">
      <formula>5.1</formula>
      <formula>14</formula>
    </cfRule>
    <cfRule type="cellIs" dxfId="3741" priority="304" stopIfTrue="1" operator="between">
      <formula>0</formula>
      <formula>5</formula>
    </cfRule>
    <cfRule type="containsBlanks" dxfId="3740" priority="305" stopIfTrue="1">
      <formula>LEN(TRIM(F443))=0</formula>
    </cfRule>
  </conditionalFormatting>
  <conditionalFormatting sqref="N443">
    <cfRule type="containsBlanks" dxfId="3739" priority="292" stopIfTrue="1">
      <formula>LEN(TRIM(N443))=0</formula>
    </cfRule>
    <cfRule type="cellIs" dxfId="3738" priority="293" stopIfTrue="1" operator="between">
      <formula>80.1</formula>
      <formula>100</formula>
    </cfRule>
    <cfRule type="cellIs" dxfId="3737" priority="294" stopIfTrue="1" operator="between">
      <formula>35.1</formula>
      <formula>80</formula>
    </cfRule>
    <cfRule type="cellIs" dxfId="3736" priority="295" stopIfTrue="1" operator="between">
      <formula>14.1</formula>
      <formula>35</formula>
    </cfRule>
    <cfRule type="cellIs" dxfId="3735" priority="296" stopIfTrue="1" operator="between">
      <formula>5.1</formula>
      <formula>14</formula>
    </cfRule>
    <cfRule type="cellIs" dxfId="3734" priority="297" stopIfTrue="1" operator="between">
      <formula>0</formula>
      <formula>5</formula>
    </cfRule>
    <cfRule type="containsBlanks" dxfId="3733" priority="298" stopIfTrue="1">
      <formula>LEN(TRIM(N443))=0</formula>
    </cfRule>
  </conditionalFormatting>
  <conditionalFormatting sqref="E441:I441">
    <cfRule type="containsBlanks" dxfId="3732" priority="285" stopIfTrue="1">
      <formula>LEN(TRIM(E441))=0</formula>
    </cfRule>
    <cfRule type="cellIs" dxfId="3731" priority="286" stopIfTrue="1" operator="between">
      <formula>80.1</formula>
      <formula>100</formula>
    </cfRule>
    <cfRule type="cellIs" dxfId="3730" priority="287" stopIfTrue="1" operator="between">
      <formula>35.1</formula>
      <formula>80</formula>
    </cfRule>
    <cfRule type="cellIs" dxfId="3729" priority="288" stopIfTrue="1" operator="between">
      <formula>14.1</formula>
      <formula>35</formula>
    </cfRule>
    <cfRule type="cellIs" dxfId="3728" priority="289" stopIfTrue="1" operator="between">
      <formula>5.1</formula>
      <formula>14</formula>
    </cfRule>
    <cfRule type="cellIs" dxfId="3727" priority="290" stopIfTrue="1" operator="between">
      <formula>0</formula>
      <formula>5</formula>
    </cfRule>
    <cfRule type="containsBlanks" dxfId="3726" priority="291" stopIfTrue="1">
      <formula>LEN(TRIM(E441))=0</formula>
    </cfRule>
  </conditionalFormatting>
  <conditionalFormatting sqref="F441:I441">
    <cfRule type="containsBlanks" dxfId="3725" priority="278" stopIfTrue="1">
      <formula>LEN(TRIM(F441))=0</formula>
    </cfRule>
    <cfRule type="cellIs" dxfId="3724" priority="279" stopIfTrue="1" operator="between">
      <formula>80.1</formula>
      <formula>100</formula>
    </cfRule>
    <cfRule type="cellIs" dxfId="3723" priority="280" stopIfTrue="1" operator="between">
      <formula>35.1</formula>
      <formula>80</formula>
    </cfRule>
    <cfRule type="cellIs" dxfId="3722" priority="281" stopIfTrue="1" operator="between">
      <formula>14.1</formula>
      <formula>35</formula>
    </cfRule>
    <cfRule type="cellIs" dxfId="3721" priority="282" stopIfTrue="1" operator="between">
      <formula>5.1</formula>
      <formula>14</formula>
    </cfRule>
    <cfRule type="cellIs" dxfId="3720" priority="283" stopIfTrue="1" operator="between">
      <formula>0</formula>
      <formula>5</formula>
    </cfRule>
    <cfRule type="containsBlanks" dxfId="3719" priority="284" stopIfTrue="1">
      <formula>LEN(TRIM(F441))=0</formula>
    </cfRule>
  </conditionalFormatting>
  <conditionalFormatting sqref="E440:L440">
    <cfRule type="containsBlanks" dxfId="3718" priority="271" stopIfTrue="1">
      <formula>LEN(TRIM(E440))=0</formula>
    </cfRule>
    <cfRule type="cellIs" dxfId="3717" priority="272" stopIfTrue="1" operator="between">
      <formula>80.1</formula>
      <formula>100</formula>
    </cfRule>
    <cfRule type="cellIs" dxfId="3716" priority="273" stopIfTrue="1" operator="between">
      <formula>35.1</formula>
      <formula>80</formula>
    </cfRule>
    <cfRule type="cellIs" dxfId="3715" priority="274" stopIfTrue="1" operator="between">
      <formula>14.1</formula>
      <formula>35</formula>
    </cfRule>
    <cfRule type="cellIs" dxfId="3714" priority="275" stopIfTrue="1" operator="between">
      <formula>5.1</formula>
      <formula>14</formula>
    </cfRule>
    <cfRule type="cellIs" dxfId="3713" priority="276" stopIfTrue="1" operator="between">
      <formula>0</formula>
      <formula>5</formula>
    </cfRule>
    <cfRule type="containsBlanks" dxfId="3712" priority="277" stopIfTrue="1">
      <formula>LEN(TRIM(E440))=0</formula>
    </cfRule>
  </conditionalFormatting>
  <conditionalFormatting sqref="F440:J440">
    <cfRule type="containsBlanks" dxfId="3711" priority="264" stopIfTrue="1">
      <formula>LEN(TRIM(F440))=0</formula>
    </cfRule>
    <cfRule type="cellIs" dxfId="3710" priority="265" stopIfTrue="1" operator="between">
      <formula>80.1</formula>
      <formula>100</formula>
    </cfRule>
    <cfRule type="cellIs" dxfId="3709" priority="266" stopIfTrue="1" operator="between">
      <formula>35.1</formula>
      <formula>80</formula>
    </cfRule>
    <cfRule type="cellIs" dxfId="3708" priority="267" stopIfTrue="1" operator="between">
      <formula>14.1</formula>
      <formula>35</formula>
    </cfRule>
    <cfRule type="cellIs" dxfId="3707" priority="268" stopIfTrue="1" operator="between">
      <formula>5.1</formula>
      <formula>14</formula>
    </cfRule>
    <cfRule type="cellIs" dxfId="3706" priority="269" stopIfTrue="1" operator="between">
      <formula>0</formula>
      <formula>5</formula>
    </cfRule>
    <cfRule type="containsBlanks" dxfId="3705" priority="270" stopIfTrue="1">
      <formula>LEN(TRIM(F440))=0</formula>
    </cfRule>
  </conditionalFormatting>
  <conditionalFormatting sqref="K440">
    <cfRule type="containsBlanks" dxfId="3704" priority="257" stopIfTrue="1">
      <formula>LEN(TRIM(K440))=0</formula>
    </cfRule>
    <cfRule type="cellIs" dxfId="3703" priority="258" stopIfTrue="1" operator="between">
      <formula>80.1</formula>
      <formula>100</formula>
    </cfRule>
    <cfRule type="cellIs" dxfId="3702" priority="259" stopIfTrue="1" operator="between">
      <formula>35.1</formula>
      <formula>80</formula>
    </cfRule>
    <cfRule type="cellIs" dxfId="3701" priority="260" stopIfTrue="1" operator="between">
      <formula>14.1</formula>
      <formula>35</formula>
    </cfRule>
    <cfRule type="cellIs" dxfId="3700" priority="261" stopIfTrue="1" operator="between">
      <formula>5.1</formula>
      <formula>14</formula>
    </cfRule>
    <cfRule type="cellIs" dxfId="3699" priority="262" stopIfTrue="1" operator="between">
      <formula>0</formula>
      <formula>5</formula>
    </cfRule>
    <cfRule type="containsBlanks" dxfId="3698" priority="263" stopIfTrue="1">
      <formula>LEN(TRIM(K440))=0</formula>
    </cfRule>
  </conditionalFormatting>
  <conditionalFormatting sqref="E454:M454">
    <cfRule type="containsBlanks" dxfId="3697" priority="250" stopIfTrue="1">
      <formula>LEN(TRIM(E454))=0</formula>
    </cfRule>
    <cfRule type="cellIs" dxfId="3696" priority="251" stopIfTrue="1" operator="between">
      <formula>80.1</formula>
      <formula>100</formula>
    </cfRule>
    <cfRule type="cellIs" dxfId="3695" priority="252" stopIfTrue="1" operator="between">
      <formula>35.1</formula>
      <formula>80</formula>
    </cfRule>
    <cfRule type="cellIs" dxfId="3694" priority="253" stopIfTrue="1" operator="between">
      <formula>14.1</formula>
      <formula>35</formula>
    </cfRule>
    <cfRule type="cellIs" dxfId="3693" priority="254" stopIfTrue="1" operator="between">
      <formula>5.1</formula>
      <formula>14</formula>
    </cfRule>
    <cfRule type="cellIs" dxfId="3692" priority="255" stopIfTrue="1" operator="between">
      <formula>0</formula>
      <formula>5</formula>
    </cfRule>
    <cfRule type="containsBlanks" dxfId="3691" priority="256" stopIfTrue="1">
      <formula>LEN(TRIM(E454))=0</formula>
    </cfRule>
  </conditionalFormatting>
  <conditionalFormatting sqref="F454:J454">
    <cfRule type="containsBlanks" dxfId="3690" priority="243" stopIfTrue="1">
      <formula>LEN(TRIM(F454))=0</formula>
    </cfRule>
    <cfRule type="cellIs" dxfId="3689" priority="244" stopIfTrue="1" operator="between">
      <formula>80.1</formula>
      <formula>100</formula>
    </cfRule>
    <cfRule type="cellIs" dxfId="3688" priority="245" stopIfTrue="1" operator="between">
      <formula>35.1</formula>
      <formula>80</formula>
    </cfRule>
    <cfRule type="cellIs" dxfId="3687" priority="246" stopIfTrue="1" operator="between">
      <formula>14.1</formula>
      <formula>35</formula>
    </cfRule>
    <cfRule type="cellIs" dxfId="3686" priority="247" stopIfTrue="1" operator="between">
      <formula>5.1</formula>
      <formula>14</formula>
    </cfRule>
    <cfRule type="cellIs" dxfId="3685" priority="248" stopIfTrue="1" operator="between">
      <formula>0</formula>
      <formula>5</formula>
    </cfRule>
    <cfRule type="containsBlanks" dxfId="3684" priority="249" stopIfTrue="1">
      <formula>LEN(TRIM(F454))=0</formula>
    </cfRule>
  </conditionalFormatting>
  <conditionalFormatting sqref="L454">
    <cfRule type="containsBlanks" dxfId="3683" priority="236" stopIfTrue="1">
      <formula>LEN(TRIM(L454))=0</formula>
    </cfRule>
    <cfRule type="cellIs" dxfId="3682" priority="237" stopIfTrue="1" operator="between">
      <formula>80.1</formula>
      <formula>100</formula>
    </cfRule>
    <cfRule type="cellIs" dxfId="3681" priority="238" stopIfTrue="1" operator="between">
      <formula>35.1</formula>
      <formula>80</formula>
    </cfRule>
    <cfRule type="cellIs" dxfId="3680" priority="239" stopIfTrue="1" operator="between">
      <formula>14.1</formula>
      <formula>35</formula>
    </cfRule>
    <cfRule type="cellIs" dxfId="3679" priority="240" stopIfTrue="1" operator="between">
      <formula>5.1</formula>
      <formula>14</formula>
    </cfRule>
    <cfRule type="cellIs" dxfId="3678" priority="241" stopIfTrue="1" operator="between">
      <formula>0</formula>
      <formula>5</formula>
    </cfRule>
    <cfRule type="containsBlanks" dxfId="3677" priority="242" stopIfTrue="1">
      <formula>LEN(TRIM(L454))=0</formula>
    </cfRule>
  </conditionalFormatting>
  <conditionalFormatting sqref="E444:I444">
    <cfRule type="containsBlanks" dxfId="3676" priority="229" stopIfTrue="1">
      <formula>LEN(TRIM(E444))=0</formula>
    </cfRule>
    <cfRule type="cellIs" dxfId="3675" priority="230" stopIfTrue="1" operator="between">
      <formula>80.1</formula>
      <formula>100</formula>
    </cfRule>
    <cfRule type="cellIs" dxfId="3674" priority="231" stopIfTrue="1" operator="between">
      <formula>35.1</formula>
      <formula>80</formula>
    </cfRule>
    <cfRule type="cellIs" dxfId="3673" priority="232" stopIfTrue="1" operator="between">
      <formula>14.1</formula>
      <formula>35</formula>
    </cfRule>
    <cfRule type="cellIs" dxfId="3672" priority="233" stopIfTrue="1" operator="between">
      <formula>5.1</formula>
      <formula>14</formula>
    </cfRule>
    <cfRule type="cellIs" dxfId="3671" priority="234" stopIfTrue="1" operator="between">
      <formula>0</formula>
      <formula>5</formula>
    </cfRule>
    <cfRule type="containsBlanks" dxfId="3670" priority="235" stopIfTrue="1">
      <formula>LEN(TRIM(E444))=0</formula>
    </cfRule>
  </conditionalFormatting>
  <conditionalFormatting sqref="F444:I444">
    <cfRule type="containsBlanks" dxfId="3669" priority="222" stopIfTrue="1">
      <formula>LEN(TRIM(F444))=0</formula>
    </cfRule>
    <cfRule type="cellIs" dxfId="3668" priority="223" stopIfTrue="1" operator="between">
      <formula>80.1</formula>
      <formula>100</formula>
    </cfRule>
    <cfRule type="cellIs" dxfId="3667" priority="224" stopIfTrue="1" operator="between">
      <formula>35.1</formula>
      <formula>80</formula>
    </cfRule>
    <cfRule type="cellIs" dxfId="3666" priority="225" stopIfTrue="1" operator="between">
      <formula>14.1</formula>
      <formula>35</formula>
    </cfRule>
    <cfRule type="cellIs" dxfId="3665" priority="226" stopIfTrue="1" operator="between">
      <formula>5.1</formula>
      <formula>14</formula>
    </cfRule>
    <cfRule type="cellIs" dxfId="3664" priority="227" stopIfTrue="1" operator="between">
      <formula>0</formula>
      <formula>5</formula>
    </cfRule>
    <cfRule type="containsBlanks" dxfId="3663" priority="228" stopIfTrue="1">
      <formula>LEN(TRIM(F444))=0</formula>
    </cfRule>
  </conditionalFormatting>
  <conditionalFormatting sqref="E446:H446">
    <cfRule type="containsBlanks" dxfId="3662" priority="215" stopIfTrue="1">
      <formula>LEN(TRIM(E446))=0</formula>
    </cfRule>
    <cfRule type="cellIs" dxfId="3661" priority="216" stopIfTrue="1" operator="between">
      <formula>80.1</formula>
      <formula>100</formula>
    </cfRule>
    <cfRule type="cellIs" dxfId="3660" priority="217" stopIfTrue="1" operator="between">
      <formula>35.1</formula>
      <formula>80</formula>
    </cfRule>
    <cfRule type="cellIs" dxfId="3659" priority="218" stopIfTrue="1" operator="between">
      <formula>14.1</formula>
      <formula>35</formula>
    </cfRule>
    <cfRule type="cellIs" dxfId="3658" priority="219" stopIfTrue="1" operator="between">
      <formula>5.1</formula>
      <formula>14</formula>
    </cfRule>
    <cfRule type="cellIs" dxfId="3657" priority="220" stopIfTrue="1" operator="between">
      <formula>0</formula>
      <formula>5</formula>
    </cfRule>
    <cfRule type="containsBlanks" dxfId="3656" priority="221" stopIfTrue="1">
      <formula>LEN(TRIM(E446))=0</formula>
    </cfRule>
  </conditionalFormatting>
  <conditionalFormatting sqref="E442:J442">
    <cfRule type="containsBlanks" dxfId="3655" priority="201" stopIfTrue="1">
      <formula>LEN(TRIM(E442))=0</formula>
    </cfRule>
    <cfRule type="cellIs" dxfId="3654" priority="202" stopIfTrue="1" operator="between">
      <formula>80.1</formula>
      <formula>100</formula>
    </cfRule>
    <cfRule type="cellIs" dxfId="3653" priority="203" stopIfTrue="1" operator="between">
      <formula>35.1</formula>
      <formula>80</formula>
    </cfRule>
    <cfRule type="cellIs" dxfId="3652" priority="204" stopIfTrue="1" operator="between">
      <formula>14.1</formula>
      <formula>35</formula>
    </cfRule>
    <cfRule type="cellIs" dxfId="3651" priority="205" stopIfTrue="1" operator="between">
      <formula>5.1</formula>
      <formula>14</formula>
    </cfRule>
    <cfRule type="cellIs" dxfId="3650" priority="206" stopIfTrue="1" operator="between">
      <formula>0</formula>
      <formula>5</formula>
    </cfRule>
    <cfRule type="containsBlanks" dxfId="3649" priority="207" stopIfTrue="1">
      <formula>LEN(TRIM(E442))=0</formula>
    </cfRule>
  </conditionalFormatting>
  <conditionalFormatting sqref="F442:J442">
    <cfRule type="containsBlanks" dxfId="3648" priority="194" stopIfTrue="1">
      <formula>LEN(TRIM(F442))=0</formula>
    </cfRule>
    <cfRule type="cellIs" dxfId="3647" priority="195" stopIfTrue="1" operator="between">
      <formula>80.1</formula>
      <formula>100</formula>
    </cfRule>
    <cfRule type="cellIs" dxfId="3646" priority="196" stopIfTrue="1" operator="between">
      <formula>35.1</formula>
      <formula>80</formula>
    </cfRule>
    <cfRule type="cellIs" dxfId="3645" priority="197" stopIfTrue="1" operator="between">
      <formula>14.1</formula>
      <formula>35</formula>
    </cfRule>
    <cfRule type="cellIs" dxfId="3644" priority="198" stopIfTrue="1" operator="between">
      <formula>5.1</formula>
      <formula>14</formula>
    </cfRule>
    <cfRule type="cellIs" dxfId="3643" priority="199" stopIfTrue="1" operator="between">
      <formula>0</formula>
      <formula>5</formula>
    </cfRule>
    <cfRule type="containsBlanks" dxfId="3642" priority="200" stopIfTrue="1">
      <formula>LEN(TRIM(F442))=0</formula>
    </cfRule>
  </conditionalFormatting>
  <conditionalFormatting sqref="E447:O447">
    <cfRule type="containsBlanks" dxfId="3641" priority="187" stopIfTrue="1">
      <formula>LEN(TRIM(E447))=0</formula>
    </cfRule>
    <cfRule type="cellIs" dxfId="3640" priority="188" stopIfTrue="1" operator="between">
      <formula>80.1</formula>
      <formula>100</formula>
    </cfRule>
    <cfRule type="cellIs" dxfId="3639" priority="189" stopIfTrue="1" operator="between">
      <formula>35.1</formula>
      <formula>80</formula>
    </cfRule>
    <cfRule type="cellIs" dxfId="3638" priority="190" stopIfTrue="1" operator="between">
      <formula>14.1</formula>
      <formula>35</formula>
    </cfRule>
    <cfRule type="cellIs" dxfId="3637" priority="191" stopIfTrue="1" operator="between">
      <formula>5.1</formula>
      <formula>14</formula>
    </cfRule>
    <cfRule type="cellIs" dxfId="3636" priority="192" stopIfTrue="1" operator="between">
      <formula>0</formula>
      <formula>5</formula>
    </cfRule>
    <cfRule type="containsBlanks" dxfId="3635" priority="193" stopIfTrue="1">
      <formula>LEN(TRIM(E447))=0</formula>
    </cfRule>
  </conditionalFormatting>
  <conditionalFormatting sqref="F447:J447">
    <cfRule type="containsBlanks" dxfId="3634" priority="180" stopIfTrue="1">
      <formula>LEN(TRIM(F447))=0</formula>
    </cfRule>
    <cfRule type="cellIs" dxfId="3633" priority="181" stopIfTrue="1" operator="between">
      <formula>80.1</formula>
      <formula>100</formula>
    </cfRule>
    <cfRule type="cellIs" dxfId="3632" priority="182" stopIfTrue="1" operator="between">
      <formula>35.1</formula>
      <formula>80</formula>
    </cfRule>
    <cfRule type="cellIs" dxfId="3631" priority="183" stopIfTrue="1" operator="between">
      <formula>14.1</formula>
      <formula>35</formula>
    </cfRule>
    <cfRule type="cellIs" dxfId="3630" priority="184" stopIfTrue="1" operator="between">
      <formula>5.1</formula>
      <formula>14</formula>
    </cfRule>
    <cfRule type="cellIs" dxfId="3629" priority="185" stopIfTrue="1" operator="between">
      <formula>0</formula>
      <formula>5</formula>
    </cfRule>
    <cfRule type="containsBlanks" dxfId="3628" priority="186" stopIfTrue="1">
      <formula>LEN(TRIM(F447))=0</formula>
    </cfRule>
  </conditionalFormatting>
  <conditionalFormatting sqref="N447">
    <cfRule type="containsBlanks" dxfId="3627" priority="173" stopIfTrue="1">
      <formula>LEN(TRIM(N447))=0</formula>
    </cfRule>
    <cfRule type="cellIs" dxfId="3626" priority="174" stopIfTrue="1" operator="between">
      <formula>80.1</formula>
      <formula>100</formula>
    </cfRule>
    <cfRule type="cellIs" dxfId="3625" priority="175" stopIfTrue="1" operator="between">
      <formula>35.1</formula>
      <formula>80</formula>
    </cfRule>
    <cfRule type="cellIs" dxfId="3624" priority="176" stopIfTrue="1" operator="between">
      <formula>14.1</formula>
      <formula>35</formula>
    </cfRule>
    <cfRule type="cellIs" dxfId="3623" priority="177" stopIfTrue="1" operator="between">
      <formula>5.1</formula>
      <formula>14</formula>
    </cfRule>
    <cfRule type="cellIs" dxfId="3622" priority="178" stopIfTrue="1" operator="between">
      <formula>0</formula>
      <formula>5</formula>
    </cfRule>
    <cfRule type="containsBlanks" dxfId="3621" priority="179" stopIfTrue="1">
      <formula>LEN(TRIM(N447))=0</formula>
    </cfRule>
  </conditionalFormatting>
  <conditionalFormatting sqref="E445:J445">
    <cfRule type="containsBlanks" dxfId="3620" priority="166" stopIfTrue="1">
      <formula>LEN(TRIM(E445))=0</formula>
    </cfRule>
    <cfRule type="cellIs" dxfId="3619" priority="167" stopIfTrue="1" operator="between">
      <formula>80.1</formula>
      <formula>100</formula>
    </cfRule>
    <cfRule type="cellIs" dxfId="3618" priority="168" stopIfTrue="1" operator="between">
      <formula>35.1</formula>
      <formula>80</formula>
    </cfRule>
    <cfRule type="cellIs" dxfId="3617" priority="169" stopIfTrue="1" operator="between">
      <formula>14.1</formula>
      <formula>35</formula>
    </cfRule>
    <cfRule type="cellIs" dxfId="3616" priority="170" stopIfTrue="1" operator="between">
      <formula>5.1</formula>
      <formula>14</formula>
    </cfRule>
    <cfRule type="cellIs" dxfId="3615" priority="171" stopIfTrue="1" operator="between">
      <formula>0</formula>
      <formula>5</formula>
    </cfRule>
    <cfRule type="containsBlanks" dxfId="3614" priority="172" stopIfTrue="1">
      <formula>LEN(TRIM(E445))=0</formula>
    </cfRule>
  </conditionalFormatting>
  <conditionalFormatting sqref="F445:J445">
    <cfRule type="containsBlanks" dxfId="3613" priority="159" stopIfTrue="1">
      <formula>LEN(TRIM(F445))=0</formula>
    </cfRule>
    <cfRule type="cellIs" dxfId="3612" priority="160" stopIfTrue="1" operator="between">
      <formula>80.1</formula>
      <formula>100</formula>
    </cfRule>
    <cfRule type="cellIs" dxfId="3611" priority="161" stopIfTrue="1" operator="between">
      <formula>35.1</formula>
      <formula>80</formula>
    </cfRule>
    <cfRule type="cellIs" dxfId="3610" priority="162" stopIfTrue="1" operator="between">
      <formula>14.1</formula>
      <formula>35</formula>
    </cfRule>
    <cfRule type="cellIs" dxfId="3609" priority="163" stopIfTrue="1" operator="between">
      <formula>5.1</formula>
      <formula>14</formula>
    </cfRule>
    <cfRule type="cellIs" dxfId="3608" priority="164" stopIfTrue="1" operator="between">
      <formula>0</formula>
      <formula>5</formula>
    </cfRule>
    <cfRule type="containsBlanks" dxfId="3607" priority="165" stopIfTrue="1">
      <formula>LEN(TRIM(F445))=0</formula>
    </cfRule>
  </conditionalFormatting>
  <conditionalFormatting sqref="E451:L451">
    <cfRule type="containsBlanks" dxfId="3606" priority="152" stopIfTrue="1">
      <formula>LEN(TRIM(E451))=0</formula>
    </cfRule>
    <cfRule type="cellIs" dxfId="3605" priority="153" stopIfTrue="1" operator="between">
      <formula>80.1</formula>
      <formula>100</formula>
    </cfRule>
    <cfRule type="cellIs" dxfId="3604" priority="154" stopIfTrue="1" operator="between">
      <formula>35.1</formula>
      <formula>80</formula>
    </cfRule>
    <cfRule type="cellIs" dxfId="3603" priority="155" stopIfTrue="1" operator="between">
      <formula>14.1</formula>
      <formula>35</formula>
    </cfRule>
    <cfRule type="cellIs" dxfId="3602" priority="156" stopIfTrue="1" operator="between">
      <formula>5.1</formula>
      <formula>14</formula>
    </cfRule>
    <cfRule type="cellIs" dxfId="3601" priority="157" stopIfTrue="1" operator="between">
      <formula>0</formula>
      <formula>5</formula>
    </cfRule>
    <cfRule type="containsBlanks" dxfId="3600" priority="158" stopIfTrue="1">
      <formula>LEN(TRIM(E451))=0</formula>
    </cfRule>
  </conditionalFormatting>
  <conditionalFormatting sqref="F451:J451">
    <cfRule type="containsBlanks" dxfId="3599" priority="145" stopIfTrue="1">
      <formula>LEN(TRIM(F451))=0</formula>
    </cfRule>
    <cfRule type="cellIs" dxfId="3598" priority="146" stopIfTrue="1" operator="between">
      <formula>80.1</formula>
      <formula>100</formula>
    </cfRule>
    <cfRule type="cellIs" dxfId="3597" priority="147" stopIfTrue="1" operator="between">
      <formula>35.1</formula>
      <formula>80</formula>
    </cfRule>
    <cfRule type="cellIs" dxfId="3596" priority="148" stopIfTrue="1" operator="between">
      <formula>14.1</formula>
      <formula>35</formula>
    </cfRule>
    <cfRule type="cellIs" dxfId="3595" priority="149" stopIfTrue="1" operator="between">
      <formula>5.1</formula>
      <formula>14</formula>
    </cfRule>
    <cfRule type="cellIs" dxfId="3594" priority="150" stopIfTrue="1" operator="between">
      <formula>0</formula>
      <formula>5</formula>
    </cfRule>
    <cfRule type="containsBlanks" dxfId="3593" priority="151" stopIfTrue="1">
      <formula>LEN(TRIM(F451))=0</formula>
    </cfRule>
  </conditionalFormatting>
  <conditionalFormatting sqref="L451">
    <cfRule type="containsBlanks" dxfId="3592" priority="138" stopIfTrue="1">
      <formula>LEN(TRIM(L451))=0</formula>
    </cfRule>
    <cfRule type="cellIs" dxfId="3591" priority="139" stopIfTrue="1" operator="between">
      <formula>80.1</formula>
      <formula>100</formula>
    </cfRule>
    <cfRule type="cellIs" dxfId="3590" priority="140" stopIfTrue="1" operator="between">
      <formula>35.1</formula>
      <formula>80</formula>
    </cfRule>
    <cfRule type="cellIs" dxfId="3589" priority="141" stopIfTrue="1" operator="between">
      <formula>14.1</formula>
      <formula>35</formula>
    </cfRule>
    <cfRule type="cellIs" dxfId="3588" priority="142" stopIfTrue="1" operator="between">
      <formula>5.1</formula>
      <formula>14</formula>
    </cfRule>
    <cfRule type="cellIs" dxfId="3587" priority="143" stopIfTrue="1" operator="between">
      <formula>0</formula>
      <formula>5</formula>
    </cfRule>
    <cfRule type="containsBlanks" dxfId="3586" priority="144" stopIfTrue="1">
      <formula>LEN(TRIM(L451))=0</formula>
    </cfRule>
  </conditionalFormatting>
  <conditionalFormatting sqref="E458:I458">
    <cfRule type="containsBlanks" dxfId="3585" priority="131" stopIfTrue="1">
      <formula>LEN(TRIM(E458))=0</formula>
    </cfRule>
    <cfRule type="cellIs" dxfId="3584" priority="132" stopIfTrue="1" operator="between">
      <formula>80.1</formula>
      <formula>100</formula>
    </cfRule>
    <cfRule type="cellIs" dxfId="3583" priority="133" stopIfTrue="1" operator="between">
      <formula>35.1</formula>
      <formula>80</formula>
    </cfRule>
    <cfRule type="cellIs" dxfId="3582" priority="134" stopIfTrue="1" operator="between">
      <formula>14.1</formula>
      <formula>35</formula>
    </cfRule>
    <cfRule type="cellIs" dxfId="3581" priority="135" stopIfTrue="1" operator="between">
      <formula>5.1</formula>
      <formula>14</formula>
    </cfRule>
    <cfRule type="cellIs" dxfId="3580" priority="136" stopIfTrue="1" operator="between">
      <formula>0</formula>
      <formula>5</formula>
    </cfRule>
    <cfRule type="containsBlanks" dxfId="3579" priority="137" stopIfTrue="1">
      <formula>LEN(TRIM(E458))=0</formula>
    </cfRule>
  </conditionalFormatting>
  <conditionalFormatting sqref="F458:I458">
    <cfRule type="containsBlanks" dxfId="3578" priority="124" stopIfTrue="1">
      <formula>LEN(TRIM(F458))=0</formula>
    </cfRule>
    <cfRule type="cellIs" dxfId="3577" priority="125" stopIfTrue="1" operator="between">
      <formula>80.1</formula>
      <formula>100</formula>
    </cfRule>
    <cfRule type="cellIs" dxfId="3576" priority="126" stopIfTrue="1" operator="between">
      <formula>35.1</formula>
      <formula>80</formula>
    </cfRule>
    <cfRule type="cellIs" dxfId="3575" priority="127" stopIfTrue="1" operator="between">
      <formula>14.1</formula>
      <formula>35</formula>
    </cfRule>
    <cfRule type="cellIs" dxfId="3574" priority="128" stopIfTrue="1" operator="between">
      <formula>5.1</formula>
      <formula>14</formula>
    </cfRule>
    <cfRule type="cellIs" dxfId="3573" priority="129" stopIfTrue="1" operator="between">
      <formula>0</formula>
      <formula>5</formula>
    </cfRule>
    <cfRule type="containsBlanks" dxfId="3572" priority="130" stopIfTrue="1">
      <formula>LEN(TRIM(F458))=0</formula>
    </cfRule>
  </conditionalFormatting>
  <conditionalFormatting sqref="Q457">
    <cfRule type="containsBlanks" dxfId="3571" priority="115" stopIfTrue="1">
      <formula>LEN(TRIM(Q457))=0</formula>
    </cfRule>
    <cfRule type="cellIs" dxfId="3570" priority="116" stopIfTrue="1" operator="between">
      <formula>80.1</formula>
      <formula>100</formula>
    </cfRule>
    <cfRule type="cellIs" dxfId="3569" priority="117" stopIfTrue="1" operator="between">
      <formula>35.1</formula>
      <formula>80</formula>
    </cfRule>
    <cfRule type="cellIs" dxfId="3568" priority="118" stopIfTrue="1" operator="between">
      <formula>14.1</formula>
      <formula>35</formula>
    </cfRule>
    <cfRule type="cellIs" dxfId="3567" priority="119" stopIfTrue="1" operator="between">
      <formula>5.1</formula>
      <formula>14</formula>
    </cfRule>
    <cfRule type="cellIs" dxfId="3566" priority="120" stopIfTrue="1" operator="between">
      <formula>0</formula>
      <formula>5</formula>
    </cfRule>
    <cfRule type="containsBlanks" dxfId="3565" priority="121" stopIfTrue="1">
      <formula>LEN(TRIM(Q457))=0</formula>
    </cfRule>
  </conditionalFormatting>
  <conditionalFormatting sqref="E241 I241:N241">
    <cfRule type="containsBlanks" dxfId="3564" priority="102" stopIfTrue="1">
      <formula>LEN(TRIM(E241))=0</formula>
    </cfRule>
    <cfRule type="cellIs" dxfId="3563" priority="103" stopIfTrue="1" operator="between">
      <formula>80.1</formula>
      <formula>100</formula>
    </cfRule>
    <cfRule type="cellIs" dxfId="3562" priority="104" stopIfTrue="1" operator="between">
      <formula>35.1</formula>
      <formula>80</formula>
    </cfRule>
    <cfRule type="cellIs" dxfId="3561" priority="105" stopIfTrue="1" operator="between">
      <formula>14.1</formula>
      <formula>35</formula>
    </cfRule>
    <cfRule type="cellIs" dxfId="3560" priority="106" stopIfTrue="1" operator="between">
      <formula>5.1</formula>
      <formula>14</formula>
    </cfRule>
    <cfRule type="cellIs" dxfId="3559" priority="107" stopIfTrue="1" operator="between">
      <formula>0</formula>
      <formula>5</formula>
    </cfRule>
    <cfRule type="containsBlanks" dxfId="3558" priority="108" stopIfTrue="1">
      <formula>LEN(TRIM(E241))=0</formula>
    </cfRule>
  </conditionalFormatting>
  <conditionalFormatting sqref="F241:H241">
    <cfRule type="containsBlanks" dxfId="3557" priority="95" stopIfTrue="1">
      <formula>LEN(TRIM(F241))=0</formula>
    </cfRule>
    <cfRule type="cellIs" dxfId="3556" priority="96" stopIfTrue="1" operator="between">
      <formula>80.1</formula>
      <formula>100</formula>
    </cfRule>
    <cfRule type="cellIs" dxfId="3555" priority="97" stopIfTrue="1" operator="between">
      <formula>35.1</formula>
      <formula>80</formula>
    </cfRule>
    <cfRule type="cellIs" dxfId="3554" priority="98" stopIfTrue="1" operator="between">
      <formula>14.1</formula>
      <formula>35</formula>
    </cfRule>
    <cfRule type="cellIs" dxfId="3553" priority="99" stopIfTrue="1" operator="between">
      <formula>5.1</formula>
      <formula>14</formula>
    </cfRule>
    <cfRule type="cellIs" dxfId="3552" priority="100" stopIfTrue="1" operator="between">
      <formula>0</formula>
      <formula>5</formula>
    </cfRule>
    <cfRule type="containsBlanks" dxfId="3551" priority="101" stopIfTrue="1">
      <formula>LEN(TRIM(F241))=0</formula>
    </cfRule>
  </conditionalFormatting>
  <conditionalFormatting sqref="E242 I242:P242">
    <cfRule type="containsBlanks" dxfId="3550" priority="88" stopIfTrue="1">
      <formula>LEN(TRIM(E242))=0</formula>
    </cfRule>
    <cfRule type="cellIs" dxfId="3549" priority="89" stopIfTrue="1" operator="between">
      <formula>80.1</formula>
      <formula>100</formula>
    </cfRule>
    <cfRule type="cellIs" dxfId="3548" priority="90" stopIfTrue="1" operator="between">
      <formula>35.1</formula>
      <formula>80</formula>
    </cfRule>
    <cfRule type="cellIs" dxfId="3547" priority="91" stopIfTrue="1" operator="between">
      <formula>14.1</formula>
      <formula>35</formula>
    </cfRule>
    <cfRule type="cellIs" dxfId="3546" priority="92" stopIfTrue="1" operator="between">
      <formula>5.1</formula>
      <formula>14</formula>
    </cfRule>
    <cfRule type="cellIs" dxfId="3545" priority="93" stopIfTrue="1" operator="between">
      <formula>0</formula>
      <formula>5</formula>
    </cfRule>
    <cfRule type="containsBlanks" dxfId="3544" priority="94" stopIfTrue="1">
      <formula>LEN(TRIM(E242))=0</formula>
    </cfRule>
  </conditionalFormatting>
  <conditionalFormatting sqref="F242:H242">
    <cfRule type="containsBlanks" dxfId="3543" priority="81" stopIfTrue="1">
      <formula>LEN(TRIM(F242))=0</formula>
    </cfRule>
    <cfRule type="cellIs" dxfId="3542" priority="82" stopIfTrue="1" operator="between">
      <formula>80.1</formula>
      <formula>100</formula>
    </cfRule>
    <cfRule type="cellIs" dxfId="3541" priority="83" stopIfTrue="1" operator="between">
      <formula>35.1</formula>
      <formula>80</formula>
    </cfRule>
    <cfRule type="cellIs" dxfId="3540" priority="84" stopIfTrue="1" operator="between">
      <formula>14.1</formula>
      <formula>35</formula>
    </cfRule>
    <cfRule type="cellIs" dxfId="3539" priority="85" stopIfTrue="1" operator="between">
      <formula>5.1</formula>
      <formula>14</formula>
    </cfRule>
    <cfRule type="cellIs" dxfId="3538" priority="86" stopIfTrue="1" operator="between">
      <formula>0</formula>
      <formula>5</formula>
    </cfRule>
    <cfRule type="containsBlanks" dxfId="3537" priority="87" stopIfTrue="1">
      <formula>LEN(TRIM(F242))=0</formula>
    </cfRule>
  </conditionalFormatting>
  <conditionalFormatting sqref="E243:L243">
    <cfRule type="containsBlanks" dxfId="3536" priority="74" stopIfTrue="1">
      <formula>LEN(TRIM(E243))=0</formula>
    </cfRule>
    <cfRule type="cellIs" dxfId="3535" priority="75" stopIfTrue="1" operator="between">
      <formula>80.1</formula>
      <formula>100</formula>
    </cfRule>
    <cfRule type="cellIs" dxfId="3534" priority="76" stopIfTrue="1" operator="between">
      <formula>35.1</formula>
      <formula>80</formula>
    </cfRule>
    <cfRule type="cellIs" dxfId="3533" priority="77" stopIfTrue="1" operator="between">
      <formula>14.1</formula>
      <formula>35</formula>
    </cfRule>
    <cfRule type="cellIs" dxfId="3532" priority="78" stopIfTrue="1" operator="between">
      <formula>5.1</formula>
      <formula>14</formula>
    </cfRule>
    <cfRule type="cellIs" dxfId="3531" priority="79" stopIfTrue="1" operator="between">
      <formula>0</formula>
      <formula>5</formula>
    </cfRule>
    <cfRule type="containsBlanks" dxfId="3530" priority="80" stopIfTrue="1">
      <formula>LEN(TRIM(E243))=0</formula>
    </cfRule>
  </conditionalFormatting>
  <conditionalFormatting sqref="E252:P252">
    <cfRule type="containsBlanks" dxfId="3529" priority="46" stopIfTrue="1">
      <formula>LEN(TRIM(E252))=0</formula>
    </cfRule>
    <cfRule type="cellIs" dxfId="3528" priority="47" stopIfTrue="1" operator="between">
      <formula>80.1</formula>
      <formula>100</formula>
    </cfRule>
    <cfRule type="cellIs" dxfId="3527" priority="48" stopIfTrue="1" operator="between">
      <formula>35.1</formula>
      <formula>80</formula>
    </cfRule>
    <cfRule type="cellIs" dxfId="3526" priority="49" stopIfTrue="1" operator="between">
      <formula>14.1</formula>
      <formula>35</formula>
    </cfRule>
    <cfRule type="cellIs" dxfId="3525" priority="50" stopIfTrue="1" operator="between">
      <formula>5.1</formula>
      <formula>14</formula>
    </cfRule>
    <cfRule type="cellIs" dxfId="3524" priority="51" stopIfTrue="1" operator="between">
      <formula>0</formula>
      <formula>5</formula>
    </cfRule>
    <cfRule type="containsBlanks" dxfId="3523" priority="52" stopIfTrue="1">
      <formula>LEN(TRIM(E252))=0</formula>
    </cfRule>
  </conditionalFormatting>
  <conditionalFormatting sqref="E248:N248">
    <cfRule type="containsBlanks" dxfId="3522" priority="67" stopIfTrue="1">
      <formula>LEN(TRIM(E248))=0</formula>
    </cfRule>
    <cfRule type="cellIs" dxfId="3521" priority="68" stopIfTrue="1" operator="between">
      <formula>80.1</formula>
      <formula>100</formula>
    </cfRule>
    <cfRule type="cellIs" dxfId="3520" priority="69" stopIfTrue="1" operator="between">
      <formula>35.1</formula>
      <formula>80</formula>
    </cfRule>
    <cfRule type="cellIs" dxfId="3519" priority="70" stopIfTrue="1" operator="between">
      <formula>14.1</formula>
      <formula>35</formula>
    </cfRule>
    <cfRule type="cellIs" dxfId="3518" priority="71" stopIfTrue="1" operator="between">
      <formula>5.1</formula>
      <formula>14</formula>
    </cfRule>
    <cfRule type="cellIs" dxfId="3517" priority="72" stopIfTrue="1" operator="between">
      <formula>0</formula>
      <formula>5</formula>
    </cfRule>
    <cfRule type="containsBlanks" dxfId="3516" priority="73" stopIfTrue="1">
      <formula>LEN(TRIM(E248))=0</formula>
    </cfRule>
  </conditionalFormatting>
  <conditionalFormatting sqref="E249:M249">
    <cfRule type="containsBlanks" dxfId="3515" priority="60" stopIfTrue="1">
      <formula>LEN(TRIM(E249))=0</formula>
    </cfRule>
    <cfRule type="cellIs" dxfId="3514" priority="61" stopIfTrue="1" operator="between">
      <formula>80.1</formula>
      <formula>100</formula>
    </cfRule>
    <cfRule type="cellIs" dxfId="3513" priority="62" stopIfTrue="1" operator="between">
      <formula>35.1</formula>
      <formula>80</formula>
    </cfRule>
    <cfRule type="cellIs" dxfId="3512" priority="63" stopIfTrue="1" operator="between">
      <formula>14.1</formula>
      <formula>35</formula>
    </cfRule>
    <cfRule type="cellIs" dxfId="3511" priority="64" stopIfTrue="1" operator="between">
      <formula>5.1</formula>
      <formula>14</formula>
    </cfRule>
    <cfRule type="cellIs" dxfId="3510" priority="65" stopIfTrue="1" operator="between">
      <formula>0</formula>
      <formula>5</formula>
    </cfRule>
    <cfRule type="containsBlanks" dxfId="3509" priority="66" stopIfTrue="1">
      <formula>LEN(TRIM(E249))=0</formula>
    </cfRule>
  </conditionalFormatting>
  <conditionalFormatting sqref="E251:M251">
    <cfRule type="containsBlanks" dxfId="3508" priority="53" stopIfTrue="1">
      <formula>LEN(TRIM(E251))=0</formula>
    </cfRule>
    <cfRule type="cellIs" dxfId="3507" priority="54" stopIfTrue="1" operator="between">
      <formula>80.1</formula>
      <formula>100</formula>
    </cfRule>
    <cfRule type="cellIs" dxfId="3506" priority="55" stopIfTrue="1" operator="between">
      <formula>35.1</formula>
      <formula>80</formula>
    </cfRule>
    <cfRule type="cellIs" dxfId="3505" priority="56" stopIfTrue="1" operator="between">
      <formula>14.1</formula>
      <formula>35</formula>
    </cfRule>
    <cfRule type="cellIs" dxfId="3504" priority="57" stopIfTrue="1" operator="between">
      <formula>5.1</formula>
      <formula>14</formula>
    </cfRule>
    <cfRule type="cellIs" dxfId="3503" priority="58" stopIfTrue="1" operator="between">
      <formula>0</formula>
      <formula>5</formula>
    </cfRule>
    <cfRule type="containsBlanks" dxfId="3502" priority="59" stopIfTrue="1">
      <formula>LEN(TRIM(E251))=0</formula>
    </cfRule>
  </conditionalFormatting>
  <conditionalFormatting sqref="R11:R458">
    <cfRule type="cellIs" dxfId="3501" priority="30" stopIfTrue="1" operator="equal">
      <formula>"NO"</formula>
    </cfRule>
  </conditionalFormatting>
  <conditionalFormatting sqref="R10">
    <cfRule type="cellIs" dxfId="3500" priority="22" stopIfTrue="1" operator="equal">
      <formula>"NO"</formula>
    </cfRule>
  </conditionalFormatting>
  <conditionalFormatting sqref="S10:S506">
    <cfRule type="cellIs" dxfId="3499" priority="21" stopIfTrue="1" operator="equal">
      <formula>"INVIABLE SANITARIAMENTE"</formula>
    </cfRule>
  </conditionalFormatting>
  <conditionalFormatting sqref="Q10:Q507">
    <cfRule type="containsBlanks" dxfId="3498" priority="14" stopIfTrue="1">
      <formula>LEN(TRIM(Q10))=0</formula>
    </cfRule>
    <cfRule type="cellIs" dxfId="3497" priority="15" stopIfTrue="1" operator="between">
      <formula>80.1</formula>
      <formula>100</formula>
    </cfRule>
    <cfRule type="cellIs" dxfId="3496" priority="16" stopIfTrue="1" operator="between">
      <formula>35.1</formula>
      <formula>80</formula>
    </cfRule>
    <cfRule type="cellIs" dxfId="3495" priority="17" stopIfTrue="1" operator="between">
      <formula>14.1</formula>
      <formula>35</formula>
    </cfRule>
    <cfRule type="cellIs" dxfId="3494" priority="18" stopIfTrue="1" operator="between">
      <formula>5.1</formula>
      <formula>14</formula>
    </cfRule>
    <cfRule type="cellIs" dxfId="3493" priority="19" stopIfTrue="1" operator="between">
      <formula>0</formula>
      <formula>5</formula>
    </cfRule>
    <cfRule type="containsBlanks" dxfId="3492" priority="20" stopIfTrue="1">
      <formula>LEN(TRIM(Q10))=0</formula>
    </cfRule>
  </conditionalFormatting>
  <conditionalFormatting sqref="S10:S506">
    <cfRule type="containsText" dxfId="3491" priority="9" stopIfTrue="1" operator="containsText" text="INVIABLE SANITARIAMENTE">
      <formula>NOT(ISERROR(SEARCH("INVIABLE SANITARIAMENTE",S10)))</formula>
    </cfRule>
    <cfRule type="containsText" dxfId="3490" priority="10" stopIfTrue="1" operator="containsText" text="ALTO">
      <formula>NOT(ISERROR(SEARCH("ALTO",S10)))</formula>
    </cfRule>
    <cfRule type="containsText" dxfId="3489" priority="11" stopIfTrue="1" operator="containsText" text="MEDIO">
      <formula>NOT(ISERROR(SEARCH("MEDIO",S10)))</formula>
    </cfRule>
    <cfRule type="containsText" dxfId="3488" priority="12" stopIfTrue="1" operator="containsText" text="BAJO">
      <formula>NOT(ISERROR(SEARCH("BAJO",S10)))</formula>
    </cfRule>
    <cfRule type="containsText" dxfId="3487" priority="13" stopIfTrue="1" operator="containsText" text="SIN RIESGO">
      <formula>NOT(ISERROR(SEARCH("SIN RIESGO",S10)))</formula>
    </cfRule>
  </conditionalFormatting>
  <conditionalFormatting sqref="S10:S506">
    <cfRule type="containsText" dxfId="3486" priority="8" stopIfTrue="1" operator="containsText" text="SIN RIESGO">
      <formula>NOT(ISERROR(SEARCH("SIN RIESGO",S10)))</formula>
    </cfRule>
  </conditionalFormatting>
  <conditionalFormatting sqref="E10:P20">
    <cfRule type="containsBlanks" dxfId="3485" priority="1" stopIfTrue="1">
      <formula>LEN(TRIM(E10))=0</formula>
    </cfRule>
    <cfRule type="cellIs" dxfId="3484" priority="2" stopIfTrue="1" operator="between">
      <formula>79.1</formula>
      <formula>100</formula>
    </cfRule>
    <cfRule type="cellIs" dxfId="3483" priority="3" stopIfTrue="1" operator="between">
      <formula>34.1</formula>
      <formula>79</formula>
    </cfRule>
    <cfRule type="cellIs" dxfId="3482" priority="4" stopIfTrue="1" operator="between">
      <formula>13.1</formula>
      <formula>34</formula>
    </cfRule>
    <cfRule type="cellIs" dxfId="3481" priority="5" stopIfTrue="1" operator="between">
      <formula>5.1</formula>
      <formula>13</formula>
    </cfRule>
    <cfRule type="cellIs" dxfId="3480" priority="6" stopIfTrue="1" operator="between">
      <formula>0</formula>
      <formula>5</formula>
    </cfRule>
    <cfRule type="containsBlanks" dxfId="3479" priority="7" stopIfTrue="1">
      <formula>LEN(TRIM(E10))=0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IV751"/>
  <sheetViews>
    <sheetView zoomScale="60" zoomScaleNormal="70" workbookViewId="0">
      <pane xSplit="3" ySplit="10" topLeftCell="D11" activePane="bottomRight" state="frozenSplit"/>
      <selection pane="topRight" activeCell="D1" sqref="D1"/>
      <selection pane="bottomLeft" activeCell="A11" sqref="A11"/>
      <selection pane="bottomRight" activeCell="A11" sqref="A11"/>
    </sheetView>
  </sheetViews>
  <sheetFormatPr baseColWidth="10" defaultColWidth="0" defaultRowHeight="14.25" zeroHeight="1" x14ac:dyDescent="0.2"/>
  <cols>
    <col min="1" max="1" width="34" style="148" customWidth="1"/>
    <col min="2" max="2" width="52" style="224" customWidth="1"/>
    <col min="3" max="3" width="55.5703125" style="123" customWidth="1"/>
    <col min="4" max="4" width="21.85546875" style="193" customWidth="1"/>
    <col min="5" max="18" width="10.7109375" style="13" customWidth="1"/>
    <col min="19" max="19" width="42.28515625" style="13" bestFit="1" customWidth="1"/>
    <col min="20" max="20" width="9.85546875" style="13" hidden="1" customWidth="1"/>
    <col min="21" max="16384" width="11.42578125" style="13" hidden="1"/>
  </cols>
  <sheetData>
    <row r="1" spans="1:256" s="7" customFormat="1" ht="18" customHeight="1" x14ac:dyDescent="0.2">
      <c r="A1" s="134"/>
      <c r="B1" s="559" t="s">
        <v>258</v>
      </c>
      <c r="C1" s="559"/>
      <c r="D1" s="559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39" t="s">
        <v>546</v>
      </c>
      <c r="T1" s="3"/>
      <c r="U1" s="5"/>
      <c r="V1" s="6"/>
      <c r="W1" s="6"/>
    </row>
    <row r="2" spans="1:256" s="9" customFormat="1" ht="18" customHeight="1" x14ac:dyDescent="0.2">
      <c r="A2" s="134"/>
      <c r="B2" s="560" t="s">
        <v>259</v>
      </c>
      <c r="C2" s="560"/>
      <c r="D2" s="56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4"/>
      <c r="S2" s="40" t="s">
        <v>260</v>
      </c>
      <c r="T2" s="3"/>
      <c r="U2" s="8"/>
      <c r="V2" s="6"/>
      <c r="W2" s="6"/>
    </row>
    <row r="3" spans="1:256" s="7" customFormat="1" ht="18" customHeight="1" x14ac:dyDescent="0.25">
      <c r="A3" s="134"/>
      <c r="B3" s="64" t="s">
        <v>4413</v>
      </c>
      <c r="C3" s="496"/>
      <c r="D3" s="49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05"/>
      <c r="S3" s="40" t="s">
        <v>547</v>
      </c>
      <c r="T3" s="3"/>
      <c r="U3" s="5"/>
      <c r="V3" s="6"/>
      <c r="W3" s="6"/>
    </row>
    <row r="4" spans="1:256" s="7" customFormat="1" ht="18" customHeight="1" x14ac:dyDescent="0.2">
      <c r="A4" s="134"/>
      <c r="B4" s="559" t="s">
        <v>548</v>
      </c>
      <c r="C4" s="559"/>
      <c r="D4" s="55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261</v>
      </c>
      <c r="T4" s="3"/>
      <c r="U4" s="5"/>
      <c r="V4" s="6"/>
      <c r="W4" s="6"/>
    </row>
    <row r="5" spans="1:256" s="32" customFormat="1" ht="15" customHeight="1" x14ac:dyDescent="0.2">
      <c r="A5" s="135"/>
      <c r="B5" s="565"/>
      <c r="C5" s="561"/>
      <c r="D5" s="564" t="s">
        <v>266</v>
      </c>
      <c r="E5" s="556" t="s">
        <v>255</v>
      </c>
      <c r="F5" s="556"/>
      <c r="G5" s="556"/>
      <c r="H5" s="551" t="s">
        <v>263</v>
      </c>
      <c r="I5" s="551"/>
      <c r="J5" s="551"/>
      <c r="K5" s="558" t="s">
        <v>264</v>
      </c>
      <c r="L5" s="558"/>
      <c r="M5" s="558"/>
      <c r="N5" s="555" t="s">
        <v>474</v>
      </c>
      <c r="O5" s="555"/>
      <c r="P5" s="555"/>
      <c r="Q5" s="549" t="s">
        <v>265</v>
      </c>
      <c r="R5" s="549"/>
      <c r="S5" s="550" t="s">
        <v>267</v>
      </c>
    </row>
    <row r="6" spans="1:256" s="32" customFormat="1" ht="16.5" customHeight="1" x14ac:dyDescent="0.2">
      <c r="A6" s="135"/>
      <c r="B6" s="565"/>
      <c r="C6" s="561"/>
      <c r="D6" s="564"/>
      <c r="E6" s="556"/>
      <c r="F6" s="556"/>
      <c r="G6" s="556"/>
      <c r="H6" s="551"/>
      <c r="I6" s="551"/>
      <c r="J6" s="551"/>
      <c r="K6" s="558"/>
      <c r="L6" s="558"/>
      <c r="M6" s="558"/>
      <c r="N6" s="555"/>
      <c r="O6" s="555"/>
      <c r="P6" s="555"/>
      <c r="Q6" s="549"/>
      <c r="R6" s="549"/>
      <c r="S6" s="550"/>
    </row>
    <row r="7" spans="1:256" s="32" customFormat="1" ht="3.75" customHeight="1" x14ac:dyDescent="0.2">
      <c r="A7" s="562"/>
      <c r="B7" s="562"/>
      <c r="C7" s="43"/>
      <c r="D7" s="130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1"/>
    </row>
    <row r="8" spans="1:256" s="32" customFormat="1" ht="27" customHeight="1" x14ac:dyDescent="0.2">
      <c r="A8" s="132" t="s">
        <v>1789</v>
      </c>
      <c r="B8" s="32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294"/>
    </row>
    <row r="9" spans="1:256" s="10" customFormat="1" ht="18" customHeight="1" x14ac:dyDescent="0.2">
      <c r="A9" s="563" t="s">
        <v>37</v>
      </c>
      <c r="B9" s="547" t="s">
        <v>38</v>
      </c>
      <c r="C9" s="547" t="s">
        <v>262</v>
      </c>
      <c r="D9" s="572" t="s">
        <v>454</v>
      </c>
      <c r="E9" s="547" t="s">
        <v>33</v>
      </c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70" t="s">
        <v>34</v>
      </c>
      <c r="R9" s="570" t="s">
        <v>36</v>
      </c>
      <c r="S9" s="547" t="s">
        <v>35</v>
      </c>
      <c r="T9" s="11"/>
    </row>
    <row r="10" spans="1:256" s="10" customFormat="1" ht="24" customHeight="1" x14ac:dyDescent="0.2">
      <c r="A10" s="563"/>
      <c r="B10" s="547"/>
      <c r="C10" s="547"/>
      <c r="D10" s="573"/>
      <c r="E10" s="301" t="s">
        <v>21</v>
      </c>
      <c r="F10" s="301" t="s">
        <v>22</v>
      </c>
      <c r="G10" s="301" t="s">
        <v>23</v>
      </c>
      <c r="H10" s="301" t="s">
        <v>24</v>
      </c>
      <c r="I10" s="301" t="s">
        <v>25</v>
      </c>
      <c r="J10" s="301" t="s">
        <v>26</v>
      </c>
      <c r="K10" s="301" t="s">
        <v>27</v>
      </c>
      <c r="L10" s="301" t="s">
        <v>28</v>
      </c>
      <c r="M10" s="301" t="s">
        <v>29</v>
      </c>
      <c r="N10" s="301" t="s">
        <v>30</v>
      </c>
      <c r="O10" s="301" t="s">
        <v>31</v>
      </c>
      <c r="P10" s="301" t="s">
        <v>32</v>
      </c>
      <c r="Q10" s="570"/>
      <c r="R10" s="570"/>
      <c r="S10" s="547"/>
      <c r="T10" s="11"/>
    </row>
    <row r="11" spans="1:256" ht="32.1" customHeight="1" x14ac:dyDescent="0.2">
      <c r="A11" s="490" t="s">
        <v>4124</v>
      </c>
      <c r="B11" s="160" t="s">
        <v>1745</v>
      </c>
      <c r="C11" s="463" t="s">
        <v>1746</v>
      </c>
      <c r="D11" s="221">
        <v>42</v>
      </c>
      <c r="E11" s="121"/>
      <c r="F11" s="121"/>
      <c r="G11" s="121"/>
      <c r="H11" s="121"/>
      <c r="I11" s="121"/>
      <c r="J11" s="222">
        <v>97.9</v>
      </c>
      <c r="K11" s="121"/>
      <c r="L11" s="121"/>
      <c r="M11" s="121"/>
      <c r="N11" s="121"/>
      <c r="O11" s="121"/>
      <c r="P11" s="121"/>
      <c r="Q11" s="249">
        <f t="shared" ref="Q11:Q74" si="0">AVERAGE(E11:P11)</f>
        <v>97.9</v>
      </c>
      <c r="R11" s="151" t="str">
        <f t="shared" ref="R11:R42" si="1">IF(Q11&lt;5,"SI","NO")</f>
        <v>NO</v>
      </c>
      <c r="S11" s="223" t="str">
        <f t="shared" ref="S11:S74" si="2">IF(Q11&lt;5,"Sin Riesgo",IF(Q11 &lt;=14,"Bajo",IF(Q11&lt;=35,"Medio",IF(Q11&lt;=80,"Alto","Inviable Sanitariamente"))))</f>
        <v>Inviable Sanitariamente</v>
      </c>
      <c r="T11" s="219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0"/>
      <c r="FP11" s="220"/>
      <c r="FQ11" s="220"/>
      <c r="FR11" s="220"/>
      <c r="FS11" s="220"/>
      <c r="FT11" s="220"/>
      <c r="FU11" s="220"/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  <c r="GF11" s="220"/>
      <c r="GG11" s="220"/>
      <c r="GH11" s="220"/>
      <c r="GI11" s="220"/>
      <c r="GJ11" s="220"/>
      <c r="GK11" s="220"/>
      <c r="GL11" s="220"/>
      <c r="GM11" s="220"/>
      <c r="GN11" s="220"/>
      <c r="GO11" s="220"/>
      <c r="GP11" s="220"/>
      <c r="GQ11" s="220"/>
      <c r="GR11" s="220"/>
      <c r="GS11" s="220"/>
      <c r="GT11" s="22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0"/>
      <c r="HF11" s="220"/>
      <c r="HG11" s="220"/>
      <c r="HH11" s="220"/>
      <c r="HI11" s="220"/>
      <c r="HJ11" s="220"/>
      <c r="HK11" s="220"/>
      <c r="HL11" s="220"/>
      <c r="HM11" s="220"/>
      <c r="HN11" s="220"/>
      <c r="HO11" s="220"/>
      <c r="HP11" s="220"/>
      <c r="HQ11" s="220"/>
      <c r="HR11" s="220"/>
      <c r="HS11" s="220"/>
      <c r="HT11" s="220"/>
      <c r="HU11" s="220"/>
      <c r="HV11" s="220"/>
      <c r="HW11" s="220"/>
      <c r="HX11" s="220"/>
      <c r="HY11" s="220"/>
      <c r="HZ11" s="220"/>
      <c r="IA11" s="220"/>
      <c r="IB11" s="220"/>
      <c r="IC11" s="220"/>
      <c r="ID11" s="220"/>
      <c r="IE11" s="220"/>
      <c r="IF11" s="220"/>
      <c r="IG11" s="220"/>
      <c r="IH11" s="220"/>
      <c r="II11" s="220"/>
      <c r="IJ11" s="220"/>
      <c r="IK11" s="220"/>
      <c r="IL11" s="220"/>
      <c r="IM11" s="220"/>
      <c r="IN11" s="220"/>
      <c r="IO11" s="220"/>
      <c r="IP11" s="220"/>
      <c r="IQ11" s="220"/>
      <c r="IR11" s="220"/>
      <c r="IS11" s="220"/>
      <c r="IT11" s="220"/>
      <c r="IU11" s="220"/>
      <c r="IV11" s="220"/>
    </row>
    <row r="12" spans="1:256" ht="32.1" customHeight="1" x14ac:dyDescent="0.2">
      <c r="A12" s="490" t="s">
        <v>4124</v>
      </c>
      <c r="B12" s="160" t="s">
        <v>1747</v>
      </c>
      <c r="C12" s="463" t="s">
        <v>1748</v>
      </c>
      <c r="D12" s="121">
        <v>287</v>
      </c>
      <c r="E12" s="222"/>
      <c r="F12" s="222"/>
      <c r="G12" s="222"/>
      <c r="H12" s="222"/>
      <c r="I12" s="222"/>
      <c r="J12" s="222"/>
      <c r="K12" s="222">
        <v>76.92</v>
      </c>
      <c r="L12" s="222"/>
      <c r="M12" s="222"/>
      <c r="N12" s="222"/>
      <c r="O12" s="222"/>
      <c r="P12" s="222"/>
      <c r="Q12" s="249">
        <f t="shared" si="0"/>
        <v>76.92</v>
      </c>
      <c r="R12" s="151" t="str">
        <f t="shared" si="1"/>
        <v>NO</v>
      </c>
      <c r="S12" s="223" t="str">
        <f t="shared" si="2"/>
        <v>Alto</v>
      </c>
      <c r="T12" s="219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0"/>
      <c r="IJ12" s="220"/>
      <c r="IK12" s="220"/>
      <c r="IL12" s="220"/>
      <c r="IM12" s="220"/>
      <c r="IN12" s="220"/>
      <c r="IO12" s="220"/>
      <c r="IP12" s="220"/>
      <c r="IQ12" s="220"/>
      <c r="IR12" s="220"/>
      <c r="IS12" s="220"/>
      <c r="IT12" s="220"/>
      <c r="IU12" s="220"/>
      <c r="IV12" s="220"/>
    </row>
    <row r="13" spans="1:256" ht="32.1" customHeight="1" x14ac:dyDescent="0.2">
      <c r="A13" s="490" t="s">
        <v>4124</v>
      </c>
      <c r="B13" s="160" t="s">
        <v>1749</v>
      </c>
      <c r="C13" s="462" t="s">
        <v>2133</v>
      </c>
      <c r="D13" s="121">
        <v>400</v>
      </c>
      <c r="E13" s="222"/>
      <c r="F13" s="222"/>
      <c r="G13" s="222"/>
      <c r="H13" s="222">
        <v>97.9</v>
      </c>
      <c r="I13" s="222"/>
      <c r="J13" s="222"/>
      <c r="K13" s="222"/>
      <c r="L13" s="222"/>
      <c r="M13" s="222"/>
      <c r="N13" s="222"/>
      <c r="O13" s="222"/>
      <c r="P13" s="222"/>
      <c r="Q13" s="249">
        <f t="shared" si="0"/>
        <v>97.9</v>
      </c>
      <c r="R13" s="151" t="str">
        <f t="shared" si="1"/>
        <v>NO</v>
      </c>
      <c r="S13" s="223" t="str">
        <f t="shared" si="2"/>
        <v>Inviable Sanitariamente</v>
      </c>
      <c r="T13" s="219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0"/>
      <c r="FP13" s="220"/>
      <c r="FQ13" s="220"/>
      <c r="FR13" s="220"/>
      <c r="FS13" s="220"/>
      <c r="FT13" s="220"/>
      <c r="FU13" s="220"/>
      <c r="FV13" s="220"/>
      <c r="FW13" s="220"/>
      <c r="FX13" s="220"/>
      <c r="FY13" s="220"/>
      <c r="FZ13" s="220"/>
      <c r="GA13" s="220"/>
      <c r="GB13" s="220"/>
      <c r="GC13" s="220"/>
      <c r="GD13" s="220"/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  <c r="HH13" s="220"/>
      <c r="HI13" s="220"/>
      <c r="HJ13" s="220"/>
      <c r="HK13" s="220"/>
      <c r="HL13" s="220"/>
      <c r="HM13" s="220"/>
      <c r="HN13" s="220"/>
      <c r="HO13" s="220"/>
      <c r="HP13" s="220"/>
      <c r="HQ13" s="220"/>
      <c r="HR13" s="220"/>
      <c r="HS13" s="220"/>
      <c r="HT13" s="220"/>
      <c r="HU13" s="220"/>
      <c r="HV13" s="220"/>
      <c r="HW13" s="220"/>
      <c r="HX13" s="220"/>
      <c r="HY13" s="220"/>
      <c r="HZ13" s="220"/>
      <c r="IA13" s="220"/>
      <c r="IB13" s="220"/>
      <c r="IC13" s="220"/>
      <c r="ID13" s="220"/>
      <c r="IE13" s="220"/>
      <c r="IF13" s="220"/>
      <c r="IG13" s="220"/>
      <c r="IH13" s="220"/>
      <c r="II13" s="220"/>
      <c r="IJ13" s="220"/>
      <c r="IK13" s="220"/>
      <c r="IL13" s="220"/>
      <c r="IM13" s="220"/>
      <c r="IN13" s="220"/>
      <c r="IO13" s="220"/>
      <c r="IP13" s="220"/>
      <c r="IQ13" s="220"/>
      <c r="IR13" s="220"/>
      <c r="IS13" s="220"/>
      <c r="IT13" s="220"/>
      <c r="IU13" s="220"/>
      <c r="IV13" s="220"/>
    </row>
    <row r="14" spans="1:256" ht="32.1" customHeight="1" x14ac:dyDescent="0.2">
      <c r="A14" s="490" t="s">
        <v>4124</v>
      </c>
      <c r="B14" s="160" t="s">
        <v>1750</v>
      </c>
      <c r="C14" s="463" t="s">
        <v>1751</v>
      </c>
      <c r="D14" s="121">
        <v>297</v>
      </c>
      <c r="E14" s="222">
        <v>19.350000000000001</v>
      </c>
      <c r="F14" s="222">
        <v>90.32</v>
      </c>
      <c r="G14" s="222">
        <v>27.1</v>
      </c>
      <c r="H14" s="222">
        <v>98.06</v>
      </c>
      <c r="I14" s="222">
        <v>17.75</v>
      </c>
      <c r="J14" s="222">
        <v>37.06</v>
      </c>
      <c r="K14" s="222">
        <v>0</v>
      </c>
      <c r="L14" s="222">
        <v>90.32</v>
      </c>
      <c r="M14" s="222">
        <v>19.350000000000001</v>
      </c>
      <c r="N14" s="222">
        <v>19.350000000000001</v>
      </c>
      <c r="O14" s="222">
        <v>19.350000000000001</v>
      </c>
      <c r="P14" s="222">
        <v>19.350000000000001</v>
      </c>
      <c r="Q14" s="249">
        <f t="shared" si="0"/>
        <v>38.113333333333337</v>
      </c>
      <c r="R14" s="151" t="str">
        <f t="shared" si="1"/>
        <v>NO</v>
      </c>
      <c r="S14" s="223" t="str">
        <f t="shared" si="2"/>
        <v>Alto</v>
      </c>
      <c r="T14" s="219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20"/>
      <c r="IB14" s="220"/>
      <c r="IC14" s="220"/>
      <c r="ID14" s="220"/>
      <c r="IE14" s="220"/>
      <c r="IF14" s="220"/>
      <c r="IG14" s="220"/>
      <c r="IH14" s="220"/>
      <c r="II14" s="220"/>
      <c r="IJ14" s="220"/>
      <c r="IK14" s="220"/>
      <c r="IL14" s="220"/>
      <c r="IM14" s="220"/>
      <c r="IN14" s="220"/>
      <c r="IO14" s="220"/>
      <c r="IP14" s="220"/>
      <c r="IQ14" s="220"/>
      <c r="IR14" s="220"/>
      <c r="IS14" s="220"/>
      <c r="IT14" s="220"/>
      <c r="IU14" s="220"/>
      <c r="IV14" s="220"/>
    </row>
    <row r="15" spans="1:256" ht="32.1" customHeight="1" x14ac:dyDescent="0.2">
      <c r="A15" s="490" t="s">
        <v>4124</v>
      </c>
      <c r="B15" s="160" t="s">
        <v>1752</v>
      </c>
      <c r="C15" s="463" t="s">
        <v>1753</v>
      </c>
      <c r="D15" s="121">
        <v>798</v>
      </c>
      <c r="E15" s="222">
        <v>19.350000000000001</v>
      </c>
      <c r="F15" s="222">
        <v>46.45</v>
      </c>
      <c r="G15" s="222">
        <v>19.350000000000001</v>
      </c>
      <c r="H15" s="222">
        <v>19.350000000000001</v>
      </c>
      <c r="I15" s="222"/>
      <c r="J15" s="222">
        <v>19.350000000000001</v>
      </c>
      <c r="K15" s="222">
        <v>27.1</v>
      </c>
      <c r="L15" s="222">
        <v>19.350000000000001</v>
      </c>
      <c r="M15" s="222">
        <v>98.06</v>
      </c>
      <c r="N15" s="222">
        <v>19.350000000000001</v>
      </c>
      <c r="O15" s="222">
        <v>19.350000000000001</v>
      </c>
      <c r="P15" s="222">
        <v>19.350000000000001</v>
      </c>
      <c r="Q15" s="249">
        <f t="shared" si="0"/>
        <v>29.673636363636373</v>
      </c>
      <c r="R15" s="151" t="str">
        <f t="shared" si="1"/>
        <v>NO</v>
      </c>
      <c r="S15" s="223" t="str">
        <f t="shared" si="2"/>
        <v>Medio</v>
      </c>
      <c r="T15" s="219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  <c r="IV15" s="220"/>
    </row>
    <row r="16" spans="1:256" ht="32.1" customHeight="1" x14ac:dyDescent="0.2">
      <c r="A16" s="490" t="s">
        <v>4124</v>
      </c>
      <c r="B16" s="160" t="s">
        <v>1745</v>
      </c>
      <c r="C16" s="463" t="s">
        <v>1754</v>
      </c>
      <c r="D16" s="121">
        <v>96</v>
      </c>
      <c r="E16" s="222">
        <v>19.350000000000001</v>
      </c>
      <c r="F16" s="222">
        <v>19.37</v>
      </c>
      <c r="G16" s="222">
        <v>19.350000000000001</v>
      </c>
      <c r="H16" s="222">
        <v>21.29</v>
      </c>
      <c r="I16" s="222">
        <v>73.53</v>
      </c>
      <c r="J16" s="222">
        <v>19.350000000000001</v>
      </c>
      <c r="K16" s="222">
        <v>90.32</v>
      </c>
      <c r="L16" s="222">
        <v>98.06</v>
      </c>
      <c r="M16" s="222">
        <v>46.45</v>
      </c>
      <c r="N16" s="222">
        <v>19.350000000000001</v>
      </c>
      <c r="O16" s="222">
        <v>19.350000000000001</v>
      </c>
      <c r="P16" s="222">
        <v>19.34</v>
      </c>
      <c r="Q16" s="249">
        <f t="shared" si="0"/>
        <v>38.759166666666665</v>
      </c>
      <c r="R16" s="151" t="str">
        <f t="shared" si="1"/>
        <v>NO</v>
      </c>
      <c r="S16" s="223" t="str">
        <f t="shared" si="2"/>
        <v>Alto</v>
      </c>
      <c r="T16" s="219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  <c r="IV16" s="220"/>
    </row>
    <row r="17" spans="1:256" ht="32.1" customHeight="1" x14ac:dyDescent="0.2">
      <c r="A17" s="490" t="s">
        <v>4124</v>
      </c>
      <c r="B17" s="160" t="s">
        <v>1755</v>
      </c>
      <c r="C17" s="463" t="s">
        <v>1756</v>
      </c>
      <c r="D17" s="121">
        <v>556</v>
      </c>
      <c r="E17" s="222">
        <v>19.350000000000001</v>
      </c>
      <c r="F17" s="222">
        <v>19.350000000000001</v>
      </c>
      <c r="G17" s="222">
        <v>0</v>
      </c>
      <c r="H17" s="222"/>
      <c r="I17" s="222">
        <v>63.91</v>
      </c>
      <c r="J17" s="222">
        <v>52.94</v>
      </c>
      <c r="K17" s="222">
        <v>19.350000000000001</v>
      </c>
      <c r="L17" s="222">
        <v>19.350000000000001</v>
      </c>
      <c r="M17" s="222">
        <v>0</v>
      </c>
      <c r="N17" s="222">
        <v>0</v>
      </c>
      <c r="O17" s="222">
        <v>19.350000000000001</v>
      </c>
      <c r="P17" s="222">
        <v>0</v>
      </c>
      <c r="Q17" s="249">
        <f t="shared" si="0"/>
        <v>19.418181818181818</v>
      </c>
      <c r="R17" s="151" t="str">
        <f t="shared" si="1"/>
        <v>NO</v>
      </c>
      <c r="S17" s="223" t="str">
        <f t="shared" si="2"/>
        <v>Medio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  <c r="IS17" s="220"/>
      <c r="IT17" s="220"/>
      <c r="IU17" s="220"/>
      <c r="IV17" s="220"/>
    </row>
    <row r="18" spans="1:256" ht="32.1" customHeight="1" x14ac:dyDescent="0.2">
      <c r="A18" s="490" t="s">
        <v>4124</v>
      </c>
      <c r="B18" s="160" t="s">
        <v>1757</v>
      </c>
      <c r="C18" s="463" t="s">
        <v>1758</v>
      </c>
      <c r="D18" s="116">
        <v>27</v>
      </c>
      <c r="E18" s="222"/>
      <c r="F18" s="222"/>
      <c r="G18" s="222"/>
      <c r="H18" s="222"/>
      <c r="I18" s="222"/>
      <c r="J18" s="222"/>
      <c r="K18" s="222">
        <v>76.92</v>
      </c>
      <c r="L18" s="222"/>
      <c r="M18" s="222"/>
      <c r="N18" s="222"/>
      <c r="O18" s="222"/>
      <c r="P18" s="222"/>
      <c r="Q18" s="249">
        <f t="shared" si="0"/>
        <v>76.92</v>
      </c>
      <c r="R18" s="151" t="str">
        <f t="shared" si="1"/>
        <v>NO</v>
      </c>
      <c r="S18" s="223" t="str">
        <f t="shared" si="2"/>
        <v>Alto</v>
      </c>
      <c r="T18" s="219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</row>
    <row r="19" spans="1:256" ht="32.1" customHeight="1" x14ac:dyDescent="0.2">
      <c r="A19" s="490" t="s">
        <v>4124</v>
      </c>
      <c r="B19" s="160" t="s">
        <v>1759</v>
      </c>
      <c r="C19" s="463" t="s">
        <v>1760</v>
      </c>
      <c r="D19" s="221">
        <v>47</v>
      </c>
      <c r="E19" s="222"/>
      <c r="F19" s="222"/>
      <c r="G19" s="222">
        <v>76.92</v>
      </c>
      <c r="H19" s="222"/>
      <c r="I19" s="222"/>
      <c r="J19" s="222"/>
      <c r="K19" s="222"/>
      <c r="L19" s="222"/>
      <c r="M19" s="222"/>
      <c r="N19" s="222"/>
      <c r="O19" s="222"/>
      <c r="P19" s="222"/>
      <c r="Q19" s="249">
        <f t="shared" si="0"/>
        <v>76.92</v>
      </c>
      <c r="R19" s="151" t="str">
        <f t="shared" si="1"/>
        <v>NO</v>
      </c>
      <c r="S19" s="223" t="str">
        <f t="shared" si="2"/>
        <v>Alto</v>
      </c>
      <c r="T19" s="219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</row>
    <row r="20" spans="1:256" ht="32.1" customHeight="1" x14ac:dyDescent="0.2">
      <c r="A20" s="490" t="s">
        <v>4124</v>
      </c>
      <c r="B20" s="160" t="s">
        <v>1761</v>
      </c>
      <c r="C20" s="464" t="s">
        <v>2134</v>
      </c>
      <c r="D20" s="121">
        <v>73</v>
      </c>
      <c r="E20" s="222"/>
      <c r="F20" s="222"/>
      <c r="G20" s="222"/>
      <c r="H20" s="222"/>
      <c r="I20" s="222"/>
      <c r="J20" s="222"/>
      <c r="K20" s="222"/>
      <c r="L20" s="222">
        <v>97.9</v>
      </c>
      <c r="M20" s="222"/>
      <c r="N20" s="222"/>
      <c r="O20" s="222"/>
      <c r="P20" s="222"/>
      <c r="Q20" s="249">
        <f t="shared" si="0"/>
        <v>97.9</v>
      </c>
      <c r="R20" s="151" t="str">
        <f t="shared" si="1"/>
        <v>NO</v>
      </c>
      <c r="S20" s="223" t="str">
        <f t="shared" si="2"/>
        <v>Inviable Sanitariamente</v>
      </c>
      <c r="T20" s="219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ht="32.1" customHeight="1" x14ac:dyDescent="0.2">
      <c r="A21" s="490" t="s">
        <v>4124</v>
      </c>
      <c r="B21" s="160" t="s">
        <v>1762</v>
      </c>
      <c r="C21" s="463" t="s">
        <v>1763</v>
      </c>
      <c r="D21" s="116">
        <v>46</v>
      </c>
      <c r="E21" s="222"/>
      <c r="F21" s="222"/>
      <c r="G21" s="222"/>
      <c r="H21" s="222">
        <v>76.900000000000006</v>
      </c>
      <c r="I21" s="222"/>
      <c r="J21" s="222"/>
      <c r="K21" s="222"/>
      <c r="L21" s="222"/>
      <c r="M21" s="222"/>
      <c r="N21" s="222"/>
      <c r="O21" s="222"/>
      <c r="P21" s="222"/>
      <c r="Q21" s="249">
        <f t="shared" si="0"/>
        <v>76.900000000000006</v>
      </c>
      <c r="R21" s="151" t="str">
        <f t="shared" si="1"/>
        <v>NO</v>
      </c>
      <c r="S21" s="223" t="str">
        <f t="shared" si="2"/>
        <v>Alto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ht="32.1" customHeight="1" x14ac:dyDescent="0.2">
      <c r="A22" s="490" t="s">
        <v>4124</v>
      </c>
      <c r="B22" s="160" t="s">
        <v>1764</v>
      </c>
      <c r="C22" s="463" t="s">
        <v>1765</v>
      </c>
      <c r="D22" s="121">
        <v>41</v>
      </c>
      <c r="E22" s="222"/>
      <c r="F22" s="222"/>
      <c r="G22" s="222"/>
      <c r="H22" s="222">
        <v>76.900000000000006</v>
      </c>
      <c r="I22" s="222"/>
      <c r="J22" s="222"/>
      <c r="K22" s="222"/>
      <c r="L22" s="222"/>
      <c r="M22" s="222"/>
      <c r="N22" s="222"/>
      <c r="O22" s="222"/>
      <c r="P22" s="222"/>
      <c r="Q22" s="249">
        <f t="shared" si="0"/>
        <v>76.900000000000006</v>
      </c>
      <c r="R22" s="151" t="str">
        <f t="shared" si="1"/>
        <v>NO</v>
      </c>
      <c r="S22" s="223" t="str">
        <f t="shared" si="2"/>
        <v>Alto</v>
      </c>
      <c r="T22" s="219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  <c r="IQ22" s="220"/>
      <c r="IR22" s="220"/>
      <c r="IS22" s="220"/>
      <c r="IT22" s="220"/>
      <c r="IU22" s="220"/>
      <c r="IV22" s="220"/>
    </row>
    <row r="23" spans="1:256" ht="32.1" customHeight="1" x14ac:dyDescent="0.2">
      <c r="A23" s="490" t="s">
        <v>4124</v>
      </c>
      <c r="B23" s="160" t="s">
        <v>1766</v>
      </c>
      <c r="C23" s="463" t="s">
        <v>1767</v>
      </c>
      <c r="D23" s="121">
        <v>75</v>
      </c>
      <c r="E23" s="222"/>
      <c r="F23" s="222"/>
      <c r="G23" s="222"/>
      <c r="H23" s="222"/>
      <c r="I23" s="222"/>
      <c r="J23" s="222">
        <v>97.9</v>
      </c>
      <c r="K23" s="222"/>
      <c r="L23" s="222"/>
      <c r="M23" s="222"/>
      <c r="N23" s="222"/>
      <c r="O23" s="222"/>
      <c r="P23" s="222"/>
      <c r="Q23" s="249">
        <f t="shared" si="0"/>
        <v>97.9</v>
      </c>
      <c r="R23" s="151" t="str">
        <f t="shared" si="1"/>
        <v>NO</v>
      </c>
      <c r="S23" s="223" t="str">
        <f t="shared" si="2"/>
        <v>Inviable Sanitariamente</v>
      </c>
      <c r="T23" s="219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  <c r="IV23" s="220"/>
    </row>
    <row r="24" spans="1:256" ht="32.1" customHeight="1" x14ac:dyDescent="0.2">
      <c r="A24" s="490" t="s">
        <v>4124</v>
      </c>
      <c r="B24" s="160" t="s">
        <v>1768</v>
      </c>
      <c r="C24" s="464" t="s">
        <v>2135</v>
      </c>
      <c r="D24" s="116">
        <v>93</v>
      </c>
      <c r="E24" s="222"/>
      <c r="F24" s="222"/>
      <c r="G24" s="222"/>
      <c r="H24" s="222">
        <v>97.9</v>
      </c>
      <c r="I24" s="222"/>
      <c r="J24" s="222"/>
      <c r="K24" s="222"/>
      <c r="L24" s="222"/>
      <c r="M24" s="222"/>
      <c r="N24" s="222"/>
      <c r="O24" s="222"/>
      <c r="P24" s="222"/>
      <c r="Q24" s="249">
        <f t="shared" si="0"/>
        <v>97.9</v>
      </c>
      <c r="R24" s="151" t="str">
        <f t="shared" si="1"/>
        <v>NO</v>
      </c>
      <c r="S24" s="223" t="str">
        <f t="shared" si="2"/>
        <v>Inviable Sanitariamente</v>
      </c>
      <c r="T24" s="219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</row>
    <row r="25" spans="1:256" ht="32.1" customHeight="1" x14ac:dyDescent="0.2">
      <c r="A25" s="490" t="s">
        <v>4124</v>
      </c>
      <c r="B25" s="160" t="s">
        <v>1769</v>
      </c>
      <c r="C25" s="465" t="s">
        <v>2136</v>
      </c>
      <c r="D25" s="121">
        <v>22</v>
      </c>
      <c r="E25" s="222"/>
      <c r="F25" s="222"/>
      <c r="G25" s="222"/>
      <c r="H25" s="222">
        <v>76.92</v>
      </c>
      <c r="I25" s="222"/>
      <c r="J25" s="222"/>
      <c r="K25" s="222"/>
      <c r="L25" s="222"/>
      <c r="M25" s="222"/>
      <c r="N25" s="222"/>
      <c r="O25" s="222"/>
      <c r="P25" s="222"/>
      <c r="Q25" s="249">
        <f t="shared" si="0"/>
        <v>76.92</v>
      </c>
      <c r="R25" s="151" t="str">
        <f t="shared" si="1"/>
        <v>NO</v>
      </c>
      <c r="S25" s="223" t="str">
        <f t="shared" si="2"/>
        <v>Alto</v>
      </c>
      <c r="T25" s="219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</row>
    <row r="26" spans="1:256" ht="32.1" customHeight="1" x14ac:dyDescent="0.2">
      <c r="A26" s="490" t="s">
        <v>4124</v>
      </c>
      <c r="B26" s="160" t="s">
        <v>1770</v>
      </c>
      <c r="C26" s="464" t="s">
        <v>2137</v>
      </c>
      <c r="D26" s="121">
        <v>26</v>
      </c>
      <c r="E26" s="222"/>
      <c r="F26" s="222"/>
      <c r="G26" s="222"/>
      <c r="H26" s="222">
        <v>76.92</v>
      </c>
      <c r="I26" s="222"/>
      <c r="J26" s="222"/>
      <c r="K26" s="222"/>
      <c r="L26" s="222">
        <v>97.35</v>
      </c>
      <c r="M26" s="222"/>
      <c r="N26" s="222"/>
      <c r="O26" s="222"/>
      <c r="P26" s="222"/>
      <c r="Q26" s="249">
        <f t="shared" si="0"/>
        <v>87.134999999999991</v>
      </c>
      <c r="R26" s="151" t="str">
        <f t="shared" si="1"/>
        <v>NO</v>
      </c>
      <c r="S26" s="223" t="str">
        <f t="shared" si="2"/>
        <v>Inviable Sanitariamente</v>
      </c>
      <c r="T26" s="219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ht="32.1" customHeight="1" x14ac:dyDescent="0.2">
      <c r="A27" s="490" t="s">
        <v>4124</v>
      </c>
      <c r="B27" s="160" t="s">
        <v>1771</v>
      </c>
      <c r="C27" s="464" t="s">
        <v>2138</v>
      </c>
      <c r="D27" s="121">
        <v>182</v>
      </c>
      <c r="E27" s="222"/>
      <c r="F27" s="222"/>
      <c r="G27" s="222"/>
      <c r="H27" s="222"/>
      <c r="I27" s="222"/>
      <c r="J27" s="222">
        <v>97.9</v>
      </c>
      <c r="K27" s="222"/>
      <c r="L27" s="222"/>
      <c r="M27" s="222"/>
      <c r="N27" s="222"/>
      <c r="O27" s="222"/>
      <c r="P27" s="222"/>
      <c r="Q27" s="249">
        <f t="shared" si="0"/>
        <v>97.9</v>
      </c>
      <c r="R27" s="151" t="str">
        <f t="shared" si="1"/>
        <v>NO</v>
      </c>
      <c r="S27" s="223" t="str">
        <f t="shared" si="2"/>
        <v>Inviable Sanitariamente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  <c r="IV27" s="220"/>
    </row>
    <row r="28" spans="1:256" ht="32.1" customHeight="1" x14ac:dyDescent="0.2">
      <c r="A28" s="490" t="s">
        <v>4124</v>
      </c>
      <c r="B28" s="160" t="s">
        <v>482</v>
      </c>
      <c r="C28" s="464" t="s">
        <v>2139</v>
      </c>
      <c r="D28" s="221">
        <v>25</v>
      </c>
      <c r="E28" s="222"/>
      <c r="F28" s="222"/>
      <c r="G28" s="222">
        <v>76.92</v>
      </c>
      <c r="H28" s="222"/>
      <c r="I28" s="222"/>
      <c r="J28" s="222"/>
      <c r="K28" s="222"/>
      <c r="L28" s="222"/>
      <c r="M28" s="222"/>
      <c r="N28" s="222"/>
      <c r="O28" s="222"/>
      <c r="P28" s="222"/>
      <c r="Q28" s="249">
        <f t="shared" si="0"/>
        <v>76.92</v>
      </c>
      <c r="R28" s="151" t="str">
        <f t="shared" si="1"/>
        <v>NO</v>
      </c>
      <c r="S28" s="223" t="str">
        <f t="shared" si="2"/>
        <v>Alto</v>
      </c>
      <c r="T28" s="219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</row>
    <row r="29" spans="1:256" ht="32.1" customHeight="1" x14ac:dyDescent="0.2">
      <c r="A29" s="490" t="s">
        <v>4124</v>
      </c>
      <c r="B29" s="160" t="s">
        <v>1772</v>
      </c>
      <c r="C29" s="464" t="s">
        <v>2140</v>
      </c>
      <c r="D29" s="221">
        <v>128</v>
      </c>
      <c r="E29" s="222"/>
      <c r="F29" s="222"/>
      <c r="G29" s="222"/>
      <c r="H29" s="222">
        <v>97.9</v>
      </c>
      <c r="I29" s="222"/>
      <c r="J29" s="222"/>
      <c r="K29" s="222"/>
      <c r="L29" s="222">
        <v>97.35</v>
      </c>
      <c r="M29" s="222"/>
      <c r="N29" s="222"/>
      <c r="O29" s="222"/>
      <c r="P29" s="222"/>
      <c r="Q29" s="249">
        <f t="shared" si="0"/>
        <v>97.625</v>
      </c>
      <c r="R29" s="151" t="str">
        <f t="shared" si="1"/>
        <v>NO</v>
      </c>
      <c r="S29" s="223" t="str">
        <f t="shared" si="2"/>
        <v>Inviable Sanitariamente</v>
      </c>
      <c r="T29" s="219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</row>
    <row r="30" spans="1:256" ht="32.1" customHeight="1" x14ac:dyDescent="0.2">
      <c r="A30" s="490" t="s">
        <v>4124</v>
      </c>
      <c r="B30" s="160" t="s">
        <v>1772</v>
      </c>
      <c r="C30" s="463" t="s">
        <v>1773</v>
      </c>
      <c r="D30" s="121">
        <v>96</v>
      </c>
      <c r="E30" s="222"/>
      <c r="F30" s="222"/>
      <c r="G30" s="222"/>
      <c r="H30" s="222">
        <v>97.9</v>
      </c>
      <c r="I30" s="222"/>
      <c r="J30" s="222"/>
      <c r="K30" s="222"/>
      <c r="L30" s="222">
        <v>97.35</v>
      </c>
      <c r="M30" s="222"/>
      <c r="N30" s="222"/>
      <c r="O30" s="222"/>
      <c r="P30" s="222"/>
      <c r="Q30" s="249">
        <f t="shared" si="0"/>
        <v>97.625</v>
      </c>
      <c r="R30" s="151" t="str">
        <f t="shared" si="1"/>
        <v>NO</v>
      </c>
      <c r="S30" s="223" t="str">
        <f t="shared" si="2"/>
        <v>Inviable Sanitariamente</v>
      </c>
      <c r="T30" s="219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ht="32.1" customHeight="1" x14ac:dyDescent="0.2">
      <c r="A31" s="490" t="s">
        <v>4124</v>
      </c>
      <c r="B31" s="160" t="s">
        <v>1774</v>
      </c>
      <c r="C31" s="463" t="s">
        <v>1775</v>
      </c>
      <c r="D31" s="121">
        <v>76</v>
      </c>
      <c r="E31" s="222">
        <v>38.71</v>
      </c>
      <c r="F31" s="222">
        <v>70.97</v>
      </c>
      <c r="G31" s="222">
        <v>70.97</v>
      </c>
      <c r="H31" s="222">
        <v>70.97</v>
      </c>
      <c r="I31" s="222">
        <v>58.82</v>
      </c>
      <c r="J31" s="222">
        <v>70.97</v>
      </c>
      <c r="K31" s="222">
        <v>70.97</v>
      </c>
      <c r="L31" s="222">
        <v>70.97</v>
      </c>
      <c r="M31" s="222">
        <v>90.32</v>
      </c>
      <c r="N31" s="222">
        <v>70.97</v>
      </c>
      <c r="O31" s="222">
        <v>70.97</v>
      </c>
      <c r="P31" s="222">
        <v>70.97</v>
      </c>
      <c r="Q31" s="249">
        <f t="shared" si="0"/>
        <v>68.881666666666675</v>
      </c>
      <c r="R31" s="151" t="str">
        <f t="shared" si="1"/>
        <v>NO</v>
      </c>
      <c r="S31" s="223" t="str">
        <f t="shared" si="2"/>
        <v>Alto</v>
      </c>
      <c r="T31" s="219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</row>
    <row r="32" spans="1:256" ht="32.1" customHeight="1" x14ac:dyDescent="0.2">
      <c r="A32" s="490" t="s">
        <v>4124</v>
      </c>
      <c r="B32" s="160" t="s">
        <v>1776</v>
      </c>
      <c r="C32" s="462" t="s">
        <v>2141</v>
      </c>
      <c r="D32" s="121">
        <v>30</v>
      </c>
      <c r="E32" s="222"/>
      <c r="F32" s="222"/>
      <c r="G32" s="222"/>
      <c r="H32" s="222">
        <v>97.9</v>
      </c>
      <c r="I32" s="222"/>
      <c r="J32" s="222"/>
      <c r="K32" s="222"/>
      <c r="L32" s="222"/>
      <c r="M32" s="222"/>
      <c r="N32" s="222"/>
      <c r="O32" s="222"/>
      <c r="P32" s="222"/>
      <c r="Q32" s="249">
        <f t="shared" si="0"/>
        <v>97.9</v>
      </c>
      <c r="R32" s="151" t="str">
        <f t="shared" si="1"/>
        <v>NO</v>
      </c>
      <c r="S32" s="223" t="str">
        <f t="shared" si="2"/>
        <v>Inviable Sanitariamente</v>
      </c>
      <c r="T32" s="219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</row>
    <row r="33" spans="1:256" ht="32.1" customHeight="1" x14ac:dyDescent="0.2">
      <c r="A33" s="490" t="s">
        <v>4124</v>
      </c>
      <c r="B33" s="160" t="s">
        <v>1777</v>
      </c>
      <c r="C33" s="462" t="s">
        <v>2142</v>
      </c>
      <c r="D33" s="121">
        <v>28</v>
      </c>
      <c r="E33" s="222"/>
      <c r="F33" s="222"/>
      <c r="G33" s="222"/>
      <c r="H33" s="222">
        <v>100</v>
      </c>
      <c r="I33" s="222"/>
      <c r="J33" s="222"/>
      <c r="K33" s="222"/>
      <c r="L33" s="222"/>
      <c r="M33" s="222"/>
      <c r="N33" s="222"/>
      <c r="O33" s="222"/>
      <c r="P33" s="222"/>
      <c r="Q33" s="249">
        <f t="shared" si="0"/>
        <v>100</v>
      </c>
      <c r="R33" s="151" t="str">
        <f t="shared" si="1"/>
        <v>NO</v>
      </c>
      <c r="S33" s="223" t="str">
        <f t="shared" si="2"/>
        <v>Inviable Sanitariamente</v>
      </c>
      <c r="T33" s="219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6" ht="32.1" customHeight="1" x14ac:dyDescent="0.2">
      <c r="A34" s="490" t="s">
        <v>4124</v>
      </c>
      <c r="B34" s="160" t="s">
        <v>1778</v>
      </c>
      <c r="C34" s="464" t="s">
        <v>2143</v>
      </c>
      <c r="D34" s="121">
        <v>45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>
        <v>76.92</v>
      </c>
      <c r="P34" s="222"/>
      <c r="Q34" s="249">
        <f t="shared" si="0"/>
        <v>76.92</v>
      </c>
      <c r="R34" s="151" t="str">
        <f t="shared" si="1"/>
        <v>NO</v>
      </c>
      <c r="S34" s="223" t="str">
        <f t="shared" si="2"/>
        <v>Alto</v>
      </c>
      <c r="T34" s="219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ht="32.1" customHeight="1" x14ac:dyDescent="0.2">
      <c r="A35" s="490" t="s">
        <v>4124</v>
      </c>
      <c r="B35" s="160" t="s">
        <v>1779</v>
      </c>
      <c r="C35" s="465" t="s">
        <v>2144</v>
      </c>
      <c r="D35" s="221">
        <v>45</v>
      </c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>
        <v>97.9</v>
      </c>
      <c r="P35" s="222"/>
      <c r="Q35" s="249">
        <f t="shared" si="0"/>
        <v>97.9</v>
      </c>
      <c r="R35" s="151" t="str">
        <f t="shared" si="1"/>
        <v>NO</v>
      </c>
      <c r="S35" s="223" t="str">
        <f t="shared" si="2"/>
        <v>Inviable Sanitariamente</v>
      </c>
      <c r="T35" s="219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ht="32.1" customHeight="1" x14ac:dyDescent="0.2">
      <c r="A36" s="490" t="s">
        <v>4124</v>
      </c>
      <c r="B36" s="160" t="s">
        <v>1780</v>
      </c>
      <c r="C36" s="465" t="s">
        <v>2145</v>
      </c>
      <c r="D36" s="221">
        <v>655</v>
      </c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>
        <v>97.3</v>
      </c>
      <c r="P36" s="222"/>
      <c r="Q36" s="249">
        <f t="shared" si="0"/>
        <v>97.3</v>
      </c>
      <c r="R36" s="151" t="str">
        <f t="shared" si="1"/>
        <v>NO</v>
      </c>
      <c r="S36" s="223" t="str">
        <f t="shared" si="2"/>
        <v>Inviable Sanitariamente</v>
      </c>
      <c r="T36" s="219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ht="32.1" customHeight="1" x14ac:dyDescent="0.2">
      <c r="A37" s="490" t="s">
        <v>4124</v>
      </c>
      <c r="B37" s="160" t="s">
        <v>1781</v>
      </c>
      <c r="C37" s="466" t="s">
        <v>2146</v>
      </c>
      <c r="D37" s="121">
        <v>365</v>
      </c>
      <c r="E37" s="222"/>
      <c r="F37" s="222"/>
      <c r="G37" s="222"/>
      <c r="H37" s="222">
        <v>97.3</v>
      </c>
      <c r="I37" s="222"/>
      <c r="J37" s="222"/>
      <c r="K37" s="222"/>
      <c r="L37" s="222"/>
      <c r="M37" s="222"/>
      <c r="N37" s="222"/>
      <c r="O37" s="222"/>
      <c r="P37" s="222"/>
      <c r="Q37" s="249">
        <f t="shared" si="0"/>
        <v>97.3</v>
      </c>
      <c r="R37" s="151" t="str">
        <f t="shared" si="1"/>
        <v>NO</v>
      </c>
      <c r="S37" s="223" t="str">
        <f t="shared" si="2"/>
        <v>Inviable Sanitariamente</v>
      </c>
      <c r="T37" s="219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</row>
    <row r="38" spans="1:256" ht="32.1" customHeight="1" x14ac:dyDescent="0.2">
      <c r="A38" s="490" t="s">
        <v>4124</v>
      </c>
      <c r="B38" s="160" t="s">
        <v>2</v>
      </c>
      <c r="C38" s="466" t="s">
        <v>2147</v>
      </c>
      <c r="D38" s="121">
        <v>90</v>
      </c>
      <c r="E38" s="222"/>
      <c r="F38" s="222"/>
      <c r="G38" s="222"/>
      <c r="H38" s="222"/>
      <c r="I38" s="222"/>
      <c r="J38" s="222"/>
      <c r="K38" s="222"/>
      <c r="L38" s="222">
        <v>97</v>
      </c>
      <c r="M38" s="222"/>
      <c r="N38" s="222"/>
      <c r="O38" s="222"/>
      <c r="P38" s="222"/>
      <c r="Q38" s="249">
        <f t="shared" si="0"/>
        <v>97</v>
      </c>
      <c r="R38" s="151" t="str">
        <f t="shared" si="1"/>
        <v>NO</v>
      </c>
      <c r="S38" s="223" t="str">
        <f t="shared" si="2"/>
        <v>Inviable Sanitariamente</v>
      </c>
      <c r="T38" s="219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</row>
    <row r="39" spans="1:256" ht="32.1" customHeight="1" x14ac:dyDescent="0.2">
      <c r="A39" s="490" t="s">
        <v>4124</v>
      </c>
      <c r="B39" s="160" t="s">
        <v>2</v>
      </c>
      <c r="C39" s="464" t="s">
        <v>2148</v>
      </c>
      <c r="D39" s="121">
        <v>254</v>
      </c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>
        <v>97.3</v>
      </c>
      <c r="P39" s="222"/>
      <c r="Q39" s="249">
        <f t="shared" si="0"/>
        <v>97.3</v>
      </c>
      <c r="R39" s="151" t="str">
        <f t="shared" si="1"/>
        <v>NO</v>
      </c>
      <c r="S39" s="223" t="str">
        <f t="shared" si="2"/>
        <v>Inviable Sanitariamente</v>
      </c>
      <c r="T39" s="219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  <c r="IU39" s="220"/>
      <c r="IV39" s="220"/>
    </row>
    <row r="40" spans="1:256" ht="32.1" customHeight="1" x14ac:dyDescent="0.2">
      <c r="A40" s="490" t="s">
        <v>4124</v>
      </c>
      <c r="B40" s="160" t="s">
        <v>1782</v>
      </c>
      <c r="C40" s="464" t="s">
        <v>2149</v>
      </c>
      <c r="D40" s="121">
        <v>208</v>
      </c>
      <c r="E40" s="222"/>
      <c r="F40" s="222"/>
      <c r="G40" s="222"/>
      <c r="H40" s="222"/>
      <c r="I40" s="222"/>
      <c r="J40" s="222"/>
      <c r="K40" s="222"/>
      <c r="L40" s="222"/>
      <c r="M40" s="222">
        <v>97.3</v>
      </c>
      <c r="N40" s="222"/>
      <c r="O40" s="222"/>
      <c r="P40" s="222"/>
      <c r="Q40" s="249">
        <f t="shared" si="0"/>
        <v>97.3</v>
      </c>
      <c r="R40" s="151" t="str">
        <f t="shared" si="1"/>
        <v>NO</v>
      </c>
      <c r="S40" s="223" t="str">
        <f t="shared" si="2"/>
        <v>Inviable Sanitariamente</v>
      </c>
      <c r="T40" s="219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ht="32.1" customHeight="1" x14ac:dyDescent="0.2">
      <c r="A41" s="490" t="s">
        <v>4124</v>
      </c>
      <c r="B41" s="160" t="s">
        <v>1783</v>
      </c>
      <c r="C41" s="463" t="s">
        <v>1784</v>
      </c>
      <c r="D41" s="121">
        <v>35</v>
      </c>
      <c r="E41" s="222"/>
      <c r="F41" s="222"/>
      <c r="G41" s="222">
        <v>76.92</v>
      </c>
      <c r="H41" s="222"/>
      <c r="I41" s="222"/>
      <c r="J41" s="222"/>
      <c r="K41" s="222"/>
      <c r="L41" s="222"/>
      <c r="M41" s="222"/>
      <c r="N41" s="222"/>
      <c r="O41" s="222"/>
      <c r="P41" s="222"/>
      <c r="Q41" s="249">
        <f t="shared" si="0"/>
        <v>76.92</v>
      </c>
      <c r="R41" s="151" t="str">
        <f t="shared" si="1"/>
        <v>NO</v>
      </c>
      <c r="S41" s="223" t="str">
        <f t="shared" si="2"/>
        <v>Alto</v>
      </c>
      <c r="T41" s="219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</row>
    <row r="42" spans="1:256" ht="32.1" customHeight="1" x14ac:dyDescent="0.2">
      <c r="A42" s="490" t="s">
        <v>4124</v>
      </c>
      <c r="B42" s="160" t="s">
        <v>1785</v>
      </c>
      <c r="C42" s="464" t="s">
        <v>2283</v>
      </c>
      <c r="D42" s="121">
        <v>88</v>
      </c>
      <c r="E42" s="222"/>
      <c r="F42" s="222"/>
      <c r="G42" s="222"/>
      <c r="H42" s="222">
        <v>76.900000000000006</v>
      </c>
      <c r="I42" s="222"/>
      <c r="J42" s="222"/>
      <c r="K42" s="222"/>
      <c r="L42" s="222"/>
      <c r="M42" s="222"/>
      <c r="N42" s="222"/>
      <c r="O42" s="222"/>
      <c r="P42" s="222"/>
      <c r="Q42" s="249">
        <f t="shared" si="0"/>
        <v>76.900000000000006</v>
      </c>
      <c r="R42" s="151" t="str">
        <f t="shared" si="1"/>
        <v>NO</v>
      </c>
      <c r="S42" s="223" t="str">
        <f t="shared" si="2"/>
        <v>Alto</v>
      </c>
      <c r="T42" s="219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</row>
    <row r="43" spans="1:256" ht="32.1" customHeight="1" x14ac:dyDescent="0.2">
      <c r="A43" s="490" t="s">
        <v>4124</v>
      </c>
      <c r="B43" s="160" t="s">
        <v>1786</v>
      </c>
      <c r="C43" s="464" t="s">
        <v>2150</v>
      </c>
      <c r="D43" s="121">
        <v>40</v>
      </c>
      <c r="E43" s="222"/>
      <c r="F43" s="222"/>
      <c r="G43" s="222"/>
      <c r="H43" s="222">
        <v>97.9</v>
      </c>
      <c r="I43" s="222"/>
      <c r="J43" s="222"/>
      <c r="K43" s="222"/>
      <c r="L43" s="222"/>
      <c r="M43" s="222"/>
      <c r="N43" s="222"/>
      <c r="O43" s="222"/>
      <c r="P43" s="222"/>
      <c r="Q43" s="249">
        <f t="shared" si="0"/>
        <v>97.9</v>
      </c>
      <c r="R43" s="151" t="str">
        <f t="shared" ref="R43:R74" si="3">IF(Q43&lt;5,"SI","NO")</f>
        <v>NO</v>
      </c>
      <c r="S43" s="223" t="str">
        <f t="shared" si="2"/>
        <v>Inviable Sanitariamente</v>
      </c>
      <c r="T43" s="219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0"/>
      <c r="FL43" s="220"/>
      <c r="FM43" s="220"/>
      <c r="FN43" s="220"/>
      <c r="FO43" s="220"/>
      <c r="FP43" s="220"/>
      <c r="FQ43" s="220"/>
      <c r="FR43" s="220"/>
      <c r="FS43" s="220"/>
      <c r="FT43" s="220"/>
      <c r="FU43" s="220"/>
      <c r="FV43" s="220"/>
      <c r="FW43" s="220"/>
      <c r="FX43" s="220"/>
      <c r="FY43" s="220"/>
      <c r="FZ43" s="220"/>
      <c r="GA43" s="220"/>
      <c r="GB43" s="220"/>
      <c r="GC43" s="220"/>
      <c r="GD43" s="220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  <c r="GO43" s="220"/>
      <c r="GP43" s="220"/>
      <c r="GQ43" s="220"/>
      <c r="GR43" s="220"/>
      <c r="GS43" s="220"/>
      <c r="GT43" s="220"/>
      <c r="GU43" s="220"/>
      <c r="GV43" s="220"/>
      <c r="GW43" s="220"/>
      <c r="GX43" s="220"/>
      <c r="GY43" s="220"/>
      <c r="GZ43" s="220"/>
      <c r="HA43" s="220"/>
      <c r="HB43" s="220"/>
      <c r="HC43" s="220"/>
      <c r="HD43" s="220"/>
      <c r="HE43" s="220"/>
      <c r="HF43" s="220"/>
      <c r="HG43" s="220"/>
      <c r="HH43" s="220"/>
      <c r="HI43" s="220"/>
      <c r="HJ43" s="220"/>
      <c r="HK43" s="220"/>
      <c r="HL43" s="220"/>
      <c r="HM43" s="220"/>
      <c r="HN43" s="220"/>
      <c r="HO43" s="220"/>
      <c r="HP43" s="220"/>
      <c r="HQ43" s="220"/>
      <c r="HR43" s="220"/>
      <c r="HS43" s="220"/>
      <c r="HT43" s="220"/>
      <c r="HU43" s="220"/>
      <c r="HV43" s="220"/>
      <c r="HW43" s="220"/>
      <c r="HX43" s="220"/>
      <c r="HY43" s="220"/>
      <c r="HZ43" s="220"/>
      <c r="IA43" s="220"/>
      <c r="IB43" s="220"/>
      <c r="IC43" s="220"/>
      <c r="ID43" s="220"/>
      <c r="IE43" s="220"/>
      <c r="IF43" s="220"/>
      <c r="IG43" s="220"/>
      <c r="IH43" s="220"/>
      <c r="II43" s="220"/>
      <c r="IJ43" s="220"/>
      <c r="IK43" s="220"/>
      <c r="IL43" s="220"/>
      <c r="IM43" s="220"/>
      <c r="IN43" s="220"/>
      <c r="IO43" s="220"/>
      <c r="IP43" s="220"/>
      <c r="IQ43" s="220"/>
      <c r="IR43" s="220"/>
      <c r="IS43" s="220"/>
      <c r="IT43" s="220"/>
      <c r="IU43" s="220"/>
      <c r="IV43" s="220"/>
    </row>
    <row r="44" spans="1:256" ht="32.1" customHeight="1" x14ac:dyDescent="0.2">
      <c r="A44" s="490" t="s">
        <v>4124</v>
      </c>
      <c r="B44" s="160" t="s">
        <v>1787</v>
      </c>
      <c r="C44" s="463" t="s">
        <v>1788</v>
      </c>
      <c r="D44" s="221">
        <v>111</v>
      </c>
      <c r="E44" s="222"/>
      <c r="F44" s="222"/>
      <c r="G44" s="222"/>
      <c r="H44" s="222"/>
      <c r="I44" s="222"/>
      <c r="J44" s="222"/>
      <c r="K44" s="222">
        <v>76.92</v>
      </c>
      <c r="L44" s="222"/>
      <c r="M44" s="222"/>
      <c r="N44" s="222"/>
      <c r="O44" s="222"/>
      <c r="P44" s="222"/>
      <c r="Q44" s="249">
        <f t="shared" si="0"/>
        <v>76.92</v>
      </c>
      <c r="R44" s="151" t="str">
        <f t="shared" si="3"/>
        <v>NO</v>
      </c>
      <c r="S44" s="223" t="str">
        <f t="shared" si="2"/>
        <v>Alto</v>
      </c>
      <c r="T44" s="219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  <c r="FL44" s="220"/>
      <c r="FM44" s="220"/>
      <c r="FN44" s="220"/>
      <c r="FO44" s="220"/>
      <c r="FP44" s="220"/>
      <c r="FQ44" s="220"/>
      <c r="FR44" s="220"/>
      <c r="FS44" s="220"/>
      <c r="FT44" s="220"/>
      <c r="FU44" s="220"/>
      <c r="FV44" s="220"/>
      <c r="FW44" s="220"/>
      <c r="FX44" s="220"/>
      <c r="FY44" s="220"/>
      <c r="FZ44" s="220"/>
      <c r="GA44" s="220"/>
      <c r="GB44" s="220"/>
      <c r="GC44" s="220"/>
      <c r="GD44" s="220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  <c r="GO44" s="220"/>
      <c r="GP44" s="220"/>
      <c r="GQ44" s="220"/>
      <c r="GR44" s="220"/>
      <c r="GS44" s="220"/>
      <c r="GT44" s="220"/>
      <c r="GU44" s="220"/>
      <c r="GV44" s="220"/>
      <c r="GW44" s="220"/>
      <c r="GX44" s="220"/>
      <c r="GY44" s="220"/>
      <c r="GZ44" s="220"/>
      <c r="HA44" s="220"/>
      <c r="HB44" s="220"/>
      <c r="HC44" s="220"/>
      <c r="HD44" s="220"/>
      <c r="HE44" s="220"/>
      <c r="HF44" s="220"/>
      <c r="HG44" s="220"/>
      <c r="HH44" s="220"/>
      <c r="HI44" s="220"/>
      <c r="HJ44" s="220"/>
      <c r="HK44" s="220"/>
      <c r="HL44" s="220"/>
      <c r="HM44" s="220"/>
      <c r="HN44" s="220"/>
      <c r="HO44" s="220"/>
      <c r="HP44" s="220"/>
      <c r="HQ44" s="220"/>
      <c r="HR44" s="220"/>
      <c r="HS44" s="220"/>
      <c r="HT44" s="220"/>
      <c r="HU44" s="220"/>
      <c r="HV44" s="220"/>
      <c r="HW44" s="220"/>
      <c r="HX44" s="220"/>
      <c r="HY44" s="220"/>
      <c r="HZ44" s="220"/>
      <c r="IA44" s="220"/>
      <c r="IB44" s="220"/>
      <c r="IC44" s="220"/>
      <c r="ID44" s="220"/>
      <c r="IE44" s="220"/>
      <c r="IF44" s="220"/>
      <c r="IG44" s="220"/>
      <c r="IH44" s="220"/>
      <c r="II44" s="220"/>
      <c r="IJ44" s="220"/>
      <c r="IK44" s="220"/>
      <c r="IL44" s="220"/>
      <c r="IM44" s="220"/>
      <c r="IN44" s="220"/>
      <c r="IO44" s="220"/>
      <c r="IP44" s="220"/>
      <c r="IQ44" s="220"/>
      <c r="IR44" s="220"/>
      <c r="IS44" s="220"/>
      <c r="IT44" s="220"/>
      <c r="IU44" s="220"/>
      <c r="IV44" s="220"/>
    </row>
    <row r="45" spans="1:256" ht="32.1" customHeight="1" x14ac:dyDescent="0.2">
      <c r="A45" s="490" t="s">
        <v>164</v>
      </c>
      <c r="B45" s="160" t="s">
        <v>58</v>
      </c>
      <c r="C45" s="463" t="s">
        <v>1790</v>
      </c>
      <c r="D45" s="121">
        <v>940</v>
      </c>
      <c r="E45" s="222"/>
      <c r="F45" s="222"/>
      <c r="G45" s="222"/>
      <c r="H45" s="222"/>
      <c r="I45" s="222">
        <v>86.87</v>
      </c>
      <c r="J45" s="222"/>
      <c r="K45" s="222"/>
      <c r="L45" s="222"/>
      <c r="M45" s="222"/>
      <c r="N45" s="222"/>
      <c r="O45" s="222"/>
      <c r="P45" s="222"/>
      <c r="Q45" s="249">
        <f t="shared" si="0"/>
        <v>86.87</v>
      </c>
      <c r="R45" s="151" t="str">
        <f t="shared" si="3"/>
        <v>NO</v>
      </c>
      <c r="S45" s="223" t="str">
        <f t="shared" si="2"/>
        <v>Inviable Sanitariamente</v>
      </c>
      <c r="T45" s="15"/>
    </row>
    <row r="46" spans="1:256" ht="32.1" customHeight="1" x14ac:dyDescent="0.2">
      <c r="A46" s="490" t="s">
        <v>164</v>
      </c>
      <c r="B46" s="160" t="s">
        <v>1791</v>
      </c>
      <c r="C46" s="463" t="s">
        <v>1792</v>
      </c>
      <c r="D46" s="121">
        <v>960</v>
      </c>
      <c r="E46" s="222"/>
      <c r="F46" s="222"/>
      <c r="G46" s="222"/>
      <c r="H46" s="222">
        <v>89.87</v>
      </c>
      <c r="I46" s="222"/>
      <c r="J46" s="222"/>
      <c r="K46" s="222"/>
      <c r="L46" s="222"/>
      <c r="M46" s="222"/>
      <c r="N46" s="222"/>
      <c r="O46" s="222"/>
      <c r="P46" s="222"/>
      <c r="Q46" s="249">
        <f t="shared" si="0"/>
        <v>89.87</v>
      </c>
      <c r="R46" s="151" t="str">
        <f t="shared" si="3"/>
        <v>NO</v>
      </c>
      <c r="S46" s="223" t="str">
        <f t="shared" si="2"/>
        <v>Inviable Sanitariamente</v>
      </c>
      <c r="T46" s="15"/>
    </row>
    <row r="47" spans="1:256" ht="32.1" customHeight="1" x14ac:dyDescent="0.2">
      <c r="A47" s="490" t="s">
        <v>164</v>
      </c>
      <c r="B47" s="519" t="s">
        <v>1795</v>
      </c>
      <c r="C47" s="465" t="s">
        <v>1796</v>
      </c>
      <c r="D47" s="250">
        <v>680</v>
      </c>
      <c r="E47" s="222"/>
      <c r="F47" s="222"/>
      <c r="G47" s="222"/>
      <c r="H47" s="222"/>
      <c r="I47" s="222"/>
      <c r="J47" s="222">
        <v>83.7</v>
      </c>
      <c r="K47" s="222"/>
      <c r="L47" s="222"/>
      <c r="M47" s="222"/>
      <c r="N47" s="222"/>
      <c r="O47" s="222"/>
      <c r="P47" s="222"/>
      <c r="Q47" s="249">
        <f t="shared" si="0"/>
        <v>83.7</v>
      </c>
      <c r="R47" s="151" t="str">
        <f t="shared" si="3"/>
        <v>NO</v>
      </c>
      <c r="S47" s="223" t="str">
        <f t="shared" si="2"/>
        <v>Inviable Sanitariamente</v>
      </c>
      <c r="T47" s="15"/>
    </row>
    <row r="48" spans="1:256" ht="32.1" customHeight="1" x14ac:dyDescent="0.2">
      <c r="A48" s="490" t="s">
        <v>164</v>
      </c>
      <c r="B48" s="520" t="s">
        <v>1797</v>
      </c>
      <c r="C48" s="464" t="s">
        <v>1798</v>
      </c>
      <c r="D48" s="221">
        <v>160</v>
      </c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472" t="s">
        <v>2095</v>
      </c>
      <c r="P48" s="222"/>
      <c r="Q48" s="474">
        <v>88.67</v>
      </c>
      <c r="R48" s="151" t="str">
        <f t="shared" si="3"/>
        <v>NO</v>
      </c>
      <c r="S48" s="223" t="str">
        <f t="shared" si="2"/>
        <v>Inviable Sanitariamente</v>
      </c>
      <c r="T48" s="15"/>
    </row>
    <row r="49" spans="1:20" ht="32.1" customHeight="1" x14ac:dyDescent="0.2">
      <c r="A49" s="490" t="s">
        <v>164</v>
      </c>
      <c r="B49" s="520" t="s">
        <v>1799</v>
      </c>
      <c r="C49" s="464" t="s">
        <v>1800</v>
      </c>
      <c r="D49" s="121">
        <v>1350</v>
      </c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474" t="e">
        <f t="shared" si="0"/>
        <v>#DIV/0!</v>
      </c>
      <c r="R49" s="151" t="e">
        <f t="shared" si="3"/>
        <v>#DIV/0!</v>
      </c>
      <c r="S49" s="223" t="e">
        <f t="shared" si="2"/>
        <v>#DIV/0!</v>
      </c>
      <c r="T49" s="15"/>
    </row>
    <row r="50" spans="1:20" ht="32.1" customHeight="1" x14ac:dyDescent="0.2">
      <c r="A50" s="490" t="s">
        <v>164</v>
      </c>
      <c r="B50" s="520" t="s">
        <v>1801</v>
      </c>
      <c r="C50" s="464" t="s">
        <v>1802</v>
      </c>
      <c r="D50" s="221">
        <v>1350</v>
      </c>
      <c r="E50" s="222"/>
      <c r="F50" s="222"/>
      <c r="G50" s="222"/>
      <c r="H50" s="222"/>
      <c r="I50" s="222"/>
      <c r="J50" s="222"/>
      <c r="K50" s="222"/>
      <c r="L50" s="475" t="s">
        <v>2096</v>
      </c>
      <c r="M50" s="222"/>
      <c r="N50" s="222"/>
      <c r="O50" s="222"/>
      <c r="P50" s="222"/>
      <c r="Q50" s="474">
        <v>70.77</v>
      </c>
      <c r="R50" s="151" t="str">
        <f t="shared" si="3"/>
        <v>NO</v>
      </c>
      <c r="S50" s="223" t="str">
        <f t="shared" si="2"/>
        <v>Alto</v>
      </c>
      <c r="T50" s="15"/>
    </row>
    <row r="51" spans="1:20" ht="32.1" customHeight="1" x14ac:dyDescent="0.2">
      <c r="A51" s="490" t="s">
        <v>164</v>
      </c>
      <c r="B51" s="521" t="s">
        <v>1805</v>
      </c>
      <c r="C51" s="465" t="s">
        <v>2097</v>
      </c>
      <c r="D51" s="121">
        <v>102</v>
      </c>
      <c r="E51" s="222"/>
      <c r="F51" s="222"/>
      <c r="G51" s="222"/>
      <c r="H51" s="222"/>
      <c r="I51" s="222"/>
      <c r="J51" s="222"/>
      <c r="K51" s="222"/>
      <c r="L51" s="222"/>
      <c r="M51" s="222"/>
      <c r="N51" s="472" t="s">
        <v>2098</v>
      </c>
      <c r="O51" s="222"/>
      <c r="P51" s="222"/>
      <c r="Q51" s="474">
        <v>88.87</v>
      </c>
      <c r="R51" s="151" t="str">
        <f t="shared" si="3"/>
        <v>NO</v>
      </c>
      <c r="S51" s="223" t="str">
        <f t="shared" si="2"/>
        <v>Inviable Sanitariamente</v>
      </c>
      <c r="T51" s="15"/>
    </row>
    <row r="52" spans="1:20" ht="32.1" customHeight="1" x14ac:dyDescent="0.2">
      <c r="A52" s="490" t="s">
        <v>164</v>
      </c>
      <c r="B52" s="520" t="s">
        <v>1806</v>
      </c>
      <c r="C52" s="465" t="s">
        <v>2099</v>
      </c>
      <c r="D52" s="121">
        <v>140</v>
      </c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474" t="e">
        <f t="shared" si="0"/>
        <v>#DIV/0!</v>
      </c>
      <c r="R52" s="151" t="e">
        <f t="shared" si="3"/>
        <v>#DIV/0!</v>
      </c>
      <c r="S52" s="223" t="e">
        <f t="shared" si="2"/>
        <v>#DIV/0!</v>
      </c>
      <c r="T52" s="15"/>
    </row>
    <row r="53" spans="1:20" ht="32.1" customHeight="1" x14ac:dyDescent="0.2">
      <c r="A53" s="490" t="s">
        <v>164</v>
      </c>
      <c r="B53" s="520" t="s">
        <v>735</v>
      </c>
      <c r="C53" s="464" t="s">
        <v>2100</v>
      </c>
      <c r="D53" s="230">
        <v>98</v>
      </c>
      <c r="E53" s="222"/>
      <c r="F53" s="222"/>
      <c r="G53" s="222"/>
      <c r="H53" s="222"/>
      <c r="I53" s="222"/>
      <c r="J53" s="222"/>
      <c r="K53" s="222"/>
      <c r="L53" s="222"/>
      <c r="M53" s="222"/>
      <c r="N53" s="472" t="s">
        <v>2101</v>
      </c>
      <c r="O53" s="222"/>
      <c r="P53" s="222"/>
      <c r="Q53" s="474">
        <v>88.07</v>
      </c>
      <c r="R53" s="151" t="str">
        <f t="shared" si="3"/>
        <v>NO</v>
      </c>
      <c r="S53" s="223" t="str">
        <f t="shared" si="2"/>
        <v>Inviable Sanitariamente</v>
      </c>
      <c r="T53" s="15"/>
    </row>
    <row r="54" spans="1:20" ht="32.1" customHeight="1" x14ac:dyDescent="0.2">
      <c r="A54" s="490" t="s">
        <v>164</v>
      </c>
      <c r="B54" s="520" t="s">
        <v>1807</v>
      </c>
      <c r="C54" s="464" t="s">
        <v>1808</v>
      </c>
      <c r="D54" s="155">
        <v>1350</v>
      </c>
      <c r="E54" s="222"/>
      <c r="F54" s="222"/>
      <c r="G54" s="222"/>
      <c r="H54" s="222"/>
      <c r="I54" s="222"/>
      <c r="J54" s="222"/>
      <c r="K54" s="222"/>
      <c r="L54" s="475" t="s">
        <v>2102</v>
      </c>
      <c r="M54" s="222"/>
      <c r="N54" s="222"/>
      <c r="O54" s="222"/>
      <c r="P54" s="222"/>
      <c r="Q54" s="474">
        <v>69.7</v>
      </c>
      <c r="R54" s="151" t="str">
        <f t="shared" si="3"/>
        <v>NO</v>
      </c>
      <c r="S54" s="223" t="str">
        <f t="shared" si="2"/>
        <v>Alto</v>
      </c>
      <c r="T54" s="15"/>
    </row>
    <row r="55" spans="1:20" ht="32.1" customHeight="1" x14ac:dyDescent="0.2">
      <c r="A55" s="490" t="s">
        <v>164</v>
      </c>
      <c r="B55" s="520" t="s">
        <v>1217</v>
      </c>
      <c r="C55" s="464" t="s">
        <v>2103</v>
      </c>
      <c r="D55" s="116">
        <v>45</v>
      </c>
      <c r="E55" s="222"/>
      <c r="F55" s="222"/>
      <c r="G55" s="222"/>
      <c r="H55" s="222"/>
      <c r="I55" s="222"/>
      <c r="J55" s="222"/>
      <c r="K55" s="222"/>
      <c r="L55" s="222"/>
      <c r="M55" s="222"/>
      <c r="N55" s="472" t="s">
        <v>2095</v>
      </c>
      <c r="O55" s="222"/>
      <c r="P55" s="222"/>
      <c r="Q55" s="474">
        <v>88.67</v>
      </c>
      <c r="R55" s="151" t="str">
        <f t="shared" si="3"/>
        <v>NO</v>
      </c>
      <c r="S55" s="223" t="str">
        <f t="shared" si="2"/>
        <v>Inviable Sanitariamente</v>
      </c>
      <c r="T55" s="15"/>
    </row>
    <row r="56" spans="1:20" ht="32.1" customHeight="1" x14ac:dyDescent="0.2">
      <c r="A56" s="490" t="s">
        <v>164</v>
      </c>
      <c r="B56" s="520" t="s">
        <v>1809</v>
      </c>
      <c r="C56" s="464" t="s">
        <v>1810</v>
      </c>
      <c r="D56" s="121">
        <v>99</v>
      </c>
      <c r="E56" s="222"/>
      <c r="F56" s="222"/>
      <c r="G56" s="222"/>
      <c r="H56" s="222"/>
      <c r="I56" s="222"/>
      <c r="J56" s="222"/>
      <c r="K56" s="475" t="s">
        <v>2104</v>
      </c>
      <c r="L56" s="222"/>
      <c r="M56" s="222"/>
      <c r="N56" s="222"/>
      <c r="O56" s="222"/>
      <c r="P56" s="222"/>
      <c r="Q56" s="474">
        <v>76.64</v>
      </c>
      <c r="R56" s="151" t="str">
        <f t="shared" si="3"/>
        <v>NO</v>
      </c>
      <c r="S56" s="223" t="str">
        <f t="shared" si="2"/>
        <v>Alto</v>
      </c>
      <c r="T56" s="15"/>
    </row>
    <row r="57" spans="1:20" ht="32.1" customHeight="1" x14ac:dyDescent="0.2">
      <c r="A57" s="490" t="s">
        <v>164</v>
      </c>
      <c r="B57" s="520" t="s">
        <v>1812</v>
      </c>
      <c r="C57" s="464" t="s">
        <v>1813</v>
      </c>
      <c r="D57" s="155">
        <v>1350</v>
      </c>
      <c r="E57" s="222"/>
      <c r="F57" s="222"/>
      <c r="G57" s="222"/>
      <c r="H57" s="222"/>
      <c r="I57" s="222"/>
      <c r="J57" s="222"/>
      <c r="K57" s="222"/>
      <c r="L57" s="222"/>
      <c r="M57" s="222"/>
      <c r="N57" s="473" t="s">
        <v>2105</v>
      </c>
      <c r="O57" s="222"/>
      <c r="P57" s="222"/>
      <c r="Q57" s="474">
        <v>32.17</v>
      </c>
      <c r="R57" s="151" t="str">
        <f t="shared" si="3"/>
        <v>NO</v>
      </c>
      <c r="S57" s="223" t="str">
        <f t="shared" si="2"/>
        <v>Medio</v>
      </c>
      <c r="T57" s="15"/>
    </row>
    <row r="58" spans="1:20" ht="32.1" customHeight="1" x14ac:dyDescent="0.2">
      <c r="A58" s="490" t="s">
        <v>164</v>
      </c>
      <c r="B58" s="520" t="s">
        <v>1814</v>
      </c>
      <c r="C58" s="464" t="s">
        <v>1815</v>
      </c>
      <c r="D58" s="121">
        <v>89</v>
      </c>
      <c r="E58" s="222"/>
      <c r="F58" s="222"/>
      <c r="G58" s="222"/>
      <c r="H58" s="222"/>
      <c r="I58" s="222"/>
      <c r="J58" s="222">
        <v>88.07</v>
      </c>
      <c r="K58" s="222"/>
      <c r="L58" s="222"/>
      <c r="M58" s="222"/>
      <c r="N58" s="222"/>
      <c r="O58" s="222"/>
      <c r="P58" s="222"/>
      <c r="Q58" s="249">
        <f t="shared" si="0"/>
        <v>88.07</v>
      </c>
      <c r="R58" s="151" t="str">
        <f t="shared" si="3"/>
        <v>NO</v>
      </c>
      <c r="S58" s="223" t="str">
        <f t="shared" si="2"/>
        <v>Inviable Sanitariamente</v>
      </c>
      <c r="T58" s="15"/>
    </row>
    <row r="59" spans="1:20" ht="32.1" customHeight="1" x14ac:dyDescent="0.2">
      <c r="A59" s="490" t="s">
        <v>164</v>
      </c>
      <c r="B59" s="520" t="s">
        <v>1816</v>
      </c>
      <c r="C59" s="464" t="s">
        <v>1817</v>
      </c>
      <c r="D59" s="221">
        <v>230</v>
      </c>
      <c r="E59" s="222"/>
      <c r="F59" s="222"/>
      <c r="G59" s="222"/>
      <c r="H59" s="222"/>
      <c r="I59" s="222"/>
      <c r="J59" s="222">
        <v>90.17</v>
      </c>
      <c r="K59" s="222"/>
      <c r="L59" s="222"/>
      <c r="M59" s="222"/>
      <c r="N59" s="222"/>
      <c r="O59" s="222"/>
      <c r="P59" s="222"/>
      <c r="Q59" s="249">
        <f t="shared" si="0"/>
        <v>90.17</v>
      </c>
      <c r="R59" s="151" t="str">
        <f t="shared" si="3"/>
        <v>NO</v>
      </c>
      <c r="S59" s="223" t="str">
        <f t="shared" si="2"/>
        <v>Inviable Sanitariamente</v>
      </c>
      <c r="T59" s="15"/>
    </row>
    <row r="60" spans="1:20" ht="32.1" customHeight="1" x14ac:dyDescent="0.2">
      <c r="A60" s="490" t="s">
        <v>164</v>
      </c>
      <c r="B60" s="520" t="s">
        <v>1818</v>
      </c>
      <c r="C60" s="467" t="s">
        <v>1819</v>
      </c>
      <c r="D60" s="121">
        <v>72</v>
      </c>
      <c r="E60" s="222"/>
      <c r="F60" s="222"/>
      <c r="G60" s="222"/>
      <c r="H60" s="222"/>
      <c r="I60" s="222"/>
      <c r="J60" s="222"/>
      <c r="K60" s="472" t="s">
        <v>2106</v>
      </c>
      <c r="L60" s="222"/>
      <c r="M60" s="222"/>
      <c r="N60" s="222"/>
      <c r="O60" s="222"/>
      <c r="P60" s="222"/>
      <c r="Q60" s="249">
        <v>91.97</v>
      </c>
      <c r="R60" s="151" t="str">
        <f t="shared" si="3"/>
        <v>NO</v>
      </c>
      <c r="S60" s="223" t="str">
        <f t="shared" si="2"/>
        <v>Inviable Sanitariamente</v>
      </c>
      <c r="T60" s="15"/>
    </row>
    <row r="61" spans="1:20" ht="32.1" customHeight="1" x14ac:dyDescent="0.2">
      <c r="A61" s="490" t="s">
        <v>164</v>
      </c>
      <c r="B61" s="520" t="s">
        <v>688</v>
      </c>
      <c r="C61" s="464" t="s">
        <v>1820</v>
      </c>
      <c r="D61" s="121">
        <v>1350</v>
      </c>
      <c r="E61" s="222"/>
      <c r="F61" s="222"/>
      <c r="G61" s="222"/>
      <c r="H61" s="222"/>
      <c r="I61" s="222"/>
      <c r="J61" s="222"/>
      <c r="K61" s="222"/>
      <c r="L61" s="473" t="s">
        <v>2107</v>
      </c>
      <c r="M61" s="222"/>
      <c r="N61" s="222"/>
      <c r="O61" s="222"/>
      <c r="P61" s="222"/>
      <c r="Q61" s="249">
        <v>22.1</v>
      </c>
      <c r="R61" s="151" t="str">
        <f t="shared" si="3"/>
        <v>NO</v>
      </c>
      <c r="S61" s="223" t="str">
        <f t="shared" si="2"/>
        <v>Medio</v>
      </c>
      <c r="T61" s="15"/>
    </row>
    <row r="62" spans="1:20" ht="32.1" customHeight="1" x14ac:dyDescent="0.2">
      <c r="A62" s="490" t="s">
        <v>164</v>
      </c>
      <c r="B62" s="520" t="s">
        <v>58</v>
      </c>
      <c r="C62" s="464" t="s">
        <v>1821</v>
      </c>
      <c r="D62" s="155">
        <v>45</v>
      </c>
      <c r="E62" s="222"/>
      <c r="F62" s="222"/>
      <c r="G62" s="222"/>
      <c r="H62" s="222"/>
      <c r="I62" s="222"/>
      <c r="J62" s="222">
        <v>89.87</v>
      </c>
      <c r="K62" s="222"/>
      <c r="L62" s="222"/>
      <c r="M62" s="222"/>
      <c r="N62" s="222"/>
      <c r="O62" s="222"/>
      <c r="P62" s="222"/>
      <c r="Q62" s="249">
        <f t="shared" si="0"/>
        <v>89.87</v>
      </c>
      <c r="R62" s="151" t="str">
        <f t="shared" si="3"/>
        <v>NO</v>
      </c>
      <c r="S62" s="223" t="str">
        <f t="shared" si="2"/>
        <v>Inviable Sanitariamente</v>
      </c>
      <c r="T62" s="15"/>
    </row>
    <row r="63" spans="1:20" ht="32.1" customHeight="1" x14ac:dyDescent="0.2">
      <c r="A63" s="490" t="s">
        <v>164</v>
      </c>
      <c r="B63" s="520" t="s">
        <v>1822</v>
      </c>
      <c r="C63" s="464" t="s">
        <v>1823</v>
      </c>
      <c r="D63" s="155">
        <v>1350</v>
      </c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49" t="e">
        <f t="shared" si="0"/>
        <v>#DIV/0!</v>
      </c>
      <c r="R63" s="151" t="e">
        <f t="shared" si="3"/>
        <v>#DIV/0!</v>
      </c>
      <c r="S63" s="223" t="e">
        <f t="shared" si="2"/>
        <v>#DIV/0!</v>
      </c>
      <c r="T63" s="15"/>
    </row>
    <row r="64" spans="1:20" ht="32.1" customHeight="1" x14ac:dyDescent="0.2">
      <c r="A64" s="490" t="s">
        <v>164</v>
      </c>
      <c r="B64" s="520" t="s">
        <v>1824</v>
      </c>
      <c r="C64" s="464" t="s">
        <v>1825</v>
      </c>
      <c r="D64" s="121">
        <v>1350</v>
      </c>
      <c r="E64" s="222"/>
      <c r="F64" s="222"/>
      <c r="G64" s="222"/>
      <c r="H64" s="222"/>
      <c r="I64" s="222"/>
      <c r="J64" s="222"/>
      <c r="K64" s="222"/>
      <c r="L64" s="222"/>
      <c r="M64" s="222"/>
      <c r="N64" s="475" t="s">
        <v>2108</v>
      </c>
      <c r="O64" s="222"/>
      <c r="P64" s="222"/>
      <c r="Q64" s="249">
        <v>73.77</v>
      </c>
      <c r="R64" s="151" t="str">
        <f t="shared" si="3"/>
        <v>NO</v>
      </c>
      <c r="S64" s="223" t="str">
        <f t="shared" si="2"/>
        <v>Alto</v>
      </c>
      <c r="T64" s="15"/>
    </row>
    <row r="65" spans="1:20" ht="32.1" customHeight="1" x14ac:dyDescent="0.2">
      <c r="A65" s="490" t="s">
        <v>164</v>
      </c>
      <c r="B65" s="520" t="s">
        <v>1807</v>
      </c>
      <c r="C65" s="464" t="s">
        <v>1826</v>
      </c>
      <c r="D65" s="155">
        <v>110</v>
      </c>
      <c r="E65" s="222"/>
      <c r="F65" s="222"/>
      <c r="G65" s="222"/>
      <c r="H65" s="222"/>
      <c r="I65" s="222">
        <v>89.57</v>
      </c>
      <c r="J65" s="222"/>
      <c r="K65" s="222"/>
      <c r="L65" s="222"/>
      <c r="M65" s="222"/>
      <c r="N65" s="222"/>
      <c r="O65" s="222"/>
      <c r="P65" s="222"/>
      <c r="Q65" s="249">
        <f t="shared" si="0"/>
        <v>89.57</v>
      </c>
      <c r="R65" s="151" t="str">
        <f t="shared" si="3"/>
        <v>NO</v>
      </c>
      <c r="S65" s="223" t="str">
        <f t="shared" si="2"/>
        <v>Inviable Sanitariamente</v>
      </c>
      <c r="T65" s="15"/>
    </row>
    <row r="66" spans="1:20" ht="32.1" customHeight="1" x14ac:dyDescent="0.2">
      <c r="A66" s="490" t="s">
        <v>164</v>
      </c>
      <c r="B66" s="520" t="s">
        <v>1827</v>
      </c>
      <c r="C66" s="464" t="s">
        <v>1828</v>
      </c>
      <c r="D66" s="155">
        <v>1350</v>
      </c>
      <c r="E66" s="222"/>
      <c r="F66" s="222"/>
      <c r="G66" s="222"/>
      <c r="H66" s="222"/>
      <c r="I66" s="222"/>
      <c r="J66" s="222"/>
      <c r="K66" s="222"/>
      <c r="L66" s="222"/>
      <c r="M66" s="222"/>
      <c r="N66" s="475" t="s">
        <v>2109</v>
      </c>
      <c r="O66" s="222"/>
      <c r="P66" s="222"/>
      <c r="Q66" s="249">
        <v>66.2</v>
      </c>
      <c r="R66" s="151" t="str">
        <f t="shared" si="3"/>
        <v>NO</v>
      </c>
      <c r="S66" s="223" t="str">
        <f t="shared" si="2"/>
        <v>Alto</v>
      </c>
      <c r="T66" s="15"/>
    </row>
    <row r="67" spans="1:20" ht="32.1" customHeight="1" x14ac:dyDescent="0.2">
      <c r="A67" s="490" t="s">
        <v>164</v>
      </c>
      <c r="B67" s="520" t="s">
        <v>1829</v>
      </c>
      <c r="C67" s="464" t="s">
        <v>2110</v>
      </c>
      <c r="D67" s="155">
        <v>60</v>
      </c>
      <c r="E67" s="222"/>
      <c r="F67" s="222"/>
      <c r="G67" s="222"/>
      <c r="H67" s="222"/>
      <c r="I67" s="222"/>
      <c r="J67" s="222"/>
      <c r="K67" s="222"/>
      <c r="L67" s="222"/>
      <c r="M67" s="222"/>
      <c r="N67" s="472" t="s">
        <v>2111</v>
      </c>
      <c r="O67" s="222"/>
      <c r="P67" s="222"/>
      <c r="Q67" s="249">
        <v>91.67</v>
      </c>
      <c r="R67" s="151" t="str">
        <f t="shared" si="3"/>
        <v>NO</v>
      </c>
      <c r="S67" s="223" t="str">
        <f t="shared" si="2"/>
        <v>Inviable Sanitariamente</v>
      </c>
      <c r="T67" s="15"/>
    </row>
    <row r="68" spans="1:20" ht="32.1" customHeight="1" x14ac:dyDescent="0.2">
      <c r="A68" s="490" t="s">
        <v>164</v>
      </c>
      <c r="B68" s="520" t="s">
        <v>1831</v>
      </c>
      <c r="C68" s="464" t="s">
        <v>1832</v>
      </c>
      <c r="D68" s="155">
        <v>960</v>
      </c>
      <c r="E68" s="222"/>
      <c r="F68" s="222"/>
      <c r="G68" s="222"/>
      <c r="H68" s="222">
        <v>89.87</v>
      </c>
      <c r="I68" s="222"/>
      <c r="J68" s="222"/>
      <c r="K68" s="222"/>
      <c r="L68" s="222"/>
      <c r="M68" s="222"/>
      <c r="N68" s="222"/>
      <c r="O68" s="222"/>
      <c r="P68" s="222"/>
      <c r="Q68" s="249">
        <f t="shared" si="0"/>
        <v>89.87</v>
      </c>
      <c r="R68" s="151" t="str">
        <f t="shared" si="3"/>
        <v>NO</v>
      </c>
      <c r="S68" s="223" t="str">
        <f t="shared" si="2"/>
        <v>Inviable Sanitariamente</v>
      </c>
      <c r="T68" s="15"/>
    </row>
    <row r="69" spans="1:20" ht="32.1" customHeight="1" x14ac:dyDescent="0.2">
      <c r="A69" s="490" t="s">
        <v>164</v>
      </c>
      <c r="B69" s="520" t="s">
        <v>1833</v>
      </c>
      <c r="C69" s="464" t="s">
        <v>1834</v>
      </c>
      <c r="D69" s="221">
        <v>960</v>
      </c>
      <c r="E69" s="222"/>
      <c r="F69" s="222"/>
      <c r="G69" s="222"/>
      <c r="H69" s="222"/>
      <c r="I69" s="222">
        <v>86.57</v>
      </c>
      <c r="J69" s="222"/>
      <c r="K69" s="222"/>
      <c r="L69" s="222"/>
      <c r="M69" s="222"/>
      <c r="N69" s="222"/>
      <c r="O69" s="222"/>
      <c r="P69" s="222"/>
      <c r="Q69" s="249">
        <f t="shared" si="0"/>
        <v>86.57</v>
      </c>
      <c r="R69" s="151" t="str">
        <f t="shared" si="3"/>
        <v>NO</v>
      </c>
      <c r="S69" s="223" t="str">
        <f t="shared" si="2"/>
        <v>Inviable Sanitariamente</v>
      </c>
      <c r="T69" s="15"/>
    </row>
    <row r="70" spans="1:20" ht="32.1" customHeight="1" x14ac:dyDescent="0.2">
      <c r="A70" s="490" t="s">
        <v>164</v>
      </c>
      <c r="B70" s="520" t="s">
        <v>1835</v>
      </c>
      <c r="C70" s="464" t="s">
        <v>2112</v>
      </c>
      <c r="D70" s="155">
        <v>24</v>
      </c>
      <c r="E70" s="222"/>
      <c r="F70" s="222"/>
      <c r="G70" s="222"/>
      <c r="H70" s="222"/>
      <c r="I70" s="222"/>
      <c r="J70" s="222"/>
      <c r="K70" s="475" t="s">
        <v>2113</v>
      </c>
      <c r="L70" s="222"/>
      <c r="M70" s="222"/>
      <c r="N70" s="222"/>
      <c r="O70" s="222"/>
      <c r="P70" s="222"/>
      <c r="Q70" s="474">
        <v>77.27</v>
      </c>
      <c r="R70" s="151" t="str">
        <f t="shared" si="3"/>
        <v>NO</v>
      </c>
      <c r="S70" s="223" t="str">
        <f t="shared" si="2"/>
        <v>Alto</v>
      </c>
      <c r="T70" s="15"/>
    </row>
    <row r="71" spans="1:20" ht="32.1" customHeight="1" x14ac:dyDescent="0.2">
      <c r="A71" s="490" t="s">
        <v>164</v>
      </c>
      <c r="B71" s="520" t="s">
        <v>1128</v>
      </c>
      <c r="C71" s="464" t="s">
        <v>1836</v>
      </c>
      <c r="D71" s="121">
        <v>28</v>
      </c>
      <c r="E71" s="222"/>
      <c r="F71" s="222"/>
      <c r="G71" s="222"/>
      <c r="H71" s="222"/>
      <c r="I71" s="222"/>
      <c r="J71" s="222"/>
      <c r="K71" s="222"/>
      <c r="L71" s="222"/>
      <c r="M71" s="222"/>
      <c r="N71" s="472" t="s">
        <v>2114</v>
      </c>
      <c r="O71" s="222"/>
      <c r="P71" s="222"/>
      <c r="Q71" s="474">
        <v>88.37</v>
      </c>
      <c r="R71" s="151" t="str">
        <f t="shared" si="3"/>
        <v>NO</v>
      </c>
      <c r="S71" s="223" t="str">
        <f t="shared" si="2"/>
        <v>Inviable Sanitariamente</v>
      </c>
      <c r="T71" s="15"/>
    </row>
    <row r="72" spans="1:20" ht="32.1" customHeight="1" x14ac:dyDescent="0.2">
      <c r="A72" s="490" t="s">
        <v>164</v>
      </c>
      <c r="B72" s="520" t="s">
        <v>1837</v>
      </c>
      <c r="C72" s="464" t="s">
        <v>1838</v>
      </c>
      <c r="D72" s="121">
        <v>1350</v>
      </c>
      <c r="E72" s="222"/>
      <c r="F72" s="222"/>
      <c r="G72" s="222"/>
      <c r="H72" s="222"/>
      <c r="I72" s="222"/>
      <c r="J72" s="222"/>
      <c r="K72" s="222"/>
      <c r="L72" s="475" t="s">
        <v>2096</v>
      </c>
      <c r="M72" s="222"/>
      <c r="N72" s="222"/>
      <c r="O72" s="222"/>
      <c r="P72" s="222"/>
      <c r="Q72" s="474">
        <v>70.77</v>
      </c>
      <c r="R72" s="151" t="str">
        <f t="shared" si="3"/>
        <v>NO</v>
      </c>
      <c r="S72" s="223" t="str">
        <f t="shared" si="2"/>
        <v>Alto</v>
      </c>
      <c r="T72" s="15"/>
    </row>
    <row r="73" spans="1:20" ht="32.1" customHeight="1" x14ac:dyDescent="0.2">
      <c r="A73" s="490" t="s">
        <v>164</v>
      </c>
      <c r="B73" s="520" t="s">
        <v>1839</v>
      </c>
      <c r="C73" s="464" t="s">
        <v>1840</v>
      </c>
      <c r="D73" s="155">
        <v>1350</v>
      </c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474" t="e">
        <f t="shared" si="0"/>
        <v>#DIV/0!</v>
      </c>
      <c r="R73" s="151" t="e">
        <f t="shared" si="3"/>
        <v>#DIV/0!</v>
      </c>
      <c r="S73" s="223" t="e">
        <f t="shared" si="2"/>
        <v>#DIV/0!</v>
      </c>
      <c r="T73" s="15"/>
    </row>
    <row r="74" spans="1:20" ht="32.1" customHeight="1" x14ac:dyDescent="0.2">
      <c r="A74" s="490" t="s">
        <v>164</v>
      </c>
      <c r="B74" s="521" t="s">
        <v>1841</v>
      </c>
      <c r="C74" s="465" t="s">
        <v>1842</v>
      </c>
      <c r="D74" s="221">
        <v>45</v>
      </c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474" t="e">
        <f t="shared" si="0"/>
        <v>#DIV/0!</v>
      </c>
      <c r="R74" s="151" t="e">
        <f t="shared" si="3"/>
        <v>#DIV/0!</v>
      </c>
      <c r="S74" s="223" t="e">
        <f t="shared" si="2"/>
        <v>#DIV/0!</v>
      </c>
      <c r="T74" s="15"/>
    </row>
    <row r="75" spans="1:20" ht="32.1" customHeight="1" x14ac:dyDescent="0.2">
      <c r="A75" s="490" t="s">
        <v>164</v>
      </c>
      <c r="B75" s="520" t="s">
        <v>1843</v>
      </c>
      <c r="C75" s="464" t="s">
        <v>1844</v>
      </c>
      <c r="D75" s="121">
        <v>45</v>
      </c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474" t="e">
        <f t="shared" ref="Q75:Q134" si="4">AVERAGE(E75:P75)</f>
        <v>#DIV/0!</v>
      </c>
      <c r="R75" s="151" t="e">
        <f t="shared" ref="R75:R106" si="5">IF(Q75&lt;5,"SI","NO")</f>
        <v>#DIV/0!</v>
      </c>
      <c r="S75" s="223" t="e">
        <f t="shared" ref="S75:S134" si="6">IF(Q75&lt;5,"Sin Riesgo",IF(Q75 &lt;=14,"Bajo",IF(Q75&lt;=35,"Medio",IF(Q75&lt;=80,"Alto","Inviable Sanitariamente"))))</f>
        <v>#DIV/0!</v>
      </c>
      <c r="T75" s="15"/>
    </row>
    <row r="76" spans="1:20" ht="32.1" customHeight="1" x14ac:dyDescent="0.2">
      <c r="A76" s="490" t="s">
        <v>164</v>
      </c>
      <c r="B76" s="520" t="s">
        <v>1845</v>
      </c>
      <c r="C76" s="464" t="s">
        <v>1846</v>
      </c>
      <c r="D76" s="155">
        <v>1350</v>
      </c>
      <c r="E76" s="222"/>
      <c r="F76" s="222"/>
      <c r="G76" s="222"/>
      <c r="H76" s="222"/>
      <c r="I76" s="222"/>
      <c r="J76" s="222"/>
      <c r="K76" s="222"/>
      <c r="L76" s="475" t="s">
        <v>2115</v>
      </c>
      <c r="M76" s="222"/>
      <c r="N76" s="222"/>
      <c r="O76" s="222"/>
      <c r="P76" s="222"/>
      <c r="Q76" s="474">
        <v>67.5</v>
      </c>
      <c r="R76" s="151" t="str">
        <f t="shared" si="5"/>
        <v>NO</v>
      </c>
      <c r="S76" s="223" t="str">
        <f t="shared" si="6"/>
        <v>Alto</v>
      </c>
      <c r="T76" s="15"/>
    </row>
    <row r="77" spans="1:20" ht="32.1" customHeight="1" x14ac:dyDescent="0.2">
      <c r="A77" s="490" t="s">
        <v>164</v>
      </c>
      <c r="B77" s="520" t="s">
        <v>688</v>
      </c>
      <c r="C77" s="464" t="s">
        <v>1847</v>
      </c>
      <c r="D77" s="155">
        <v>60</v>
      </c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474" t="e">
        <f t="shared" si="4"/>
        <v>#DIV/0!</v>
      </c>
      <c r="R77" s="151" t="e">
        <f t="shared" si="5"/>
        <v>#DIV/0!</v>
      </c>
      <c r="S77" s="223" t="e">
        <f t="shared" si="6"/>
        <v>#DIV/0!</v>
      </c>
      <c r="T77" s="15"/>
    </row>
    <row r="78" spans="1:20" ht="32.1" customHeight="1" x14ac:dyDescent="0.2">
      <c r="A78" s="490" t="s">
        <v>164</v>
      </c>
      <c r="B78" s="520" t="s">
        <v>1848</v>
      </c>
      <c r="C78" s="464" t="s">
        <v>1849</v>
      </c>
      <c r="D78" s="121">
        <v>17</v>
      </c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474" t="e">
        <f t="shared" si="4"/>
        <v>#DIV/0!</v>
      </c>
      <c r="R78" s="151" t="e">
        <f t="shared" si="5"/>
        <v>#DIV/0!</v>
      </c>
      <c r="S78" s="223" t="e">
        <f t="shared" si="6"/>
        <v>#DIV/0!</v>
      </c>
      <c r="T78" s="15"/>
    </row>
    <row r="79" spans="1:20" ht="32.1" customHeight="1" x14ac:dyDescent="0.2">
      <c r="A79" s="490" t="s">
        <v>164</v>
      </c>
      <c r="B79" s="520" t="s">
        <v>1850</v>
      </c>
      <c r="C79" s="464" t="s">
        <v>1851</v>
      </c>
      <c r="D79" s="231">
        <v>1350</v>
      </c>
      <c r="E79" s="222"/>
      <c r="F79" s="222"/>
      <c r="G79" s="222"/>
      <c r="H79" s="222"/>
      <c r="I79" s="222"/>
      <c r="J79" s="222">
        <v>73.97</v>
      </c>
      <c r="K79" s="222"/>
      <c r="L79" s="222"/>
      <c r="M79" s="222"/>
      <c r="N79" s="222"/>
      <c r="O79" s="222"/>
      <c r="P79" s="222"/>
      <c r="Q79" s="249">
        <f t="shared" si="4"/>
        <v>73.97</v>
      </c>
      <c r="R79" s="151" t="str">
        <f t="shared" si="5"/>
        <v>NO</v>
      </c>
      <c r="S79" s="223" t="str">
        <f t="shared" si="6"/>
        <v>Alto</v>
      </c>
      <c r="T79" s="36"/>
    </row>
    <row r="80" spans="1:20" ht="32.1" customHeight="1" x14ac:dyDescent="0.2">
      <c r="A80" s="490" t="s">
        <v>164</v>
      </c>
      <c r="B80" s="520" t="s">
        <v>1852</v>
      </c>
      <c r="C80" s="464" t="s">
        <v>1853</v>
      </c>
      <c r="D80" s="155">
        <v>1350</v>
      </c>
      <c r="E80" s="222"/>
      <c r="F80" s="222"/>
      <c r="G80" s="222"/>
      <c r="H80" s="222"/>
      <c r="I80" s="222"/>
      <c r="J80" s="222"/>
      <c r="K80" s="222"/>
      <c r="L80" s="222"/>
      <c r="M80" s="222"/>
      <c r="N80" s="475" t="s">
        <v>2096</v>
      </c>
      <c r="O80" s="222"/>
      <c r="P80" s="222"/>
      <c r="Q80" s="474">
        <v>70.77</v>
      </c>
      <c r="R80" s="151" t="str">
        <f t="shared" si="5"/>
        <v>NO</v>
      </c>
      <c r="S80" s="223" t="str">
        <f t="shared" si="6"/>
        <v>Alto</v>
      </c>
      <c r="T80" s="36"/>
    </row>
    <row r="81" spans="1:20" ht="32.1" customHeight="1" x14ac:dyDescent="0.2">
      <c r="A81" s="490" t="s">
        <v>164</v>
      </c>
      <c r="B81" s="520" t="s">
        <v>1854</v>
      </c>
      <c r="C81" s="464" t="s">
        <v>1855</v>
      </c>
      <c r="D81" s="221">
        <v>50</v>
      </c>
      <c r="E81" s="222"/>
      <c r="F81" s="222"/>
      <c r="G81" s="222"/>
      <c r="H81" s="222"/>
      <c r="I81" s="222"/>
      <c r="J81" s="222"/>
      <c r="K81" s="222"/>
      <c r="L81" s="222"/>
      <c r="M81" s="222"/>
      <c r="N81" s="472" t="s">
        <v>2116</v>
      </c>
      <c r="O81" s="222"/>
      <c r="P81" s="222"/>
      <c r="Q81" s="474">
        <v>84.77</v>
      </c>
      <c r="R81" s="151" t="str">
        <f t="shared" si="5"/>
        <v>NO</v>
      </c>
      <c r="S81" s="223" t="str">
        <f t="shared" si="6"/>
        <v>Inviable Sanitariamente</v>
      </c>
      <c r="T81" s="36"/>
    </row>
    <row r="82" spans="1:20" ht="32.1" customHeight="1" x14ac:dyDescent="0.2">
      <c r="A82" s="490" t="s">
        <v>164</v>
      </c>
      <c r="B82" s="520" t="s">
        <v>779</v>
      </c>
      <c r="C82" s="464" t="s">
        <v>1856</v>
      </c>
      <c r="D82" s="121">
        <v>1350</v>
      </c>
      <c r="E82" s="222"/>
      <c r="F82" s="222"/>
      <c r="G82" s="222"/>
      <c r="H82" s="222"/>
      <c r="I82" s="222"/>
      <c r="J82" s="222"/>
      <c r="K82" s="222"/>
      <c r="L82" s="475" t="s">
        <v>2117</v>
      </c>
      <c r="M82" s="222"/>
      <c r="N82" s="222"/>
      <c r="O82" s="222"/>
      <c r="P82" s="222"/>
      <c r="Q82" s="474">
        <v>70.739999999999995</v>
      </c>
      <c r="R82" s="151" t="str">
        <f t="shared" si="5"/>
        <v>NO</v>
      </c>
      <c r="S82" s="223" t="str">
        <f t="shared" si="6"/>
        <v>Alto</v>
      </c>
      <c r="T82" s="36"/>
    </row>
    <row r="83" spans="1:20" ht="32.1" customHeight="1" x14ac:dyDescent="0.2">
      <c r="A83" s="490" t="s">
        <v>164</v>
      </c>
      <c r="B83" s="520" t="s">
        <v>1857</v>
      </c>
      <c r="C83" s="464" t="s">
        <v>1858</v>
      </c>
      <c r="D83" s="242">
        <v>1350</v>
      </c>
      <c r="E83" s="222"/>
      <c r="F83" s="222"/>
      <c r="G83" s="222"/>
      <c r="H83" s="222"/>
      <c r="I83" s="222"/>
      <c r="J83" s="222"/>
      <c r="K83" s="222"/>
      <c r="L83" s="475" t="s">
        <v>2115</v>
      </c>
      <c r="M83" s="222"/>
      <c r="N83" s="222"/>
      <c r="O83" s="473" t="s">
        <v>2118</v>
      </c>
      <c r="P83" s="222"/>
      <c r="Q83" s="474">
        <v>45.65</v>
      </c>
      <c r="R83" s="151" t="str">
        <f t="shared" si="5"/>
        <v>NO</v>
      </c>
      <c r="S83" s="223" t="str">
        <f t="shared" si="6"/>
        <v>Alto</v>
      </c>
      <c r="T83" s="15"/>
    </row>
    <row r="84" spans="1:20" ht="32.1" customHeight="1" x14ac:dyDescent="0.2">
      <c r="A84" s="490" t="s">
        <v>164</v>
      </c>
      <c r="B84" s="520" t="s">
        <v>1859</v>
      </c>
      <c r="C84" s="464" t="s">
        <v>1860</v>
      </c>
      <c r="D84" s="231">
        <v>1350</v>
      </c>
      <c r="E84" s="222"/>
      <c r="F84" s="222"/>
      <c r="G84" s="222"/>
      <c r="H84" s="222"/>
      <c r="I84" s="222"/>
      <c r="J84" s="222">
        <v>71.87</v>
      </c>
      <c r="K84" s="222"/>
      <c r="L84" s="222"/>
      <c r="M84" s="222"/>
      <c r="N84" s="222"/>
      <c r="O84" s="473" t="s">
        <v>2119</v>
      </c>
      <c r="P84" s="222"/>
      <c r="Q84" s="474">
        <v>46.8</v>
      </c>
      <c r="R84" s="151" t="str">
        <f t="shared" si="5"/>
        <v>NO</v>
      </c>
      <c r="S84" s="223" t="str">
        <f t="shared" si="6"/>
        <v>Alto</v>
      </c>
      <c r="T84" s="15"/>
    </row>
    <row r="85" spans="1:20" ht="32.1" customHeight="1" x14ac:dyDescent="0.2">
      <c r="A85" s="490" t="s">
        <v>164</v>
      </c>
      <c r="B85" s="520" t="s">
        <v>2120</v>
      </c>
      <c r="C85" s="464" t="s">
        <v>1861</v>
      </c>
      <c r="D85" s="155">
        <v>1350</v>
      </c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474" t="e">
        <f t="shared" si="4"/>
        <v>#DIV/0!</v>
      </c>
      <c r="R85" s="151" t="e">
        <f t="shared" si="5"/>
        <v>#DIV/0!</v>
      </c>
      <c r="S85" s="223" t="e">
        <f t="shared" si="6"/>
        <v>#DIV/0!</v>
      </c>
      <c r="T85" s="15"/>
    </row>
    <row r="86" spans="1:20" ht="32.1" customHeight="1" x14ac:dyDescent="0.2">
      <c r="A86" s="490" t="s">
        <v>164</v>
      </c>
      <c r="B86" s="521" t="s">
        <v>1862</v>
      </c>
      <c r="C86" s="465" t="s">
        <v>1863</v>
      </c>
      <c r="D86" s="121">
        <v>1350</v>
      </c>
      <c r="E86" s="222"/>
      <c r="F86" s="222"/>
      <c r="G86" s="222"/>
      <c r="H86" s="222"/>
      <c r="I86" s="222"/>
      <c r="J86" s="222"/>
      <c r="K86" s="222"/>
      <c r="L86" s="476" t="s">
        <v>2107</v>
      </c>
      <c r="M86" s="222"/>
      <c r="N86" s="222"/>
      <c r="O86" s="222"/>
      <c r="P86" s="222"/>
      <c r="Q86" s="474">
        <v>22.1</v>
      </c>
      <c r="R86" s="151" t="str">
        <f t="shared" si="5"/>
        <v>NO</v>
      </c>
      <c r="S86" s="223" t="str">
        <f t="shared" si="6"/>
        <v>Medio</v>
      </c>
      <c r="T86" s="15"/>
    </row>
    <row r="87" spans="1:20" ht="32.1" customHeight="1" x14ac:dyDescent="0.2">
      <c r="A87" s="490" t="s">
        <v>164</v>
      </c>
      <c r="B87" s="521" t="s">
        <v>1864</v>
      </c>
      <c r="C87" s="465" t="s">
        <v>1865</v>
      </c>
      <c r="D87" s="121">
        <v>1350</v>
      </c>
      <c r="E87" s="222"/>
      <c r="F87" s="222"/>
      <c r="G87" s="222"/>
      <c r="H87" s="222"/>
      <c r="I87" s="222"/>
      <c r="J87" s="222"/>
      <c r="K87" s="222"/>
      <c r="L87" s="475" t="s">
        <v>2096</v>
      </c>
      <c r="M87" s="222"/>
      <c r="N87" s="222"/>
      <c r="O87" s="222"/>
      <c r="P87" s="222"/>
      <c r="Q87" s="474">
        <v>70.77</v>
      </c>
      <c r="R87" s="151" t="str">
        <f t="shared" si="5"/>
        <v>NO</v>
      </c>
      <c r="S87" s="223" t="str">
        <f t="shared" si="6"/>
        <v>Alto</v>
      </c>
      <c r="T87" s="15"/>
    </row>
    <row r="88" spans="1:20" ht="32.1" customHeight="1" x14ac:dyDescent="0.2">
      <c r="A88" s="490" t="s">
        <v>164</v>
      </c>
      <c r="B88" s="521" t="s">
        <v>1866</v>
      </c>
      <c r="C88" s="465" t="s">
        <v>1867</v>
      </c>
      <c r="D88" s="121">
        <v>1350</v>
      </c>
      <c r="E88" s="222"/>
      <c r="F88" s="222"/>
      <c r="G88" s="222"/>
      <c r="H88" s="222"/>
      <c r="I88" s="222"/>
      <c r="J88" s="222"/>
      <c r="K88" s="222"/>
      <c r="L88" s="475" t="s">
        <v>2096</v>
      </c>
      <c r="M88" s="222"/>
      <c r="N88" s="222"/>
      <c r="O88" s="222"/>
      <c r="P88" s="222"/>
      <c r="Q88" s="474">
        <v>70.77</v>
      </c>
      <c r="R88" s="151" t="str">
        <f t="shared" si="5"/>
        <v>NO</v>
      </c>
      <c r="S88" s="223" t="str">
        <f t="shared" si="6"/>
        <v>Alto</v>
      </c>
      <c r="T88" s="15"/>
    </row>
    <row r="89" spans="1:20" ht="32.1" customHeight="1" x14ac:dyDescent="0.2">
      <c r="A89" s="490" t="s">
        <v>164</v>
      </c>
      <c r="B89" s="521" t="s">
        <v>1868</v>
      </c>
      <c r="C89" s="465" t="s">
        <v>1869</v>
      </c>
      <c r="D89" s="121">
        <v>1350</v>
      </c>
      <c r="E89" s="222"/>
      <c r="F89" s="222"/>
      <c r="G89" s="222"/>
      <c r="H89" s="222"/>
      <c r="I89" s="222">
        <v>74.569999999999993</v>
      </c>
      <c r="J89" s="222"/>
      <c r="K89" s="222"/>
      <c r="L89" s="222"/>
      <c r="M89" s="222"/>
      <c r="N89" s="222"/>
      <c r="O89" s="222"/>
      <c r="P89" s="222"/>
      <c r="Q89" s="474">
        <f t="shared" si="4"/>
        <v>74.569999999999993</v>
      </c>
      <c r="R89" s="151" t="str">
        <f t="shared" si="5"/>
        <v>NO</v>
      </c>
      <c r="S89" s="223" t="str">
        <f t="shared" si="6"/>
        <v>Alto</v>
      </c>
      <c r="T89" s="15"/>
    </row>
    <row r="90" spans="1:20" ht="32.1" customHeight="1" x14ac:dyDescent="0.2">
      <c r="A90" s="490" t="s">
        <v>164</v>
      </c>
      <c r="B90" s="156" t="s">
        <v>1870</v>
      </c>
      <c r="C90" s="465" t="s">
        <v>1871</v>
      </c>
      <c r="D90" s="243">
        <v>8100</v>
      </c>
      <c r="E90" s="222"/>
      <c r="F90" s="222"/>
      <c r="G90" s="222"/>
      <c r="H90" s="222"/>
      <c r="I90" s="222"/>
      <c r="J90" s="222">
        <v>71.87</v>
      </c>
      <c r="K90" s="222"/>
      <c r="L90" s="222"/>
      <c r="M90" s="222"/>
      <c r="N90" s="222"/>
      <c r="O90" s="222"/>
      <c r="P90" s="222"/>
      <c r="Q90" s="474">
        <f t="shared" si="4"/>
        <v>71.87</v>
      </c>
      <c r="R90" s="151" t="str">
        <f t="shared" si="5"/>
        <v>NO</v>
      </c>
      <c r="S90" s="223" t="str">
        <f t="shared" si="6"/>
        <v>Alto</v>
      </c>
      <c r="T90" s="15"/>
    </row>
    <row r="91" spans="1:20" ht="32.1" customHeight="1" x14ac:dyDescent="0.2">
      <c r="A91" s="490" t="s">
        <v>164</v>
      </c>
      <c r="B91" s="156" t="s">
        <v>2121</v>
      </c>
      <c r="C91" s="468" t="s">
        <v>2122</v>
      </c>
      <c r="D91" s="116">
        <v>50</v>
      </c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472" t="s">
        <v>2123</v>
      </c>
      <c r="P91" s="222"/>
      <c r="Q91" s="474">
        <v>91.37</v>
      </c>
      <c r="R91" s="151" t="str">
        <f t="shared" si="5"/>
        <v>NO</v>
      </c>
      <c r="S91" s="223" t="str">
        <f t="shared" si="6"/>
        <v>Inviable Sanitariamente</v>
      </c>
      <c r="T91" s="15"/>
    </row>
    <row r="92" spans="1:20" ht="32.1" customHeight="1" x14ac:dyDescent="0.2">
      <c r="A92" s="490" t="s">
        <v>164</v>
      </c>
      <c r="B92" s="156" t="s">
        <v>2124</v>
      </c>
      <c r="C92" s="468" t="s">
        <v>2125</v>
      </c>
      <c r="D92" s="244">
        <v>68</v>
      </c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472" t="s">
        <v>2126</v>
      </c>
      <c r="P92" s="222"/>
      <c r="Q92" s="474">
        <v>92.57</v>
      </c>
      <c r="R92" s="151" t="str">
        <f t="shared" si="5"/>
        <v>NO</v>
      </c>
      <c r="S92" s="223" t="str">
        <f t="shared" si="6"/>
        <v>Inviable Sanitariamente</v>
      </c>
      <c r="T92" s="15"/>
    </row>
    <row r="93" spans="1:20" ht="32.1" customHeight="1" x14ac:dyDescent="0.2">
      <c r="A93" s="490" t="s">
        <v>164</v>
      </c>
      <c r="B93" s="156" t="s">
        <v>2127</v>
      </c>
      <c r="C93" s="468" t="s">
        <v>2128</v>
      </c>
      <c r="D93" s="121">
        <v>72</v>
      </c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472" t="s">
        <v>2129</v>
      </c>
      <c r="P93" s="222"/>
      <c r="Q93" s="474">
        <v>90.77</v>
      </c>
      <c r="R93" s="151" t="str">
        <f t="shared" si="5"/>
        <v>NO</v>
      </c>
      <c r="S93" s="223" t="str">
        <f t="shared" si="6"/>
        <v>Inviable Sanitariamente</v>
      </c>
      <c r="T93" s="15"/>
    </row>
    <row r="94" spans="1:20" ht="32.1" customHeight="1" x14ac:dyDescent="0.2">
      <c r="A94" s="490" t="s">
        <v>164</v>
      </c>
      <c r="B94" s="156" t="s">
        <v>2130</v>
      </c>
      <c r="C94" s="468" t="s">
        <v>2131</v>
      </c>
      <c r="D94" s="121">
        <v>46</v>
      </c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472" t="s">
        <v>2132</v>
      </c>
      <c r="P94" s="222"/>
      <c r="Q94" s="474">
        <v>90.47</v>
      </c>
      <c r="R94" s="151" t="str">
        <f t="shared" si="5"/>
        <v>NO</v>
      </c>
      <c r="S94" s="223" t="str">
        <f t="shared" si="6"/>
        <v>Inviable Sanitariamente</v>
      </c>
      <c r="T94" s="15"/>
    </row>
    <row r="95" spans="1:20" ht="32.1" customHeight="1" x14ac:dyDescent="0.2">
      <c r="A95" s="490" t="s">
        <v>164</v>
      </c>
      <c r="B95" s="521" t="s">
        <v>1793</v>
      </c>
      <c r="C95" s="465" t="s">
        <v>1794</v>
      </c>
      <c r="D95" s="121">
        <v>1350</v>
      </c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474" t="e">
        <f t="shared" si="4"/>
        <v>#DIV/0!</v>
      </c>
      <c r="R95" s="151" t="e">
        <f t="shared" si="5"/>
        <v>#DIV/0!</v>
      </c>
      <c r="S95" s="223" t="e">
        <f t="shared" si="6"/>
        <v>#DIV/0!</v>
      </c>
      <c r="T95" s="15"/>
    </row>
    <row r="96" spans="1:20" ht="32.1" customHeight="1" x14ac:dyDescent="0.2">
      <c r="A96" s="490" t="s">
        <v>164</v>
      </c>
      <c r="B96" s="521" t="s">
        <v>1803</v>
      </c>
      <c r="C96" s="465" t="s">
        <v>1804</v>
      </c>
      <c r="D96" s="121">
        <v>1350</v>
      </c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474" t="e">
        <f t="shared" si="4"/>
        <v>#DIV/0!</v>
      </c>
      <c r="R96" s="151" t="e">
        <f t="shared" si="5"/>
        <v>#DIV/0!</v>
      </c>
      <c r="S96" s="223" t="e">
        <f t="shared" si="6"/>
        <v>#DIV/0!</v>
      </c>
      <c r="T96" s="15"/>
    </row>
    <row r="97" spans="1:20" ht="32.1" customHeight="1" x14ac:dyDescent="0.2">
      <c r="A97" s="490" t="s">
        <v>164</v>
      </c>
      <c r="B97" s="520" t="s">
        <v>91</v>
      </c>
      <c r="C97" s="464" t="s">
        <v>1811</v>
      </c>
      <c r="D97" s="121">
        <v>111</v>
      </c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474" t="e">
        <f t="shared" si="4"/>
        <v>#DIV/0!</v>
      </c>
      <c r="R97" s="151" t="e">
        <f t="shared" si="5"/>
        <v>#DIV/0!</v>
      </c>
      <c r="S97" s="223" t="e">
        <f t="shared" si="6"/>
        <v>#DIV/0!</v>
      </c>
      <c r="T97" s="15"/>
    </row>
    <row r="98" spans="1:20" ht="32.1" customHeight="1" x14ac:dyDescent="0.2">
      <c r="A98" s="490" t="s">
        <v>164</v>
      </c>
      <c r="B98" s="520" t="s">
        <v>1822</v>
      </c>
      <c r="C98" s="464" t="s">
        <v>1823</v>
      </c>
      <c r="D98" s="121">
        <v>1350</v>
      </c>
      <c r="E98" s="222"/>
      <c r="F98" s="222"/>
      <c r="G98" s="222"/>
      <c r="H98" s="222"/>
      <c r="I98" s="222">
        <v>74.569999999999993</v>
      </c>
      <c r="J98" s="222"/>
      <c r="K98" s="222"/>
      <c r="L98" s="222"/>
      <c r="M98" s="222"/>
      <c r="N98" s="222"/>
      <c r="O98" s="222"/>
      <c r="P98" s="222"/>
      <c r="Q98" s="249">
        <f t="shared" si="4"/>
        <v>74.569999999999993</v>
      </c>
      <c r="R98" s="151" t="str">
        <f t="shared" si="5"/>
        <v>NO</v>
      </c>
      <c r="S98" s="223" t="str">
        <f t="shared" si="6"/>
        <v>Alto</v>
      </c>
      <c r="T98" s="15"/>
    </row>
    <row r="99" spans="1:20" ht="32.1" customHeight="1" x14ac:dyDescent="0.2">
      <c r="A99" s="490" t="s">
        <v>164</v>
      </c>
      <c r="B99" s="520" t="s">
        <v>1829</v>
      </c>
      <c r="C99" s="464" t="s">
        <v>1830</v>
      </c>
      <c r="D99" s="232">
        <v>8100</v>
      </c>
      <c r="E99" s="222"/>
      <c r="F99" s="222"/>
      <c r="G99" s="222"/>
      <c r="H99" s="222"/>
      <c r="I99" s="222"/>
      <c r="J99" s="222">
        <v>71.87</v>
      </c>
      <c r="K99" s="222"/>
      <c r="L99" s="222"/>
      <c r="M99" s="222"/>
      <c r="N99" s="222"/>
      <c r="O99" s="222"/>
      <c r="P99" s="222"/>
      <c r="Q99" s="249">
        <f t="shared" si="4"/>
        <v>71.87</v>
      </c>
      <c r="R99" s="151" t="str">
        <f t="shared" si="5"/>
        <v>NO</v>
      </c>
      <c r="S99" s="223" t="str">
        <f t="shared" si="6"/>
        <v>Alto</v>
      </c>
      <c r="T99" s="36"/>
    </row>
    <row r="100" spans="1:20" s="119" customFormat="1" ht="32.1" customHeight="1" x14ac:dyDescent="0.2">
      <c r="A100" s="490" t="s">
        <v>4125</v>
      </c>
      <c r="B100" s="160" t="s">
        <v>1432</v>
      </c>
      <c r="C100" s="464" t="s">
        <v>2094</v>
      </c>
      <c r="D100" s="221">
        <v>128</v>
      </c>
      <c r="E100" s="222"/>
      <c r="F100" s="222"/>
      <c r="G100" s="222"/>
      <c r="H100" s="222"/>
      <c r="I100" s="222"/>
      <c r="J100" s="222"/>
      <c r="K100" s="222"/>
      <c r="L100" s="222"/>
      <c r="M100" s="222">
        <v>97.3</v>
      </c>
      <c r="N100" s="222"/>
      <c r="O100" s="222"/>
      <c r="P100" s="222"/>
      <c r="Q100" s="249">
        <f t="shared" si="4"/>
        <v>97.3</v>
      </c>
      <c r="R100" s="151" t="str">
        <f t="shared" si="5"/>
        <v>NO</v>
      </c>
      <c r="S100" s="223" t="str">
        <f t="shared" si="6"/>
        <v>Inviable Sanitariamente</v>
      </c>
      <c r="T100" s="158"/>
    </row>
    <row r="101" spans="1:20" s="119" customFormat="1" ht="32.1" customHeight="1" x14ac:dyDescent="0.2">
      <c r="A101" s="490" t="s">
        <v>4125</v>
      </c>
      <c r="B101" s="160" t="s">
        <v>1880</v>
      </c>
      <c r="C101" s="463" t="s">
        <v>1881</v>
      </c>
      <c r="D101" s="221">
        <v>289</v>
      </c>
      <c r="E101" s="222"/>
      <c r="F101" s="222"/>
      <c r="G101" s="222"/>
      <c r="H101" s="222"/>
      <c r="I101" s="222"/>
      <c r="J101" s="222"/>
      <c r="K101" s="222"/>
      <c r="L101" s="222">
        <v>0</v>
      </c>
      <c r="M101" s="222"/>
      <c r="N101" s="222"/>
      <c r="O101" s="222"/>
      <c r="P101" s="222"/>
      <c r="Q101" s="249">
        <f t="shared" si="4"/>
        <v>0</v>
      </c>
      <c r="R101" s="151" t="str">
        <f t="shared" si="5"/>
        <v>SI</v>
      </c>
      <c r="S101" s="223" t="str">
        <f t="shared" si="6"/>
        <v>Sin Riesgo</v>
      </c>
      <c r="T101" s="158"/>
    </row>
    <row r="102" spans="1:20" s="119" customFormat="1" ht="32.1" customHeight="1" x14ac:dyDescent="0.2">
      <c r="A102" s="490" t="s">
        <v>4125</v>
      </c>
      <c r="B102" s="160" t="s">
        <v>1882</v>
      </c>
      <c r="C102" s="463" t="s">
        <v>1883</v>
      </c>
      <c r="D102" s="221">
        <v>62</v>
      </c>
      <c r="E102" s="222"/>
      <c r="F102" s="222"/>
      <c r="G102" s="222"/>
      <c r="H102" s="222"/>
      <c r="I102" s="222"/>
      <c r="J102" s="222"/>
      <c r="K102" s="222"/>
      <c r="L102" s="222">
        <v>97.3</v>
      </c>
      <c r="M102" s="222"/>
      <c r="N102" s="222"/>
      <c r="O102" s="222"/>
      <c r="P102" s="222"/>
      <c r="Q102" s="249">
        <f t="shared" si="4"/>
        <v>97.3</v>
      </c>
      <c r="R102" s="151" t="str">
        <f t="shared" si="5"/>
        <v>NO</v>
      </c>
      <c r="S102" s="223" t="str">
        <f t="shared" si="6"/>
        <v>Inviable Sanitariamente</v>
      </c>
      <c r="T102" s="228"/>
    </row>
    <row r="103" spans="1:20" s="119" customFormat="1" ht="32.1" customHeight="1" x14ac:dyDescent="0.2">
      <c r="A103" s="490" t="s">
        <v>4125</v>
      </c>
      <c r="B103" s="160" t="s">
        <v>1884</v>
      </c>
      <c r="C103" s="463" t="s">
        <v>1885</v>
      </c>
      <c r="D103" s="121">
        <v>41</v>
      </c>
      <c r="E103" s="222"/>
      <c r="F103" s="222"/>
      <c r="G103" s="222">
        <v>97.3</v>
      </c>
      <c r="H103" s="222"/>
      <c r="I103" s="222"/>
      <c r="J103" s="222"/>
      <c r="K103" s="222"/>
      <c r="L103" s="222"/>
      <c r="M103" s="222"/>
      <c r="N103" s="222"/>
      <c r="O103" s="222"/>
      <c r="P103" s="222"/>
      <c r="Q103" s="249">
        <f t="shared" si="4"/>
        <v>97.3</v>
      </c>
      <c r="R103" s="151" t="str">
        <f t="shared" si="5"/>
        <v>NO</v>
      </c>
      <c r="S103" s="223" t="str">
        <f t="shared" si="6"/>
        <v>Inviable Sanitariamente</v>
      </c>
      <c r="T103" s="158"/>
    </row>
    <row r="104" spans="1:20" s="119" customFormat="1" ht="32.1" customHeight="1" x14ac:dyDescent="0.2">
      <c r="A104" s="490" t="s">
        <v>4125</v>
      </c>
      <c r="B104" s="160" t="s">
        <v>1886</v>
      </c>
      <c r="C104" s="463" t="s">
        <v>1887</v>
      </c>
      <c r="D104" s="121">
        <v>27</v>
      </c>
      <c r="E104" s="222"/>
      <c r="F104" s="222"/>
      <c r="G104" s="222">
        <v>97.3</v>
      </c>
      <c r="H104" s="222"/>
      <c r="I104" s="222"/>
      <c r="J104" s="222"/>
      <c r="K104" s="222"/>
      <c r="L104" s="222"/>
      <c r="M104" s="222"/>
      <c r="N104" s="222"/>
      <c r="O104" s="222"/>
      <c r="P104" s="222"/>
      <c r="Q104" s="249">
        <f t="shared" si="4"/>
        <v>97.3</v>
      </c>
      <c r="R104" s="151" t="str">
        <f t="shared" si="5"/>
        <v>NO</v>
      </c>
      <c r="S104" s="223" t="str">
        <f t="shared" si="6"/>
        <v>Inviable Sanitariamente</v>
      </c>
      <c r="T104" s="158"/>
    </row>
    <row r="105" spans="1:20" s="119" customFormat="1" ht="32.1" customHeight="1" x14ac:dyDescent="0.2">
      <c r="A105" s="490" t="s">
        <v>4125</v>
      </c>
      <c r="B105" s="160" t="s">
        <v>849</v>
      </c>
      <c r="C105" s="463" t="s">
        <v>1888</v>
      </c>
      <c r="D105" s="121">
        <v>81</v>
      </c>
      <c r="E105" s="222"/>
      <c r="F105" s="222"/>
      <c r="G105" s="222"/>
      <c r="H105" s="222"/>
      <c r="I105" s="222"/>
      <c r="J105" s="222"/>
      <c r="K105" s="222"/>
      <c r="L105" s="222"/>
      <c r="M105" s="222">
        <v>97.3</v>
      </c>
      <c r="N105" s="222"/>
      <c r="O105" s="222"/>
      <c r="P105" s="222"/>
      <c r="Q105" s="249">
        <f t="shared" si="4"/>
        <v>97.3</v>
      </c>
      <c r="R105" s="151" t="str">
        <f t="shared" si="5"/>
        <v>NO</v>
      </c>
      <c r="S105" s="223" t="str">
        <f t="shared" si="6"/>
        <v>Inviable Sanitariamente</v>
      </c>
      <c r="T105" s="158"/>
    </row>
    <row r="106" spans="1:20" s="119" customFormat="1" ht="32.1" customHeight="1" x14ac:dyDescent="0.2">
      <c r="A106" s="490" t="s">
        <v>4125</v>
      </c>
      <c r="B106" s="160" t="s">
        <v>1889</v>
      </c>
      <c r="C106" s="463" t="s">
        <v>1890</v>
      </c>
      <c r="D106" s="121">
        <v>20</v>
      </c>
      <c r="E106" s="222"/>
      <c r="F106" s="222"/>
      <c r="G106" s="222"/>
      <c r="H106" s="222"/>
      <c r="I106" s="222">
        <v>97.3</v>
      </c>
      <c r="J106" s="222"/>
      <c r="K106" s="222"/>
      <c r="L106" s="222"/>
      <c r="M106" s="222"/>
      <c r="N106" s="222"/>
      <c r="O106" s="222"/>
      <c r="P106" s="222"/>
      <c r="Q106" s="249">
        <f t="shared" si="4"/>
        <v>97.3</v>
      </c>
      <c r="R106" s="151" t="str">
        <f t="shared" si="5"/>
        <v>NO</v>
      </c>
      <c r="S106" s="223" t="str">
        <f t="shared" si="6"/>
        <v>Inviable Sanitariamente</v>
      </c>
      <c r="T106" s="158"/>
    </row>
    <row r="107" spans="1:20" s="119" customFormat="1" ht="32.1" customHeight="1" x14ac:dyDescent="0.2">
      <c r="A107" s="490" t="s">
        <v>4125</v>
      </c>
      <c r="B107" s="160" t="s">
        <v>1891</v>
      </c>
      <c r="C107" s="463" t="s">
        <v>1892</v>
      </c>
      <c r="D107" s="116">
        <v>59</v>
      </c>
      <c r="E107" s="222"/>
      <c r="F107" s="222"/>
      <c r="G107" s="222"/>
      <c r="H107" s="222"/>
      <c r="I107" s="222">
        <v>97.3</v>
      </c>
      <c r="J107" s="222"/>
      <c r="K107" s="222"/>
      <c r="L107" s="222"/>
      <c r="M107" s="222"/>
      <c r="N107" s="222"/>
      <c r="O107" s="222"/>
      <c r="P107" s="222"/>
      <c r="Q107" s="249">
        <f t="shared" si="4"/>
        <v>97.3</v>
      </c>
      <c r="R107" s="151" t="str">
        <f t="shared" ref="R107:R134" si="7">IF(Q107&lt;5,"SI","NO")</f>
        <v>NO</v>
      </c>
      <c r="S107" s="223" t="str">
        <f t="shared" si="6"/>
        <v>Inviable Sanitariamente</v>
      </c>
      <c r="T107" s="158"/>
    </row>
    <row r="108" spans="1:20" s="119" customFormat="1" ht="32.1" customHeight="1" x14ac:dyDescent="0.2">
      <c r="A108" s="490" t="s">
        <v>4125</v>
      </c>
      <c r="B108" s="160" t="s">
        <v>1882</v>
      </c>
      <c r="C108" s="463" t="s">
        <v>1893</v>
      </c>
      <c r="D108" s="121">
        <v>98</v>
      </c>
      <c r="E108" s="222"/>
      <c r="F108" s="222"/>
      <c r="G108" s="222"/>
      <c r="H108" s="222"/>
      <c r="I108" s="222">
        <v>97.3</v>
      </c>
      <c r="J108" s="222"/>
      <c r="K108" s="222"/>
      <c r="L108" s="222"/>
      <c r="M108" s="222"/>
      <c r="N108" s="222"/>
      <c r="O108" s="222"/>
      <c r="P108" s="222"/>
      <c r="Q108" s="249">
        <f t="shared" si="4"/>
        <v>97.3</v>
      </c>
      <c r="R108" s="151" t="str">
        <f t="shared" si="7"/>
        <v>NO</v>
      </c>
      <c r="S108" s="223" t="str">
        <f t="shared" si="6"/>
        <v>Inviable Sanitariamente</v>
      </c>
      <c r="T108" s="158"/>
    </row>
    <row r="109" spans="1:20" s="119" customFormat="1" ht="32.1" customHeight="1" x14ac:dyDescent="0.2">
      <c r="A109" s="490" t="s">
        <v>4125</v>
      </c>
      <c r="B109" s="160" t="s">
        <v>99</v>
      </c>
      <c r="C109" s="463" t="s">
        <v>1894</v>
      </c>
      <c r="D109" s="121">
        <v>29</v>
      </c>
      <c r="E109" s="222"/>
      <c r="F109" s="222"/>
      <c r="G109" s="222"/>
      <c r="H109" s="222">
        <v>97.3</v>
      </c>
      <c r="I109" s="222"/>
      <c r="J109" s="222"/>
      <c r="K109" s="222"/>
      <c r="L109" s="222"/>
      <c r="M109" s="222"/>
      <c r="N109" s="222"/>
      <c r="O109" s="222"/>
      <c r="P109" s="222"/>
      <c r="Q109" s="249">
        <f t="shared" si="4"/>
        <v>97.3</v>
      </c>
      <c r="R109" s="151" t="str">
        <f t="shared" si="7"/>
        <v>NO</v>
      </c>
      <c r="S109" s="223" t="str">
        <f t="shared" si="6"/>
        <v>Inviable Sanitariamente</v>
      </c>
      <c r="T109" s="158"/>
    </row>
    <row r="110" spans="1:20" s="119" customFormat="1" ht="32.1" customHeight="1" x14ac:dyDescent="0.2">
      <c r="A110" s="490" t="s">
        <v>4125</v>
      </c>
      <c r="B110" s="160" t="s">
        <v>1886</v>
      </c>
      <c r="C110" s="463" t="s">
        <v>1895</v>
      </c>
      <c r="D110" s="229">
        <v>35</v>
      </c>
      <c r="E110" s="222"/>
      <c r="F110" s="222"/>
      <c r="G110" s="222"/>
      <c r="H110" s="222"/>
      <c r="I110" s="222"/>
      <c r="J110" s="222"/>
      <c r="K110" s="222"/>
      <c r="L110" s="222"/>
      <c r="M110" s="222"/>
      <c r="N110" s="222">
        <v>97.3</v>
      </c>
      <c r="O110" s="222"/>
      <c r="P110" s="222"/>
      <c r="Q110" s="249">
        <f t="shared" si="4"/>
        <v>97.3</v>
      </c>
      <c r="R110" s="151" t="str">
        <f t="shared" si="7"/>
        <v>NO</v>
      </c>
      <c r="S110" s="223" t="str">
        <f t="shared" si="6"/>
        <v>Inviable Sanitariamente</v>
      </c>
      <c r="T110" s="158"/>
    </row>
    <row r="111" spans="1:20" s="119" customFormat="1" ht="32.1" customHeight="1" x14ac:dyDescent="0.2">
      <c r="A111" s="490" t="s">
        <v>4125</v>
      </c>
      <c r="B111" s="160" t="s">
        <v>101</v>
      </c>
      <c r="C111" s="463" t="s">
        <v>1896</v>
      </c>
      <c r="D111" s="221">
        <v>40</v>
      </c>
      <c r="E111" s="222"/>
      <c r="F111" s="222"/>
      <c r="G111" s="222"/>
      <c r="H111" s="222"/>
      <c r="I111" s="222"/>
      <c r="J111" s="222"/>
      <c r="K111" s="222"/>
      <c r="L111" s="222">
        <v>97.3</v>
      </c>
      <c r="M111" s="222"/>
      <c r="N111" s="222"/>
      <c r="O111" s="222"/>
      <c r="P111" s="222"/>
      <c r="Q111" s="249">
        <f t="shared" si="4"/>
        <v>97.3</v>
      </c>
      <c r="R111" s="151" t="str">
        <f t="shared" si="7"/>
        <v>NO</v>
      </c>
      <c r="S111" s="223" t="str">
        <f t="shared" si="6"/>
        <v>Inviable Sanitariamente</v>
      </c>
      <c r="T111" s="158"/>
    </row>
    <row r="112" spans="1:20" s="236" customFormat="1" ht="32.1" customHeight="1" x14ac:dyDescent="0.2">
      <c r="A112" s="490" t="s">
        <v>165</v>
      </c>
      <c r="B112" s="128" t="s">
        <v>1897</v>
      </c>
      <c r="C112" s="466" t="s">
        <v>1898</v>
      </c>
      <c r="D112" s="245">
        <v>73</v>
      </c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49" t="e">
        <f t="shared" si="4"/>
        <v>#DIV/0!</v>
      </c>
      <c r="R112" s="151" t="e">
        <f t="shared" si="7"/>
        <v>#DIV/0!</v>
      </c>
      <c r="S112" s="223" t="e">
        <f t="shared" si="6"/>
        <v>#DIV/0!</v>
      </c>
      <c r="T112" s="235"/>
    </row>
    <row r="113" spans="1:20" s="236" customFormat="1" ht="32.1" customHeight="1" x14ac:dyDescent="0.2">
      <c r="A113" s="490" t="s">
        <v>165</v>
      </c>
      <c r="B113" s="128" t="s">
        <v>0</v>
      </c>
      <c r="C113" s="466" t="s">
        <v>1899</v>
      </c>
      <c r="D113" s="244">
        <v>12</v>
      </c>
      <c r="E113" s="222"/>
      <c r="F113" s="222"/>
      <c r="G113" s="222"/>
      <c r="H113" s="222"/>
      <c r="I113" s="222"/>
      <c r="J113" s="222"/>
      <c r="K113" s="222"/>
      <c r="L113" s="222">
        <v>32.26</v>
      </c>
      <c r="M113" s="222"/>
      <c r="N113" s="222"/>
      <c r="O113" s="222"/>
      <c r="P113" s="222"/>
      <c r="Q113" s="249">
        <f t="shared" si="4"/>
        <v>32.26</v>
      </c>
      <c r="R113" s="151" t="str">
        <f t="shared" si="7"/>
        <v>NO</v>
      </c>
      <c r="S113" s="223" t="str">
        <f t="shared" si="6"/>
        <v>Medio</v>
      </c>
      <c r="T113" s="235"/>
    </row>
    <row r="114" spans="1:20" s="236" customFormat="1" ht="32.1" customHeight="1" x14ac:dyDescent="0.2">
      <c r="A114" s="490" t="s">
        <v>165</v>
      </c>
      <c r="B114" s="128" t="s">
        <v>1900</v>
      </c>
      <c r="C114" s="466" t="s">
        <v>1901</v>
      </c>
      <c r="D114" s="245">
        <v>20</v>
      </c>
      <c r="E114" s="222"/>
      <c r="F114" s="222"/>
      <c r="G114" s="222">
        <v>0</v>
      </c>
      <c r="H114" s="222"/>
      <c r="I114" s="222"/>
      <c r="J114" s="222"/>
      <c r="K114" s="222"/>
      <c r="L114" s="222"/>
      <c r="M114" s="222"/>
      <c r="N114" s="222"/>
      <c r="O114" s="222"/>
      <c r="P114" s="222"/>
      <c r="Q114" s="249">
        <f t="shared" si="4"/>
        <v>0</v>
      </c>
      <c r="R114" s="151" t="str">
        <f t="shared" si="7"/>
        <v>SI</v>
      </c>
      <c r="S114" s="223" t="str">
        <f t="shared" si="6"/>
        <v>Sin Riesgo</v>
      </c>
      <c r="T114" s="235"/>
    </row>
    <row r="115" spans="1:20" s="236" customFormat="1" ht="32.1" customHeight="1" x14ac:dyDescent="0.2">
      <c r="A115" s="490" t="s">
        <v>165</v>
      </c>
      <c r="B115" s="128" t="s">
        <v>1902</v>
      </c>
      <c r="C115" s="466" t="s">
        <v>1903</v>
      </c>
      <c r="D115" s="244">
        <v>5</v>
      </c>
      <c r="E115" s="222"/>
      <c r="F115" s="222"/>
      <c r="G115" s="222"/>
      <c r="H115" s="222"/>
      <c r="I115" s="222">
        <v>24</v>
      </c>
      <c r="J115" s="222"/>
      <c r="K115" s="222"/>
      <c r="L115" s="222"/>
      <c r="M115" s="222"/>
      <c r="N115" s="222"/>
      <c r="O115" s="222"/>
      <c r="P115" s="222"/>
      <c r="Q115" s="249">
        <f t="shared" si="4"/>
        <v>24</v>
      </c>
      <c r="R115" s="151" t="str">
        <f t="shared" si="7"/>
        <v>NO</v>
      </c>
      <c r="S115" s="223" t="str">
        <f t="shared" si="6"/>
        <v>Medio</v>
      </c>
      <c r="T115" s="235"/>
    </row>
    <row r="116" spans="1:20" s="236" customFormat="1" ht="32.1" customHeight="1" x14ac:dyDescent="0.2">
      <c r="A116" s="490" t="s">
        <v>165</v>
      </c>
      <c r="B116" s="128" t="s">
        <v>1904</v>
      </c>
      <c r="C116" s="466" t="s">
        <v>1905</v>
      </c>
      <c r="D116" s="244">
        <v>41</v>
      </c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>
        <v>0</v>
      </c>
      <c r="P116" s="222"/>
      <c r="Q116" s="249">
        <f t="shared" si="4"/>
        <v>0</v>
      </c>
      <c r="R116" s="151" t="str">
        <f t="shared" si="7"/>
        <v>SI</v>
      </c>
      <c r="S116" s="223" t="str">
        <f t="shared" si="6"/>
        <v>Sin Riesgo</v>
      </c>
      <c r="T116" s="235"/>
    </row>
    <row r="117" spans="1:20" s="236" customFormat="1" ht="32.1" customHeight="1" x14ac:dyDescent="0.2">
      <c r="A117" s="490" t="s">
        <v>165</v>
      </c>
      <c r="B117" s="128" t="s">
        <v>1326</v>
      </c>
      <c r="C117" s="466" t="s">
        <v>1906</v>
      </c>
      <c r="D117" s="244">
        <v>45</v>
      </c>
      <c r="E117" s="222"/>
      <c r="F117" s="222">
        <v>0</v>
      </c>
      <c r="G117" s="222"/>
      <c r="H117" s="222">
        <v>2.4</v>
      </c>
      <c r="I117" s="222"/>
      <c r="J117" s="222"/>
      <c r="K117" s="222"/>
      <c r="L117" s="222"/>
      <c r="M117" s="222"/>
      <c r="N117" s="222"/>
      <c r="O117" s="222"/>
      <c r="P117" s="222"/>
      <c r="Q117" s="249">
        <f t="shared" si="4"/>
        <v>1.2</v>
      </c>
      <c r="R117" s="151" t="str">
        <f t="shared" si="7"/>
        <v>SI</v>
      </c>
      <c r="S117" s="223" t="str">
        <f t="shared" si="6"/>
        <v>Sin Riesgo</v>
      </c>
      <c r="T117" s="235"/>
    </row>
    <row r="118" spans="1:20" s="236" customFormat="1" ht="32.1" customHeight="1" x14ac:dyDescent="0.2">
      <c r="A118" s="490" t="s">
        <v>165</v>
      </c>
      <c r="B118" s="128" t="s">
        <v>919</v>
      </c>
      <c r="C118" s="466" t="s">
        <v>1907</v>
      </c>
      <c r="D118" s="244">
        <v>72</v>
      </c>
      <c r="E118" s="222"/>
      <c r="F118" s="222">
        <v>24</v>
      </c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49">
        <f t="shared" si="4"/>
        <v>24</v>
      </c>
      <c r="R118" s="151" t="str">
        <f t="shared" si="7"/>
        <v>NO</v>
      </c>
      <c r="S118" s="223" t="str">
        <f t="shared" si="6"/>
        <v>Medio</v>
      </c>
      <c r="T118" s="235"/>
    </row>
    <row r="119" spans="1:20" s="236" customFormat="1" ht="32.1" customHeight="1" x14ac:dyDescent="0.2">
      <c r="A119" s="490" t="s">
        <v>165</v>
      </c>
      <c r="B119" s="520" t="s">
        <v>612</v>
      </c>
      <c r="C119" s="464" t="s">
        <v>1908</v>
      </c>
      <c r="D119" s="244">
        <v>9</v>
      </c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>
        <v>0</v>
      </c>
      <c r="P119" s="222"/>
      <c r="Q119" s="249">
        <f t="shared" si="4"/>
        <v>0</v>
      </c>
      <c r="R119" s="151" t="str">
        <f t="shared" si="7"/>
        <v>SI</v>
      </c>
      <c r="S119" s="223" t="str">
        <f t="shared" si="6"/>
        <v>Sin Riesgo</v>
      </c>
      <c r="T119" s="235"/>
    </row>
    <row r="120" spans="1:20" s="236" customFormat="1" ht="32.1" customHeight="1" x14ac:dyDescent="0.2">
      <c r="A120" s="490" t="s">
        <v>165</v>
      </c>
      <c r="B120" s="520" t="s">
        <v>1910</v>
      </c>
      <c r="C120" s="464" t="s">
        <v>1911</v>
      </c>
      <c r="D120" s="244">
        <v>28</v>
      </c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49" t="e">
        <f t="shared" si="4"/>
        <v>#DIV/0!</v>
      </c>
      <c r="R120" s="151" t="e">
        <f t="shared" si="7"/>
        <v>#DIV/0!</v>
      </c>
      <c r="S120" s="223" t="e">
        <f t="shared" si="6"/>
        <v>#DIV/0!</v>
      </c>
      <c r="T120" s="235"/>
    </row>
    <row r="121" spans="1:20" s="236" customFormat="1" ht="32.1" customHeight="1" x14ac:dyDescent="0.2">
      <c r="A121" s="490" t="s">
        <v>165</v>
      </c>
      <c r="B121" s="520" t="s">
        <v>1912</v>
      </c>
      <c r="C121" s="464" t="s">
        <v>1913</v>
      </c>
      <c r="D121" s="154">
        <v>24</v>
      </c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49" t="e">
        <f t="shared" si="4"/>
        <v>#DIV/0!</v>
      </c>
      <c r="R121" s="151" t="e">
        <f t="shared" si="7"/>
        <v>#DIV/0!</v>
      </c>
      <c r="S121" s="223" t="e">
        <f t="shared" si="6"/>
        <v>#DIV/0!</v>
      </c>
      <c r="T121" s="235"/>
    </row>
    <row r="122" spans="1:20" s="236" customFormat="1" ht="32.1" customHeight="1" x14ac:dyDescent="0.2">
      <c r="A122" s="490" t="s">
        <v>165</v>
      </c>
      <c r="B122" s="520" t="s">
        <v>1914</v>
      </c>
      <c r="C122" s="464" t="s">
        <v>1915</v>
      </c>
      <c r="D122" s="244">
        <v>18</v>
      </c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49" t="e">
        <f t="shared" si="4"/>
        <v>#DIV/0!</v>
      </c>
      <c r="R122" s="151" t="e">
        <f t="shared" si="7"/>
        <v>#DIV/0!</v>
      </c>
      <c r="S122" s="223" t="e">
        <f t="shared" si="6"/>
        <v>#DIV/0!</v>
      </c>
      <c r="T122" s="235"/>
    </row>
    <row r="123" spans="1:20" s="236" customFormat="1" ht="32.1" customHeight="1" x14ac:dyDescent="0.2">
      <c r="A123" s="490" t="s">
        <v>165</v>
      </c>
      <c r="B123" s="522" t="s">
        <v>2092</v>
      </c>
      <c r="C123" s="464" t="s">
        <v>2093</v>
      </c>
      <c r="D123" s="244">
        <v>600</v>
      </c>
      <c r="E123" s="222"/>
      <c r="F123" s="222"/>
      <c r="G123" s="222"/>
      <c r="H123" s="222"/>
      <c r="I123" s="222"/>
      <c r="J123" s="222"/>
      <c r="K123" s="222"/>
      <c r="L123" s="222"/>
      <c r="M123" s="222"/>
      <c r="N123" s="222">
        <v>0</v>
      </c>
      <c r="O123" s="222"/>
      <c r="P123" s="222"/>
      <c r="Q123" s="249">
        <f t="shared" si="4"/>
        <v>0</v>
      </c>
      <c r="R123" s="151" t="str">
        <f t="shared" si="7"/>
        <v>SI</v>
      </c>
      <c r="S123" s="223" t="str">
        <f t="shared" si="6"/>
        <v>Sin Riesgo</v>
      </c>
      <c r="T123" s="235"/>
    </row>
    <row r="124" spans="1:20" s="234" customFormat="1" ht="32.1" customHeight="1" x14ac:dyDescent="0.2">
      <c r="A124" s="490" t="s">
        <v>47</v>
      </c>
      <c r="B124" s="160" t="s">
        <v>2090</v>
      </c>
      <c r="C124" s="463" t="s">
        <v>1916</v>
      </c>
      <c r="D124" s="221">
        <v>285</v>
      </c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49" t="e">
        <f t="shared" si="4"/>
        <v>#DIV/0!</v>
      </c>
      <c r="R124" s="153" t="e">
        <f t="shared" si="7"/>
        <v>#DIV/0!</v>
      </c>
      <c r="S124" s="223" t="e">
        <f t="shared" si="6"/>
        <v>#DIV/0!</v>
      </c>
      <c r="T124" s="233"/>
    </row>
    <row r="125" spans="1:20" s="234" customFormat="1" ht="32.1" customHeight="1" x14ac:dyDescent="0.2">
      <c r="A125" s="490" t="s">
        <v>47</v>
      </c>
      <c r="B125" s="160" t="s">
        <v>1917</v>
      </c>
      <c r="C125" s="463" t="s">
        <v>1918</v>
      </c>
      <c r="D125" s="221">
        <v>205</v>
      </c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49" t="e">
        <f t="shared" si="4"/>
        <v>#DIV/0!</v>
      </c>
      <c r="R125" s="153" t="e">
        <f t="shared" si="7"/>
        <v>#DIV/0!</v>
      </c>
      <c r="S125" s="223" t="e">
        <f t="shared" si="6"/>
        <v>#DIV/0!</v>
      </c>
      <c r="T125" s="233"/>
    </row>
    <row r="126" spans="1:20" s="234" customFormat="1" ht="32.1" customHeight="1" x14ac:dyDescent="0.2">
      <c r="A126" s="490" t="s">
        <v>47</v>
      </c>
      <c r="B126" s="160" t="s">
        <v>1919</v>
      </c>
      <c r="C126" s="463" t="s">
        <v>1920</v>
      </c>
      <c r="D126" s="221">
        <v>168</v>
      </c>
      <c r="E126" s="222"/>
      <c r="F126" s="222"/>
      <c r="G126" s="222"/>
      <c r="H126" s="222">
        <v>53.1</v>
      </c>
      <c r="I126" s="222"/>
      <c r="J126" s="222"/>
      <c r="K126" s="222"/>
      <c r="L126" s="222"/>
      <c r="M126" s="222"/>
      <c r="N126" s="222"/>
      <c r="O126" s="222"/>
      <c r="P126" s="222"/>
      <c r="Q126" s="249">
        <f t="shared" si="4"/>
        <v>53.1</v>
      </c>
      <c r="R126" s="153" t="str">
        <f t="shared" si="7"/>
        <v>NO</v>
      </c>
      <c r="S126" s="223" t="str">
        <f t="shared" si="6"/>
        <v>Alto</v>
      </c>
      <c r="T126" s="233"/>
    </row>
    <row r="127" spans="1:20" s="234" customFormat="1" ht="32.1" customHeight="1" x14ac:dyDescent="0.2">
      <c r="A127" s="490" t="s">
        <v>47</v>
      </c>
      <c r="B127" s="160" t="s">
        <v>1921</v>
      </c>
      <c r="C127" s="463" t="s">
        <v>1922</v>
      </c>
      <c r="D127" s="221">
        <v>210</v>
      </c>
      <c r="E127" s="222"/>
      <c r="F127" s="222"/>
      <c r="G127" s="222">
        <v>53.1</v>
      </c>
      <c r="H127" s="222"/>
      <c r="I127" s="222"/>
      <c r="J127" s="222"/>
      <c r="K127" s="222"/>
      <c r="L127" s="222"/>
      <c r="M127" s="222"/>
      <c r="N127" s="222"/>
      <c r="O127" s="222"/>
      <c r="P127" s="222"/>
      <c r="Q127" s="249">
        <f t="shared" si="4"/>
        <v>53.1</v>
      </c>
      <c r="R127" s="153" t="str">
        <f t="shared" si="7"/>
        <v>NO</v>
      </c>
      <c r="S127" s="223" t="str">
        <f t="shared" si="6"/>
        <v>Alto</v>
      </c>
      <c r="T127" s="233"/>
    </row>
    <row r="128" spans="1:20" s="234" customFormat="1" ht="32.1" customHeight="1" x14ac:dyDescent="0.2">
      <c r="A128" s="490" t="s">
        <v>47</v>
      </c>
      <c r="B128" s="160" t="s">
        <v>1923</v>
      </c>
      <c r="C128" s="463" t="s">
        <v>1924</v>
      </c>
      <c r="D128" s="221">
        <v>170</v>
      </c>
      <c r="E128" s="222"/>
      <c r="F128" s="222"/>
      <c r="G128" s="222"/>
      <c r="H128" s="222"/>
      <c r="I128" s="222"/>
      <c r="J128" s="222"/>
      <c r="K128" s="222"/>
      <c r="L128" s="222">
        <v>53.1</v>
      </c>
      <c r="M128" s="222"/>
      <c r="N128" s="222"/>
      <c r="O128" s="222"/>
      <c r="P128" s="222"/>
      <c r="Q128" s="249">
        <f t="shared" si="4"/>
        <v>53.1</v>
      </c>
      <c r="R128" s="153" t="str">
        <f t="shared" si="7"/>
        <v>NO</v>
      </c>
      <c r="S128" s="223" t="str">
        <f t="shared" si="6"/>
        <v>Alto</v>
      </c>
      <c r="T128" s="233"/>
    </row>
    <row r="129" spans="1:20" s="234" customFormat="1" ht="32.1" customHeight="1" x14ac:dyDescent="0.2">
      <c r="A129" s="490" t="s">
        <v>47</v>
      </c>
      <c r="B129" s="160" t="s">
        <v>1432</v>
      </c>
      <c r="C129" s="463" t="s">
        <v>1925</v>
      </c>
      <c r="D129" s="221">
        <v>325</v>
      </c>
      <c r="E129" s="222"/>
      <c r="F129" s="222">
        <v>0</v>
      </c>
      <c r="G129" s="222"/>
      <c r="H129" s="222">
        <v>0</v>
      </c>
      <c r="I129" s="222"/>
      <c r="J129" s="222">
        <v>0</v>
      </c>
      <c r="K129" s="222"/>
      <c r="L129" s="222">
        <v>0</v>
      </c>
      <c r="M129" s="222"/>
      <c r="N129" s="222"/>
      <c r="O129" s="222"/>
      <c r="P129" s="222"/>
      <c r="Q129" s="249">
        <f t="shared" si="4"/>
        <v>0</v>
      </c>
      <c r="R129" s="153" t="str">
        <f t="shared" si="7"/>
        <v>SI</v>
      </c>
      <c r="S129" s="223" t="str">
        <f t="shared" si="6"/>
        <v>Sin Riesgo</v>
      </c>
      <c r="T129" s="233"/>
    </row>
    <row r="130" spans="1:20" s="234" customFormat="1" ht="32.1" customHeight="1" x14ac:dyDescent="0.2">
      <c r="A130" s="490" t="s">
        <v>47</v>
      </c>
      <c r="B130" s="160" t="s">
        <v>1926</v>
      </c>
      <c r="C130" s="463" t="s">
        <v>1927</v>
      </c>
      <c r="D130" s="221">
        <v>220</v>
      </c>
      <c r="E130" s="222"/>
      <c r="F130" s="222"/>
      <c r="G130" s="222"/>
      <c r="H130" s="222"/>
      <c r="I130" s="222">
        <v>53.1</v>
      </c>
      <c r="J130" s="222"/>
      <c r="K130" s="222"/>
      <c r="L130" s="222"/>
      <c r="M130" s="222"/>
      <c r="N130" s="222"/>
      <c r="O130" s="222"/>
      <c r="P130" s="222"/>
      <c r="Q130" s="249">
        <f t="shared" si="4"/>
        <v>53.1</v>
      </c>
      <c r="R130" s="153" t="str">
        <f t="shared" si="7"/>
        <v>NO</v>
      </c>
      <c r="S130" s="223" t="str">
        <f t="shared" si="6"/>
        <v>Alto</v>
      </c>
      <c r="T130" s="233"/>
    </row>
    <row r="131" spans="1:20" s="234" customFormat="1" ht="32.1" customHeight="1" x14ac:dyDescent="0.2">
      <c r="A131" s="490" t="s">
        <v>47</v>
      </c>
      <c r="B131" s="160" t="s">
        <v>1928</v>
      </c>
      <c r="C131" s="463" t="s">
        <v>1929</v>
      </c>
      <c r="D131" s="221">
        <v>110</v>
      </c>
      <c r="E131" s="222"/>
      <c r="F131" s="222"/>
      <c r="G131" s="222">
        <v>53.1</v>
      </c>
      <c r="H131" s="222"/>
      <c r="I131" s="222"/>
      <c r="J131" s="222"/>
      <c r="K131" s="222"/>
      <c r="L131" s="222"/>
      <c r="M131" s="222"/>
      <c r="N131" s="222"/>
      <c r="O131" s="222"/>
      <c r="P131" s="222"/>
      <c r="Q131" s="249">
        <f t="shared" si="4"/>
        <v>53.1</v>
      </c>
      <c r="R131" s="153" t="str">
        <f t="shared" si="7"/>
        <v>NO</v>
      </c>
      <c r="S131" s="223" t="str">
        <f t="shared" si="6"/>
        <v>Alto</v>
      </c>
      <c r="T131" s="233"/>
    </row>
    <row r="132" spans="1:20" s="234" customFormat="1" ht="32.1" customHeight="1" x14ac:dyDescent="0.2">
      <c r="A132" s="490" t="s">
        <v>47</v>
      </c>
      <c r="B132" s="160" t="s">
        <v>735</v>
      </c>
      <c r="C132" s="463" t="s">
        <v>1930</v>
      </c>
      <c r="D132" s="221">
        <v>508</v>
      </c>
      <c r="E132" s="222"/>
      <c r="F132" s="222"/>
      <c r="G132" s="222"/>
      <c r="H132" s="222">
        <v>53.1</v>
      </c>
      <c r="I132" s="222"/>
      <c r="J132" s="222"/>
      <c r="K132" s="222"/>
      <c r="L132" s="222">
        <v>53.1</v>
      </c>
      <c r="M132" s="222"/>
      <c r="N132" s="222"/>
      <c r="O132" s="222"/>
      <c r="P132" s="222"/>
      <c r="Q132" s="249">
        <f t="shared" si="4"/>
        <v>53.1</v>
      </c>
      <c r="R132" s="153" t="str">
        <f t="shared" si="7"/>
        <v>NO</v>
      </c>
      <c r="S132" s="223" t="str">
        <f t="shared" si="6"/>
        <v>Alto</v>
      </c>
      <c r="T132" s="233"/>
    </row>
    <row r="133" spans="1:20" s="234" customFormat="1" ht="32.1" customHeight="1" x14ac:dyDescent="0.2">
      <c r="A133" s="490" t="s">
        <v>47</v>
      </c>
      <c r="B133" s="160" t="s">
        <v>1931</v>
      </c>
      <c r="C133" s="463" t="s">
        <v>1932</v>
      </c>
      <c r="D133" s="221">
        <v>495</v>
      </c>
      <c r="E133" s="222"/>
      <c r="F133" s="222"/>
      <c r="G133" s="222"/>
      <c r="H133" s="222">
        <v>53.1</v>
      </c>
      <c r="I133" s="222"/>
      <c r="J133" s="222"/>
      <c r="K133" s="222"/>
      <c r="L133" s="222">
        <v>53.1</v>
      </c>
      <c r="M133" s="222"/>
      <c r="N133" s="222"/>
      <c r="O133" s="222">
        <v>53.1</v>
      </c>
      <c r="P133" s="222"/>
      <c r="Q133" s="249">
        <f t="shared" si="4"/>
        <v>53.1</v>
      </c>
      <c r="R133" s="153" t="str">
        <f t="shared" si="7"/>
        <v>NO</v>
      </c>
      <c r="S133" s="223" t="str">
        <f t="shared" si="6"/>
        <v>Alto</v>
      </c>
      <c r="T133" s="233"/>
    </row>
    <row r="134" spans="1:20" s="234" customFormat="1" ht="32.1" customHeight="1" x14ac:dyDescent="0.2">
      <c r="A134" s="490" t="s">
        <v>47</v>
      </c>
      <c r="B134" s="160" t="s">
        <v>16</v>
      </c>
      <c r="C134" s="463" t="s">
        <v>1933</v>
      </c>
      <c r="D134" s="221">
        <v>185</v>
      </c>
      <c r="E134" s="222"/>
      <c r="F134" s="222"/>
      <c r="G134" s="222"/>
      <c r="H134" s="222"/>
      <c r="I134" s="222"/>
      <c r="J134" s="222"/>
      <c r="K134" s="222"/>
      <c r="L134" s="222">
        <v>53.1</v>
      </c>
      <c r="M134" s="222"/>
      <c r="N134" s="222"/>
      <c r="O134" s="222"/>
      <c r="P134" s="222"/>
      <c r="Q134" s="249">
        <f t="shared" si="4"/>
        <v>53.1</v>
      </c>
      <c r="R134" s="153" t="str">
        <f t="shared" si="7"/>
        <v>NO</v>
      </c>
      <c r="S134" s="223" t="str">
        <f t="shared" si="6"/>
        <v>Alto</v>
      </c>
      <c r="T134" s="233"/>
    </row>
    <row r="135" spans="1:20" s="234" customFormat="1" ht="32.1" customHeight="1" x14ac:dyDescent="0.2">
      <c r="A135" s="490" t="s">
        <v>47</v>
      </c>
      <c r="B135" s="160" t="s">
        <v>1934</v>
      </c>
      <c r="C135" s="463" t="s">
        <v>1935</v>
      </c>
      <c r="D135" s="221">
        <v>140</v>
      </c>
      <c r="E135" s="222"/>
      <c r="F135" s="222">
        <v>53.1</v>
      </c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49">
        <f t="shared" ref="Q135:Q198" si="8">AVERAGE(E135:P135)</f>
        <v>53.1</v>
      </c>
      <c r="R135" s="153" t="str">
        <f t="shared" ref="R135:R151" si="9">IF(Q135&lt;5,"SI","NO")</f>
        <v>NO</v>
      </c>
      <c r="S135" s="223" t="str">
        <f t="shared" ref="S135:S198" si="10">IF(Q135&lt;5,"Sin Riesgo",IF(Q135 &lt;=14,"Bajo",IF(Q135&lt;=35,"Medio",IF(Q135&lt;=80,"Alto","Inviable Sanitariamente"))))</f>
        <v>Alto</v>
      </c>
      <c r="T135" s="233"/>
    </row>
    <row r="136" spans="1:20" s="234" customFormat="1" ht="32.1" customHeight="1" x14ac:dyDescent="0.2">
      <c r="A136" s="490" t="s">
        <v>47</v>
      </c>
      <c r="B136" s="160" t="s">
        <v>1936</v>
      </c>
      <c r="C136" s="463" t="s">
        <v>1937</v>
      </c>
      <c r="D136" s="221">
        <v>310</v>
      </c>
      <c r="E136" s="222"/>
      <c r="F136" s="222"/>
      <c r="G136" s="222">
        <v>53.1</v>
      </c>
      <c r="H136" s="222"/>
      <c r="I136" s="222"/>
      <c r="J136" s="222"/>
      <c r="K136" s="222"/>
      <c r="L136" s="222"/>
      <c r="M136" s="222"/>
      <c r="N136" s="222"/>
      <c r="O136" s="222"/>
      <c r="P136" s="222"/>
      <c r="Q136" s="249">
        <f t="shared" si="8"/>
        <v>53.1</v>
      </c>
      <c r="R136" s="153" t="str">
        <f t="shared" si="9"/>
        <v>NO</v>
      </c>
      <c r="S136" s="223" t="str">
        <f t="shared" si="10"/>
        <v>Alto</v>
      </c>
      <c r="T136" s="237"/>
    </row>
    <row r="137" spans="1:20" s="234" customFormat="1" ht="32.1" customHeight="1" x14ac:dyDescent="0.2">
      <c r="A137" s="490" t="s">
        <v>47</v>
      </c>
      <c r="B137" s="160" t="s">
        <v>1938</v>
      </c>
      <c r="C137" s="463" t="s">
        <v>1939</v>
      </c>
      <c r="D137" s="221">
        <v>612</v>
      </c>
      <c r="E137" s="222"/>
      <c r="F137" s="222"/>
      <c r="G137" s="222"/>
      <c r="H137" s="222">
        <v>53.1</v>
      </c>
      <c r="I137" s="222"/>
      <c r="J137" s="222"/>
      <c r="K137" s="222"/>
      <c r="L137" s="222"/>
      <c r="M137" s="222"/>
      <c r="N137" s="222"/>
      <c r="O137" s="222"/>
      <c r="P137" s="222"/>
      <c r="Q137" s="249">
        <f t="shared" si="8"/>
        <v>53.1</v>
      </c>
      <c r="R137" s="153" t="str">
        <f t="shared" si="9"/>
        <v>NO</v>
      </c>
      <c r="S137" s="223" t="str">
        <f t="shared" si="10"/>
        <v>Alto</v>
      </c>
      <c r="T137" s="237"/>
    </row>
    <row r="138" spans="1:20" s="234" customFormat="1" ht="32.1" customHeight="1" x14ac:dyDescent="0.2">
      <c r="A138" s="490" t="s">
        <v>47</v>
      </c>
      <c r="B138" s="160" t="s">
        <v>1940</v>
      </c>
      <c r="C138" s="463" t="s">
        <v>1941</v>
      </c>
      <c r="D138" s="221">
        <v>288</v>
      </c>
      <c r="E138" s="222"/>
      <c r="F138" s="222"/>
      <c r="G138" s="222">
        <v>53.1</v>
      </c>
      <c r="H138" s="222"/>
      <c r="I138" s="222"/>
      <c r="J138" s="222"/>
      <c r="K138" s="222"/>
      <c r="L138" s="222"/>
      <c r="M138" s="222"/>
      <c r="N138" s="222"/>
      <c r="O138" s="222"/>
      <c r="P138" s="222"/>
      <c r="Q138" s="249">
        <f t="shared" si="8"/>
        <v>53.1</v>
      </c>
      <c r="R138" s="153" t="str">
        <f t="shared" si="9"/>
        <v>NO</v>
      </c>
      <c r="S138" s="223" t="str">
        <f t="shared" si="10"/>
        <v>Alto</v>
      </c>
      <c r="T138" s="237"/>
    </row>
    <row r="139" spans="1:20" s="234" customFormat="1" ht="32.1" customHeight="1" x14ac:dyDescent="0.2">
      <c r="A139" s="490" t="s">
        <v>47</v>
      </c>
      <c r="B139" s="160" t="s">
        <v>1942</v>
      </c>
      <c r="C139" s="463" t="s">
        <v>1943</v>
      </c>
      <c r="D139" s="221">
        <v>308</v>
      </c>
      <c r="E139" s="222"/>
      <c r="F139" s="222"/>
      <c r="G139" s="222"/>
      <c r="H139" s="222"/>
      <c r="I139" s="222">
        <v>53.1</v>
      </c>
      <c r="J139" s="222"/>
      <c r="K139" s="222"/>
      <c r="L139" s="222"/>
      <c r="M139" s="222"/>
      <c r="N139" s="222"/>
      <c r="O139" s="222"/>
      <c r="P139" s="222"/>
      <c r="Q139" s="249">
        <f t="shared" si="8"/>
        <v>53.1</v>
      </c>
      <c r="R139" s="153" t="str">
        <f t="shared" si="9"/>
        <v>NO</v>
      </c>
      <c r="S139" s="223" t="str">
        <f t="shared" si="10"/>
        <v>Alto</v>
      </c>
      <c r="T139" s="237"/>
    </row>
    <row r="140" spans="1:20" s="234" customFormat="1" ht="32.1" customHeight="1" x14ac:dyDescent="0.2">
      <c r="A140" s="490" t="s">
        <v>47</v>
      </c>
      <c r="B140" s="160" t="s">
        <v>1944</v>
      </c>
      <c r="C140" s="463" t="s">
        <v>1945</v>
      </c>
      <c r="D140" s="221">
        <v>210</v>
      </c>
      <c r="E140" s="222"/>
      <c r="F140" s="222"/>
      <c r="G140" s="222"/>
      <c r="H140" s="222"/>
      <c r="I140" s="222"/>
      <c r="J140" s="222"/>
      <c r="K140" s="222"/>
      <c r="L140" s="222">
        <v>53.1</v>
      </c>
      <c r="M140" s="222"/>
      <c r="N140" s="222"/>
      <c r="O140" s="222"/>
      <c r="P140" s="222"/>
      <c r="Q140" s="249">
        <f t="shared" si="8"/>
        <v>53.1</v>
      </c>
      <c r="R140" s="153" t="str">
        <f t="shared" si="9"/>
        <v>NO</v>
      </c>
      <c r="S140" s="223" t="str">
        <f t="shared" si="10"/>
        <v>Alto</v>
      </c>
      <c r="T140" s="237"/>
    </row>
    <row r="141" spans="1:20" s="234" customFormat="1" ht="32.1" customHeight="1" x14ac:dyDescent="0.2">
      <c r="A141" s="490" t="s">
        <v>47</v>
      </c>
      <c r="B141" s="160" t="s">
        <v>1946</v>
      </c>
      <c r="C141" s="463" t="s">
        <v>1947</v>
      </c>
      <c r="D141" s="221">
        <v>250</v>
      </c>
      <c r="E141" s="222"/>
      <c r="F141" s="222"/>
      <c r="G141" s="222"/>
      <c r="H141" s="222"/>
      <c r="I141" s="222"/>
      <c r="J141" s="222"/>
      <c r="K141" s="222">
        <v>53.1</v>
      </c>
      <c r="L141" s="222"/>
      <c r="M141" s="222"/>
      <c r="N141" s="222"/>
      <c r="O141" s="222"/>
      <c r="P141" s="222"/>
      <c r="Q141" s="249">
        <f t="shared" si="8"/>
        <v>53.1</v>
      </c>
      <c r="R141" s="153" t="str">
        <f t="shared" si="9"/>
        <v>NO</v>
      </c>
      <c r="S141" s="223" t="str">
        <f t="shared" si="10"/>
        <v>Alto</v>
      </c>
      <c r="T141" s="237"/>
    </row>
    <row r="142" spans="1:20" s="234" customFormat="1" ht="32.1" customHeight="1" x14ac:dyDescent="0.2">
      <c r="A142" s="490" t="s">
        <v>47</v>
      </c>
      <c r="B142" s="160" t="s">
        <v>1948</v>
      </c>
      <c r="C142" s="463" t="s">
        <v>1949</v>
      </c>
      <c r="D142" s="221">
        <v>2332</v>
      </c>
      <c r="E142" s="222"/>
      <c r="F142" s="222">
        <v>0</v>
      </c>
      <c r="G142" s="222">
        <v>0</v>
      </c>
      <c r="H142" s="222"/>
      <c r="I142" s="222">
        <v>0</v>
      </c>
      <c r="J142" s="222"/>
      <c r="K142" s="222"/>
      <c r="L142" s="222">
        <v>53.1</v>
      </c>
      <c r="M142" s="222"/>
      <c r="N142" s="222"/>
      <c r="O142" s="222"/>
      <c r="P142" s="222"/>
      <c r="Q142" s="249">
        <f t="shared" si="8"/>
        <v>13.275</v>
      </c>
      <c r="R142" s="153" t="str">
        <f t="shared" si="9"/>
        <v>NO</v>
      </c>
      <c r="S142" s="223" t="str">
        <f t="shared" si="10"/>
        <v>Bajo</v>
      </c>
      <c r="T142" s="237"/>
    </row>
    <row r="143" spans="1:20" s="234" customFormat="1" ht="32.1" customHeight="1" x14ac:dyDescent="0.2">
      <c r="A143" s="490" t="s">
        <v>47</v>
      </c>
      <c r="B143" s="160" t="s">
        <v>1950</v>
      </c>
      <c r="C143" s="463" t="s">
        <v>1951</v>
      </c>
      <c r="D143" s="221">
        <v>125</v>
      </c>
      <c r="E143" s="222"/>
      <c r="F143" s="222">
        <v>53.1</v>
      </c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49">
        <f t="shared" si="8"/>
        <v>53.1</v>
      </c>
      <c r="R143" s="153" t="str">
        <f t="shared" si="9"/>
        <v>NO</v>
      </c>
      <c r="S143" s="223" t="str">
        <f t="shared" si="10"/>
        <v>Alto</v>
      </c>
      <c r="T143" s="237"/>
    </row>
    <row r="144" spans="1:20" s="234" customFormat="1" ht="32.1" customHeight="1" x14ac:dyDescent="0.2">
      <c r="A144" s="490" t="s">
        <v>47</v>
      </c>
      <c r="B144" s="160" t="s">
        <v>1952</v>
      </c>
      <c r="C144" s="463" t="s">
        <v>1953</v>
      </c>
      <c r="D144" s="221">
        <v>152</v>
      </c>
      <c r="E144" s="222"/>
      <c r="F144" s="222">
        <v>53.1</v>
      </c>
      <c r="G144" s="222"/>
      <c r="H144" s="222"/>
      <c r="I144" s="222">
        <v>97.3</v>
      </c>
      <c r="J144" s="222"/>
      <c r="K144" s="222"/>
      <c r="L144" s="222"/>
      <c r="M144" s="222"/>
      <c r="N144" s="222">
        <v>53.1</v>
      </c>
      <c r="O144" s="222"/>
      <c r="P144" s="222"/>
      <c r="Q144" s="249">
        <f t="shared" si="8"/>
        <v>67.833333333333329</v>
      </c>
      <c r="R144" s="153" t="str">
        <f t="shared" si="9"/>
        <v>NO</v>
      </c>
      <c r="S144" s="223" t="str">
        <f t="shared" si="10"/>
        <v>Alto</v>
      </c>
      <c r="T144" s="237"/>
    </row>
    <row r="145" spans="1:20" s="234" customFormat="1" ht="32.1" customHeight="1" x14ac:dyDescent="0.2">
      <c r="A145" s="490" t="s">
        <v>47</v>
      </c>
      <c r="B145" s="160" t="s">
        <v>1954</v>
      </c>
      <c r="C145" s="463" t="s">
        <v>1955</v>
      </c>
      <c r="D145" s="221">
        <v>195</v>
      </c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49" t="e">
        <f t="shared" si="8"/>
        <v>#DIV/0!</v>
      </c>
      <c r="R145" s="153" t="e">
        <f t="shared" si="9"/>
        <v>#DIV/0!</v>
      </c>
      <c r="S145" s="223" t="e">
        <f t="shared" si="10"/>
        <v>#DIV/0!</v>
      </c>
      <c r="T145" s="237"/>
    </row>
    <row r="146" spans="1:20" s="234" customFormat="1" ht="32.1" customHeight="1" x14ac:dyDescent="0.2">
      <c r="A146" s="490" t="s">
        <v>47</v>
      </c>
      <c r="B146" s="160" t="s">
        <v>1956</v>
      </c>
      <c r="C146" s="463" t="s">
        <v>1957</v>
      </c>
      <c r="D146" s="121">
        <v>245</v>
      </c>
      <c r="E146" s="222"/>
      <c r="F146" s="222"/>
      <c r="G146" s="222">
        <v>53.1</v>
      </c>
      <c r="H146" s="222"/>
      <c r="I146" s="222"/>
      <c r="J146" s="222"/>
      <c r="K146" s="222"/>
      <c r="L146" s="222"/>
      <c r="M146" s="222"/>
      <c r="N146" s="222"/>
      <c r="O146" s="222"/>
      <c r="P146" s="222"/>
      <c r="Q146" s="249">
        <f t="shared" si="8"/>
        <v>53.1</v>
      </c>
      <c r="R146" s="153" t="str">
        <f t="shared" si="9"/>
        <v>NO</v>
      </c>
      <c r="S146" s="223" t="str">
        <f t="shared" si="10"/>
        <v>Alto</v>
      </c>
      <c r="T146" s="237"/>
    </row>
    <row r="147" spans="1:20" s="234" customFormat="1" ht="32.1" customHeight="1" x14ac:dyDescent="0.2">
      <c r="A147" s="490" t="s">
        <v>47</v>
      </c>
      <c r="B147" s="160" t="s">
        <v>1958</v>
      </c>
      <c r="C147" s="463" t="s">
        <v>1959</v>
      </c>
      <c r="D147" s="221">
        <v>242</v>
      </c>
      <c r="E147" s="222"/>
      <c r="F147" s="222">
        <v>53.1</v>
      </c>
      <c r="G147" s="222"/>
      <c r="H147" s="222"/>
      <c r="I147" s="222"/>
      <c r="J147" s="222"/>
      <c r="K147" s="222"/>
      <c r="L147" s="222"/>
      <c r="M147" s="222"/>
      <c r="N147" s="222"/>
      <c r="O147" s="222">
        <v>53.1</v>
      </c>
      <c r="P147" s="222"/>
      <c r="Q147" s="249">
        <f t="shared" si="8"/>
        <v>53.1</v>
      </c>
      <c r="R147" s="153" t="str">
        <f t="shared" si="9"/>
        <v>NO</v>
      </c>
      <c r="S147" s="223" t="str">
        <f t="shared" si="10"/>
        <v>Alto</v>
      </c>
      <c r="T147" s="237"/>
    </row>
    <row r="148" spans="1:20" s="234" customFormat="1" ht="32.1" customHeight="1" x14ac:dyDescent="0.2">
      <c r="A148" s="490" t="s">
        <v>47</v>
      </c>
      <c r="B148" s="160" t="s">
        <v>1960</v>
      </c>
      <c r="C148" s="463" t="s">
        <v>1961</v>
      </c>
      <c r="D148" s="121">
        <v>340</v>
      </c>
      <c r="E148" s="222"/>
      <c r="F148" s="222"/>
      <c r="G148" s="222"/>
      <c r="H148" s="222"/>
      <c r="I148" s="222"/>
      <c r="J148" s="222"/>
      <c r="K148" s="222"/>
      <c r="L148" s="222"/>
      <c r="M148" s="222"/>
      <c r="N148" s="222">
        <v>0</v>
      </c>
      <c r="O148" s="222"/>
      <c r="P148" s="222"/>
      <c r="Q148" s="249">
        <f t="shared" si="8"/>
        <v>0</v>
      </c>
      <c r="R148" s="153" t="str">
        <f t="shared" si="9"/>
        <v>SI</v>
      </c>
      <c r="S148" s="223" t="str">
        <f t="shared" si="10"/>
        <v>Sin Riesgo</v>
      </c>
      <c r="T148" s="237"/>
    </row>
    <row r="149" spans="1:20" s="234" customFormat="1" ht="32.1" customHeight="1" x14ac:dyDescent="0.2">
      <c r="A149" s="490" t="s">
        <v>47</v>
      </c>
      <c r="B149" s="160" t="s">
        <v>1962</v>
      </c>
      <c r="C149" s="463" t="s">
        <v>1963</v>
      </c>
      <c r="D149" s="121">
        <v>240</v>
      </c>
      <c r="E149" s="222"/>
      <c r="F149" s="222"/>
      <c r="G149" s="222"/>
      <c r="H149" s="222"/>
      <c r="I149" s="222"/>
      <c r="J149" s="222"/>
      <c r="K149" s="222">
        <v>53.1</v>
      </c>
      <c r="L149" s="222"/>
      <c r="M149" s="222"/>
      <c r="N149" s="222"/>
      <c r="O149" s="222"/>
      <c r="P149" s="222"/>
      <c r="Q149" s="249">
        <f t="shared" si="8"/>
        <v>53.1</v>
      </c>
      <c r="R149" s="153" t="str">
        <f t="shared" si="9"/>
        <v>NO</v>
      </c>
      <c r="S149" s="223" t="str">
        <f t="shared" si="10"/>
        <v>Alto</v>
      </c>
      <c r="T149" s="237"/>
    </row>
    <row r="150" spans="1:20" s="234" customFormat="1" ht="32.1" customHeight="1" x14ac:dyDescent="0.2">
      <c r="A150" s="490" t="s">
        <v>47</v>
      </c>
      <c r="B150" s="160" t="s">
        <v>1964</v>
      </c>
      <c r="C150" s="463" t="s">
        <v>1965</v>
      </c>
      <c r="D150" s="221">
        <v>196</v>
      </c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49" t="e">
        <f t="shared" si="8"/>
        <v>#DIV/0!</v>
      </c>
      <c r="R150" s="153" t="e">
        <f t="shared" si="9"/>
        <v>#DIV/0!</v>
      </c>
      <c r="S150" s="223" t="e">
        <f t="shared" si="10"/>
        <v>#DIV/0!</v>
      </c>
      <c r="T150" s="237"/>
    </row>
    <row r="151" spans="1:20" s="234" customFormat="1" ht="32.1" customHeight="1" x14ac:dyDescent="0.2">
      <c r="A151" s="490" t="s">
        <v>47</v>
      </c>
      <c r="B151" s="160" t="s">
        <v>10</v>
      </c>
      <c r="C151" s="463" t="s">
        <v>1966</v>
      </c>
      <c r="D151" s="221">
        <v>260</v>
      </c>
      <c r="E151" s="222"/>
      <c r="F151" s="222"/>
      <c r="G151" s="222"/>
      <c r="H151" s="222">
        <v>53.1</v>
      </c>
      <c r="I151" s="222"/>
      <c r="J151" s="222"/>
      <c r="K151" s="222"/>
      <c r="L151" s="222"/>
      <c r="M151" s="222"/>
      <c r="N151" s="222"/>
      <c r="O151" s="222"/>
      <c r="P151" s="222"/>
      <c r="Q151" s="249">
        <f t="shared" si="8"/>
        <v>53.1</v>
      </c>
      <c r="R151" s="153" t="str">
        <f t="shared" si="9"/>
        <v>NO</v>
      </c>
      <c r="S151" s="223" t="str">
        <f t="shared" si="10"/>
        <v>Alto</v>
      </c>
      <c r="T151" s="237"/>
    </row>
    <row r="152" spans="1:20" s="119" customFormat="1" ht="32.1" customHeight="1" x14ac:dyDescent="0.2">
      <c r="A152" s="209" t="s">
        <v>166</v>
      </c>
      <c r="B152" s="520" t="s">
        <v>2062</v>
      </c>
      <c r="C152" s="464" t="s">
        <v>2063</v>
      </c>
      <c r="D152" s="121">
        <v>51</v>
      </c>
      <c r="E152" s="222"/>
      <c r="F152" s="222"/>
      <c r="G152" s="222"/>
      <c r="H152" s="222"/>
      <c r="I152" s="222"/>
      <c r="J152" s="222"/>
      <c r="K152" s="222"/>
      <c r="L152" s="222"/>
      <c r="M152" s="222"/>
      <c r="N152" s="222">
        <v>97.3</v>
      </c>
      <c r="O152" s="222"/>
      <c r="P152" s="222"/>
      <c r="Q152" s="249">
        <f t="shared" si="8"/>
        <v>97.3</v>
      </c>
      <c r="R152" s="153" t="s">
        <v>1117</v>
      </c>
      <c r="S152" s="223" t="str">
        <f t="shared" si="10"/>
        <v>Inviable Sanitariamente</v>
      </c>
      <c r="T152" s="239"/>
    </row>
    <row r="153" spans="1:20" s="119" customFormat="1" ht="32.1" customHeight="1" x14ac:dyDescent="0.2">
      <c r="A153" s="209" t="s">
        <v>166</v>
      </c>
      <c r="B153" s="520" t="s">
        <v>2064</v>
      </c>
      <c r="C153" s="464" t="s">
        <v>2065</v>
      </c>
      <c r="D153" s="121">
        <v>146</v>
      </c>
      <c r="E153" s="222"/>
      <c r="F153" s="222"/>
      <c r="G153" s="222"/>
      <c r="H153" s="222"/>
      <c r="I153" s="222">
        <v>97.3</v>
      </c>
      <c r="J153" s="222"/>
      <c r="K153" s="222"/>
      <c r="L153" s="222"/>
      <c r="M153" s="222"/>
      <c r="N153" s="222"/>
      <c r="O153" s="222"/>
      <c r="P153" s="222"/>
      <c r="Q153" s="249">
        <f t="shared" si="8"/>
        <v>97.3</v>
      </c>
      <c r="R153" s="153" t="s">
        <v>1117</v>
      </c>
      <c r="S153" s="223" t="str">
        <f t="shared" si="10"/>
        <v>Inviable Sanitariamente</v>
      </c>
      <c r="T153" s="239"/>
    </row>
    <row r="154" spans="1:20" s="119" customFormat="1" ht="32.1" customHeight="1" x14ac:dyDescent="0.2">
      <c r="A154" s="209" t="s">
        <v>166</v>
      </c>
      <c r="B154" s="520" t="s">
        <v>2066</v>
      </c>
      <c r="C154" s="464" t="s">
        <v>2067</v>
      </c>
      <c r="D154" s="121">
        <v>11</v>
      </c>
      <c r="E154" s="222"/>
      <c r="F154" s="222"/>
      <c r="G154" s="222"/>
      <c r="H154" s="222"/>
      <c r="I154" s="222"/>
      <c r="J154" s="222"/>
      <c r="K154" s="222"/>
      <c r="L154" s="222"/>
      <c r="M154" s="222"/>
      <c r="N154" s="222">
        <v>97.3</v>
      </c>
      <c r="O154" s="222"/>
      <c r="P154" s="222"/>
      <c r="Q154" s="249">
        <f t="shared" si="8"/>
        <v>97.3</v>
      </c>
      <c r="R154" s="153" t="s">
        <v>1117</v>
      </c>
      <c r="S154" s="223" t="str">
        <f t="shared" si="10"/>
        <v>Inviable Sanitariamente</v>
      </c>
      <c r="T154" s="239"/>
    </row>
    <row r="155" spans="1:20" s="119" customFormat="1" ht="32.1" customHeight="1" x14ac:dyDescent="0.2">
      <c r="A155" s="209" t="s">
        <v>166</v>
      </c>
      <c r="B155" s="520" t="s">
        <v>2068</v>
      </c>
      <c r="C155" s="464" t="s">
        <v>2069</v>
      </c>
      <c r="D155" s="121">
        <v>130</v>
      </c>
      <c r="E155" s="222"/>
      <c r="F155" s="222"/>
      <c r="G155" s="222"/>
      <c r="H155" s="222"/>
      <c r="I155" s="222">
        <v>97.3</v>
      </c>
      <c r="J155" s="222"/>
      <c r="K155" s="222"/>
      <c r="L155" s="222"/>
      <c r="M155" s="222"/>
      <c r="N155" s="222"/>
      <c r="O155" s="222"/>
      <c r="P155" s="222"/>
      <c r="Q155" s="249">
        <f t="shared" si="8"/>
        <v>97.3</v>
      </c>
      <c r="R155" s="153" t="s">
        <v>1117</v>
      </c>
      <c r="S155" s="223" t="str">
        <f t="shared" si="10"/>
        <v>Inviable Sanitariamente</v>
      </c>
      <c r="T155" s="239"/>
    </row>
    <row r="156" spans="1:20" s="119" customFormat="1" ht="32.1" customHeight="1" x14ac:dyDescent="0.2">
      <c r="A156" s="209" t="s">
        <v>166</v>
      </c>
      <c r="B156" s="520" t="s">
        <v>2070</v>
      </c>
      <c r="C156" s="464" t="s">
        <v>2071</v>
      </c>
      <c r="D156" s="121">
        <v>17</v>
      </c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>
        <v>97.3</v>
      </c>
      <c r="P156" s="222"/>
      <c r="Q156" s="249">
        <f t="shared" si="8"/>
        <v>97.3</v>
      </c>
      <c r="R156" s="153" t="s">
        <v>1117</v>
      </c>
      <c r="S156" s="223" t="str">
        <f t="shared" si="10"/>
        <v>Inviable Sanitariamente</v>
      </c>
      <c r="T156" s="239"/>
    </row>
    <row r="157" spans="1:20" s="119" customFormat="1" ht="32.1" customHeight="1" x14ac:dyDescent="0.2">
      <c r="A157" s="209" t="s">
        <v>166</v>
      </c>
      <c r="B157" s="520" t="s">
        <v>2072</v>
      </c>
      <c r="C157" s="464" t="s">
        <v>2073</v>
      </c>
      <c r="D157" s="121">
        <v>16</v>
      </c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>
        <v>97.3</v>
      </c>
      <c r="P157" s="222"/>
      <c r="Q157" s="249">
        <f t="shared" si="8"/>
        <v>97.3</v>
      </c>
      <c r="R157" s="153" t="s">
        <v>1117</v>
      </c>
      <c r="S157" s="223" t="str">
        <f t="shared" si="10"/>
        <v>Inviable Sanitariamente</v>
      </c>
      <c r="T157" s="239"/>
    </row>
    <row r="158" spans="1:20" s="119" customFormat="1" ht="32.1" customHeight="1" x14ac:dyDescent="0.2">
      <c r="A158" s="209" t="s">
        <v>166</v>
      </c>
      <c r="B158" s="520" t="s">
        <v>735</v>
      </c>
      <c r="C158" s="464" t="s">
        <v>2074</v>
      </c>
      <c r="D158" s="121">
        <v>32</v>
      </c>
      <c r="E158" s="222"/>
      <c r="F158" s="222"/>
      <c r="G158" s="222"/>
      <c r="H158" s="222"/>
      <c r="I158" s="222"/>
      <c r="J158" s="222"/>
      <c r="K158" s="222"/>
      <c r="L158" s="222">
        <v>97.3</v>
      </c>
      <c r="M158" s="222"/>
      <c r="N158" s="222"/>
      <c r="O158" s="222"/>
      <c r="P158" s="222"/>
      <c r="Q158" s="249">
        <f t="shared" si="8"/>
        <v>97.3</v>
      </c>
      <c r="R158" s="153" t="s">
        <v>1117</v>
      </c>
      <c r="S158" s="223" t="str">
        <f t="shared" si="10"/>
        <v>Inviable Sanitariamente</v>
      </c>
      <c r="T158" s="239"/>
    </row>
    <row r="159" spans="1:20" s="119" customFormat="1" ht="32.1" customHeight="1" x14ac:dyDescent="0.2">
      <c r="A159" s="209" t="s">
        <v>166</v>
      </c>
      <c r="B159" s="520" t="s">
        <v>2075</v>
      </c>
      <c r="C159" s="464" t="s">
        <v>2076</v>
      </c>
      <c r="D159" s="116">
        <v>48</v>
      </c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>
        <v>97.3</v>
      </c>
      <c r="P159" s="222"/>
      <c r="Q159" s="249">
        <f t="shared" si="8"/>
        <v>97.3</v>
      </c>
      <c r="R159" s="153" t="s">
        <v>1117</v>
      </c>
      <c r="S159" s="223" t="str">
        <f t="shared" si="10"/>
        <v>Inviable Sanitariamente</v>
      </c>
      <c r="T159" s="239"/>
    </row>
    <row r="160" spans="1:20" s="119" customFormat="1" ht="32.1" customHeight="1" x14ac:dyDescent="0.2">
      <c r="A160" s="209" t="s">
        <v>166</v>
      </c>
      <c r="B160" s="520" t="s">
        <v>48</v>
      </c>
      <c r="C160" s="464" t="s">
        <v>2077</v>
      </c>
      <c r="D160" s="121">
        <v>15</v>
      </c>
      <c r="E160" s="222"/>
      <c r="F160" s="222"/>
      <c r="G160" s="222"/>
      <c r="H160" s="222"/>
      <c r="I160" s="222"/>
      <c r="J160" s="222"/>
      <c r="K160" s="222"/>
      <c r="L160" s="222">
        <v>97.3</v>
      </c>
      <c r="M160" s="222"/>
      <c r="N160" s="222"/>
      <c r="O160" s="222"/>
      <c r="P160" s="222"/>
      <c r="Q160" s="249">
        <f t="shared" si="8"/>
        <v>97.3</v>
      </c>
      <c r="R160" s="153" t="s">
        <v>1117</v>
      </c>
      <c r="S160" s="223" t="str">
        <f t="shared" si="10"/>
        <v>Inviable Sanitariamente</v>
      </c>
      <c r="T160" s="239"/>
    </row>
    <row r="161" spans="1:20" s="119" customFormat="1" ht="32.1" customHeight="1" x14ac:dyDescent="0.2">
      <c r="A161" s="209" t="s">
        <v>166</v>
      </c>
      <c r="B161" s="520" t="s">
        <v>2078</v>
      </c>
      <c r="C161" s="464" t="s">
        <v>2079</v>
      </c>
      <c r="D161" s="121">
        <v>18</v>
      </c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49" t="e">
        <f t="shared" si="8"/>
        <v>#DIV/0!</v>
      </c>
      <c r="R161" s="153" t="s">
        <v>1117</v>
      </c>
      <c r="S161" s="223" t="e">
        <f t="shared" si="10"/>
        <v>#DIV/0!</v>
      </c>
      <c r="T161" s="239"/>
    </row>
    <row r="162" spans="1:20" s="119" customFormat="1" ht="32.1" customHeight="1" x14ac:dyDescent="0.2">
      <c r="A162" s="209" t="s">
        <v>166</v>
      </c>
      <c r="B162" s="520" t="s">
        <v>2080</v>
      </c>
      <c r="C162" s="464" t="s">
        <v>2081</v>
      </c>
      <c r="D162" s="116">
        <v>18</v>
      </c>
      <c r="E162" s="222"/>
      <c r="F162" s="222"/>
      <c r="G162" s="222"/>
      <c r="H162" s="222"/>
      <c r="I162" s="222"/>
      <c r="J162" s="222"/>
      <c r="K162" s="222"/>
      <c r="L162" s="222"/>
      <c r="M162" s="222">
        <v>97.3</v>
      </c>
      <c r="N162" s="222"/>
      <c r="O162" s="222"/>
      <c r="P162" s="222"/>
      <c r="Q162" s="249">
        <f t="shared" si="8"/>
        <v>97.3</v>
      </c>
      <c r="R162" s="153" t="s">
        <v>1117</v>
      </c>
      <c r="S162" s="223" t="str">
        <f t="shared" si="10"/>
        <v>Inviable Sanitariamente</v>
      </c>
      <c r="T162" s="239"/>
    </row>
    <row r="163" spans="1:20" s="119" customFormat="1" ht="32.1" customHeight="1" x14ac:dyDescent="0.2">
      <c r="A163" s="209" t="s">
        <v>166</v>
      </c>
      <c r="B163" s="520" t="s">
        <v>49</v>
      </c>
      <c r="C163" s="464" t="s">
        <v>2082</v>
      </c>
      <c r="D163" s="121">
        <v>18</v>
      </c>
      <c r="E163" s="222"/>
      <c r="F163" s="222"/>
      <c r="G163" s="222"/>
      <c r="H163" s="222"/>
      <c r="I163" s="222"/>
      <c r="J163" s="222"/>
      <c r="K163" s="222"/>
      <c r="L163" s="222">
        <v>97.3</v>
      </c>
      <c r="M163" s="222"/>
      <c r="N163" s="222"/>
      <c r="O163" s="222"/>
      <c r="P163" s="222"/>
      <c r="Q163" s="249">
        <f t="shared" si="8"/>
        <v>97.3</v>
      </c>
      <c r="R163" s="153" t="s">
        <v>1117</v>
      </c>
      <c r="S163" s="223" t="str">
        <f t="shared" si="10"/>
        <v>Inviable Sanitariamente</v>
      </c>
      <c r="T163" s="239"/>
    </row>
    <row r="164" spans="1:20" ht="32.1" customHeight="1" x14ac:dyDescent="0.2">
      <c r="A164" s="209" t="s">
        <v>166</v>
      </c>
      <c r="B164" s="99" t="s">
        <v>2083</v>
      </c>
      <c r="C164" s="469" t="s">
        <v>2084</v>
      </c>
      <c r="D164" s="121">
        <v>20</v>
      </c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>
        <v>97.3</v>
      </c>
      <c r="P164" s="222"/>
      <c r="Q164" s="249">
        <f t="shared" si="8"/>
        <v>97.3</v>
      </c>
      <c r="R164" s="153" t="s">
        <v>1117</v>
      </c>
      <c r="S164" s="223" t="str">
        <f t="shared" si="10"/>
        <v>Inviable Sanitariamente</v>
      </c>
      <c r="T164" s="16"/>
    </row>
    <row r="165" spans="1:20" ht="32.1" customHeight="1" x14ac:dyDescent="0.2">
      <c r="A165" s="209" t="s">
        <v>166</v>
      </c>
      <c r="B165" s="99" t="s">
        <v>1428</v>
      </c>
      <c r="C165" s="469" t="s">
        <v>2085</v>
      </c>
      <c r="D165" s="116">
        <v>15</v>
      </c>
      <c r="E165" s="222"/>
      <c r="F165" s="222"/>
      <c r="G165" s="222"/>
      <c r="H165" s="222"/>
      <c r="I165" s="222"/>
      <c r="J165" s="222"/>
      <c r="K165" s="222"/>
      <c r="L165" s="222"/>
      <c r="M165" s="222">
        <v>97.3</v>
      </c>
      <c r="N165" s="222"/>
      <c r="O165" s="222"/>
      <c r="P165" s="222"/>
      <c r="Q165" s="249">
        <f t="shared" si="8"/>
        <v>97.3</v>
      </c>
      <c r="R165" s="153" t="s">
        <v>1117</v>
      </c>
      <c r="S165" s="223" t="str">
        <f t="shared" si="10"/>
        <v>Inviable Sanitariamente</v>
      </c>
      <c r="T165" s="16"/>
    </row>
    <row r="166" spans="1:20" ht="32.1" customHeight="1" x14ac:dyDescent="0.2">
      <c r="A166" s="209" t="s">
        <v>166</v>
      </c>
      <c r="B166" s="99" t="s">
        <v>2086</v>
      </c>
      <c r="C166" s="469" t="s">
        <v>2087</v>
      </c>
      <c r="D166" s="121">
        <v>15</v>
      </c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49" t="e">
        <f t="shared" si="8"/>
        <v>#DIV/0!</v>
      </c>
      <c r="R166" s="153" t="e">
        <f t="shared" ref="R166:R230" si="11">IF(Q166&lt;5,"SI","NO")</f>
        <v>#DIV/0!</v>
      </c>
      <c r="S166" s="223" t="e">
        <f t="shared" si="10"/>
        <v>#DIV/0!</v>
      </c>
      <c r="T166" s="16"/>
    </row>
    <row r="167" spans="1:20" ht="32.1" customHeight="1" x14ac:dyDescent="0.2">
      <c r="A167" s="209" t="s">
        <v>166</v>
      </c>
      <c r="B167" s="99" t="s">
        <v>2088</v>
      </c>
      <c r="C167" s="469" t="s">
        <v>2089</v>
      </c>
      <c r="D167" s="121">
        <v>15</v>
      </c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49" t="e">
        <f t="shared" si="8"/>
        <v>#DIV/0!</v>
      </c>
      <c r="R167" s="153" t="e">
        <f t="shared" si="11"/>
        <v>#DIV/0!</v>
      </c>
      <c r="S167" s="223" t="e">
        <f t="shared" si="10"/>
        <v>#DIV/0!</v>
      </c>
      <c r="T167" s="16"/>
    </row>
    <row r="168" spans="1:20" ht="32.1" customHeight="1" x14ac:dyDescent="0.2">
      <c r="A168" s="209" t="s">
        <v>167</v>
      </c>
      <c r="B168" s="520" t="s">
        <v>2151</v>
      </c>
      <c r="C168" s="464" t="s">
        <v>2152</v>
      </c>
      <c r="D168" s="221">
        <v>70</v>
      </c>
      <c r="E168" s="222"/>
      <c r="F168" s="222"/>
      <c r="G168" s="222">
        <v>0</v>
      </c>
      <c r="H168" s="222"/>
      <c r="I168" s="222">
        <v>0</v>
      </c>
      <c r="J168" s="222"/>
      <c r="K168" s="222">
        <v>0</v>
      </c>
      <c r="L168" s="222"/>
      <c r="M168" s="222">
        <v>0</v>
      </c>
      <c r="N168" s="222"/>
      <c r="O168" s="222">
        <v>0</v>
      </c>
      <c r="P168" s="222"/>
      <c r="Q168" s="249">
        <f t="shared" si="8"/>
        <v>0</v>
      </c>
      <c r="R168" s="153" t="str">
        <f t="shared" si="11"/>
        <v>SI</v>
      </c>
      <c r="S168" s="223" t="str">
        <f t="shared" si="10"/>
        <v>Sin Riesgo</v>
      </c>
      <c r="T168" s="16"/>
    </row>
    <row r="169" spans="1:20" ht="32.1" customHeight="1" x14ac:dyDescent="0.2">
      <c r="A169" s="209" t="s">
        <v>167</v>
      </c>
      <c r="B169" s="520" t="s">
        <v>3</v>
      </c>
      <c r="C169" s="464" t="s">
        <v>2153</v>
      </c>
      <c r="D169" s="221">
        <v>15</v>
      </c>
      <c r="E169" s="222"/>
      <c r="F169" s="222"/>
      <c r="G169" s="222">
        <v>0</v>
      </c>
      <c r="H169" s="222"/>
      <c r="I169" s="222">
        <v>0</v>
      </c>
      <c r="J169" s="222"/>
      <c r="K169" s="222">
        <v>0</v>
      </c>
      <c r="L169" s="222"/>
      <c r="M169" s="222">
        <v>0</v>
      </c>
      <c r="N169" s="222"/>
      <c r="O169" s="222">
        <v>0</v>
      </c>
      <c r="P169" s="222"/>
      <c r="Q169" s="249">
        <f t="shared" si="8"/>
        <v>0</v>
      </c>
      <c r="R169" s="153" t="str">
        <f t="shared" si="11"/>
        <v>SI</v>
      </c>
      <c r="S169" s="223" t="str">
        <f t="shared" si="10"/>
        <v>Sin Riesgo</v>
      </c>
      <c r="T169" s="16"/>
    </row>
    <row r="170" spans="1:20" ht="32.1" customHeight="1" x14ac:dyDescent="0.2">
      <c r="A170" s="209" t="s">
        <v>167</v>
      </c>
      <c r="B170" s="520" t="s">
        <v>2154</v>
      </c>
      <c r="C170" s="464" t="s">
        <v>2155</v>
      </c>
      <c r="D170" s="121">
        <v>116</v>
      </c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49" t="e">
        <f t="shared" si="8"/>
        <v>#DIV/0!</v>
      </c>
      <c r="R170" s="153" t="e">
        <f t="shared" si="11"/>
        <v>#DIV/0!</v>
      </c>
      <c r="S170" s="223" t="e">
        <f t="shared" si="10"/>
        <v>#DIV/0!</v>
      </c>
      <c r="T170" s="16"/>
    </row>
    <row r="171" spans="1:20" ht="32.1" customHeight="1" x14ac:dyDescent="0.2">
      <c r="A171" s="209" t="s">
        <v>167</v>
      </c>
      <c r="B171" s="520" t="s">
        <v>670</v>
      </c>
      <c r="C171" s="464" t="s">
        <v>2156</v>
      </c>
      <c r="D171" s="121">
        <v>30</v>
      </c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49" t="e">
        <f t="shared" si="8"/>
        <v>#DIV/0!</v>
      </c>
      <c r="R171" s="153" t="e">
        <f t="shared" si="11"/>
        <v>#DIV/0!</v>
      </c>
      <c r="S171" s="223" t="e">
        <f t="shared" si="10"/>
        <v>#DIV/0!</v>
      </c>
      <c r="T171" s="16"/>
    </row>
    <row r="172" spans="1:20" ht="32.1" customHeight="1" x14ac:dyDescent="0.2">
      <c r="A172" s="209" t="s">
        <v>167</v>
      </c>
      <c r="B172" s="520" t="s">
        <v>2157</v>
      </c>
      <c r="C172" s="464" t="s">
        <v>2158</v>
      </c>
      <c r="D172" s="121">
        <v>204</v>
      </c>
      <c r="E172" s="222"/>
      <c r="F172" s="222">
        <v>0</v>
      </c>
      <c r="G172" s="222">
        <v>0</v>
      </c>
      <c r="H172" s="222"/>
      <c r="I172" s="222"/>
      <c r="J172" s="222"/>
      <c r="K172" s="222"/>
      <c r="L172" s="222"/>
      <c r="M172" s="222">
        <v>0</v>
      </c>
      <c r="N172" s="222">
        <v>0</v>
      </c>
      <c r="O172" s="222"/>
      <c r="P172" s="222"/>
      <c r="Q172" s="249">
        <f t="shared" si="8"/>
        <v>0</v>
      </c>
      <c r="R172" s="153" t="str">
        <f t="shared" si="11"/>
        <v>SI</v>
      </c>
      <c r="S172" s="223" t="str">
        <f t="shared" si="10"/>
        <v>Sin Riesgo</v>
      </c>
      <c r="T172" s="16"/>
    </row>
    <row r="173" spans="1:20" ht="32.1" customHeight="1" x14ac:dyDescent="0.2">
      <c r="A173" s="209" t="s">
        <v>167</v>
      </c>
      <c r="B173" s="520" t="s">
        <v>2157</v>
      </c>
      <c r="C173" s="464" t="s">
        <v>2159</v>
      </c>
      <c r="D173" s="121">
        <v>104</v>
      </c>
      <c r="E173" s="222"/>
      <c r="F173" s="222">
        <v>0</v>
      </c>
      <c r="G173" s="222">
        <v>53.09</v>
      </c>
      <c r="H173" s="222"/>
      <c r="I173" s="222"/>
      <c r="J173" s="222"/>
      <c r="K173" s="222"/>
      <c r="L173" s="222"/>
      <c r="M173" s="222">
        <v>53.1</v>
      </c>
      <c r="N173" s="222">
        <v>97.3</v>
      </c>
      <c r="O173" s="222"/>
      <c r="P173" s="222"/>
      <c r="Q173" s="249">
        <f t="shared" si="8"/>
        <v>50.872500000000002</v>
      </c>
      <c r="R173" s="153" t="str">
        <f t="shared" si="11"/>
        <v>NO</v>
      </c>
      <c r="S173" s="223" t="str">
        <f t="shared" si="10"/>
        <v>Alto</v>
      </c>
      <c r="T173" s="16"/>
    </row>
    <row r="174" spans="1:20" ht="32.1" customHeight="1" x14ac:dyDescent="0.2">
      <c r="A174" s="209" t="s">
        <v>167</v>
      </c>
      <c r="B174" s="520" t="s">
        <v>2160</v>
      </c>
      <c r="C174" s="464" t="s">
        <v>2161</v>
      </c>
      <c r="D174" s="121">
        <v>136</v>
      </c>
      <c r="E174" s="222"/>
      <c r="F174" s="222"/>
      <c r="G174" s="222"/>
      <c r="H174" s="222"/>
      <c r="I174" s="222"/>
      <c r="J174" s="222"/>
      <c r="K174" s="222"/>
      <c r="L174" s="222">
        <v>0</v>
      </c>
      <c r="M174" s="222"/>
      <c r="N174" s="222"/>
      <c r="O174" s="222"/>
      <c r="P174" s="222"/>
      <c r="Q174" s="249">
        <f t="shared" si="8"/>
        <v>0</v>
      </c>
      <c r="R174" s="153" t="str">
        <f t="shared" si="11"/>
        <v>SI</v>
      </c>
      <c r="S174" s="223" t="str">
        <f t="shared" si="10"/>
        <v>Sin Riesgo</v>
      </c>
      <c r="T174" s="16"/>
    </row>
    <row r="175" spans="1:20" ht="32.1" customHeight="1" x14ac:dyDescent="0.2">
      <c r="A175" s="209" t="s">
        <v>167</v>
      </c>
      <c r="B175" s="520" t="s">
        <v>2162</v>
      </c>
      <c r="C175" s="464" t="s">
        <v>2163</v>
      </c>
      <c r="D175" s="121">
        <v>25</v>
      </c>
      <c r="E175" s="222"/>
      <c r="F175" s="222"/>
      <c r="G175" s="222"/>
      <c r="H175" s="222"/>
      <c r="I175" s="222"/>
      <c r="J175" s="222"/>
      <c r="K175" s="222"/>
      <c r="L175" s="222">
        <v>97.3</v>
      </c>
      <c r="M175" s="222"/>
      <c r="N175" s="222"/>
      <c r="O175" s="222"/>
      <c r="P175" s="222"/>
      <c r="Q175" s="249">
        <f t="shared" si="8"/>
        <v>97.3</v>
      </c>
      <c r="R175" s="153" t="str">
        <f t="shared" si="11"/>
        <v>NO</v>
      </c>
      <c r="S175" s="223" t="str">
        <f t="shared" si="10"/>
        <v>Inviable Sanitariamente</v>
      </c>
      <c r="T175" s="16"/>
    </row>
    <row r="176" spans="1:20" ht="32.1" customHeight="1" x14ac:dyDescent="0.2">
      <c r="A176" s="209" t="s">
        <v>167</v>
      </c>
      <c r="B176" s="520" t="s">
        <v>2162</v>
      </c>
      <c r="C176" s="464" t="s">
        <v>2164</v>
      </c>
      <c r="D176" s="116">
        <v>80</v>
      </c>
      <c r="E176" s="222"/>
      <c r="F176" s="222"/>
      <c r="G176" s="222"/>
      <c r="H176" s="222"/>
      <c r="I176" s="222"/>
      <c r="J176" s="222"/>
      <c r="K176" s="222"/>
      <c r="L176" s="222">
        <v>97.3</v>
      </c>
      <c r="M176" s="222"/>
      <c r="N176" s="222"/>
      <c r="O176" s="222"/>
      <c r="P176" s="222"/>
      <c r="Q176" s="249">
        <f t="shared" si="8"/>
        <v>97.3</v>
      </c>
      <c r="R176" s="153" t="str">
        <f t="shared" si="11"/>
        <v>NO</v>
      </c>
      <c r="S176" s="223" t="str">
        <f t="shared" si="10"/>
        <v>Inviable Sanitariamente</v>
      </c>
      <c r="T176" s="16"/>
    </row>
    <row r="177" spans="1:20" ht="32.1" customHeight="1" x14ac:dyDescent="0.2">
      <c r="A177" s="209" t="s">
        <v>167</v>
      </c>
      <c r="B177" s="520" t="s">
        <v>2165</v>
      </c>
      <c r="C177" s="464" t="s">
        <v>2166</v>
      </c>
      <c r="D177" s="221">
        <v>20</v>
      </c>
      <c r="E177" s="222"/>
      <c r="F177" s="222"/>
      <c r="G177" s="222">
        <v>97.3</v>
      </c>
      <c r="H177" s="222"/>
      <c r="I177" s="222"/>
      <c r="J177" s="222"/>
      <c r="K177" s="222"/>
      <c r="L177" s="222"/>
      <c r="M177" s="222"/>
      <c r="N177" s="222">
        <v>97.3</v>
      </c>
      <c r="O177" s="222"/>
      <c r="P177" s="222"/>
      <c r="Q177" s="249">
        <f t="shared" si="8"/>
        <v>97.3</v>
      </c>
      <c r="R177" s="153" t="str">
        <f t="shared" si="11"/>
        <v>NO</v>
      </c>
      <c r="S177" s="223" t="str">
        <f t="shared" si="10"/>
        <v>Inviable Sanitariamente</v>
      </c>
      <c r="T177" s="16"/>
    </row>
    <row r="178" spans="1:20" ht="32.1" customHeight="1" x14ac:dyDescent="0.2">
      <c r="A178" s="209" t="s">
        <v>167</v>
      </c>
      <c r="B178" s="520" t="s">
        <v>2167</v>
      </c>
      <c r="C178" s="464" t="s">
        <v>2168</v>
      </c>
      <c r="D178" s="229">
        <v>43</v>
      </c>
      <c r="E178" s="222"/>
      <c r="F178" s="222"/>
      <c r="G178" s="222">
        <v>97.3</v>
      </c>
      <c r="H178" s="222"/>
      <c r="I178" s="222"/>
      <c r="J178" s="222"/>
      <c r="K178" s="222"/>
      <c r="L178" s="222"/>
      <c r="M178" s="222"/>
      <c r="N178" s="222">
        <v>97.3</v>
      </c>
      <c r="O178" s="222"/>
      <c r="P178" s="222"/>
      <c r="Q178" s="249">
        <f t="shared" si="8"/>
        <v>97.3</v>
      </c>
      <c r="R178" s="153" t="str">
        <f t="shared" si="11"/>
        <v>NO</v>
      </c>
      <c r="S178" s="223" t="str">
        <f t="shared" si="10"/>
        <v>Inviable Sanitariamente</v>
      </c>
      <c r="T178" s="16"/>
    </row>
    <row r="179" spans="1:20" ht="32.1" customHeight="1" x14ac:dyDescent="0.2">
      <c r="A179" s="209" t="s">
        <v>167</v>
      </c>
      <c r="B179" s="520" t="s">
        <v>2169</v>
      </c>
      <c r="C179" s="469" t="s">
        <v>2170</v>
      </c>
      <c r="D179" s="221">
        <v>150</v>
      </c>
      <c r="E179" s="222"/>
      <c r="F179" s="222"/>
      <c r="G179" s="222">
        <v>53.09</v>
      </c>
      <c r="H179" s="222"/>
      <c r="I179" s="222"/>
      <c r="J179" s="222"/>
      <c r="K179" s="222"/>
      <c r="L179" s="222"/>
      <c r="M179" s="222"/>
      <c r="N179" s="222"/>
      <c r="O179" s="222"/>
      <c r="P179" s="222"/>
      <c r="Q179" s="249">
        <f t="shared" si="8"/>
        <v>53.09</v>
      </c>
      <c r="R179" s="153" t="str">
        <f t="shared" si="11"/>
        <v>NO</v>
      </c>
      <c r="S179" s="223" t="str">
        <f t="shared" si="10"/>
        <v>Alto</v>
      </c>
      <c r="T179" s="16"/>
    </row>
    <row r="180" spans="1:20" ht="32.1" customHeight="1" x14ac:dyDescent="0.2">
      <c r="A180" s="209" t="s">
        <v>167</v>
      </c>
      <c r="B180" s="520" t="s">
        <v>2171</v>
      </c>
      <c r="C180" s="464" t="s">
        <v>2172</v>
      </c>
      <c r="D180" s="221">
        <v>35</v>
      </c>
      <c r="E180" s="222"/>
      <c r="F180" s="222"/>
      <c r="G180" s="222"/>
      <c r="H180" s="222"/>
      <c r="I180" s="222"/>
      <c r="J180" s="222"/>
      <c r="K180" s="222"/>
      <c r="L180" s="222"/>
      <c r="M180" s="222">
        <v>97.3</v>
      </c>
      <c r="N180" s="222"/>
      <c r="O180" s="222"/>
      <c r="P180" s="222"/>
      <c r="Q180" s="249">
        <f t="shared" si="8"/>
        <v>97.3</v>
      </c>
      <c r="R180" s="153" t="str">
        <f t="shared" si="11"/>
        <v>NO</v>
      </c>
      <c r="S180" s="223" t="str">
        <f t="shared" si="10"/>
        <v>Inviable Sanitariamente</v>
      </c>
      <c r="T180" s="16"/>
    </row>
    <row r="181" spans="1:20" ht="32.1" customHeight="1" x14ac:dyDescent="0.2">
      <c r="A181" s="209" t="s">
        <v>167</v>
      </c>
      <c r="B181" s="520" t="s">
        <v>2173</v>
      </c>
      <c r="C181" s="464" t="s">
        <v>2174</v>
      </c>
      <c r="D181" s="221">
        <v>28</v>
      </c>
      <c r="E181" s="222"/>
      <c r="F181" s="222"/>
      <c r="G181" s="222"/>
      <c r="H181" s="222"/>
      <c r="I181" s="222"/>
      <c r="J181" s="222"/>
      <c r="K181" s="222"/>
      <c r="L181" s="222"/>
      <c r="M181" s="222"/>
      <c r="N181" s="222">
        <v>97.3</v>
      </c>
      <c r="O181" s="222"/>
      <c r="P181" s="222"/>
      <c r="Q181" s="249">
        <f t="shared" si="8"/>
        <v>97.3</v>
      </c>
      <c r="R181" s="153" t="str">
        <f t="shared" si="11"/>
        <v>NO</v>
      </c>
      <c r="S181" s="223" t="str">
        <f t="shared" si="10"/>
        <v>Inviable Sanitariamente</v>
      </c>
      <c r="T181" s="16"/>
    </row>
    <row r="182" spans="1:20" ht="32.1" customHeight="1" x14ac:dyDescent="0.2">
      <c r="A182" s="209" t="s">
        <v>167</v>
      </c>
      <c r="B182" s="520" t="s">
        <v>2175</v>
      </c>
      <c r="C182" s="464" t="s">
        <v>2176</v>
      </c>
      <c r="D182" s="221">
        <v>221</v>
      </c>
      <c r="E182" s="222"/>
      <c r="F182" s="222">
        <v>97.3</v>
      </c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49">
        <f t="shared" si="8"/>
        <v>97.3</v>
      </c>
      <c r="R182" s="153" t="str">
        <f t="shared" si="11"/>
        <v>NO</v>
      </c>
      <c r="S182" s="223" t="str">
        <f t="shared" si="10"/>
        <v>Inviable Sanitariamente</v>
      </c>
      <c r="T182" s="16"/>
    </row>
    <row r="183" spans="1:20" ht="32.1" customHeight="1" x14ac:dyDescent="0.2">
      <c r="A183" s="209" t="s">
        <v>167</v>
      </c>
      <c r="B183" s="520" t="s">
        <v>2177</v>
      </c>
      <c r="C183" s="469" t="s">
        <v>2178</v>
      </c>
      <c r="D183" s="121">
        <v>44</v>
      </c>
      <c r="E183" s="222"/>
      <c r="F183" s="222"/>
      <c r="G183" s="222">
        <v>97.3</v>
      </c>
      <c r="H183" s="222"/>
      <c r="I183" s="222"/>
      <c r="J183" s="222"/>
      <c r="K183" s="222"/>
      <c r="L183" s="222"/>
      <c r="M183" s="222"/>
      <c r="N183" s="222"/>
      <c r="O183" s="222"/>
      <c r="P183" s="222"/>
      <c r="Q183" s="249">
        <f t="shared" si="8"/>
        <v>97.3</v>
      </c>
      <c r="R183" s="153" t="str">
        <f t="shared" si="11"/>
        <v>NO</v>
      </c>
      <c r="S183" s="223" t="str">
        <f t="shared" si="10"/>
        <v>Inviable Sanitariamente</v>
      </c>
      <c r="T183" s="16"/>
    </row>
    <row r="184" spans="1:20" ht="32.1" customHeight="1" x14ac:dyDescent="0.2">
      <c r="A184" s="209" t="s">
        <v>167</v>
      </c>
      <c r="B184" s="129" t="s">
        <v>2179</v>
      </c>
      <c r="C184" s="466" t="s">
        <v>2180</v>
      </c>
      <c r="D184" s="118">
        <v>41</v>
      </c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49" t="e">
        <f t="shared" si="8"/>
        <v>#DIV/0!</v>
      </c>
      <c r="R184" s="153" t="e">
        <f t="shared" si="11"/>
        <v>#DIV/0!</v>
      </c>
      <c r="S184" s="223" t="e">
        <f t="shared" si="10"/>
        <v>#DIV/0!</v>
      </c>
      <c r="T184" s="16"/>
    </row>
    <row r="185" spans="1:20" ht="32.1" customHeight="1" x14ac:dyDescent="0.2">
      <c r="A185" s="209" t="s">
        <v>168</v>
      </c>
      <c r="B185" s="160" t="s">
        <v>2181</v>
      </c>
      <c r="C185" s="463" t="s">
        <v>2182</v>
      </c>
      <c r="D185" s="121">
        <v>95</v>
      </c>
      <c r="E185" s="222"/>
      <c r="F185" s="222"/>
      <c r="G185" s="222"/>
      <c r="H185" s="222"/>
      <c r="I185" s="222"/>
      <c r="J185" s="222"/>
      <c r="K185" s="222"/>
      <c r="L185" s="222">
        <v>27</v>
      </c>
      <c r="M185" s="222"/>
      <c r="N185" s="222"/>
      <c r="O185" s="222"/>
      <c r="P185" s="222"/>
      <c r="Q185" s="249">
        <f t="shared" si="8"/>
        <v>27</v>
      </c>
      <c r="R185" s="153" t="str">
        <f t="shared" si="11"/>
        <v>NO</v>
      </c>
      <c r="S185" s="223" t="str">
        <f t="shared" si="10"/>
        <v>Medio</v>
      </c>
      <c r="T185" s="16"/>
    </row>
    <row r="186" spans="1:20" ht="32.1" customHeight="1" x14ac:dyDescent="0.2">
      <c r="A186" s="209" t="s">
        <v>168</v>
      </c>
      <c r="B186" s="160" t="s">
        <v>2183</v>
      </c>
      <c r="C186" s="463" t="s">
        <v>2184</v>
      </c>
      <c r="D186" s="121">
        <v>64</v>
      </c>
      <c r="E186" s="222"/>
      <c r="F186" s="222">
        <v>53</v>
      </c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49">
        <f t="shared" si="8"/>
        <v>53</v>
      </c>
      <c r="R186" s="153" t="str">
        <f t="shared" si="11"/>
        <v>NO</v>
      </c>
      <c r="S186" s="223" t="str">
        <f t="shared" si="10"/>
        <v>Alto</v>
      </c>
      <c r="T186" s="16"/>
    </row>
    <row r="187" spans="1:20" ht="32.1" customHeight="1" x14ac:dyDescent="0.2">
      <c r="A187" s="209" t="s">
        <v>168</v>
      </c>
      <c r="B187" s="160" t="s">
        <v>2185</v>
      </c>
      <c r="C187" s="463" t="s">
        <v>2186</v>
      </c>
      <c r="D187" s="121">
        <v>21</v>
      </c>
      <c r="E187" s="222"/>
      <c r="F187" s="222"/>
      <c r="G187" s="222">
        <v>96</v>
      </c>
      <c r="H187" s="222"/>
      <c r="I187" s="222"/>
      <c r="J187" s="222"/>
      <c r="K187" s="222"/>
      <c r="L187" s="222"/>
      <c r="M187" s="222"/>
      <c r="N187" s="222"/>
      <c r="O187" s="222"/>
      <c r="P187" s="222"/>
      <c r="Q187" s="249">
        <f t="shared" si="8"/>
        <v>96</v>
      </c>
      <c r="R187" s="153" t="str">
        <f t="shared" si="11"/>
        <v>NO</v>
      </c>
      <c r="S187" s="223" t="str">
        <f t="shared" si="10"/>
        <v>Inviable Sanitariamente</v>
      </c>
      <c r="T187" s="16"/>
    </row>
    <row r="188" spans="1:20" ht="32.1" customHeight="1" x14ac:dyDescent="0.2">
      <c r="A188" s="209" t="s">
        <v>168</v>
      </c>
      <c r="B188" s="160" t="s">
        <v>2187</v>
      </c>
      <c r="C188" s="463" t="s">
        <v>2188</v>
      </c>
      <c r="D188" s="121">
        <v>56</v>
      </c>
      <c r="E188" s="222"/>
      <c r="F188" s="222"/>
      <c r="G188" s="222">
        <v>96</v>
      </c>
      <c r="H188" s="222"/>
      <c r="I188" s="222"/>
      <c r="J188" s="222"/>
      <c r="K188" s="222"/>
      <c r="L188" s="222"/>
      <c r="M188" s="222"/>
      <c r="N188" s="222"/>
      <c r="O188" s="222"/>
      <c r="P188" s="222"/>
      <c r="Q188" s="249">
        <f t="shared" si="8"/>
        <v>96</v>
      </c>
      <c r="R188" s="153" t="str">
        <f t="shared" si="11"/>
        <v>NO</v>
      </c>
      <c r="S188" s="223" t="str">
        <f t="shared" si="10"/>
        <v>Inviable Sanitariamente</v>
      </c>
      <c r="T188" s="16"/>
    </row>
    <row r="189" spans="1:20" ht="32.1" customHeight="1" x14ac:dyDescent="0.2">
      <c r="A189" s="209" t="s">
        <v>168</v>
      </c>
      <c r="B189" s="160" t="s">
        <v>2189</v>
      </c>
      <c r="C189" s="463" t="s">
        <v>2190</v>
      </c>
      <c r="D189" s="121">
        <v>41</v>
      </c>
      <c r="E189" s="222"/>
      <c r="F189" s="222"/>
      <c r="G189" s="222"/>
      <c r="H189" s="222"/>
      <c r="I189" s="222">
        <v>0</v>
      </c>
      <c r="J189" s="222"/>
      <c r="K189" s="222"/>
      <c r="L189" s="222"/>
      <c r="M189" s="222">
        <v>0</v>
      </c>
      <c r="N189" s="222"/>
      <c r="O189" s="222"/>
      <c r="P189" s="222"/>
      <c r="Q189" s="249">
        <f t="shared" si="8"/>
        <v>0</v>
      </c>
      <c r="R189" s="153" t="str">
        <f t="shared" si="11"/>
        <v>SI</v>
      </c>
      <c r="S189" s="223" t="str">
        <f t="shared" si="10"/>
        <v>Sin Riesgo</v>
      </c>
      <c r="T189" s="16"/>
    </row>
    <row r="190" spans="1:20" ht="32.1" customHeight="1" x14ac:dyDescent="0.2">
      <c r="A190" s="209" t="s">
        <v>168</v>
      </c>
      <c r="B190" s="160" t="s">
        <v>243</v>
      </c>
      <c r="C190" s="463" t="s">
        <v>2191</v>
      </c>
      <c r="D190" s="121">
        <v>41</v>
      </c>
      <c r="E190" s="222"/>
      <c r="F190" s="222"/>
      <c r="G190" s="222">
        <v>96</v>
      </c>
      <c r="H190" s="222"/>
      <c r="I190" s="222"/>
      <c r="J190" s="222"/>
      <c r="K190" s="222"/>
      <c r="L190" s="222"/>
      <c r="M190" s="222"/>
      <c r="N190" s="222"/>
      <c r="O190" s="222"/>
      <c r="P190" s="222"/>
      <c r="Q190" s="249">
        <f t="shared" si="8"/>
        <v>96</v>
      </c>
      <c r="R190" s="153" t="str">
        <f t="shared" si="11"/>
        <v>NO</v>
      </c>
      <c r="S190" s="223" t="str">
        <f t="shared" si="10"/>
        <v>Inviable Sanitariamente</v>
      </c>
      <c r="T190" s="16"/>
    </row>
    <row r="191" spans="1:20" ht="32.1" customHeight="1" x14ac:dyDescent="0.2">
      <c r="A191" s="209" t="s">
        <v>168</v>
      </c>
      <c r="B191" s="160" t="s">
        <v>2192</v>
      </c>
      <c r="C191" s="463" t="s">
        <v>2193</v>
      </c>
      <c r="D191" s="121">
        <v>21</v>
      </c>
      <c r="E191" s="222"/>
      <c r="F191" s="222"/>
      <c r="G191" s="222"/>
      <c r="H191" s="222"/>
      <c r="I191" s="222">
        <v>96</v>
      </c>
      <c r="J191" s="222"/>
      <c r="K191" s="222"/>
      <c r="L191" s="222"/>
      <c r="M191" s="222"/>
      <c r="N191" s="222"/>
      <c r="O191" s="222"/>
      <c r="P191" s="222"/>
      <c r="Q191" s="249">
        <f t="shared" si="8"/>
        <v>96</v>
      </c>
      <c r="R191" s="153" t="str">
        <f t="shared" si="11"/>
        <v>NO</v>
      </c>
      <c r="S191" s="223" t="str">
        <f t="shared" si="10"/>
        <v>Inviable Sanitariamente</v>
      </c>
      <c r="T191" s="16"/>
    </row>
    <row r="192" spans="1:20" ht="32.1" customHeight="1" x14ac:dyDescent="0.2">
      <c r="A192" s="209" t="s">
        <v>168</v>
      </c>
      <c r="B192" s="160" t="s">
        <v>2194</v>
      </c>
      <c r="C192" s="463" t="s">
        <v>2195</v>
      </c>
      <c r="D192" s="143">
        <v>49</v>
      </c>
      <c r="E192" s="222"/>
      <c r="F192" s="222"/>
      <c r="G192" s="222"/>
      <c r="H192" s="222"/>
      <c r="I192" s="222"/>
      <c r="J192" s="222"/>
      <c r="K192" s="222"/>
      <c r="L192" s="222">
        <v>96</v>
      </c>
      <c r="M192" s="222"/>
      <c r="N192" s="222"/>
      <c r="O192" s="222"/>
      <c r="P192" s="222"/>
      <c r="Q192" s="249">
        <f t="shared" si="8"/>
        <v>96</v>
      </c>
      <c r="R192" s="153" t="str">
        <f t="shared" si="11"/>
        <v>NO</v>
      </c>
      <c r="S192" s="223" t="str">
        <f t="shared" si="10"/>
        <v>Inviable Sanitariamente</v>
      </c>
      <c r="T192" s="16"/>
    </row>
    <row r="193" spans="1:20" ht="32.1" customHeight="1" x14ac:dyDescent="0.2">
      <c r="A193" s="209" t="s">
        <v>168</v>
      </c>
      <c r="B193" s="160" t="s">
        <v>1453</v>
      </c>
      <c r="C193" s="463" t="s">
        <v>2196</v>
      </c>
      <c r="D193" s="121">
        <v>56</v>
      </c>
      <c r="E193" s="222"/>
      <c r="F193" s="222"/>
      <c r="G193" s="222"/>
      <c r="H193" s="222"/>
      <c r="I193" s="222"/>
      <c r="J193" s="222"/>
      <c r="K193" s="222"/>
      <c r="L193" s="222"/>
      <c r="M193" s="222"/>
      <c r="N193" s="222">
        <v>53</v>
      </c>
      <c r="O193" s="222"/>
      <c r="P193" s="222"/>
      <c r="Q193" s="249">
        <f t="shared" si="8"/>
        <v>53</v>
      </c>
      <c r="R193" s="153" t="str">
        <f t="shared" si="11"/>
        <v>NO</v>
      </c>
      <c r="S193" s="223" t="str">
        <f t="shared" si="10"/>
        <v>Alto</v>
      </c>
      <c r="T193" s="16"/>
    </row>
    <row r="194" spans="1:20" ht="32.1" customHeight="1" x14ac:dyDescent="0.2">
      <c r="A194" s="209" t="s">
        <v>168</v>
      </c>
      <c r="B194" s="160" t="s">
        <v>2197</v>
      </c>
      <c r="C194" s="463" t="s">
        <v>2198</v>
      </c>
      <c r="D194" s="121">
        <v>138</v>
      </c>
      <c r="E194" s="222"/>
      <c r="F194" s="222"/>
      <c r="G194" s="222"/>
      <c r="H194" s="222"/>
      <c r="I194" s="222"/>
      <c r="J194" s="222"/>
      <c r="K194" s="222"/>
      <c r="L194" s="222"/>
      <c r="M194" s="222"/>
      <c r="N194" s="222">
        <v>53</v>
      </c>
      <c r="O194" s="222"/>
      <c r="P194" s="222"/>
      <c r="Q194" s="249">
        <f t="shared" si="8"/>
        <v>53</v>
      </c>
      <c r="R194" s="153" t="str">
        <f t="shared" si="11"/>
        <v>NO</v>
      </c>
      <c r="S194" s="223" t="str">
        <f t="shared" si="10"/>
        <v>Alto</v>
      </c>
      <c r="T194" s="16"/>
    </row>
    <row r="195" spans="1:20" ht="32.1" customHeight="1" x14ac:dyDescent="0.2">
      <c r="A195" s="209" t="s">
        <v>168</v>
      </c>
      <c r="B195" s="160" t="s">
        <v>2199</v>
      </c>
      <c r="C195" s="463" t="s">
        <v>2200</v>
      </c>
      <c r="D195" s="116">
        <v>71</v>
      </c>
      <c r="E195" s="222"/>
      <c r="F195" s="222"/>
      <c r="G195" s="222"/>
      <c r="H195" s="222">
        <v>53</v>
      </c>
      <c r="I195" s="222"/>
      <c r="J195" s="222"/>
      <c r="K195" s="222"/>
      <c r="L195" s="222"/>
      <c r="M195" s="222"/>
      <c r="N195" s="222"/>
      <c r="O195" s="222">
        <v>53</v>
      </c>
      <c r="P195" s="222"/>
      <c r="Q195" s="249">
        <f t="shared" si="8"/>
        <v>53</v>
      </c>
      <c r="R195" s="153" t="str">
        <f t="shared" si="11"/>
        <v>NO</v>
      </c>
      <c r="S195" s="223" t="str">
        <f t="shared" si="10"/>
        <v>Alto</v>
      </c>
      <c r="T195" s="16"/>
    </row>
    <row r="196" spans="1:20" ht="32.1" customHeight="1" x14ac:dyDescent="0.2">
      <c r="A196" s="209" t="s">
        <v>168</v>
      </c>
      <c r="B196" s="160" t="s">
        <v>2201</v>
      </c>
      <c r="C196" s="463" t="s">
        <v>2202</v>
      </c>
      <c r="D196" s="121">
        <v>72</v>
      </c>
      <c r="E196" s="222"/>
      <c r="F196" s="222">
        <v>53</v>
      </c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49">
        <f t="shared" si="8"/>
        <v>53</v>
      </c>
      <c r="R196" s="153" t="str">
        <f t="shared" si="11"/>
        <v>NO</v>
      </c>
      <c r="S196" s="223" t="str">
        <f t="shared" si="10"/>
        <v>Alto</v>
      </c>
      <c r="T196" s="16"/>
    </row>
    <row r="197" spans="1:20" ht="32.1" customHeight="1" x14ac:dyDescent="0.2">
      <c r="A197" s="209" t="s">
        <v>168</v>
      </c>
      <c r="B197" s="160" t="s">
        <v>2203</v>
      </c>
      <c r="C197" s="463" t="s">
        <v>2204</v>
      </c>
      <c r="D197" s="121">
        <v>49</v>
      </c>
      <c r="E197" s="222"/>
      <c r="F197" s="222"/>
      <c r="G197" s="222"/>
      <c r="H197" s="222"/>
      <c r="I197" s="222">
        <v>53</v>
      </c>
      <c r="J197" s="222"/>
      <c r="K197" s="222"/>
      <c r="L197" s="222"/>
      <c r="M197" s="222"/>
      <c r="N197" s="222"/>
      <c r="O197" s="222"/>
      <c r="P197" s="222"/>
      <c r="Q197" s="249">
        <f t="shared" si="8"/>
        <v>53</v>
      </c>
      <c r="R197" s="153" t="str">
        <f t="shared" si="11"/>
        <v>NO</v>
      </c>
      <c r="S197" s="223" t="str">
        <f t="shared" si="10"/>
        <v>Alto</v>
      </c>
      <c r="T197" s="16"/>
    </row>
    <row r="198" spans="1:20" ht="32.1" customHeight="1" x14ac:dyDescent="0.2">
      <c r="A198" s="209" t="s">
        <v>168</v>
      </c>
      <c r="B198" s="160" t="s">
        <v>2205</v>
      </c>
      <c r="C198" s="463" t="s">
        <v>2206</v>
      </c>
      <c r="D198" s="116">
        <v>47</v>
      </c>
      <c r="E198" s="222"/>
      <c r="F198" s="222"/>
      <c r="G198" s="222"/>
      <c r="H198" s="222"/>
      <c r="I198" s="222"/>
      <c r="J198" s="222"/>
      <c r="K198" s="222"/>
      <c r="L198" s="222">
        <v>0</v>
      </c>
      <c r="M198" s="222"/>
      <c r="N198" s="222"/>
      <c r="O198" s="222"/>
      <c r="P198" s="222"/>
      <c r="Q198" s="249">
        <f t="shared" si="8"/>
        <v>0</v>
      </c>
      <c r="R198" s="153" t="str">
        <f t="shared" si="11"/>
        <v>SI</v>
      </c>
      <c r="S198" s="223" t="str">
        <f t="shared" si="10"/>
        <v>Sin Riesgo</v>
      </c>
      <c r="T198" s="16"/>
    </row>
    <row r="199" spans="1:20" ht="32.1" customHeight="1" x14ac:dyDescent="0.2">
      <c r="A199" s="209" t="s">
        <v>168</v>
      </c>
      <c r="B199" s="160" t="s">
        <v>2207</v>
      </c>
      <c r="C199" s="463" t="s">
        <v>2208</v>
      </c>
      <c r="D199" s="121">
        <v>138</v>
      </c>
      <c r="E199" s="222"/>
      <c r="F199" s="222"/>
      <c r="G199" s="222"/>
      <c r="H199" s="222"/>
      <c r="I199" s="222"/>
      <c r="J199" s="222"/>
      <c r="K199" s="222">
        <v>96</v>
      </c>
      <c r="L199" s="222"/>
      <c r="M199" s="222"/>
      <c r="N199" s="222"/>
      <c r="O199" s="222"/>
      <c r="P199" s="222"/>
      <c r="Q199" s="249">
        <f t="shared" ref="Q199:Q217" si="12">AVERAGE(E199:P199)</f>
        <v>96</v>
      </c>
      <c r="R199" s="153" t="str">
        <f t="shared" si="11"/>
        <v>NO</v>
      </c>
      <c r="S199" s="223" t="str">
        <f t="shared" ref="S199:S261" si="13">IF(Q199&lt;5,"Sin Riesgo",IF(Q199 &lt;=14,"Bajo",IF(Q199&lt;=35,"Medio",IF(Q199&lt;=80,"Alto","Inviable Sanitariamente"))))</f>
        <v>Inviable Sanitariamente</v>
      </c>
      <c r="T199" s="16"/>
    </row>
    <row r="200" spans="1:20" ht="32.1" customHeight="1" x14ac:dyDescent="0.2">
      <c r="A200" s="209" t="s">
        <v>168</v>
      </c>
      <c r="B200" s="160" t="s">
        <v>1768</v>
      </c>
      <c r="C200" s="463" t="s">
        <v>2209</v>
      </c>
      <c r="D200" s="121">
        <v>67</v>
      </c>
      <c r="E200" s="222"/>
      <c r="F200" s="222"/>
      <c r="G200" s="222"/>
      <c r="H200" s="222">
        <v>0</v>
      </c>
      <c r="I200" s="222"/>
      <c r="J200" s="222"/>
      <c r="K200" s="222"/>
      <c r="L200" s="222">
        <v>0</v>
      </c>
      <c r="M200" s="222"/>
      <c r="N200" s="222"/>
      <c r="O200" s="222"/>
      <c r="P200" s="222"/>
      <c r="Q200" s="249">
        <f t="shared" si="12"/>
        <v>0</v>
      </c>
      <c r="R200" s="153" t="str">
        <f t="shared" si="11"/>
        <v>SI</v>
      </c>
      <c r="S200" s="223" t="str">
        <f t="shared" si="13"/>
        <v>Sin Riesgo</v>
      </c>
      <c r="T200" s="16"/>
    </row>
    <row r="201" spans="1:20" ht="32.1" customHeight="1" x14ac:dyDescent="0.2">
      <c r="A201" s="209" t="s">
        <v>168</v>
      </c>
      <c r="B201" s="160" t="s">
        <v>2210</v>
      </c>
      <c r="C201" s="463" t="s">
        <v>2211</v>
      </c>
      <c r="D201" s="121">
        <v>66</v>
      </c>
      <c r="E201" s="222"/>
      <c r="F201" s="222">
        <v>27</v>
      </c>
      <c r="G201" s="222"/>
      <c r="H201" s="222"/>
      <c r="I201" s="222"/>
      <c r="J201" s="222"/>
      <c r="K201" s="222"/>
      <c r="L201" s="222">
        <v>0</v>
      </c>
      <c r="M201" s="222"/>
      <c r="N201" s="222"/>
      <c r="O201" s="222"/>
      <c r="P201" s="222"/>
      <c r="Q201" s="249">
        <f t="shared" si="12"/>
        <v>13.5</v>
      </c>
      <c r="R201" s="153" t="str">
        <f t="shared" si="11"/>
        <v>NO</v>
      </c>
      <c r="S201" s="223" t="str">
        <f t="shared" si="13"/>
        <v>Bajo</v>
      </c>
      <c r="T201" s="16"/>
    </row>
    <row r="202" spans="1:20" ht="32.1" customHeight="1" x14ac:dyDescent="0.2">
      <c r="A202" s="209" t="s">
        <v>168</v>
      </c>
      <c r="B202" s="160" t="s">
        <v>2212</v>
      </c>
      <c r="C202" s="463" t="s">
        <v>2213</v>
      </c>
      <c r="D202" s="121">
        <v>36</v>
      </c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>
        <v>53</v>
      </c>
      <c r="P202" s="222"/>
      <c r="Q202" s="249">
        <f t="shared" si="12"/>
        <v>53</v>
      </c>
      <c r="R202" s="153" t="str">
        <f t="shared" si="11"/>
        <v>NO</v>
      </c>
      <c r="S202" s="223" t="str">
        <f t="shared" si="13"/>
        <v>Alto</v>
      </c>
      <c r="T202" s="16"/>
    </row>
    <row r="203" spans="1:20" ht="32.1" customHeight="1" x14ac:dyDescent="0.2">
      <c r="A203" s="209" t="s">
        <v>168</v>
      </c>
      <c r="B203" s="520" t="s">
        <v>2214</v>
      </c>
      <c r="C203" s="464" t="s">
        <v>2215</v>
      </c>
      <c r="D203" s="221">
        <v>100</v>
      </c>
      <c r="E203" s="222"/>
      <c r="F203" s="222"/>
      <c r="G203" s="222"/>
      <c r="H203" s="222">
        <v>0</v>
      </c>
      <c r="I203" s="222"/>
      <c r="J203" s="222"/>
      <c r="K203" s="222"/>
      <c r="L203" s="222"/>
      <c r="M203" s="222"/>
      <c r="N203" s="222"/>
      <c r="O203" s="222"/>
      <c r="P203" s="222"/>
      <c r="Q203" s="249">
        <f t="shared" si="12"/>
        <v>0</v>
      </c>
      <c r="R203" s="153" t="str">
        <f t="shared" si="11"/>
        <v>SI</v>
      </c>
      <c r="S203" s="223" t="str">
        <f t="shared" si="13"/>
        <v>Sin Riesgo</v>
      </c>
      <c r="T203" s="16"/>
    </row>
    <row r="204" spans="1:20" ht="32.1" customHeight="1" x14ac:dyDescent="0.2">
      <c r="A204" s="209" t="s">
        <v>168</v>
      </c>
      <c r="B204" s="520" t="s">
        <v>2216</v>
      </c>
      <c r="C204" s="464" t="s">
        <v>2217</v>
      </c>
      <c r="D204" s="221">
        <v>16</v>
      </c>
      <c r="E204" s="222"/>
      <c r="F204" s="222"/>
      <c r="G204" s="222">
        <v>96</v>
      </c>
      <c r="H204" s="222"/>
      <c r="I204" s="222"/>
      <c r="J204" s="222"/>
      <c r="K204" s="222"/>
      <c r="L204" s="222"/>
      <c r="M204" s="222"/>
      <c r="N204" s="222"/>
      <c r="O204" s="222"/>
      <c r="P204" s="222"/>
      <c r="Q204" s="249">
        <f t="shared" si="12"/>
        <v>96</v>
      </c>
      <c r="R204" s="153" t="str">
        <f t="shared" si="11"/>
        <v>NO</v>
      </c>
      <c r="S204" s="223" t="str">
        <f t="shared" si="13"/>
        <v>Inviable Sanitariamente</v>
      </c>
      <c r="T204" s="16"/>
    </row>
    <row r="205" spans="1:20" ht="32.1" customHeight="1" x14ac:dyDescent="0.2">
      <c r="A205" s="209" t="s">
        <v>168</v>
      </c>
      <c r="B205" s="520" t="s">
        <v>1432</v>
      </c>
      <c r="C205" s="464" t="s">
        <v>2218</v>
      </c>
      <c r="D205" s="121">
        <v>91</v>
      </c>
      <c r="E205" s="222"/>
      <c r="F205" s="222"/>
      <c r="G205" s="222"/>
      <c r="H205" s="222"/>
      <c r="I205" s="222"/>
      <c r="J205" s="222"/>
      <c r="K205" s="222"/>
      <c r="L205" s="222"/>
      <c r="M205" s="222">
        <v>96</v>
      </c>
      <c r="N205" s="222"/>
      <c r="O205" s="222"/>
      <c r="P205" s="222"/>
      <c r="Q205" s="249">
        <f t="shared" si="12"/>
        <v>96</v>
      </c>
      <c r="R205" s="153" t="str">
        <f t="shared" si="11"/>
        <v>NO</v>
      </c>
      <c r="S205" s="223" t="str">
        <f t="shared" si="13"/>
        <v>Inviable Sanitariamente</v>
      </c>
      <c r="T205" s="16"/>
    </row>
    <row r="206" spans="1:20" ht="32.1" customHeight="1" x14ac:dyDescent="0.2">
      <c r="A206" s="209" t="s">
        <v>169</v>
      </c>
      <c r="B206" s="520" t="s">
        <v>2219</v>
      </c>
      <c r="C206" s="464" t="s">
        <v>2220</v>
      </c>
      <c r="D206" s="121">
        <v>194</v>
      </c>
      <c r="E206" s="222"/>
      <c r="F206" s="222"/>
      <c r="G206" s="222"/>
      <c r="H206" s="222">
        <v>26.34</v>
      </c>
      <c r="I206" s="222"/>
      <c r="J206" s="222"/>
      <c r="K206" s="222"/>
      <c r="L206" s="222"/>
      <c r="M206" s="222"/>
      <c r="N206" s="222"/>
      <c r="O206" s="222"/>
      <c r="P206" s="222"/>
      <c r="Q206" s="249">
        <f t="shared" si="12"/>
        <v>26.34</v>
      </c>
      <c r="R206" s="153" t="str">
        <f t="shared" si="11"/>
        <v>NO</v>
      </c>
      <c r="S206" s="223" t="str">
        <f t="shared" si="13"/>
        <v>Medio</v>
      </c>
      <c r="T206" s="16"/>
    </row>
    <row r="207" spans="1:20" ht="32.1" customHeight="1" x14ac:dyDescent="0.2">
      <c r="A207" s="209" t="s">
        <v>169</v>
      </c>
      <c r="B207" s="520" t="s">
        <v>1545</v>
      </c>
      <c r="C207" s="464" t="s">
        <v>2221</v>
      </c>
      <c r="D207" s="121">
        <v>178</v>
      </c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>
        <v>26.54</v>
      </c>
      <c r="Q207" s="249">
        <f t="shared" si="12"/>
        <v>26.54</v>
      </c>
      <c r="R207" s="153" t="str">
        <f t="shared" si="11"/>
        <v>NO</v>
      </c>
      <c r="S207" s="223" t="str">
        <f t="shared" si="13"/>
        <v>Medio</v>
      </c>
      <c r="T207" s="16"/>
    </row>
    <row r="208" spans="1:20" ht="32.1" customHeight="1" x14ac:dyDescent="0.2">
      <c r="A208" s="209" t="s">
        <v>169</v>
      </c>
      <c r="B208" s="520" t="s">
        <v>2222</v>
      </c>
      <c r="C208" s="464" t="s">
        <v>2223</v>
      </c>
      <c r="D208" s="121">
        <v>116</v>
      </c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>
        <v>26.54</v>
      </c>
      <c r="Q208" s="249">
        <f t="shared" si="12"/>
        <v>26.54</v>
      </c>
      <c r="R208" s="153" t="str">
        <f t="shared" si="11"/>
        <v>NO</v>
      </c>
      <c r="S208" s="223" t="str">
        <f t="shared" si="13"/>
        <v>Medio</v>
      </c>
      <c r="T208" s="16"/>
    </row>
    <row r="209" spans="1:20" ht="32.1" customHeight="1" x14ac:dyDescent="0.2">
      <c r="A209" s="209" t="s">
        <v>169</v>
      </c>
      <c r="B209" s="520" t="s">
        <v>2224</v>
      </c>
      <c r="C209" s="464" t="s">
        <v>2225</v>
      </c>
      <c r="D209" s="121">
        <v>134</v>
      </c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>
        <v>26.54</v>
      </c>
      <c r="Q209" s="249">
        <f t="shared" si="12"/>
        <v>26.54</v>
      </c>
      <c r="R209" s="153" t="str">
        <f t="shared" si="11"/>
        <v>NO</v>
      </c>
      <c r="S209" s="223" t="str">
        <f t="shared" si="13"/>
        <v>Medio</v>
      </c>
      <c r="T209" s="16"/>
    </row>
    <row r="210" spans="1:20" ht="32.1" customHeight="1" x14ac:dyDescent="0.2">
      <c r="A210" s="209" t="s">
        <v>169</v>
      </c>
      <c r="B210" s="520" t="s">
        <v>2226</v>
      </c>
      <c r="C210" s="464" t="s">
        <v>2227</v>
      </c>
      <c r="D210" s="121">
        <v>126</v>
      </c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>
        <v>26.54</v>
      </c>
      <c r="Q210" s="249">
        <f t="shared" si="12"/>
        <v>26.54</v>
      </c>
      <c r="R210" s="153" t="str">
        <f t="shared" si="11"/>
        <v>NO</v>
      </c>
      <c r="S210" s="223" t="str">
        <f t="shared" si="13"/>
        <v>Medio</v>
      </c>
      <c r="T210" s="16"/>
    </row>
    <row r="211" spans="1:20" ht="32.1" customHeight="1" x14ac:dyDescent="0.2">
      <c r="A211" s="209" t="s">
        <v>169</v>
      </c>
      <c r="B211" s="520" t="s">
        <v>2228</v>
      </c>
      <c r="C211" s="464" t="s">
        <v>2229</v>
      </c>
      <c r="D211" s="221">
        <v>36</v>
      </c>
      <c r="E211" s="222"/>
      <c r="F211" s="222"/>
      <c r="G211" s="222"/>
      <c r="H211" s="222"/>
      <c r="I211" s="222"/>
      <c r="J211" s="222"/>
      <c r="K211" s="222"/>
      <c r="L211" s="222"/>
      <c r="M211" s="222">
        <v>97.34</v>
      </c>
      <c r="N211" s="222"/>
      <c r="O211" s="222"/>
      <c r="P211" s="222"/>
      <c r="Q211" s="249">
        <f t="shared" si="12"/>
        <v>97.34</v>
      </c>
      <c r="R211" s="153" t="str">
        <f t="shared" si="11"/>
        <v>NO</v>
      </c>
      <c r="S211" s="223" t="str">
        <f t="shared" si="13"/>
        <v>Inviable Sanitariamente</v>
      </c>
      <c r="T211" s="16"/>
    </row>
    <row r="212" spans="1:20" ht="32.1" customHeight="1" x14ac:dyDescent="0.2">
      <c r="A212" s="209" t="s">
        <v>169</v>
      </c>
      <c r="B212" s="520" t="s">
        <v>2230</v>
      </c>
      <c r="C212" s="462" t="s">
        <v>2231</v>
      </c>
      <c r="D212" s="221">
        <v>32</v>
      </c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>
        <v>0</v>
      </c>
      <c r="Q212" s="249">
        <f t="shared" si="12"/>
        <v>0</v>
      </c>
      <c r="R212" s="153" t="str">
        <f t="shared" si="11"/>
        <v>SI</v>
      </c>
      <c r="S212" s="223" t="str">
        <f t="shared" si="13"/>
        <v>Sin Riesgo</v>
      </c>
      <c r="T212" s="16"/>
    </row>
    <row r="213" spans="1:20" ht="32.1" customHeight="1" x14ac:dyDescent="0.2">
      <c r="A213" s="209" t="s">
        <v>169</v>
      </c>
      <c r="B213" s="520" t="s">
        <v>2232</v>
      </c>
      <c r="C213" s="464" t="s">
        <v>2233</v>
      </c>
      <c r="D213" s="116">
        <v>80</v>
      </c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>
        <v>97.34</v>
      </c>
      <c r="Q213" s="249">
        <f t="shared" si="12"/>
        <v>97.34</v>
      </c>
      <c r="R213" s="153" t="str">
        <f t="shared" si="11"/>
        <v>NO</v>
      </c>
      <c r="S213" s="223" t="str">
        <f t="shared" si="13"/>
        <v>Inviable Sanitariamente</v>
      </c>
      <c r="T213" s="16"/>
    </row>
    <row r="214" spans="1:20" ht="32.1" customHeight="1" x14ac:dyDescent="0.2">
      <c r="A214" s="209" t="s">
        <v>169</v>
      </c>
      <c r="B214" s="520" t="s">
        <v>2234</v>
      </c>
      <c r="C214" s="464" t="s">
        <v>2235</v>
      </c>
      <c r="D214" s="221">
        <v>170</v>
      </c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>
        <v>97.34</v>
      </c>
      <c r="Q214" s="249">
        <f t="shared" si="12"/>
        <v>97.34</v>
      </c>
      <c r="R214" s="153" t="str">
        <f t="shared" si="11"/>
        <v>NO</v>
      </c>
      <c r="S214" s="223" t="str">
        <f t="shared" si="13"/>
        <v>Inviable Sanitariamente</v>
      </c>
      <c r="T214" s="16"/>
    </row>
    <row r="215" spans="1:20" ht="32.1" customHeight="1" x14ac:dyDescent="0.2">
      <c r="A215" s="209" t="s">
        <v>169</v>
      </c>
      <c r="B215" s="520" t="s">
        <v>2236</v>
      </c>
      <c r="C215" s="464" t="s">
        <v>2237</v>
      </c>
      <c r="D215" s="221">
        <v>230</v>
      </c>
      <c r="E215" s="222">
        <v>97.34</v>
      </c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49">
        <f t="shared" si="12"/>
        <v>97.34</v>
      </c>
      <c r="R215" s="153" t="str">
        <f t="shared" si="11"/>
        <v>NO</v>
      </c>
      <c r="S215" s="223" t="str">
        <f t="shared" si="13"/>
        <v>Inviable Sanitariamente</v>
      </c>
      <c r="T215" s="16"/>
    </row>
    <row r="216" spans="1:20" ht="32.1" customHeight="1" x14ac:dyDescent="0.2">
      <c r="A216" s="209" t="s">
        <v>169</v>
      </c>
      <c r="B216" s="520" t="s">
        <v>2238</v>
      </c>
      <c r="C216" s="464" t="s">
        <v>2239</v>
      </c>
      <c r="D216" s="143">
        <v>96</v>
      </c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49" t="e">
        <f t="shared" si="12"/>
        <v>#DIV/0!</v>
      </c>
      <c r="R216" s="153" t="e">
        <f t="shared" si="11"/>
        <v>#DIV/0!</v>
      </c>
      <c r="S216" s="223" t="e">
        <f t="shared" si="13"/>
        <v>#DIV/0!</v>
      </c>
      <c r="T216" s="16"/>
    </row>
    <row r="217" spans="1:20" ht="32.1" customHeight="1" x14ac:dyDescent="0.2">
      <c r="A217" s="209" t="s">
        <v>169</v>
      </c>
      <c r="B217" s="520" t="s">
        <v>2240</v>
      </c>
      <c r="C217" s="464" t="s">
        <v>2241</v>
      </c>
      <c r="D217" s="121">
        <v>85</v>
      </c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49" t="e">
        <f t="shared" si="12"/>
        <v>#DIV/0!</v>
      </c>
      <c r="R217" s="153" t="e">
        <f t="shared" si="11"/>
        <v>#DIV/0!</v>
      </c>
      <c r="S217" s="223" t="e">
        <f t="shared" si="13"/>
        <v>#DIV/0!</v>
      </c>
      <c r="T217" s="16"/>
    </row>
    <row r="218" spans="1:20" ht="32.1" customHeight="1" x14ac:dyDescent="0.2">
      <c r="A218" s="209" t="s">
        <v>169</v>
      </c>
      <c r="B218" s="520" t="s">
        <v>2242</v>
      </c>
      <c r="C218" s="464" t="s">
        <v>2243</v>
      </c>
      <c r="D218" s="121">
        <v>124</v>
      </c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>
        <v>0</v>
      </c>
      <c r="P218" s="222"/>
      <c r="Q218" s="249">
        <f>AVERAGE(E218:O218)</f>
        <v>0</v>
      </c>
      <c r="R218" s="153" t="str">
        <f t="shared" si="11"/>
        <v>SI</v>
      </c>
      <c r="S218" s="223" t="str">
        <f t="shared" si="13"/>
        <v>Sin Riesgo</v>
      </c>
      <c r="T218" s="16"/>
    </row>
    <row r="219" spans="1:20" ht="32.1" customHeight="1" x14ac:dyDescent="0.2">
      <c r="A219" s="209" t="s">
        <v>169</v>
      </c>
      <c r="B219" s="520" t="s">
        <v>2244</v>
      </c>
      <c r="C219" s="464" t="s">
        <v>2245</v>
      </c>
      <c r="D219" s="116">
        <v>45</v>
      </c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>
        <v>97.34</v>
      </c>
      <c r="P219" s="222"/>
      <c r="Q219" s="249">
        <f>AVERAGE(E219:P219)</f>
        <v>97.34</v>
      </c>
      <c r="R219" s="153" t="str">
        <f t="shared" si="11"/>
        <v>NO</v>
      </c>
      <c r="S219" s="223" t="str">
        <f t="shared" si="13"/>
        <v>Inviable Sanitariamente</v>
      </c>
      <c r="T219" s="16"/>
    </row>
    <row r="220" spans="1:20" ht="32.1" customHeight="1" x14ac:dyDescent="0.2">
      <c r="A220" s="209" t="s">
        <v>169</v>
      </c>
      <c r="B220" s="520" t="s">
        <v>2246</v>
      </c>
      <c r="C220" s="464" t="s">
        <v>2247</v>
      </c>
      <c r="D220" s="221">
        <v>64</v>
      </c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>
        <v>0</v>
      </c>
      <c r="P220" s="222"/>
      <c r="Q220" s="249">
        <f>AVERAGE(E220:P220)</f>
        <v>0</v>
      </c>
      <c r="R220" s="153" t="str">
        <f t="shared" si="11"/>
        <v>SI</v>
      </c>
      <c r="S220" s="223" t="str">
        <f t="shared" si="13"/>
        <v>Sin Riesgo</v>
      </c>
      <c r="T220" s="16"/>
    </row>
    <row r="221" spans="1:20" ht="32.1" customHeight="1" x14ac:dyDescent="0.2">
      <c r="A221" s="209" t="s">
        <v>169</v>
      </c>
      <c r="B221" s="520" t="s">
        <v>2248</v>
      </c>
      <c r="C221" s="464" t="s">
        <v>2249</v>
      </c>
      <c r="D221" s="221">
        <v>51</v>
      </c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>
        <v>26.54</v>
      </c>
      <c r="P221" s="222"/>
      <c r="Q221" s="249">
        <f>AVERAGE(E221:P221)</f>
        <v>26.54</v>
      </c>
      <c r="R221" s="153" t="str">
        <f t="shared" si="11"/>
        <v>NO</v>
      </c>
      <c r="S221" s="223" t="str">
        <f t="shared" si="13"/>
        <v>Medio</v>
      </c>
      <c r="T221" s="16"/>
    </row>
    <row r="222" spans="1:20" ht="32.1" customHeight="1" x14ac:dyDescent="0.2">
      <c r="A222" s="209" t="s">
        <v>169</v>
      </c>
      <c r="B222" s="520" t="s">
        <v>1284</v>
      </c>
      <c r="C222" s="464" t="s">
        <v>2250</v>
      </c>
      <c r="D222" s="221">
        <v>46</v>
      </c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>
        <v>0</v>
      </c>
      <c r="P222" s="222"/>
      <c r="Q222" s="249">
        <f>AVERAGE(E222:O222)</f>
        <v>0</v>
      </c>
      <c r="R222" s="153" t="str">
        <f t="shared" si="11"/>
        <v>SI</v>
      </c>
      <c r="S222" s="223" t="str">
        <f t="shared" si="13"/>
        <v>Sin Riesgo</v>
      </c>
      <c r="T222" s="16"/>
    </row>
    <row r="223" spans="1:20" ht="32.1" customHeight="1" x14ac:dyDescent="0.2">
      <c r="A223" s="209" t="s">
        <v>169</v>
      </c>
      <c r="B223" s="520" t="s">
        <v>2251</v>
      </c>
      <c r="C223" s="464" t="s">
        <v>2252</v>
      </c>
      <c r="D223" s="221">
        <v>136</v>
      </c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>
        <v>0</v>
      </c>
      <c r="P223" s="222"/>
      <c r="Q223" s="249">
        <f t="shared" ref="Q223:Q230" si="14">AVERAGE(E223:P223)</f>
        <v>0</v>
      </c>
      <c r="R223" s="153" t="str">
        <f t="shared" si="11"/>
        <v>SI</v>
      </c>
      <c r="S223" s="223" t="str">
        <f t="shared" si="13"/>
        <v>Sin Riesgo</v>
      </c>
      <c r="T223" s="16"/>
    </row>
    <row r="224" spans="1:20" ht="32.1" customHeight="1" x14ac:dyDescent="0.2">
      <c r="A224" s="209" t="s">
        <v>169</v>
      </c>
      <c r="B224" s="520" t="s">
        <v>2253</v>
      </c>
      <c r="C224" s="464" t="s">
        <v>2254</v>
      </c>
      <c r="D224" s="221">
        <v>60</v>
      </c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>
        <v>26.54</v>
      </c>
      <c r="P224" s="222"/>
      <c r="Q224" s="249">
        <f t="shared" si="14"/>
        <v>26.54</v>
      </c>
      <c r="R224" s="153" t="str">
        <f t="shared" si="11"/>
        <v>NO</v>
      </c>
      <c r="S224" s="223" t="str">
        <f t="shared" si="13"/>
        <v>Medio</v>
      </c>
      <c r="T224" s="16"/>
    </row>
    <row r="225" spans="1:20" ht="32.1" customHeight="1" x14ac:dyDescent="0.2">
      <c r="A225" s="209" t="s">
        <v>169</v>
      </c>
      <c r="B225" s="520" t="s">
        <v>2255</v>
      </c>
      <c r="C225" s="464" t="s">
        <v>2256</v>
      </c>
      <c r="D225" s="221">
        <v>142</v>
      </c>
      <c r="E225" s="222"/>
      <c r="F225" s="222">
        <v>0</v>
      </c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49">
        <f t="shared" si="14"/>
        <v>0</v>
      </c>
      <c r="R225" s="153" t="str">
        <f t="shared" si="11"/>
        <v>SI</v>
      </c>
      <c r="S225" s="223" t="str">
        <f t="shared" si="13"/>
        <v>Sin Riesgo</v>
      </c>
      <c r="T225" s="16"/>
    </row>
    <row r="226" spans="1:20" ht="32.1" customHeight="1" x14ac:dyDescent="0.2">
      <c r="A226" s="209" t="s">
        <v>169</v>
      </c>
      <c r="B226" s="520" t="s">
        <v>2257</v>
      </c>
      <c r="C226" s="464" t="s">
        <v>2258</v>
      </c>
      <c r="D226" s="221">
        <v>81</v>
      </c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>
        <v>97.34</v>
      </c>
      <c r="P226" s="222"/>
      <c r="Q226" s="249">
        <f t="shared" si="14"/>
        <v>97.34</v>
      </c>
      <c r="R226" s="153" t="str">
        <f t="shared" si="11"/>
        <v>NO</v>
      </c>
      <c r="S226" s="223" t="str">
        <f t="shared" si="13"/>
        <v>Inviable Sanitariamente</v>
      </c>
      <c r="T226" s="16"/>
    </row>
    <row r="227" spans="1:20" ht="32.1" customHeight="1" x14ac:dyDescent="0.2">
      <c r="A227" s="209" t="s">
        <v>169</v>
      </c>
      <c r="B227" s="520" t="s">
        <v>2222</v>
      </c>
      <c r="C227" s="464" t="s">
        <v>2259</v>
      </c>
      <c r="D227" s="221">
        <v>141</v>
      </c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>
        <v>53</v>
      </c>
      <c r="Q227" s="249">
        <f t="shared" si="14"/>
        <v>53</v>
      </c>
      <c r="R227" s="153" t="str">
        <f t="shared" si="11"/>
        <v>NO</v>
      </c>
      <c r="S227" s="223" t="str">
        <f t="shared" si="13"/>
        <v>Alto</v>
      </c>
      <c r="T227" s="16"/>
    </row>
    <row r="228" spans="1:20" ht="32.1" customHeight="1" x14ac:dyDescent="0.2">
      <c r="A228" s="209" t="s">
        <v>169</v>
      </c>
      <c r="B228" s="520" t="s">
        <v>2260</v>
      </c>
      <c r="C228" s="464" t="s">
        <v>2261</v>
      </c>
      <c r="D228" s="221">
        <v>38</v>
      </c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49" t="e">
        <f t="shared" si="14"/>
        <v>#DIV/0!</v>
      </c>
      <c r="R228" s="153" t="e">
        <f t="shared" si="11"/>
        <v>#DIV/0!</v>
      </c>
      <c r="S228" s="223" t="e">
        <f t="shared" si="13"/>
        <v>#DIV/0!</v>
      </c>
      <c r="T228" s="16"/>
    </row>
    <row r="229" spans="1:20" ht="32.1" customHeight="1" x14ac:dyDescent="0.2">
      <c r="A229" s="209" t="s">
        <v>169</v>
      </c>
      <c r="B229" s="520" t="s">
        <v>2262</v>
      </c>
      <c r="C229" s="462" t="s">
        <v>2263</v>
      </c>
      <c r="D229" s="221">
        <v>70</v>
      </c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>
        <v>0</v>
      </c>
      <c r="Q229" s="249">
        <f t="shared" si="14"/>
        <v>0</v>
      </c>
      <c r="R229" s="153" t="str">
        <f t="shared" si="11"/>
        <v>SI</v>
      </c>
      <c r="S229" s="223" t="str">
        <f t="shared" si="13"/>
        <v>Sin Riesgo</v>
      </c>
      <c r="T229" s="16"/>
    </row>
    <row r="230" spans="1:20" ht="32.1" customHeight="1" x14ac:dyDescent="0.2">
      <c r="A230" s="209" t="s">
        <v>169</v>
      </c>
      <c r="B230" s="520" t="s">
        <v>2264</v>
      </c>
      <c r="C230" s="469" t="s">
        <v>2265</v>
      </c>
      <c r="D230" s="221">
        <v>50</v>
      </c>
      <c r="E230" s="222"/>
      <c r="F230" s="222"/>
      <c r="G230" s="222"/>
      <c r="H230" s="222"/>
      <c r="I230" s="222"/>
      <c r="J230" s="222"/>
      <c r="K230" s="222"/>
      <c r="L230" s="222"/>
      <c r="M230" s="222">
        <v>97.34</v>
      </c>
      <c r="N230" s="222"/>
      <c r="O230" s="222"/>
      <c r="P230" s="222"/>
      <c r="Q230" s="249">
        <f t="shared" si="14"/>
        <v>97.34</v>
      </c>
      <c r="R230" s="153" t="str">
        <f t="shared" si="11"/>
        <v>NO</v>
      </c>
      <c r="S230" s="223" t="str">
        <f t="shared" si="13"/>
        <v>Inviable Sanitariamente</v>
      </c>
      <c r="T230" s="16"/>
    </row>
    <row r="231" spans="1:20" ht="32.1" customHeight="1" x14ac:dyDescent="0.2">
      <c r="A231" s="209" t="s">
        <v>169</v>
      </c>
      <c r="B231" s="520" t="s">
        <v>2266</v>
      </c>
      <c r="C231" s="464" t="s">
        <v>2267</v>
      </c>
      <c r="D231" s="121">
        <v>87</v>
      </c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>
        <v>97.34</v>
      </c>
      <c r="P231" s="222"/>
      <c r="Q231" s="249">
        <f>AVERAGE(E231:O231)</f>
        <v>97.34</v>
      </c>
      <c r="R231" s="153" t="str">
        <f t="shared" ref="R231:R293" si="15">IF(Q231&lt;5,"SI","NO")</f>
        <v>NO</v>
      </c>
      <c r="S231" s="223" t="str">
        <f t="shared" si="13"/>
        <v>Inviable Sanitariamente</v>
      </c>
      <c r="T231" s="16"/>
    </row>
    <row r="232" spans="1:20" ht="32.1" customHeight="1" x14ac:dyDescent="0.2">
      <c r="A232" s="209" t="s">
        <v>169</v>
      </c>
      <c r="B232" s="520" t="s">
        <v>2268</v>
      </c>
      <c r="C232" s="464" t="s">
        <v>2269</v>
      </c>
      <c r="D232" s="221">
        <v>44</v>
      </c>
      <c r="E232" s="222"/>
      <c r="F232" s="222"/>
      <c r="G232" s="222"/>
      <c r="H232" s="222"/>
      <c r="I232" s="222"/>
      <c r="J232" s="222"/>
      <c r="K232" s="222"/>
      <c r="L232" s="222"/>
      <c r="M232" s="222">
        <v>97.34</v>
      </c>
      <c r="N232" s="222"/>
      <c r="O232" s="222"/>
      <c r="P232" s="222"/>
      <c r="Q232" s="249">
        <f t="shared" ref="Q232:Q294" si="16">AVERAGE(E232:P232)</f>
        <v>97.34</v>
      </c>
      <c r="R232" s="153" t="str">
        <f t="shared" si="15"/>
        <v>NO</v>
      </c>
      <c r="S232" s="223" t="str">
        <f t="shared" si="13"/>
        <v>Inviable Sanitariamente</v>
      </c>
      <c r="T232" s="16"/>
    </row>
    <row r="233" spans="1:20" ht="32.1" customHeight="1" x14ac:dyDescent="0.2">
      <c r="A233" s="209" t="s">
        <v>169</v>
      </c>
      <c r="B233" s="520" t="s">
        <v>2270</v>
      </c>
      <c r="C233" s="464" t="s">
        <v>2271</v>
      </c>
      <c r="D233" s="121">
        <v>68</v>
      </c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49" t="e">
        <f t="shared" si="16"/>
        <v>#DIV/0!</v>
      </c>
      <c r="R233" s="153" t="e">
        <f t="shared" si="15"/>
        <v>#DIV/0!</v>
      </c>
      <c r="S233" s="223" t="e">
        <f t="shared" si="13"/>
        <v>#DIV/0!</v>
      </c>
      <c r="T233" s="16"/>
    </row>
    <row r="234" spans="1:20" ht="32.1" customHeight="1" x14ac:dyDescent="0.2">
      <c r="A234" s="209" t="s">
        <v>169</v>
      </c>
      <c r="B234" s="520" t="s">
        <v>2272</v>
      </c>
      <c r="C234" s="464" t="s">
        <v>2273</v>
      </c>
      <c r="D234" s="155">
        <v>45</v>
      </c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>
        <v>97.34</v>
      </c>
      <c r="Q234" s="249">
        <f t="shared" si="16"/>
        <v>97.34</v>
      </c>
      <c r="R234" s="153" t="str">
        <f t="shared" si="15"/>
        <v>NO</v>
      </c>
      <c r="S234" s="223" t="str">
        <f t="shared" si="13"/>
        <v>Inviable Sanitariamente</v>
      </c>
      <c r="T234" s="16"/>
    </row>
    <row r="235" spans="1:20" ht="32.1" customHeight="1" x14ac:dyDescent="0.2">
      <c r="A235" s="209" t="s">
        <v>169</v>
      </c>
      <c r="B235" s="520" t="s">
        <v>2274</v>
      </c>
      <c r="C235" s="464" t="s">
        <v>2275</v>
      </c>
      <c r="D235" s="155">
        <v>48</v>
      </c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>
        <v>97.34</v>
      </c>
      <c r="P235" s="222"/>
      <c r="Q235" s="249">
        <f t="shared" si="16"/>
        <v>97.34</v>
      </c>
      <c r="R235" s="153" t="str">
        <f t="shared" si="15"/>
        <v>NO</v>
      </c>
      <c r="S235" s="223" t="str">
        <f t="shared" si="13"/>
        <v>Inviable Sanitariamente</v>
      </c>
      <c r="T235" s="16"/>
    </row>
    <row r="236" spans="1:20" ht="32.1" customHeight="1" x14ac:dyDescent="0.2">
      <c r="A236" s="209" t="s">
        <v>169</v>
      </c>
      <c r="B236" s="520" t="s">
        <v>2276</v>
      </c>
      <c r="C236" s="464" t="s">
        <v>2277</v>
      </c>
      <c r="D236" s="155">
        <v>52</v>
      </c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49" t="e">
        <f t="shared" si="16"/>
        <v>#DIV/0!</v>
      </c>
      <c r="R236" s="153" t="e">
        <f t="shared" si="15"/>
        <v>#DIV/0!</v>
      </c>
      <c r="S236" s="223" t="e">
        <f t="shared" si="13"/>
        <v>#DIV/0!</v>
      </c>
      <c r="T236" s="16"/>
    </row>
    <row r="237" spans="1:20" ht="32.1" customHeight="1" x14ac:dyDescent="0.2">
      <c r="A237" s="209" t="s">
        <v>169</v>
      </c>
      <c r="B237" s="520" t="s">
        <v>2278</v>
      </c>
      <c r="C237" s="464" t="s">
        <v>2279</v>
      </c>
      <c r="D237" s="155">
        <v>110</v>
      </c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49" t="e">
        <f t="shared" si="16"/>
        <v>#DIV/0!</v>
      </c>
      <c r="R237" s="153" t="e">
        <f t="shared" si="15"/>
        <v>#DIV/0!</v>
      </c>
      <c r="S237" s="223" t="e">
        <f t="shared" si="13"/>
        <v>#DIV/0!</v>
      </c>
      <c r="T237" s="16"/>
    </row>
    <row r="238" spans="1:20" ht="32.1" customHeight="1" x14ac:dyDescent="0.2">
      <c r="A238" s="209" t="s">
        <v>169</v>
      </c>
      <c r="B238" s="520" t="s">
        <v>1217</v>
      </c>
      <c r="C238" s="464" t="s">
        <v>2280</v>
      </c>
      <c r="D238" s="121">
        <v>38</v>
      </c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49" t="e">
        <f t="shared" si="16"/>
        <v>#DIV/0!</v>
      </c>
      <c r="R238" s="153" t="e">
        <f t="shared" si="15"/>
        <v>#DIV/0!</v>
      </c>
      <c r="S238" s="223" t="e">
        <f t="shared" si="13"/>
        <v>#DIV/0!</v>
      </c>
      <c r="T238" s="16"/>
    </row>
    <row r="239" spans="1:20" ht="32.1" customHeight="1" x14ac:dyDescent="0.2">
      <c r="A239" s="209" t="s">
        <v>169</v>
      </c>
      <c r="B239" s="520" t="s">
        <v>1546</v>
      </c>
      <c r="C239" s="464" t="s">
        <v>2281</v>
      </c>
      <c r="D239" s="155">
        <v>121</v>
      </c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>
        <v>26.54</v>
      </c>
      <c r="P239" s="222"/>
      <c r="Q239" s="249">
        <f t="shared" si="16"/>
        <v>26.54</v>
      </c>
      <c r="R239" s="153" t="str">
        <f t="shared" si="15"/>
        <v>NO</v>
      </c>
      <c r="S239" s="223" t="str">
        <f t="shared" si="13"/>
        <v>Medio</v>
      </c>
      <c r="T239" s="16"/>
    </row>
    <row r="240" spans="1:20" ht="32.1" customHeight="1" x14ac:dyDescent="0.2">
      <c r="A240" s="209" t="s">
        <v>169</v>
      </c>
      <c r="B240" s="520" t="s">
        <v>692</v>
      </c>
      <c r="C240" s="464" t="s">
        <v>2282</v>
      </c>
      <c r="D240" s="155">
        <v>90</v>
      </c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>
        <v>0</v>
      </c>
      <c r="Q240" s="249">
        <f t="shared" si="16"/>
        <v>0</v>
      </c>
      <c r="R240" s="153" t="str">
        <f t="shared" si="15"/>
        <v>SI</v>
      </c>
      <c r="S240" s="223" t="str">
        <f t="shared" si="13"/>
        <v>Sin Riesgo</v>
      </c>
      <c r="T240" s="16"/>
    </row>
    <row r="241" spans="1:20" ht="32.1" customHeight="1" x14ac:dyDescent="0.2">
      <c r="A241" s="209" t="s">
        <v>170</v>
      </c>
      <c r="B241" s="520" t="s">
        <v>2284</v>
      </c>
      <c r="C241" s="464" t="s">
        <v>2285</v>
      </c>
      <c r="D241" s="155">
        <v>40</v>
      </c>
      <c r="E241" s="222"/>
      <c r="F241" s="222"/>
      <c r="G241" s="222"/>
      <c r="H241" s="222"/>
      <c r="I241" s="222"/>
      <c r="J241" s="222">
        <v>59.05</v>
      </c>
      <c r="K241" s="222"/>
      <c r="L241" s="222"/>
      <c r="M241" s="222"/>
      <c r="N241" s="222"/>
      <c r="O241" s="222"/>
      <c r="P241" s="222"/>
      <c r="Q241" s="249">
        <f t="shared" si="16"/>
        <v>59.05</v>
      </c>
      <c r="R241" s="153" t="str">
        <f t="shared" si="15"/>
        <v>NO</v>
      </c>
      <c r="S241" s="223" t="str">
        <f t="shared" si="13"/>
        <v>Alto</v>
      </c>
      <c r="T241" s="16"/>
    </row>
    <row r="242" spans="1:20" ht="32.1" customHeight="1" x14ac:dyDescent="0.2">
      <c r="A242" s="209" t="s">
        <v>170</v>
      </c>
      <c r="B242" s="520" t="s">
        <v>2286</v>
      </c>
      <c r="C242" s="464" t="s">
        <v>2287</v>
      </c>
      <c r="D242" s="221">
        <v>37</v>
      </c>
      <c r="E242" s="222"/>
      <c r="F242" s="222"/>
      <c r="G242" s="222"/>
      <c r="H242" s="222"/>
      <c r="I242" s="222"/>
      <c r="J242" s="222">
        <v>59.05</v>
      </c>
      <c r="K242" s="222"/>
      <c r="L242" s="222"/>
      <c r="M242" s="222"/>
      <c r="N242" s="222"/>
      <c r="O242" s="222"/>
      <c r="P242" s="222"/>
      <c r="Q242" s="249">
        <f t="shared" si="16"/>
        <v>59.05</v>
      </c>
      <c r="R242" s="153" t="str">
        <f t="shared" si="15"/>
        <v>NO</v>
      </c>
      <c r="S242" s="223" t="str">
        <f t="shared" si="13"/>
        <v>Alto</v>
      </c>
      <c r="T242" s="16"/>
    </row>
    <row r="243" spans="1:20" ht="32.1" customHeight="1" x14ac:dyDescent="0.2">
      <c r="A243" s="209" t="s">
        <v>170</v>
      </c>
      <c r="B243" s="520" t="s">
        <v>2288</v>
      </c>
      <c r="C243" s="464" t="s">
        <v>2289</v>
      </c>
      <c r="D243" s="221">
        <v>35</v>
      </c>
      <c r="E243" s="222"/>
      <c r="F243" s="222"/>
      <c r="G243" s="222"/>
      <c r="H243" s="222"/>
      <c r="I243" s="222"/>
      <c r="J243" s="222">
        <v>59.05</v>
      </c>
      <c r="K243" s="222"/>
      <c r="L243" s="222"/>
      <c r="M243" s="222"/>
      <c r="N243" s="222"/>
      <c r="O243" s="222"/>
      <c r="P243" s="222"/>
      <c r="Q243" s="249">
        <f t="shared" si="16"/>
        <v>59.05</v>
      </c>
      <c r="R243" s="153" t="str">
        <f t="shared" si="15"/>
        <v>NO</v>
      </c>
      <c r="S243" s="223" t="str">
        <f t="shared" si="13"/>
        <v>Alto</v>
      </c>
      <c r="T243" s="16"/>
    </row>
    <row r="244" spans="1:20" ht="32.1" customHeight="1" x14ac:dyDescent="0.2">
      <c r="A244" s="209" t="s">
        <v>170</v>
      </c>
      <c r="B244" s="520" t="s">
        <v>2290</v>
      </c>
      <c r="C244" s="464" t="s">
        <v>2291</v>
      </c>
      <c r="D244" s="221">
        <v>29</v>
      </c>
      <c r="E244" s="222"/>
      <c r="F244" s="222"/>
      <c r="G244" s="222"/>
      <c r="H244" s="222"/>
      <c r="I244" s="222"/>
      <c r="J244" s="222">
        <v>59.05</v>
      </c>
      <c r="K244" s="222"/>
      <c r="L244" s="222"/>
      <c r="M244" s="222"/>
      <c r="N244" s="222"/>
      <c r="O244" s="222"/>
      <c r="P244" s="222"/>
      <c r="Q244" s="249">
        <f t="shared" si="16"/>
        <v>59.05</v>
      </c>
      <c r="R244" s="153" t="str">
        <f t="shared" si="15"/>
        <v>NO</v>
      </c>
      <c r="S244" s="223" t="str">
        <f t="shared" si="13"/>
        <v>Alto</v>
      </c>
      <c r="T244" s="16"/>
    </row>
    <row r="245" spans="1:20" ht="32.1" customHeight="1" x14ac:dyDescent="0.2">
      <c r="A245" s="209" t="s">
        <v>170</v>
      </c>
      <c r="B245" s="520" t="s">
        <v>2292</v>
      </c>
      <c r="C245" s="464" t="s">
        <v>2293</v>
      </c>
      <c r="D245" s="221">
        <v>42</v>
      </c>
      <c r="E245" s="222"/>
      <c r="F245" s="222"/>
      <c r="G245" s="222"/>
      <c r="H245" s="222"/>
      <c r="I245" s="222"/>
      <c r="J245" s="222">
        <v>19.5</v>
      </c>
      <c r="K245" s="222"/>
      <c r="L245" s="222"/>
      <c r="M245" s="222"/>
      <c r="N245" s="222"/>
      <c r="O245" s="222"/>
      <c r="P245" s="222"/>
      <c r="Q245" s="249">
        <f t="shared" si="16"/>
        <v>19.5</v>
      </c>
      <c r="R245" s="153" t="str">
        <f t="shared" si="15"/>
        <v>NO</v>
      </c>
      <c r="S245" s="223" t="str">
        <f t="shared" si="13"/>
        <v>Medio</v>
      </c>
      <c r="T245" s="16"/>
    </row>
    <row r="246" spans="1:20" ht="32.1" customHeight="1" x14ac:dyDescent="0.2">
      <c r="A246" s="209" t="s">
        <v>170</v>
      </c>
      <c r="B246" s="520" t="s">
        <v>2294</v>
      </c>
      <c r="C246" s="464" t="s">
        <v>2295</v>
      </c>
      <c r="D246" s="221">
        <v>29</v>
      </c>
      <c r="E246" s="222"/>
      <c r="F246" s="222"/>
      <c r="G246" s="222"/>
      <c r="H246" s="222"/>
      <c r="I246" s="222">
        <v>19.5</v>
      </c>
      <c r="J246" s="222"/>
      <c r="K246" s="222"/>
      <c r="L246" s="222"/>
      <c r="M246" s="222"/>
      <c r="N246" s="222"/>
      <c r="O246" s="222"/>
      <c r="P246" s="222"/>
      <c r="Q246" s="249">
        <f t="shared" si="16"/>
        <v>19.5</v>
      </c>
      <c r="R246" s="153" t="str">
        <f t="shared" si="15"/>
        <v>NO</v>
      </c>
      <c r="S246" s="223" t="str">
        <f t="shared" si="13"/>
        <v>Medio</v>
      </c>
      <c r="T246" s="16"/>
    </row>
    <row r="247" spans="1:20" ht="32.1" customHeight="1" x14ac:dyDescent="0.2">
      <c r="A247" s="209" t="s">
        <v>170</v>
      </c>
      <c r="B247" s="520" t="s">
        <v>2296</v>
      </c>
      <c r="C247" s="464" t="s">
        <v>2297</v>
      </c>
      <c r="D247" s="221">
        <v>40</v>
      </c>
      <c r="E247" s="222"/>
      <c r="F247" s="222"/>
      <c r="G247" s="222">
        <v>19.5</v>
      </c>
      <c r="H247" s="222"/>
      <c r="I247" s="222"/>
      <c r="J247" s="222"/>
      <c r="K247" s="222"/>
      <c r="L247" s="222"/>
      <c r="M247" s="222"/>
      <c r="N247" s="222"/>
      <c r="O247" s="222"/>
      <c r="P247" s="222"/>
      <c r="Q247" s="249">
        <f t="shared" si="16"/>
        <v>19.5</v>
      </c>
      <c r="R247" s="153" t="str">
        <f t="shared" si="15"/>
        <v>NO</v>
      </c>
      <c r="S247" s="223" t="str">
        <f t="shared" si="13"/>
        <v>Medio</v>
      </c>
      <c r="T247" s="16"/>
    </row>
    <row r="248" spans="1:20" ht="32.1" customHeight="1" x14ac:dyDescent="0.2">
      <c r="A248" s="209" t="s">
        <v>170</v>
      </c>
      <c r="B248" s="520" t="s">
        <v>2298</v>
      </c>
      <c r="C248" s="464" t="s">
        <v>2299</v>
      </c>
      <c r="D248" s="229">
        <v>33</v>
      </c>
      <c r="E248" s="222"/>
      <c r="F248" s="222"/>
      <c r="G248" s="222"/>
      <c r="H248" s="222"/>
      <c r="I248" s="222">
        <v>19.5</v>
      </c>
      <c r="J248" s="222"/>
      <c r="K248" s="222"/>
      <c r="L248" s="222"/>
      <c r="M248" s="222"/>
      <c r="N248" s="222"/>
      <c r="O248" s="222"/>
      <c r="P248" s="222"/>
      <c r="Q248" s="249">
        <f t="shared" si="16"/>
        <v>19.5</v>
      </c>
      <c r="R248" s="153" t="str">
        <f t="shared" si="15"/>
        <v>NO</v>
      </c>
      <c r="S248" s="223" t="str">
        <f t="shared" si="13"/>
        <v>Medio</v>
      </c>
      <c r="T248" s="16"/>
    </row>
    <row r="249" spans="1:20" ht="32.1" customHeight="1" x14ac:dyDescent="0.2">
      <c r="A249" s="209" t="s">
        <v>170</v>
      </c>
      <c r="B249" s="520" t="s">
        <v>2300</v>
      </c>
      <c r="C249" s="464" t="s">
        <v>2301</v>
      </c>
      <c r="D249" s="221">
        <v>58</v>
      </c>
      <c r="E249" s="222"/>
      <c r="F249" s="222"/>
      <c r="G249" s="222"/>
      <c r="H249" s="222"/>
      <c r="I249" s="222">
        <v>19.5</v>
      </c>
      <c r="J249" s="222"/>
      <c r="K249" s="222"/>
      <c r="L249" s="222"/>
      <c r="M249" s="222"/>
      <c r="N249" s="222"/>
      <c r="O249" s="222"/>
      <c r="P249" s="222"/>
      <c r="Q249" s="249">
        <f t="shared" si="16"/>
        <v>19.5</v>
      </c>
      <c r="R249" s="153" t="str">
        <f t="shared" si="15"/>
        <v>NO</v>
      </c>
      <c r="S249" s="223" t="str">
        <f t="shared" si="13"/>
        <v>Medio</v>
      </c>
      <c r="T249" s="16"/>
    </row>
    <row r="250" spans="1:20" ht="32.1" customHeight="1" x14ac:dyDescent="0.2">
      <c r="A250" s="209" t="s">
        <v>171</v>
      </c>
      <c r="B250" s="520" t="s">
        <v>2302</v>
      </c>
      <c r="C250" s="464" t="s">
        <v>2303</v>
      </c>
      <c r="D250" s="221">
        <v>82</v>
      </c>
      <c r="E250" s="222"/>
      <c r="F250" s="222"/>
      <c r="G250" s="222"/>
      <c r="H250" s="222"/>
      <c r="I250" s="222"/>
      <c r="J250" s="222"/>
      <c r="K250" s="222">
        <v>97.3</v>
      </c>
      <c r="L250" s="222"/>
      <c r="M250" s="222"/>
      <c r="N250" s="222"/>
      <c r="O250" s="222"/>
      <c r="P250" s="222"/>
      <c r="Q250" s="249">
        <f t="shared" si="16"/>
        <v>97.3</v>
      </c>
      <c r="R250" s="153" t="str">
        <f t="shared" si="15"/>
        <v>NO</v>
      </c>
      <c r="S250" s="223" t="str">
        <f t="shared" si="13"/>
        <v>Inviable Sanitariamente</v>
      </c>
      <c r="T250" s="16"/>
    </row>
    <row r="251" spans="1:20" ht="32.1" customHeight="1" x14ac:dyDescent="0.2">
      <c r="A251" s="209" t="s">
        <v>171</v>
      </c>
      <c r="B251" s="520" t="s">
        <v>2304</v>
      </c>
      <c r="C251" s="464" t="s">
        <v>2305</v>
      </c>
      <c r="D251" s="221">
        <v>167</v>
      </c>
      <c r="E251" s="222"/>
      <c r="F251" s="222"/>
      <c r="G251" s="222"/>
      <c r="H251" s="222"/>
      <c r="I251" s="222"/>
      <c r="J251" s="222"/>
      <c r="K251" s="222">
        <v>97.3</v>
      </c>
      <c r="L251" s="222"/>
      <c r="M251" s="222">
        <v>0</v>
      </c>
      <c r="N251" s="222">
        <v>0</v>
      </c>
      <c r="O251" s="222">
        <v>0</v>
      </c>
      <c r="P251" s="222">
        <v>0</v>
      </c>
      <c r="Q251" s="249">
        <f t="shared" si="16"/>
        <v>19.46</v>
      </c>
      <c r="R251" s="153" t="str">
        <f t="shared" si="15"/>
        <v>NO</v>
      </c>
      <c r="S251" s="223" t="str">
        <f t="shared" si="13"/>
        <v>Medio</v>
      </c>
      <c r="T251" s="16"/>
    </row>
    <row r="252" spans="1:20" ht="32.1" customHeight="1" x14ac:dyDescent="0.2">
      <c r="A252" s="209" t="s">
        <v>171</v>
      </c>
      <c r="B252" s="520" t="s">
        <v>2306</v>
      </c>
      <c r="C252" s="469" t="s">
        <v>2307</v>
      </c>
      <c r="D252" s="221">
        <v>11</v>
      </c>
      <c r="E252" s="222"/>
      <c r="F252" s="222"/>
      <c r="G252" s="222"/>
      <c r="H252" s="222"/>
      <c r="I252" s="222"/>
      <c r="J252" s="222"/>
      <c r="K252" s="222"/>
      <c r="L252" s="222">
        <v>97.34</v>
      </c>
      <c r="M252" s="222"/>
      <c r="N252" s="222"/>
      <c r="O252" s="222"/>
      <c r="P252" s="222"/>
      <c r="Q252" s="249">
        <f t="shared" si="16"/>
        <v>97.34</v>
      </c>
      <c r="R252" s="153" t="str">
        <f t="shared" si="15"/>
        <v>NO</v>
      </c>
      <c r="S252" s="223" t="str">
        <f t="shared" si="13"/>
        <v>Inviable Sanitariamente</v>
      </c>
      <c r="T252" s="16"/>
    </row>
    <row r="253" spans="1:20" ht="32.1" customHeight="1" x14ac:dyDescent="0.2">
      <c r="A253" s="209" t="s">
        <v>171</v>
      </c>
      <c r="B253" s="520" t="s">
        <v>2308</v>
      </c>
      <c r="C253" s="469" t="s">
        <v>2309</v>
      </c>
      <c r="D253" s="221">
        <v>8</v>
      </c>
      <c r="E253" s="222"/>
      <c r="F253" s="222"/>
      <c r="G253" s="222"/>
      <c r="H253" s="222"/>
      <c r="I253" s="222"/>
      <c r="J253" s="222"/>
      <c r="K253" s="222"/>
      <c r="L253" s="222">
        <v>97.34</v>
      </c>
      <c r="M253" s="222"/>
      <c r="N253" s="222"/>
      <c r="O253" s="222"/>
      <c r="P253" s="222"/>
      <c r="Q253" s="249">
        <f t="shared" si="16"/>
        <v>97.34</v>
      </c>
      <c r="R253" s="153" t="str">
        <f t="shared" si="15"/>
        <v>NO</v>
      </c>
      <c r="S253" s="223" t="str">
        <f t="shared" si="13"/>
        <v>Inviable Sanitariamente</v>
      </c>
      <c r="T253" s="16"/>
    </row>
    <row r="254" spans="1:20" ht="32.1" customHeight="1" x14ac:dyDescent="0.2">
      <c r="A254" s="209" t="s">
        <v>171</v>
      </c>
      <c r="B254" s="520" t="s">
        <v>281</v>
      </c>
      <c r="C254" s="464" t="s">
        <v>2310</v>
      </c>
      <c r="D254" s="221">
        <v>9</v>
      </c>
      <c r="E254" s="222"/>
      <c r="F254" s="222"/>
      <c r="G254" s="222"/>
      <c r="H254" s="222"/>
      <c r="I254" s="222"/>
      <c r="J254" s="222"/>
      <c r="K254" s="222"/>
      <c r="L254" s="222">
        <v>97.34</v>
      </c>
      <c r="M254" s="222"/>
      <c r="N254" s="222"/>
      <c r="O254" s="222"/>
      <c r="P254" s="222"/>
      <c r="Q254" s="249">
        <f t="shared" si="16"/>
        <v>97.34</v>
      </c>
      <c r="R254" s="241" t="str">
        <f t="shared" si="15"/>
        <v>NO</v>
      </c>
      <c r="S254" s="223" t="str">
        <f t="shared" si="13"/>
        <v>Inviable Sanitariamente</v>
      </c>
      <c r="T254" s="16"/>
    </row>
    <row r="255" spans="1:20" ht="32.1" customHeight="1" x14ac:dyDescent="0.2">
      <c r="A255" s="209" t="s">
        <v>171</v>
      </c>
      <c r="B255" s="520" t="s">
        <v>2311</v>
      </c>
      <c r="C255" s="464" t="s">
        <v>2312</v>
      </c>
      <c r="D255" s="221">
        <v>9</v>
      </c>
      <c r="E255" s="222"/>
      <c r="F255" s="222"/>
      <c r="G255" s="222"/>
      <c r="H255" s="222"/>
      <c r="I255" s="222"/>
      <c r="J255" s="222"/>
      <c r="K255" s="222"/>
      <c r="L255" s="222">
        <v>97.34</v>
      </c>
      <c r="M255" s="222"/>
      <c r="N255" s="222"/>
      <c r="O255" s="222"/>
      <c r="P255" s="222"/>
      <c r="Q255" s="249">
        <f t="shared" si="16"/>
        <v>97.34</v>
      </c>
      <c r="R255" s="153" t="str">
        <f t="shared" si="15"/>
        <v>NO</v>
      </c>
      <c r="S255" s="223" t="str">
        <f t="shared" si="13"/>
        <v>Inviable Sanitariamente</v>
      </c>
      <c r="T255" s="16"/>
    </row>
    <row r="256" spans="1:20" ht="32.1" customHeight="1" x14ac:dyDescent="0.2">
      <c r="A256" s="209" t="s">
        <v>171</v>
      </c>
      <c r="B256" s="520" t="s">
        <v>2313</v>
      </c>
      <c r="C256" s="464" t="s">
        <v>2314</v>
      </c>
      <c r="D256" s="221">
        <v>104</v>
      </c>
      <c r="E256" s="222"/>
      <c r="F256" s="222"/>
      <c r="G256" s="222"/>
      <c r="H256" s="222"/>
      <c r="I256" s="222"/>
      <c r="J256" s="222"/>
      <c r="K256" s="222"/>
      <c r="L256" s="222">
        <v>97.34</v>
      </c>
      <c r="M256" s="222"/>
      <c r="N256" s="222"/>
      <c r="O256" s="222"/>
      <c r="P256" s="222"/>
      <c r="Q256" s="249">
        <f t="shared" si="16"/>
        <v>97.34</v>
      </c>
      <c r="R256" s="153" t="str">
        <f t="shared" si="15"/>
        <v>NO</v>
      </c>
      <c r="S256" s="223" t="str">
        <f t="shared" si="13"/>
        <v>Inviable Sanitariamente</v>
      </c>
      <c r="T256" s="16"/>
    </row>
    <row r="257" spans="1:20" ht="32.1" customHeight="1" x14ac:dyDescent="0.2">
      <c r="A257" s="209" t="s">
        <v>171</v>
      </c>
      <c r="B257" s="520" t="s">
        <v>2315</v>
      </c>
      <c r="C257" s="464" t="s">
        <v>2316</v>
      </c>
      <c r="D257" s="229">
        <v>104</v>
      </c>
      <c r="E257" s="222"/>
      <c r="F257" s="222"/>
      <c r="G257" s="222"/>
      <c r="H257" s="222"/>
      <c r="I257" s="222"/>
      <c r="J257" s="222"/>
      <c r="K257" s="222"/>
      <c r="L257" s="222">
        <v>97.34</v>
      </c>
      <c r="M257" s="222"/>
      <c r="N257" s="222"/>
      <c r="O257" s="222"/>
      <c r="P257" s="222"/>
      <c r="Q257" s="249">
        <f t="shared" si="16"/>
        <v>97.34</v>
      </c>
      <c r="R257" s="153" t="str">
        <f t="shared" si="15"/>
        <v>NO</v>
      </c>
      <c r="S257" s="223" t="str">
        <f t="shared" si="13"/>
        <v>Inviable Sanitariamente</v>
      </c>
      <c r="T257" s="16"/>
    </row>
    <row r="258" spans="1:20" ht="32.1" customHeight="1" x14ac:dyDescent="0.2">
      <c r="A258" s="209" t="s">
        <v>171</v>
      </c>
      <c r="B258" s="520" t="s">
        <v>2317</v>
      </c>
      <c r="C258" s="464" t="s">
        <v>2318</v>
      </c>
      <c r="D258" s="221">
        <v>7</v>
      </c>
      <c r="E258" s="222"/>
      <c r="F258" s="222"/>
      <c r="G258" s="222"/>
      <c r="H258" s="222"/>
      <c r="I258" s="222"/>
      <c r="J258" s="222"/>
      <c r="K258" s="222"/>
      <c r="L258" s="222">
        <v>97.34</v>
      </c>
      <c r="M258" s="222"/>
      <c r="N258" s="222"/>
      <c r="O258" s="222"/>
      <c r="P258" s="222"/>
      <c r="Q258" s="249">
        <f t="shared" si="16"/>
        <v>97.34</v>
      </c>
      <c r="R258" s="153" t="str">
        <f t="shared" si="15"/>
        <v>NO</v>
      </c>
      <c r="S258" s="223" t="str">
        <f t="shared" si="13"/>
        <v>Inviable Sanitariamente</v>
      </c>
      <c r="T258" s="16"/>
    </row>
    <row r="259" spans="1:20" ht="32.1" customHeight="1" x14ac:dyDescent="0.2">
      <c r="A259" s="209" t="s">
        <v>171</v>
      </c>
      <c r="B259" s="520" t="s">
        <v>2319</v>
      </c>
      <c r="C259" s="464" t="s">
        <v>2320</v>
      </c>
      <c r="D259" s="221">
        <v>108</v>
      </c>
      <c r="E259" s="222"/>
      <c r="F259" s="222"/>
      <c r="G259" s="222"/>
      <c r="H259" s="222"/>
      <c r="I259" s="222"/>
      <c r="J259" s="222"/>
      <c r="K259" s="222">
        <v>97.3</v>
      </c>
      <c r="L259" s="222"/>
      <c r="M259" s="222"/>
      <c r="N259" s="222"/>
      <c r="O259" s="222"/>
      <c r="P259" s="222"/>
      <c r="Q259" s="249">
        <f t="shared" si="16"/>
        <v>97.3</v>
      </c>
      <c r="R259" s="153" t="str">
        <f t="shared" si="15"/>
        <v>NO</v>
      </c>
      <c r="S259" s="223" t="str">
        <f t="shared" si="13"/>
        <v>Inviable Sanitariamente</v>
      </c>
      <c r="T259" s="16"/>
    </row>
    <row r="260" spans="1:20" ht="32.1" customHeight="1" x14ac:dyDescent="0.2">
      <c r="A260" s="209" t="s">
        <v>171</v>
      </c>
      <c r="B260" s="520" t="s">
        <v>2321</v>
      </c>
      <c r="C260" s="464" t="s">
        <v>2322</v>
      </c>
      <c r="D260" s="229">
        <v>77</v>
      </c>
      <c r="E260" s="222"/>
      <c r="F260" s="222"/>
      <c r="G260" s="222"/>
      <c r="H260" s="222"/>
      <c r="I260" s="222"/>
      <c r="J260" s="222"/>
      <c r="K260" s="222">
        <v>97.3</v>
      </c>
      <c r="L260" s="222"/>
      <c r="M260" s="222"/>
      <c r="N260" s="222"/>
      <c r="O260" s="222"/>
      <c r="P260" s="222"/>
      <c r="Q260" s="249">
        <f t="shared" si="16"/>
        <v>97.3</v>
      </c>
      <c r="R260" s="153" t="str">
        <f t="shared" si="15"/>
        <v>NO</v>
      </c>
      <c r="S260" s="223" t="str">
        <f t="shared" si="13"/>
        <v>Inviable Sanitariamente</v>
      </c>
      <c r="T260" s="16"/>
    </row>
    <row r="261" spans="1:20" ht="32.1" customHeight="1" x14ac:dyDescent="0.2">
      <c r="A261" s="209" t="s">
        <v>171</v>
      </c>
      <c r="B261" s="520" t="s">
        <v>2323</v>
      </c>
      <c r="C261" s="464" t="s">
        <v>2324</v>
      </c>
      <c r="D261" s="221">
        <v>98</v>
      </c>
      <c r="E261" s="222"/>
      <c r="F261" s="222"/>
      <c r="G261" s="222"/>
      <c r="H261" s="222"/>
      <c r="I261" s="222"/>
      <c r="J261" s="222"/>
      <c r="K261" s="222">
        <v>97.3</v>
      </c>
      <c r="L261" s="222"/>
      <c r="M261" s="222"/>
      <c r="N261" s="222"/>
      <c r="O261" s="222"/>
      <c r="P261" s="222"/>
      <c r="Q261" s="249">
        <f t="shared" si="16"/>
        <v>97.3</v>
      </c>
      <c r="R261" s="153" t="str">
        <f t="shared" si="15"/>
        <v>NO</v>
      </c>
      <c r="S261" s="223" t="str">
        <f t="shared" si="13"/>
        <v>Inviable Sanitariamente</v>
      </c>
      <c r="T261" s="16"/>
    </row>
    <row r="262" spans="1:20" ht="32.1" customHeight="1" x14ac:dyDescent="0.2">
      <c r="A262" s="209" t="s">
        <v>171</v>
      </c>
      <c r="B262" s="520" t="s">
        <v>2325</v>
      </c>
      <c r="C262" s="464" t="s">
        <v>2326</v>
      </c>
      <c r="D262" s="221">
        <v>218</v>
      </c>
      <c r="E262" s="222"/>
      <c r="F262" s="222"/>
      <c r="G262" s="222"/>
      <c r="H262" s="222"/>
      <c r="I262" s="222"/>
      <c r="J262" s="222"/>
      <c r="K262" s="222">
        <v>97.3</v>
      </c>
      <c r="L262" s="222"/>
      <c r="M262" s="222"/>
      <c r="N262" s="222"/>
      <c r="O262" s="222"/>
      <c r="P262" s="222"/>
      <c r="Q262" s="249">
        <f t="shared" si="16"/>
        <v>97.3</v>
      </c>
      <c r="R262" s="153" t="str">
        <f t="shared" si="15"/>
        <v>NO</v>
      </c>
      <c r="S262" s="223" t="str">
        <f t="shared" ref="S262:S325" si="17">IF(Q262&lt;5,"Sin Riesgo",IF(Q262 &lt;=14,"Bajo",IF(Q262&lt;=35,"Medio",IF(Q262&lt;=80,"Alto","Inviable Sanitariamente"))))</f>
        <v>Inviable Sanitariamente</v>
      </c>
      <c r="T262" s="16"/>
    </row>
    <row r="263" spans="1:20" ht="32.1" customHeight="1" x14ac:dyDescent="0.2">
      <c r="A263" s="209" t="s">
        <v>171</v>
      </c>
      <c r="B263" s="520" t="s">
        <v>2327</v>
      </c>
      <c r="C263" s="464" t="s">
        <v>2328</v>
      </c>
      <c r="D263" s="229">
        <v>90</v>
      </c>
      <c r="E263" s="222"/>
      <c r="F263" s="222"/>
      <c r="G263" s="222"/>
      <c r="H263" s="222"/>
      <c r="I263" s="222"/>
      <c r="J263" s="222"/>
      <c r="K263" s="222">
        <v>97.3</v>
      </c>
      <c r="L263" s="222"/>
      <c r="M263" s="222"/>
      <c r="N263" s="222"/>
      <c r="O263" s="222"/>
      <c r="P263" s="222"/>
      <c r="Q263" s="249">
        <f t="shared" si="16"/>
        <v>97.3</v>
      </c>
      <c r="R263" s="153" t="str">
        <f t="shared" si="15"/>
        <v>NO</v>
      </c>
      <c r="S263" s="223" t="str">
        <f t="shared" si="17"/>
        <v>Inviable Sanitariamente</v>
      </c>
      <c r="T263" s="20"/>
    </row>
    <row r="264" spans="1:20" ht="32.1" customHeight="1" x14ac:dyDescent="0.2">
      <c r="A264" s="209" t="s">
        <v>171</v>
      </c>
      <c r="B264" s="520" t="s">
        <v>2329</v>
      </c>
      <c r="C264" s="464" t="s">
        <v>2330</v>
      </c>
      <c r="D264" s="221">
        <v>101</v>
      </c>
      <c r="E264" s="222"/>
      <c r="F264" s="222"/>
      <c r="G264" s="222"/>
      <c r="H264" s="222"/>
      <c r="I264" s="222"/>
      <c r="J264" s="222"/>
      <c r="K264" s="222">
        <v>97.3</v>
      </c>
      <c r="L264" s="222"/>
      <c r="M264" s="222"/>
      <c r="N264" s="222"/>
      <c r="O264" s="222"/>
      <c r="P264" s="222"/>
      <c r="Q264" s="249">
        <f t="shared" si="16"/>
        <v>97.3</v>
      </c>
      <c r="R264" s="153" t="str">
        <f t="shared" si="15"/>
        <v>NO</v>
      </c>
      <c r="S264" s="223" t="str">
        <f t="shared" si="17"/>
        <v>Inviable Sanitariamente</v>
      </c>
      <c r="T264" s="20"/>
    </row>
    <row r="265" spans="1:20" ht="32.1" customHeight="1" x14ac:dyDescent="0.2">
      <c r="A265" s="209" t="s">
        <v>171</v>
      </c>
      <c r="B265" s="520" t="s">
        <v>2331</v>
      </c>
      <c r="C265" s="469" t="s">
        <v>2332</v>
      </c>
      <c r="D265" s="221">
        <v>95</v>
      </c>
      <c r="E265" s="222"/>
      <c r="F265" s="222"/>
      <c r="G265" s="222"/>
      <c r="H265" s="222"/>
      <c r="I265" s="222"/>
      <c r="J265" s="222"/>
      <c r="K265" s="222">
        <v>97.3</v>
      </c>
      <c r="L265" s="222"/>
      <c r="M265" s="222"/>
      <c r="N265" s="222"/>
      <c r="O265" s="222"/>
      <c r="P265" s="222"/>
      <c r="Q265" s="249">
        <f t="shared" si="16"/>
        <v>97.3</v>
      </c>
      <c r="R265" s="153" t="str">
        <f t="shared" si="15"/>
        <v>NO</v>
      </c>
      <c r="S265" s="223" t="str">
        <f t="shared" si="17"/>
        <v>Inviable Sanitariamente</v>
      </c>
      <c r="T265" s="16"/>
    </row>
    <row r="266" spans="1:20" ht="32.1" customHeight="1" x14ac:dyDescent="0.2">
      <c r="A266" s="209" t="s">
        <v>171</v>
      </c>
      <c r="B266" s="520" t="s">
        <v>2333</v>
      </c>
      <c r="C266" s="464" t="s">
        <v>2334</v>
      </c>
      <c r="D266" s="221">
        <v>131</v>
      </c>
      <c r="E266" s="222"/>
      <c r="F266" s="222"/>
      <c r="G266" s="222"/>
      <c r="H266" s="222"/>
      <c r="I266" s="222"/>
      <c r="J266" s="222"/>
      <c r="K266" s="222"/>
      <c r="L266" s="222">
        <v>97.34</v>
      </c>
      <c r="M266" s="222"/>
      <c r="N266" s="222"/>
      <c r="O266" s="222"/>
      <c r="P266" s="222"/>
      <c r="Q266" s="249">
        <f t="shared" si="16"/>
        <v>97.34</v>
      </c>
      <c r="R266" s="153" t="str">
        <f t="shared" si="15"/>
        <v>NO</v>
      </c>
      <c r="S266" s="223" t="str">
        <f t="shared" si="17"/>
        <v>Inviable Sanitariamente</v>
      </c>
      <c r="T266" s="16"/>
    </row>
    <row r="267" spans="1:20" ht="32.1" customHeight="1" x14ac:dyDescent="0.2">
      <c r="A267" s="209" t="s">
        <v>171</v>
      </c>
      <c r="B267" s="520" t="s">
        <v>2335</v>
      </c>
      <c r="C267" s="464" t="s">
        <v>2336</v>
      </c>
      <c r="D267" s="221">
        <v>40</v>
      </c>
      <c r="E267" s="222"/>
      <c r="F267" s="222"/>
      <c r="G267" s="222"/>
      <c r="H267" s="222"/>
      <c r="I267" s="222"/>
      <c r="J267" s="222"/>
      <c r="K267" s="222"/>
      <c r="L267" s="222">
        <v>97.34</v>
      </c>
      <c r="M267" s="222"/>
      <c r="N267" s="222"/>
      <c r="O267" s="222"/>
      <c r="P267" s="222"/>
      <c r="Q267" s="249">
        <f t="shared" si="16"/>
        <v>97.34</v>
      </c>
      <c r="R267" s="153" t="str">
        <f t="shared" si="15"/>
        <v>NO</v>
      </c>
      <c r="S267" s="223" t="str">
        <f t="shared" si="17"/>
        <v>Inviable Sanitariamente</v>
      </c>
      <c r="T267" s="16"/>
    </row>
    <row r="268" spans="1:20" ht="32.1" customHeight="1" x14ac:dyDescent="0.2">
      <c r="A268" s="209" t="s">
        <v>171</v>
      </c>
      <c r="B268" s="520" t="s">
        <v>2337</v>
      </c>
      <c r="C268" s="464" t="s">
        <v>2338</v>
      </c>
      <c r="D268" s="221">
        <v>38</v>
      </c>
      <c r="E268" s="222"/>
      <c r="F268" s="222"/>
      <c r="G268" s="222"/>
      <c r="H268" s="222"/>
      <c r="I268" s="222"/>
      <c r="J268" s="222"/>
      <c r="K268" s="222"/>
      <c r="L268" s="222">
        <v>97.34</v>
      </c>
      <c r="M268" s="222"/>
      <c r="N268" s="222"/>
      <c r="O268" s="222"/>
      <c r="P268" s="222"/>
      <c r="Q268" s="249">
        <f t="shared" si="16"/>
        <v>97.34</v>
      </c>
      <c r="R268" s="153" t="str">
        <f t="shared" si="15"/>
        <v>NO</v>
      </c>
      <c r="S268" s="223" t="str">
        <f t="shared" si="17"/>
        <v>Inviable Sanitariamente</v>
      </c>
      <c r="T268" s="16"/>
    </row>
    <row r="269" spans="1:20" ht="32.1" customHeight="1" x14ac:dyDescent="0.2">
      <c r="A269" s="209" t="s">
        <v>171</v>
      </c>
      <c r="B269" s="520" t="s">
        <v>62</v>
      </c>
      <c r="C269" s="464" t="s">
        <v>2339</v>
      </c>
      <c r="D269" s="221">
        <v>19</v>
      </c>
      <c r="E269" s="222"/>
      <c r="F269" s="222"/>
      <c r="G269" s="222"/>
      <c r="H269" s="222"/>
      <c r="I269" s="222"/>
      <c r="J269" s="222"/>
      <c r="K269" s="222"/>
      <c r="L269" s="222">
        <v>97.34</v>
      </c>
      <c r="M269" s="222"/>
      <c r="N269" s="222"/>
      <c r="O269" s="222"/>
      <c r="P269" s="222"/>
      <c r="Q269" s="249">
        <f t="shared" si="16"/>
        <v>97.34</v>
      </c>
      <c r="R269" s="153" t="str">
        <f t="shared" si="15"/>
        <v>NO</v>
      </c>
      <c r="S269" s="223" t="str">
        <f t="shared" si="17"/>
        <v>Inviable Sanitariamente</v>
      </c>
      <c r="T269" s="16"/>
    </row>
    <row r="270" spans="1:20" ht="32.1" customHeight="1" x14ac:dyDescent="0.2">
      <c r="A270" s="209" t="s">
        <v>171</v>
      </c>
      <c r="B270" s="520" t="s">
        <v>2340</v>
      </c>
      <c r="C270" s="464" t="s">
        <v>2341</v>
      </c>
      <c r="D270" s="221">
        <v>115</v>
      </c>
      <c r="E270" s="222"/>
      <c r="F270" s="222"/>
      <c r="G270" s="222"/>
      <c r="H270" s="222"/>
      <c r="I270" s="222"/>
      <c r="J270" s="222"/>
      <c r="K270" s="222"/>
      <c r="L270" s="222">
        <v>97.34</v>
      </c>
      <c r="M270" s="222"/>
      <c r="N270" s="222"/>
      <c r="O270" s="222"/>
      <c r="P270" s="222"/>
      <c r="Q270" s="249">
        <f t="shared" si="16"/>
        <v>97.34</v>
      </c>
      <c r="R270" s="153" t="str">
        <f t="shared" si="15"/>
        <v>NO</v>
      </c>
      <c r="S270" s="223" t="str">
        <f t="shared" si="17"/>
        <v>Inviable Sanitariamente</v>
      </c>
      <c r="T270" s="16"/>
    </row>
    <row r="271" spans="1:20" ht="32.1" customHeight="1" x14ac:dyDescent="0.2">
      <c r="A271" s="209" t="s">
        <v>171</v>
      </c>
      <c r="B271" s="520" t="s">
        <v>2342</v>
      </c>
      <c r="C271" s="464" t="s">
        <v>2343</v>
      </c>
      <c r="D271" s="221">
        <v>42</v>
      </c>
      <c r="E271" s="222"/>
      <c r="F271" s="222"/>
      <c r="G271" s="222"/>
      <c r="H271" s="222"/>
      <c r="I271" s="222"/>
      <c r="J271" s="222"/>
      <c r="K271" s="222"/>
      <c r="L271" s="222">
        <v>97.34</v>
      </c>
      <c r="M271" s="222"/>
      <c r="N271" s="222"/>
      <c r="O271" s="222"/>
      <c r="P271" s="222"/>
      <c r="Q271" s="249">
        <f t="shared" si="16"/>
        <v>97.34</v>
      </c>
      <c r="R271" s="153" t="str">
        <f t="shared" si="15"/>
        <v>NO</v>
      </c>
      <c r="S271" s="223" t="str">
        <f t="shared" si="17"/>
        <v>Inviable Sanitariamente</v>
      </c>
      <c r="T271" s="16"/>
    </row>
    <row r="272" spans="1:20" ht="32.1" customHeight="1" x14ac:dyDescent="0.2">
      <c r="A272" s="209" t="s">
        <v>171</v>
      </c>
      <c r="B272" s="520" t="s">
        <v>2344</v>
      </c>
      <c r="C272" s="464" t="s">
        <v>2345</v>
      </c>
      <c r="D272" s="221">
        <v>42</v>
      </c>
      <c r="E272" s="222"/>
      <c r="F272" s="222"/>
      <c r="G272" s="222"/>
      <c r="H272" s="222"/>
      <c r="I272" s="222"/>
      <c r="J272" s="222"/>
      <c r="K272" s="222"/>
      <c r="L272" s="222">
        <v>97.34</v>
      </c>
      <c r="M272" s="222"/>
      <c r="N272" s="222"/>
      <c r="O272" s="222"/>
      <c r="P272" s="222"/>
      <c r="Q272" s="249">
        <f t="shared" si="16"/>
        <v>97.34</v>
      </c>
      <c r="R272" s="153" t="str">
        <f t="shared" si="15"/>
        <v>NO</v>
      </c>
      <c r="S272" s="223" t="str">
        <f t="shared" si="17"/>
        <v>Inviable Sanitariamente</v>
      </c>
      <c r="T272" s="16"/>
    </row>
    <row r="273" spans="1:20" ht="32.1" customHeight="1" x14ac:dyDescent="0.2">
      <c r="A273" s="209" t="s">
        <v>172</v>
      </c>
      <c r="B273" s="520" t="s">
        <v>2346</v>
      </c>
      <c r="C273" s="464" t="s">
        <v>2347</v>
      </c>
      <c r="D273" s="221">
        <v>80</v>
      </c>
      <c r="E273" s="222"/>
      <c r="F273" s="222"/>
      <c r="G273" s="222"/>
      <c r="H273" s="222"/>
      <c r="I273" s="222"/>
      <c r="J273" s="222"/>
      <c r="K273" s="222">
        <v>53.1</v>
      </c>
      <c r="L273" s="222"/>
      <c r="M273" s="222"/>
      <c r="N273" s="222"/>
      <c r="O273" s="222"/>
      <c r="P273" s="222"/>
      <c r="Q273" s="249">
        <f t="shared" si="16"/>
        <v>53.1</v>
      </c>
      <c r="R273" s="153" t="str">
        <f t="shared" si="15"/>
        <v>NO</v>
      </c>
      <c r="S273" s="223" t="str">
        <f t="shared" si="17"/>
        <v>Alto</v>
      </c>
      <c r="T273" s="16"/>
    </row>
    <row r="274" spans="1:20" ht="32.1" customHeight="1" x14ac:dyDescent="0.2">
      <c r="A274" s="209" t="s">
        <v>172</v>
      </c>
      <c r="B274" s="520" t="s">
        <v>2348</v>
      </c>
      <c r="C274" s="464" t="s">
        <v>2349</v>
      </c>
      <c r="D274" s="221">
        <v>40</v>
      </c>
      <c r="E274" s="222"/>
      <c r="F274" s="222"/>
      <c r="G274" s="222"/>
      <c r="H274" s="222"/>
      <c r="I274" s="222"/>
      <c r="J274" s="222"/>
      <c r="K274" s="222">
        <v>97.3</v>
      </c>
      <c r="L274" s="222"/>
      <c r="M274" s="222"/>
      <c r="N274" s="222"/>
      <c r="O274" s="222"/>
      <c r="P274" s="222"/>
      <c r="Q274" s="249">
        <f t="shared" si="16"/>
        <v>97.3</v>
      </c>
      <c r="R274" s="153" t="str">
        <f t="shared" si="15"/>
        <v>NO</v>
      </c>
      <c r="S274" s="223" t="str">
        <f t="shared" si="17"/>
        <v>Inviable Sanitariamente</v>
      </c>
      <c r="T274" s="16"/>
    </row>
    <row r="275" spans="1:20" ht="32.1" customHeight="1" x14ac:dyDescent="0.2">
      <c r="A275" s="209" t="s">
        <v>172</v>
      </c>
      <c r="B275" s="520" t="s">
        <v>2350</v>
      </c>
      <c r="C275" s="464" t="s">
        <v>2351</v>
      </c>
      <c r="D275" s="221">
        <v>26</v>
      </c>
      <c r="E275" s="222"/>
      <c r="F275" s="222"/>
      <c r="G275" s="222"/>
      <c r="H275" s="222"/>
      <c r="I275" s="222"/>
      <c r="J275" s="222">
        <v>0</v>
      </c>
      <c r="K275" s="222"/>
      <c r="L275" s="222"/>
      <c r="M275" s="222"/>
      <c r="N275" s="222"/>
      <c r="O275" s="222"/>
      <c r="P275" s="222"/>
      <c r="Q275" s="249">
        <f t="shared" si="16"/>
        <v>0</v>
      </c>
      <c r="R275" s="153" t="str">
        <f t="shared" si="15"/>
        <v>SI</v>
      </c>
      <c r="S275" s="223" t="str">
        <f t="shared" si="17"/>
        <v>Sin Riesgo</v>
      </c>
      <c r="T275" s="16"/>
    </row>
    <row r="276" spans="1:20" ht="32.1" customHeight="1" x14ac:dyDescent="0.2">
      <c r="A276" s="209" t="s">
        <v>172</v>
      </c>
      <c r="B276" s="520" t="s">
        <v>1912</v>
      </c>
      <c r="C276" s="464" t="s">
        <v>2352</v>
      </c>
      <c r="D276" s="221">
        <v>57</v>
      </c>
      <c r="E276" s="222"/>
      <c r="F276" s="222"/>
      <c r="G276" s="222"/>
      <c r="H276" s="222"/>
      <c r="I276" s="222"/>
      <c r="J276" s="222">
        <v>97.3</v>
      </c>
      <c r="K276" s="222"/>
      <c r="L276" s="222"/>
      <c r="M276" s="222"/>
      <c r="N276" s="222"/>
      <c r="O276" s="222"/>
      <c r="P276" s="222"/>
      <c r="Q276" s="249">
        <f t="shared" si="16"/>
        <v>97.3</v>
      </c>
      <c r="R276" s="153" t="str">
        <f t="shared" si="15"/>
        <v>NO</v>
      </c>
      <c r="S276" s="223" t="str">
        <f t="shared" si="17"/>
        <v>Inviable Sanitariamente</v>
      </c>
      <c r="T276" s="16"/>
    </row>
    <row r="277" spans="1:20" ht="32.1" customHeight="1" x14ac:dyDescent="0.2">
      <c r="A277" s="209" t="s">
        <v>172</v>
      </c>
      <c r="B277" s="520" t="s">
        <v>2353</v>
      </c>
      <c r="C277" s="464" t="s">
        <v>2354</v>
      </c>
      <c r="D277" s="221">
        <v>60</v>
      </c>
      <c r="E277" s="222"/>
      <c r="F277" s="222"/>
      <c r="G277" s="222"/>
      <c r="H277" s="222">
        <v>53.1</v>
      </c>
      <c r="I277" s="222"/>
      <c r="J277" s="222">
        <v>97.3</v>
      </c>
      <c r="K277" s="222"/>
      <c r="L277" s="222"/>
      <c r="M277" s="222"/>
      <c r="N277" s="222"/>
      <c r="O277" s="222"/>
      <c r="P277" s="222"/>
      <c r="Q277" s="249">
        <f t="shared" si="16"/>
        <v>75.2</v>
      </c>
      <c r="R277" s="153" t="str">
        <f t="shared" si="15"/>
        <v>NO</v>
      </c>
      <c r="S277" s="223" t="str">
        <f t="shared" si="17"/>
        <v>Alto</v>
      </c>
      <c r="T277" s="16"/>
    </row>
    <row r="278" spans="1:20" ht="32.1" customHeight="1" x14ac:dyDescent="0.2">
      <c r="A278" s="209" t="s">
        <v>172</v>
      </c>
      <c r="B278" s="520" t="s">
        <v>2355</v>
      </c>
      <c r="C278" s="464" t="s">
        <v>2356</v>
      </c>
      <c r="D278" s="221">
        <v>22</v>
      </c>
      <c r="E278" s="222"/>
      <c r="F278" s="222"/>
      <c r="G278" s="222"/>
      <c r="H278" s="222"/>
      <c r="I278" s="222"/>
      <c r="J278" s="222">
        <v>97.3</v>
      </c>
      <c r="K278" s="222"/>
      <c r="L278" s="222"/>
      <c r="M278" s="222"/>
      <c r="N278" s="222"/>
      <c r="O278" s="222"/>
      <c r="P278" s="222"/>
      <c r="Q278" s="249">
        <f t="shared" si="16"/>
        <v>97.3</v>
      </c>
      <c r="R278" s="153" t="str">
        <f t="shared" si="15"/>
        <v>NO</v>
      </c>
      <c r="S278" s="223" t="str">
        <f t="shared" si="17"/>
        <v>Inviable Sanitariamente</v>
      </c>
      <c r="T278" s="16"/>
    </row>
    <row r="279" spans="1:20" ht="32.1" customHeight="1" x14ac:dyDescent="0.2">
      <c r="A279" s="209" t="s">
        <v>172</v>
      </c>
      <c r="B279" s="520" t="s">
        <v>2357</v>
      </c>
      <c r="C279" s="464" t="s">
        <v>2358</v>
      </c>
      <c r="D279" s="221">
        <v>70</v>
      </c>
      <c r="E279" s="222"/>
      <c r="F279" s="222">
        <v>97.3</v>
      </c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49">
        <f t="shared" si="16"/>
        <v>97.3</v>
      </c>
      <c r="R279" s="153" t="str">
        <f t="shared" si="15"/>
        <v>NO</v>
      </c>
      <c r="S279" s="223" t="str">
        <f t="shared" si="17"/>
        <v>Inviable Sanitariamente</v>
      </c>
      <c r="T279" s="16"/>
    </row>
    <row r="280" spans="1:20" ht="32.1" customHeight="1" x14ac:dyDescent="0.2">
      <c r="A280" s="209" t="s">
        <v>172</v>
      </c>
      <c r="B280" s="520" t="s">
        <v>2359</v>
      </c>
      <c r="C280" s="464" t="s">
        <v>2360</v>
      </c>
      <c r="D280" s="229">
        <v>84</v>
      </c>
      <c r="E280" s="222"/>
      <c r="F280" s="222"/>
      <c r="G280" s="222"/>
      <c r="H280" s="222"/>
      <c r="I280" s="222"/>
      <c r="J280" s="222">
        <v>97.3</v>
      </c>
      <c r="K280" s="222"/>
      <c r="L280" s="222"/>
      <c r="M280" s="222"/>
      <c r="N280" s="222"/>
      <c r="O280" s="222"/>
      <c r="P280" s="222"/>
      <c r="Q280" s="249">
        <f t="shared" si="16"/>
        <v>97.3</v>
      </c>
      <c r="R280" s="153" t="str">
        <f t="shared" si="15"/>
        <v>NO</v>
      </c>
      <c r="S280" s="223" t="str">
        <f t="shared" si="17"/>
        <v>Inviable Sanitariamente</v>
      </c>
      <c r="T280" s="16"/>
    </row>
    <row r="281" spans="1:20" ht="32.1" customHeight="1" x14ac:dyDescent="0.2">
      <c r="A281" s="209" t="s">
        <v>172</v>
      </c>
      <c r="B281" s="520" t="s">
        <v>708</v>
      </c>
      <c r="C281" s="464" t="s">
        <v>2361</v>
      </c>
      <c r="D281" s="221">
        <v>24</v>
      </c>
      <c r="E281" s="222"/>
      <c r="F281" s="222"/>
      <c r="G281" s="222"/>
      <c r="H281" s="222"/>
      <c r="I281" s="222">
        <v>97.3</v>
      </c>
      <c r="J281" s="222"/>
      <c r="K281" s="222"/>
      <c r="L281" s="222"/>
      <c r="M281" s="222"/>
      <c r="N281" s="222"/>
      <c r="O281" s="222"/>
      <c r="P281" s="222"/>
      <c r="Q281" s="249">
        <f t="shared" si="16"/>
        <v>97.3</v>
      </c>
      <c r="R281" s="153" t="str">
        <f t="shared" si="15"/>
        <v>NO</v>
      </c>
      <c r="S281" s="223" t="str">
        <f t="shared" si="17"/>
        <v>Inviable Sanitariamente</v>
      </c>
      <c r="T281" s="16"/>
    </row>
    <row r="282" spans="1:20" ht="32.1" customHeight="1" x14ac:dyDescent="0.2">
      <c r="A282" s="209" t="s">
        <v>172</v>
      </c>
      <c r="B282" s="520" t="s">
        <v>2362</v>
      </c>
      <c r="C282" s="464" t="s">
        <v>2363</v>
      </c>
      <c r="D282" s="221">
        <v>48</v>
      </c>
      <c r="E282" s="222"/>
      <c r="F282" s="222"/>
      <c r="G282" s="222"/>
      <c r="H282" s="222"/>
      <c r="I282" s="222"/>
      <c r="J282" s="222">
        <v>53.1</v>
      </c>
      <c r="K282" s="222"/>
      <c r="L282" s="222"/>
      <c r="M282" s="222"/>
      <c r="N282" s="222"/>
      <c r="O282" s="222"/>
      <c r="P282" s="222"/>
      <c r="Q282" s="249">
        <f t="shared" si="16"/>
        <v>53.1</v>
      </c>
      <c r="R282" s="153" t="str">
        <f t="shared" si="15"/>
        <v>NO</v>
      </c>
      <c r="S282" s="223" t="str">
        <f t="shared" si="17"/>
        <v>Alto</v>
      </c>
      <c r="T282" s="16"/>
    </row>
    <row r="283" spans="1:20" ht="32.1" customHeight="1" x14ac:dyDescent="0.2">
      <c r="A283" s="209" t="s">
        <v>172</v>
      </c>
      <c r="B283" s="520" t="s">
        <v>2364</v>
      </c>
      <c r="C283" s="464" t="s">
        <v>2365</v>
      </c>
      <c r="D283" s="229">
        <v>61</v>
      </c>
      <c r="E283" s="222"/>
      <c r="F283" s="222"/>
      <c r="G283" s="222"/>
      <c r="H283" s="222"/>
      <c r="I283" s="222"/>
      <c r="J283" s="222">
        <v>97.3</v>
      </c>
      <c r="K283" s="222"/>
      <c r="L283" s="222"/>
      <c r="M283" s="222"/>
      <c r="N283" s="222"/>
      <c r="O283" s="222"/>
      <c r="P283" s="222"/>
      <c r="Q283" s="249">
        <f t="shared" si="16"/>
        <v>97.3</v>
      </c>
      <c r="R283" s="153" t="str">
        <f t="shared" si="15"/>
        <v>NO</v>
      </c>
      <c r="S283" s="223" t="str">
        <f t="shared" si="17"/>
        <v>Inviable Sanitariamente</v>
      </c>
      <c r="T283" s="16"/>
    </row>
    <row r="284" spans="1:20" ht="32.1" customHeight="1" x14ac:dyDescent="0.2">
      <c r="A284" s="209" t="s">
        <v>172</v>
      </c>
      <c r="B284" s="520" t="s">
        <v>2348</v>
      </c>
      <c r="C284" s="464" t="s">
        <v>2366</v>
      </c>
      <c r="D284" s="221">
        <v>75</v>
      </c>
      <c r="E284" s="222">
        <v>0</v>
      </c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49">
        <f t="shared" si="16"/>
        <v>0</v>
      </c>
      <c r="R284" s="153" t="str">
        <f t="shared" si="15"/>
        <v>SI</v>
      </c>
      <c r="S284" s="223" t="str">
        <f t="shared" si="17"/>
        <v>Sin Riesgo</v>
      </c>
      <c r="T284" s="16"/>
    </row>
    <row r="285" spans="1:20" ht="32.1" customHeight="1" x14ac:dyDescent="0.2">
      <c r="A285" s="209" t="s">
        <v>172</v>
      </c>
      <c r="B285" s="520" t="s">
        <v>1128</v>
      </c>
      <c r="C285" s="464" t="s">
        <v>2367</v>
      </c>
      <c r="D285" s="221">
        <v>15</v>
      </c>
      <c r="E285" s="222"/>
      <c r="F285" s="222"/>
      <c r="G285" s="222"/>
      <c r="H285" s="222"/>
      <c r="I285" s="222"/>
      <c r="J285" s="222"/>
      <c r="K285" s="222">
        <v>97.3</v>
      </c>
      <c r="L285" s="222"/>
      <c r="M285" s="222"/>
      <c r="N285" s="222"/>
      <c r="O285" s="222"/>
      <c r="P285" s="222"/>
      <c r="Q285" s="249">
        <f t="shared" si="16"/>
        <v>97.3</v>
      </c>
      <c r="R285" s="153" t="str">
        <f t="shared" si="15"/>
        <v>NO</v>
      </c>
      <c r="S285" s="223" t="str">
        <f t="shared" si="17"/>
        <v>Inviable Sanitariamente</v>
      </c>
      <c r="T285" s="16"/>
    </row>
    <row r="286" spans="1:20" ht="32.1" customHeight="1" x14ac:dyDescent="0.2">
      <c r="A286" s="209" t="s">
        <v>172</v>
      </c>
      <c r="B286" s="520" t="s">
        <v>1909</v>
      </c>
      <c r="C286" s="464" t="s">
        <v>2368</v>
      </c>
      <c r="D286" s="229">
        <v>20</v>
      </c>
      <c r="E286" s="222"/>
      <c r="F286" s="222"/>
      <c r="G286" s="222"/>
      <c r="H286" s="222"/>
      <c r="I286" s="222"/>
      <c r="J286" s="222"/>
      <c r="K286" s="222">
        <v>97.3</v>
      </c>
      <c r="L286" s="222"/>
      <c r="M286" s="222"/>
      <c r="N286" s="222"/>
      <c r="O286" s="222"/>
      <c r="P286" s="222"/>
      <c r="Q286" s="249">
        <f t="shared" si="16"/>
        <v>97.3</v>
      </c>
      <c r="R286" s="153" t="str">
        <f t="shared" si="15"/>
        <v>NO</v>
      </c>
      <c r="S286" s="223" t="str">
        <f t="shared" si="17"/>
        <v>Inviable Sanitariamente</v>
      </c>
      <c r="T286" s="16"/>
    </row>
    <row r="287" spans="1:20" ht="32.1" customHeight="1" x14ac:dyDescent="0.2">
      <c r="A287" s="209" t="s">
        <v>172</v>
      </c>
      <c r="B287" s="99" t="s">
        <v>272</v>
      </c>
      <c r="C287" s="469" t="s">
        <v>2369</v>
      </c>
      <c r="D287" s="221">
        <v>207</v>
      </c>
      <c r="E287" s="222"/>
      <c r="F287" s="222"/>
      <c r="G287" s="222"/>
      <c r="H287" s="222"/>
      <c r="I287" s="222"/>
      <c r="J287" s="222"/>
      <c r="K287" s="222">
        <v>97.3</v>
      </c>
      <c r="L287" s="222"/>
      <c r="M287" s="222"/>
      <c r="N287" s="222"/>
      <c r="O287" s="222"/>
      <c r="P287" s="222"/>
      <c r="Q287" s="249">
        <f t="shared" si="16"/>
        <v>97.3</v>
      </c>
      <c r="R287" s="153" t="str">
        <f t="shared" si="15"/>
        <v>NO</v>
      </c>
      <c r="S287" s="223" t="str">
        <f t="shared" si="17"/>
        <v>Inviable Sanitariamente</v>
      </c>
      <c r="T287" s="16"/>
    </row>
    <row r="288" spans="1:20" ht="32.1" customHeight="1" x14ac:dyDescent="0.2">
      <c r="A288" s="209" t="s">
        <v>172</v>
      </c>
      <c r="B288" s="520" t="s">
        <v>2370</v>
      </c>
      <c r="C288" s="464" t="s">
        <v>2371</v>
      </c>
      <c r="D288" s="221">
        <v>13</v>
      </c>
      <c r="E288" s="222"/>
      <c r="F288" s="222"/>
      <c r="G288" s="222"/>
      <c r="H288" s="222">
        <v>97.3</v>
      </c>
      <c r="I288" s="222"/>
      <c r="J288" s="222"/>
      <c r="K288" s="222">
        <v>97.3</v>
      </c>
      <c r="L288" s="222"/>
      <c r="M288" s="222"/>
      <c r="N288" s="222"/>
      <c r="O288" s="222"/>
      <c r="P288" s="222"/>
      <c r="Q288" s="249">
        <f t="shared" si="16"/>
        <v>97.3</v>
      </c>
      <c r="R288" s="153" t="str">
        <f t="shared" si="15"/>
        <v>NO</v>
      </c>
      <c r="S288" s="223" t="str">
        <f t="shared" si="17"/>
        <v>Inviable Sanitariamente</v>
      </c>
      <c r="T288" s="16"/>
    </row>
    <row r="289" spans="1:20" ht="32.1" customHeight="1" x14ac:dyDescent="0.2">
      <c r="A289" s="209" t="s">
        <v>172</v>
      </c>
      <c r="B289" s="520" t="s">
        <v>2372</v>
      </c>
      <c r="C289" s="464" t="s">
        <v>2373</v>
      </c>
      <c r="D289" s="221">
        <v>75</v>
      </c>
      <c r="E289" s="222">
        <v>97.3</v>
      </c>
      <c r="F289" s="222"/>
      <c r="G289" s="222"/>
      <c r="H289" s="222"/>
      <c r="I289" s="222"/>
      <c r="J289" s="222"/>
      <c r="K289" s="222">
        <v>97.3</v>
      </c>
      <c r="L289" s="222"/>
      <c r="M289" s="222"/>
      <c r="N289" s="222"/>
      <c r="O289" s="222"/>
      <c r="P289" s="222"/>
      <c r="Q289" s="249">
        <f t="shared" si="16"/>
        <v>97.3</v>
      </c>
      <c r="R289" s="153" t="str">
        <f t="shared" si="15"/>
        <v>NO</v>
      </c>
      <c r="S289" s="223" t="str">
        <f t="shared" si="17"/>
        <v>Inviable Sanitariamente</v>
      </c>
      <c r="T289" s="16"/>
    </row>
    <row r="290" spans="1:20" ht="32.1" customHeight="1" x14ac:dyDescent="0.2">
      <c r="A290" s="209" t="s">
        <v>172</v>
      </c>
      <c r="B290" s="520" t="s">
        <v>2374</v>
      </c>
      <c r="C290" s="464" t="s">
        <v>2375</v>
      </c>
      <c r="D290" s="221">
        <v>126</v>
      </c>
      <c r="E290" s="222"/>
      <c r="F290" s="222"/>
      <c r="G290" s="222">
        <v>0</v>
      </c>
      <c r="H290" s="222"/>
      <c r="I290" s="222"/>
      <c r="J290" s="222"/>
      <c r="K290" s="222">
        <v>26.55</v>
      </c>
      <c r="L290" s="222"/>
      <c r="M290" s="222"/>
      <c r="N290" s="222"/>
      <c r="O290" s="222"/>
      <c r="P290" s="222"/>
      <c r="Q290" s="249">
        <f t="shared" si="16"/>
        <v>13.275</v>
      </c>
      <c r="R290" s="153" t="str">
        <f t="shared" si="15"/>
        <v>NO</v>
      </c>
      <c r="S290" s="223" t="str">
        <f t="shared" si="17"/>
        <v>Bajo</v>
      </c>
      <c r="T290" s="16"/>
    </row>
    <row r="291" spans="1:20" ht="32.1" customHeight="1" x14ac:dyDescent="0.2">
      <c r="A291" s="209" t="s">
        <v>172</v>
      </c>
      <c r="B291" s="520" t="s">
        <v>1948</v>
      </c>
      <c r="C291" s="464" t="s">
        <v>2376</v>
      </c>
      <c r="D291" s="221">
        <v>15</v>
      </c>
      <c r="E291" s="222"/>
      <c r="F291" s="222"/>
      <c r="G291" s="222"/>
      <c r="H291" s="222"/>
      <c r="I291" s="222"/>
      <c r="J291" s="222"/>
      <c r="K291" s="222">
        <v>97.3</v>
      </c>
      <c r="L291" s="222"/>
      <c r="M291" s="222"/>
      <c r="N291" s="222"/>
      <c r="O291" s="222"/>
      <c r="P291" s="222"/>
      <c r="Q291" s="249">
        <f t="shared" si="16"/>
        <v>97.3</v>
      </c>
      <c r="R291" s="153" t="str">
        <f t="shared" si="15"/>
        <v>NO</v>
      </c>
      <c r="S291" s="223" t="str">
        <f t="shared" si="17"/>
        <v>Inviable Sanitariamente</v>
      </c>
      <c r="T291" s="16"/>
    </row>
    <row r="292" spans="1:20" ht="32.1" customHeight="1" x14ac:dyDescent="0.2">
      <c r="A292" s="209" t="s">
        <v>172</v>
      </c>
      <c r="B292" s="520" t="s">
        <v>2377</v>
      </c>
      <c r="C292" s="464" t="s">
        <v>2378</v>
      </c>
      <c r="D292" s="221">
        <v>53</v>
      </c>
      <c r="E292" s="222"/>
      <c r="F292" s="222"/>
      <c r="G292" s="222"/>
      <c r="H292" s="222"/>
      <c r="I292" s="222"/>
      <c r="J292" s="222"/>
      <c r="K292" s="222">
        <v>97.3</v>
      </c>
      <c r="L292" s="222"/>
      <c r="M292" s="222"/>
      <c r="N292" s="222"/>
      <c r="O292" s="222"/>
      <c r="P292" s="222"/>
      <c r="Q292" s="249">
        <f t="shared" si="16"/>
        <v>97.3</v>
      </c>
      <c r="R292" s="153" t="str">
        <f t="shared" si="15"/>
        <v>NO</v>
      </c>
      <c r="S292" s="223" t="str">
        <f t="shared" si="17"/>
        <v>Inviable Sanitariamente</v>
      </c>
      <c r="T292" s="16"/>
    </row>
    <row r="293" spans="1:20" ht="32.1" customHeight="1" x14ac:dyDescent="0.2">
      <c r="A293" s="209" t="s">
        <v>172</v>
      </c>
      <c r="B293" s="99" t="s">
        <v>2379</v>
      </c>
      <c r="C293" s="469" t="s">
        <v>2380</v>
      </c>
      <c r="D293" s="221">
        <v>49</v>
      </c>
      <c r="E293" s="222"/>
      <c r="F293" s="222"/>
      <c r="G293" s="222"/>
      <c r="H293" s="222"/>
      <c r="I293" s="222"/>
      <c r="J293" s="222">
        <v>26.6</v>
      </c>
      <c r="K293" s="222"/>
      <c r="L293" s="222"/>
      <c r="M293" s="222"/>
      <c r="N293" s="222"/>
      <c r="O293" s="222"/>
      <c r="P293" s="222"/>
      <c r="Q293" s="249">
        <f t="shared" si="16"/>
        <v>26.6</v>
      </c>
      <c r="R293" s="153" t="str">
        <f t="shared" si="15"/>
        <v>NO</v>
      </c>
      <c r="S293" s="223" t="str">
        <f t="shared" si="17"/>
        <v>Medio</v>
      </c>
      <c r="T293" s="16"/>
    </row>
    <row r="294" spans="1:20" ht="32.1" customHeight="1" x14ac:dyDescent="0.2">
      <c r="A294" s="209" t="s">
        <v>172</v>
      </c>
      <c r="B294" s="99" t="s">
        <v>60</v>
      </c>
      <c r="C294" s="469" t="s">
        <v>1109</v>
      </c>
      <c r="D294" s="221">
        <v>35</v>
      </c>
      <c r="E294" s="222"/>
      <c r="F294" s="222"/>
      <c r="G294" s="222"/>
      <c r="H294" s="222"/>
      <c r="I294" s="222"/>
      <c r="J294" s="222"/>
      <c r="K294" s="222">
        <v>97.3</v>
      </c>
      <c r="L294" s="222"/>
      <c r="M294" s="222"/>
      <c r="N294" s="222"/>
      <c r="O294" s="222"/>
      <c r="P294" s="222"/>
      <c r="Q294" s="249">
        <f t="shared" si="16"/>
        <v>97.3</v>
      </c>
      <c r="R294" s="153" t="str">
        <f t="shared" ref="R294:R357" si="18">IF(Q294&lt;5,"SI","NO")</f>
        <v>NO</v>
      </c>
      <c r="S294" s="223" t="str">
        <f t="shared" si="17"/>
        <v>Inviable Sanitariamente</v>
      </c>
      <c r="T294" s="16"/>
    </row>
    <row r="295" spans="1:20" ht="32.1" customHeight="1" x14ac:dyDescent="0.2">
      <c r="A295" s="209" t="s">
        <v>172</v>
      </c>
      <c r="B295" s="520" t="s">
        <v>2381</v>
      </c>
      <c r="C295" s="469" t="s">
        <v>2382</v>
      </c>
      <c r="D295" s="221">
        <v>40</v>
      </c>
      <c r="E295" s="222"/>
      <c r="F295" s="222"/>
      <c r="G295" s="222"/>
      <c r="H295" s="222"/>
      <c r="I295" s="222"/>
      <c r="J295" s="222"/>
      <c r="K295" s="222">
        <v>97.3</v>
      </c>
      <c r="L295" s="222"/>
      <c r="M295" s="222"/>
      <c r="N295" s="222"/>
      <c r="O295" s="222"/>
      <c r="P295" s="222"/>
      <c r="Q295" s="249">
        <f t="shared" ref="Q295:Q358" si="19">AVERAGE(E295:P295)</f>
        <v>97.3</v>
      </c>
      <c r="R295" s="153" t="str">
        <f t="shared" si="18"/>
        <v>NO</v>
      </c>
      <c r="S295" s="223" t="str">
        <f t="shared" si="17"/>
        <v>Inviable Sanitariamente</v>
      </c>
      <c r="T295" s="16"/>
    </row>
    <row r="296" spans="1:20" ht="32.1" customHeight="1" x14ac:dyDescent="0.2">
      <c r="A296" s="209" t="s">
        <v>172</v>
      </c>
      <c r="B296" s="520" t="s">
        <v>2383</v>
      </c>
      <c r="C296" s="464" t="s">
        <v>2384</v>
      </c>
      <c r="D296" s="221">
        <v>16</v>
      </c>
      <c r="E296" s="222"/>
      <c r="F296" s="222">
        <v>97.3</v>
      </c>
      <c r="G296" s="222"/>
      <c r="H296" s="222"/>
      <c r="I296" s="222"/>
      <c r="J296" s="222"/>
      <c r="K296" s="222">
        <v>97.3</v>
      </c>
      <c r="L296" s="222"/>
      <c r="M296" s="222"/>
      <c r="N296" s="222"/>
      <c r="O296" s="222"/>
      <c r="P296" s="222"/>
      <c r="Q296" s="249">
        <f t="shared" si="19"/>
        <v>97.3</v>
      </c>
      <c r="R296" s="153" t="str">
        <f t="shared" si="18"/>
        <v>NO</v>
      </c>
      <c r="S296" s="223" t="str">
        <f t="shared" si="17"/>
        <v>Inviable Sanitariamente</v>
      </c>
      <c r="T296" s="16"/>
    </row>
    <row r="297" spans="1:20" ht="32.1" customHeight="1" x14ac:dyDescent="0.2">
      <c r="A297" s="209" t="s">
        <v>172</v>
      </c>
      <c r="B297" s="523" t="s">
        <v>48</v>
      </c>
      <c r="C297" s="471" t="s">
        <v>4390</v>
      </c>
      <c r="D297" s="221">
        <v>10</v>
      </c>
      <c r="E297" s="222"/>
      <c r="F297" s="222"/>
      <c r="G297" s="222"/>
      <c r="H297" s="222"/>
      <c r="I297" s="222"/>
      <c r="J297" s="222"/>
      <c r="K297" s="222">
        <v>97.3</v>
      </c>
      <c r="L297" s="222"/>
      <c r="M297" s="222"/>
      <c r="N297" s="222"/>
      <c r="O297" s="222"/>
      <c r="P297" s="222"/>
      <c r="Q297" s="249">
        <f t="shared" si="19"/>
        <v>97.3</v>
      </c>
      <c r="R297" s="153" t="str">
        <f t="shared" si="18"/>
        <v>NO</v>
      </c>
      <c r="S297" s="223" t="str">
        <f t="shared" si="17"/>
        <v>Inviable Sanitariamente</v>
      </c>
      <c r="T297" s="16"/>
    </row>
    <row r="298" spans="1:20" ht="32.1" customHeight="1" x14ac:dyDescent="0.2">
      <c r="A298" s="209" t="s">
        <v>174</v>
      </c>
      <c r="B298" s="520" t="s">
        <v>2385</v>
      </c>
      <c r="C298" s="464" t="s">
        <v>2386</v>
      </c>
      <c r="D298" s="221">
        <v>50</v>
      </c>
      <c r="E298" s="222"/>
      <c r="F298" s="222"/>
      <c r="G298" s="222"/>
      <c r="H298" s="222"/>
      <c r="I298" s="222"/>
      <c r="J298" s="222"/>
      <c r="K298" s="222"/>
      <c r="L298" s="222">
        <v>97.35</v>
      </c>
      <c r="M298" s="222"/>
      <c r="N298" s="222"/>
      <c r="O298" s="222"/>
      <c r="P298" s="222"/>
      <c r="Q298" s="249">
        <f t="shared" si="19"/>
        <v>97.35</v>
      </c>
      <c r="R298" s="153" t="str">
        <f t="shared" si="18"/>
        <v>NO</v>
      </c>
      <c r="S298" s="223" t="str">
        <f t="shared" si="17"/>
        <v>Inviable Sanitariamente</v>
      </c>
      <c r="T298" s="16"/>
    </row>
    <row r="299" spans="1:20" ht="32.1" customHeight="1" x14ac:dyDescent="0.2">
      <c r="A299" s="209" t="s">
        <v>174</v>
      </c>
      <c r="B299" s="520" t="s">
        <v>2387</v>
      </c>
      <c r="C299" s="464" t="s">
        <v>2388</v>
      </c>
      <c r="D299" s="221">
        <v>44</v>
      </c>
      <c r="E299" s="222"/>
      <c r="F299" s="222"/>
      <c r="G299" s="222">
        <v>97.35</v>
      </c>
      <c r="H299" s="222"/>
      <c r="I299" s="222"/>
      <c r="J299" s="222"/>
      <c r="K299" s="222"/>
      <c r="L299" s="222"/>
      <c r="M299" s="222"/>
      <c r="N299" s="222"/>
      <c r="O299" s="222"/>
      <c r="P299" s="222"/>
      <c r="Q299" s="249">
        <f t="shared" si="19"/>
        <v>97.35</v>
      </c>
      <c r="R299" s="153" t="str">
        <f t="shared" si="18"/>
        <v>NO</v>
      </c>
      <c r="S299" s="223" t="str">
        <f t="shared" si="17"/>
        <v>Inviable Sanitariamente</v>
      </c>
      <c r="T299" s="16"/>
    </row>
    <row r="300" spans="1:20" ht="32.1" customHeight="1" x14ac:dyDescent="0.2">
      <c r="A300" s="209" t="s">
        <v>174</v>
      </c>
      <c r="B300" s="520" t="s">
        <v>2292</v>
      </c>
      <c r="C300" s="464" t="s">
        <v>2389</v>
      </c>
      <c r="D300" s="121">
        <v>14</v>
      </c>
      <c r="E300" s="222"/>
      <c r="F300" s="222"/>
      <c r="G300" s="222"/>
      <c r="H300" s="222"/>
      <c r="I300" s="222"/>
      <c r="J300" s="222"/>
      <c r="K300" s="222"/>
      <c r="L300" s="222">
        <v>97.35</v>
      </c>
      <c r="M300" s="222"/>
      <c r="N300" s="222"/>
      <c r="O300" s="222"/>
      <c r="P300" s="222"/>
      <c r="Q300" s="249">
        <f t="shared" si="19"/>
        <v>97.35</v>
      </c>
      <c r="R300" s="153" t="str">
        <f t="shared" si="18"/>
        <v>NO</v>
      </c>
      <c r="S300" s="223" t="str">
        <f t="shared" si="17"/>
        <v>Inviable Sanitariamente</v>
      </c>
      <c r="T300" s="16"/>
    </row>
    <row r="301" spans="1:20" ht="32.1" customHeight="1" x14ac:dyDescent="0.2">
      <c r="A301" s="209" t="s">
        <v>174</v>
      </c>
      <c r="B301" s="519" t="s">
        <v>632</v>
      </c>
      <c r="C301" s="464" t="s">
        <v>2390</v>
      </c>
      <c r="D301" s="121">
        <v>25</v>
      </c>
      <c r="E301" s="222"/>
      <c r="F301" s="222">
        <v>97.35</v>
      </c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49">
        <f t="shared" si="19"/>
        <v>97.35</v>
      </c>
      <c r="R301" s="153" t="str">
        <f t="shared" si="18"/>
        <v>NO</v>
      </c>
      <c r="S301" s="223" t="str">
        <f t="shared" si="17"/>
        <v>Inviable Sanitariamente</v>
      </c>
      <c r="T301" s="16"/>
    </row>
    <row r="302" spans="1:20" ht="32.1" customHeight="1" x14ac:dyDescent="0.2">
      <c r="A302" s="209" t="s">
        <v>174</v>
      </c>
      <c r="B302" s="520" t="s">
        <v>2391</v>
      </c>
      <c r="C302" s="464" t="s">
        <v>2392</v>
      </c>
      <c r="D302" s="221">
        <v>18</v>
      </c>
      <c r="E302" s="222">
        <v>97.35</v>
      </c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49">
        <f t="shared" si="19"/>
        <v>97.35</v>
      </c>
      <c r="R302" s="153" t="str">
        <f t="shared" si="18"/>
        <v>NO</v>
      </c>
      <c r="S302" s="223" t="str">
        <f t="shared" si="17"/>
        <v>Inviable Sanitariamente</v>
      </c>
      <c r="T302" s="16"/>
    </row>
    <row r="303" spans="1:20" ht="32.1" customHeight="1" x14ac:dyDescent="0.2">
      <c r="A303" s="209" t="s">
        <v>174</v>
      </c>
      <c r="B303" s="520" t="s">
        <v>2393</v>
      </c>
      <c r="C303" s="464" t="s">
        <v>2394</v>
      </c>
      <c r="D303" s="121">
        <v>43</v>
      </c>
      <c r="E303" s="222"/>
      <c r="F303" s="222"/>
      <c r="G303" s="222"/>
      <c r="H303" s="222"/>
      <c r="I303" s="222"/>
      <c r="J303" s="222">
        <v>97.35</v>
      </c>
      <c r="K303" s="222"/>
      <c r="L303" s="222"/>
      <c r="M303" s="222"/>
      <c r="N303" s="222"/>
      <c r="O303" s="222"/>
      <c r="P303" s="222"/>
      <c r="Q303" s="249">
        <f t="shared" si="19"/>
        <v>97.35</v>
      </c>
      <c r="R303" s="153" t="str">
        <f t="shared" si="18"/>
        <v>NO</v>
      </c>
      <c r="S303" s="223" t="str">
        <f t="shared" si="17"/>
        <v>Inviable Sanitariamente</v>
      </c>
      <c r="T303" s="16"/>
    </row>
    <row r="304" spans="1:20" ht="32.1" customHeight="1" x14ac:dyDescent="0.2">
      <c r="A304" s="209" t="s">
        <v>174</v>
      </c>
      <c r="B304" s="520" t="s">
        <v>10</v>
      </c>
      <c r="C304" s="464" t="s">
        <v>2395</v>
      </c>
      <c r="D304" s="121">
        <v>14</v>
      </c>
      <c r="E304" s="222"/>
      <c r="F304" s="222"/>
      <c r="G304" s="222"/>
      <c r="H304" s="222"/>
      <c r="I304" s="222"/>
      <c r="J304" s="222"/>
      <c r="K304" s="222">
        <v>97.35</v>
      </c>
      <c r="L304" s="222"/>
      <c r="M304" s="222"/>
      <c r="N304" s="222"/>
      <c r="O304" s="222"/>
      <c r="P304" s="222"/>
      <c r="Q304" s="249">
        <f t="shared" si="19"/>
        <v>97.35</v>
      </c>
      <c r="R304" s="153" t="str">
        <f t="shared" si="18"/>
        <v>NO</v>
      </c>
      <c r="S304" s="223" t="str">
        <f t="shared" si="17"/>
        <v>Inviable Sanitariamente</v>
      </c>
      <c r="T304" s="16"/>
    </row>
    <row r="305" spans="1:20" ht="32.1" customHeight="1" x14ac:dyDescent="0.2">
      <c r="A305" s="209" t="s">
        <v>174</v>
      </c>
      <c r="B305" s="520" t="s">
        <v>735</v>
      </c>
      <c r="C305" s="464" t="s">
        <v>2396</v>
      </c>
      <c r="D305" s="116">
        <v>35</v>
      </c>
      <c r="E305" s="222"/>
      <c r="F305" s="222"/>
      <c r="G305" s="222"/>
      <c r="H305" s="222"/>
      <c r="I305" s="222"/>
      <c r="J305" s="222"/>
      <c r="K305" s="222"/>
      <c r="L305" s="222"/>
      <c r="M305" s="222"/>
      <c r="N305" s="222">
        <v>97.35</v>
      </c>
      <c r="O305" s="222"/>
      <c r="P305" s="222"/>
      <c r="Q305" s="249">
        <f t="shared" si="19"/>
        <v>97.35</v>
      </c>
      <c r="R305" s="153" t="str">
        <f t="shared" si="18"/>
        <v>NO</v>
      </c>
      <c r="S305" s="223" t="str">
        <f t="shared" si="17"/>
        <v>Inviable Sanitariamente</v>
      </c>
      <c r="T305" s="16"/>
    </row>
    <row r="306" spans="1:20" ht="32.1" customHeight="1" x14ac:dyDescent="0.2">
      <c r="A306" s="209" t="s">
        <v>174</v>
      </c>
      <c r="B306" s="520" t="s">
        <v>2397</v>
      </c>
      <c r="C306" s="464" t="s">
        <v>2398</v>
      </c>
      <c r="D306" s="121">
        <v>11</v>
      </c>
      <c r="E306" s="222">
        <v>97.35</v>
      </c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49">
        <f t="shared" si="19"/>
        <v>97.35</v>
      </c>
      <c r="R306" s="153" t="str">
        <f t="shared" si="18"/>
        <v>NO</v>
      </c>
      <c r="S306" s="223" t="str">
        <f t="shared" si="17"/>
        <v>Inviable Sanitariamente</v>
      </c>
      <c r="T306" s="16"/>
    </row>
    <row r="307" spans="1:20" ht="32.1" customHeight="1" x14ac:dyDescent="0.2">
      <c r="A307" s="209" t="s">
        <v>174</v>
      </c>
      <c r="B307" s="520" t="s">
        <v>2399</v>
      </c>
      <c r="C307" s="464" t="s">
        <v>2400</v>
      </c>
      <c r="D307" s="121">
        <v>8</v>
      </c>
      <c r="E307" s="222"/>
      <c r="F307" s="222"/>
      <c r="G307" s="222"/>
      <c r="H307" s="222"/>
      <c r="I307" s="222"/>
      <c r="J307" s="222"/>
      <c r="K307" s="222"/>
      <c r="L307" s="222"/>
      <c r="M307" s="222"/>
      <c r="N307" s="222">
        <v>97.35</v>
      </c>
      <c r="O307" s="222"/>
      <c r="P307" s="222"/>
      <c r="Q307" s="249">
        <f t="shared" si="19"/>
        <v>97.35</v>
      </c>
      <c r="R307" s="153" t="str">
        <f t="shared" si="18"/>
        <v>NO</v>
      </c>
      <c r="S307" s="223" t="str">
        <f t="shared" si="17"/>
        <v>Inviable Sanitariamente</v>
      </c>
      <c r="T307" s="16"/>
    </row>
    <row r="308" spans="1:20" ht="32.1" customHeight="1" x14ac:dyDescent="0.2">
      <c r="A308" s="209" t="s">
        <v>174</v>
      </c>
      <c r="B308" s="520" t="s">
        <v>2401</v>
      </c>
      <c r="C308" s="464" t="s">
        <v>2402</v>
      </c>
      <c r="D308" s="116">
        <v>18</v>
      </c>
      <c r="E308" s="222"/>
      <c r="F308" s="222"/>
      <c r="G308" s="222"/>
      <c r="H308" s="222"/>
      <c r="I308" s="222"/>
      <c r="J308" s="222"/>
      <c r="K308" s="222"/>
      <c r="L308" s="222"/>
      <c r="M308" s="222"/>
      <c r="N308" s="222">
        <v>97.35</v>
      </c>
      <c r="O308" s="222"/>
      <c r="P308" s="222"/>
      <c r="Q308" s="249">
        <f t="shared" si="19"/>
        <v>97.35</v>
      </c>
      <c r="R308" s="153" t="str">
        <f t="shared" si="18"/>
        <v>NO</v>
      </c>
      <c r="S308" s="223" t="str">
        <f t="shared" si="17"/>
        <v>Inviable Sanitariamente</v>
      </c>
      <c r="T308" s="16"/>
    </row>
    <row r="309" spans="1:20" ht="32.1" customHeight="1" x14ac:dyDescent="0.2">
      <c r="A309" s="209" t="s">
        <v>174</v>
      </c>
      <c r="B309" s="520" t="s">
        <v>2403</v>
      </c>
      <c r="C309" s="464" t="s">
        <v>2404</v>
      </c>
      <c r="D309" s="221">
        <v>37</v>
      </c>
      <c r="E309" s="222"/>
      <c r="F309" s="222"/>
      <c r="G309" s="222"/>
      <c r="H309" s="222"/>
      <c r="I309" s="222">
        <v>97.35</v>
      </c>
      <c r="J309" s="222"/>
      <c r="K309" s="222"/>
      <c r="L309" s="222"/>
      <c r="M309" s="222"/>
      <c r="N309" s="222"/>
      <c r="O309" s="222"/>
      <c r="P309" s="222"/>
      <c r="Q309" s="249">
        <f t="shared" si="19"/>
        <v>97.35</v>
      </c>
      <c r="R309" s="153" t="str">
        <f t="shared" si="18"/>
        <v>NO</v>
      </c>
      <c r="S309" s="223" t="str">
        <f t="shared" si="17"/>
        <v>Inviable Sanitariamente</v>
      </c>
      <c r="T309" s="16"/>
    </row>
    <row r="310" spans="1:20" ht="32.1" customHeight="1" x14ac:dyDescent="0.2">
      <c r="A310" s="209" t="s">
        <v>174</v>
      </c>
      <c r="B310" s="99" t="s">
        <v>2405</v>
      </c>
      <c r="C310" s="469" t="s">
        <v>2406</v>
      </c>
      <c r="D310" s="121">
        <v>120</v>
      </c>
      <c r="E310" s="222"/>
      <c r="F310" s="222"/>
      <c r="G310" s="222"/>
      <c r="H310" s="222">
        <v>97.35</v>
      </c>
      <c r="I310" s="222"/>
      <c r="J310" s="222"/>
      <c r="K310" s="222"/>
      <c r="L310" s="222"/>
      <c r="M310" s="222"/>
      <c r="N310" s="222"/>
      <c r="O310" s="222"/>
      <c r="P310" s="222"/>
      <c r="Q310" s="249">
        <f t="shared" si="19"/>
        <v>97.35</v>
      </c>
      <c r="R310" s="153" t="str">
        <f t="shared" si="18"/>
        <v>NO</v>
      </c>
      <c r="S310" s="223" t="str">
        <f t="shared" si="17"/>
        <v>Inviable Sanitariamente</v>
      </c>
      <c r="T310" s="16"/>
    </row>
    <row r="311" spans="1:20" ht="32.1" customHeight="1" x14ac:dyDescent="0.2">
      <c r="A311" s="209" t="s">
        <v>174</v>
      </c>
      <c r="B311" s="99" t="s">
        <v>2407</v>
      </c>
      <c r="C311" s="469" t="s">
        <v>2408</v>
      </c>
      <c r="D311" s="116">
        <v>64</v>
      </c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>
        <v>97.35</v>
      </c>
      <c r="P311" s="222"/>
      <c r="Q311" s="249">
        <f t="shared" si="19"/>
        <v>97.35</v>
      </c>
      <c r="R311" s="153" t="str">
        <f t="shared" si="18"/>
        <v>NO</v>
      </c>
      <c r="S311" s="223" t="str">
        <f t="shared" si="17"/>
        <v>Inviable Sanitariamente</v>
      </c>
      <c r="T311" s="16"/>
    </row>
    <row r="312" spans="1:20" ht="32.1" customHeight="1" x14ac:dyDescent="0.2">
      <c r="A312" s="209" t="s">
        <v>174</v>
      </c>
      <c r="B312" s="520" t="s">
        <v>2409</v>
      </c>
      <c r="C312" s="464" t="s">
        <v>2410</v>
      </c>
      <c r="D312" s="221">
        <v>57</v>
      </c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>
        <v>97.35</v>
      </c>
      <c r="P312" s="222"/>
      <c r="Q312" s="249">
        <f t="shared" si="19"/>
        <v>97.35</v>
      </c>
      <c r="R312" s="153" t="str">
        <f t="shared" si="18"/>
        <v>NO</v>
      </c>
      <c r="S312" s="223" t="str">
        <f t="shared" si="17"/>
        <v>Inviable Sanitariamente</v>
      </c>
      <c r="T312" s="16"/>
    </row>
    <row r="313" spans="1:20" ht="32.1" customHeight="1" x14ac:dyDescent="0.2">
      <c r="A313" s="209" t="s">
        <v>174</v>
      </c>
      <c r="B313" s="520" t="s">
        <v>2411</v>
      </c>
      <c r="C313" s="464" t="s">
        <v>2412</v>
      </c>
      <c r="D313" s="221">
        <v>28</v>
      </c>
      <c r="E313" s="222">
        <v>26.55</v>
      </c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49">
        <f t="shared" si="19"/>
        <v>26.55</v>
      </c>
      <c r="R313" s="153" t="str">
        <f t="shared" si="18"/>
        <v>NO</v>
      </c>
      <c r="S313" s="223" t="str">
        <f t="shared" si="17"/>
        <v>Medio</v>
      </c>
      <c r="T313" s="16"/>
    </row>
    <row r="314" spans="1:20" ht="32.1" customHeight="1" x14ac:dyDescent="0.2">
      <c r="A314" s="209" t="s">
        <v>174</v>
      </c>
      <c r="B314" s="520" t="s">
        <v>2413</v>
      </c>
      <c r="C314" s="464" t="s">
        <v>2414</v>
      </c>
      <c r="D314" s="221">
        <v>59</v>
      </c>
      <c r="E314" s="222">
        <v>26.55</v>
      </c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49">
        <f t="shared" si="19"/>
        <v>26.55</v>
      </c>
      <c r="R314" s="153" t="str">
        <f t="shared" si="18"/>
        <v>NO</v>
      </c>
      <c r="S314" s="223" t="str">
        <f t="shared" si="17"/>
        <v>Medio</v>
      </c>
      <c r="T314" s="16"/>
    </row>
    <row r="315" spans="1:20" ht="32.1" customHeight="1" x14ac:dyDescent="0.2">
      <c r="A315" s="209" t="s">
        <v>174</v>
      </c>
      <c r="B315" s="520" t="s">
        <v>2415</v>
      </c>
      <c r="C315" s="464" t="s">
        <v>2416</v>
      </c>
      <c r="D315" s="121">
        <v>22</v>
      </c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>
        <v>97.35</v>
      </c>
      <c r="P315" s="222"/>
      <c r="Q315" s="249">
        <f t="shared" si="19"/>
        <v>97.35</v>
      </c>
      <c r="R315" s="153" t="str">
        <f t="shared" si="18"/>
        <v>NO</v>
      </c>
      <c r="S315" s="223" t="str">
        <f t="shared" si="17"/>
        <v>Inviable Sanitariamente</v>
      </c>
      <c r="T315" s="16"/>
    </row>
    <row r="316" spans="1:20" ht="32.1" customHeight="1" x14ac:dyDescent="0.2">
      <c r="A316" s="209" t="s">
        <v>174</v>
      </c>
      <c r="B316" s="209" t="s">
        <v>2417</v>
      </c>
      <c r="C316" s="470" t="s">
        <v>2418</v>
      </c>
      <c r="D316" s="155">
        <v>34</v>
      </c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49" t="e">
        <f t="shared" si="19"/>
        <v>#DIV/0!</v>
      </c>
      <c r="R316" s="153" t="e">
        <f t="shared" si="18"/>
        <v>#DIV/0!</v>
      </c>
      <c r="S316" s="223" t="e">
        <f t="shared" si="17"/>
        <v>#DIV/0!</v>
      </c>
      <c r="T316" s="16"/>
    </row>
    <row r="317" spans="1:20" ht="32.1" customHeight="1" x14ac:dyDescent="0.2">
      <c r="A317" s="209" t="s">
        <v>175</v>
      </c>
      <c r="B317" s="524" t="s">
        <v>2419</v>
      </c>
      <c r="C317" s="464" t="s">
        <v>2420</v>
      </c>
      <c r="D317" s="155">
        <v>29</v>
      </c>
      <c r="E317" s="222"/>
      <c r="F317" s="222"/>
      <c r="G317" s="222"/>
      <c r="H317" s="222">
        <v>97.4</v>
      </c>
      <c r="I317" s="222"/>
      <c r="J317" s="222"/>
      <c r="K317" s="222"/>
      <c r="L317" s="222"/>
      <c r="M317" s="222">
        <v>97.4</v>
      </c>
      <c r="N317" s="222"/>
      <c r="O317" s="222"/>
      <c r="P317" s="222"/>
      <c r="Q317" s="249">
        <f t="shared" si="19"/>
        <v>97.4</v>
      </c>
      <c r="R317" s="153" t="str">
        <f t="shared" si="18"/>
        <v>NO</v>
      </c>
      <c r="S317" s="223" t="str">
        <f t="shared" si="17"/>
        <v>Inviable Sanitariamente</v>
      </c>
      <c r="T317" s="16"/>
    </row>
    <row r="318" spans="1:20" ht="32.1" customHeight="1" x14ac:dyDescent="0.2">
      <c r="A318" s="209" t="s">
        <v>175</v>
      </c>
      <c r="B318" s="524" t="s">
        <v>2421</v>
      </c>
      <c r="C318" s="464" t="s">
        <v>2422</v>
      </c>
      <c r="D318" s="155">
        <v>20</v>
      </c>
      <c r="E318" s="222"/>
      <c r="F318" s="222"/>
      <c r="G318" s="222"/>
      <c r="H318" s="222">
        <v>97.4</v>
      </c>
      <c r="I318" s="222"/>
      <c r="J318" s="222"/>
      <c r="K318" s="222"/>
      <c r="L318" s="222"/>
      <c r="M318" s="222">
        <v>97.4</v>
      </c>
      <c r="N318" s="222"/>
      <c r="O318" s="222"/>
      <c r="P318" s="222"/>
      <c r="Q318" s="249">
        <f t="shared" si="19"/>
        <v>97.4</v>
      </c>
      <c r="R318" s="153" t="str">
        <f t="shared" si="18"/>
        <v>NO</v>
      </c>
      <c r="S318" s="223" t="str">
        <f t="shared" si="17"/>
        <v>Inviable Sanitariamente</v>
      </c>
      <c r="T318" s="16"/>
    </row>
    <row r="319" spans="1:20" ht="32.1" customHeight="1" x14ac:dyDescent="0.2">
      <c r="A319" s="209" t="s">
        <v>175</v>
      </c>
      <c r="B319" s="524" t="s">
        <v>2423</v>
      </c>
      <c r="C319" s="464" t="s">
        <v>2424</v>
      </c>
      <c r="D319" s="230">
        <v>29</v>
      </c>
      <c r="E319" s="222"/>
      <c r="F319" s="222"/>
      <c r="G319" s="222"/>
      <c r="H319" s="222">
        <v>97.4</v>
      </c>
      <c r="I319" s="222"/>
      <c r="J319" s="222"/>
      <c r="K319" s="222"/>
      <c r="L319" s="222"/>
      <c r="M319" s="222">
        <v>97.4</v>
      </c>
      <c r="N319" s="222"/>
      <c r="O319" s="222"/>
      <c r="P319" s="222"/>
      <c r="Q319" s="249">
        <f t="shared" si="19"/>
        <v>97.4</v>
      </c>
      <c r="R319" s="153" t="str">
        <f t="shared" si="18"/>
        <v>NO</v>
      </c>
      <c r="S319" s="223" t="str">
        <f t="shared" si="17"/>
        <v>Inviable Sanitariamente</v>
      </c>
      <c r="T319" s="16"/>
    </row>
    <row r="320" spans="1:20" ht="32.1" customHeight="1" x14ac:dyDescent="0.2">
      <c r="A320" s="209" t="s">
        <v>175</v>
      </c>
      <c r="B320" s="524" t="s">
        <v>2425</v>
      </c>
      <c r="C320" s="464" t="s">
        <v>2426</v>
      </c>
      <c r="D320" s="155">
        <v>27</v>
      </c>
      <c r="E320" s="222"/>
      <c r="F320" s="222"/>
      <c r="G320" s="222"/>
      <c r="H320" s="222">
        <v>97.4</v>
      </c>
      <c r="I320" s="222"/>
      <c r="J320" s="222"/>
      <c r="K320" s="222"/>
      <c r="L320" s="222"/>
      <c r="M320" s="222">
        <v>97.4</v>
      </c>
      <c r="N320" s="222"/>
      <c r="O320" s="222"/>
      <c r="P320" s="222"/>
      <c r="Q320" s="249">
        <f t="shared" si="19"/>
        <v>97.4</v>
      </c>
      <c r="R320" s="153" t="str">
        <f t="shared" si="18"/>
        <v>NO</v>
      </c>
      <c r="S320" s="223" t="str">
        <f t="shared" si="17"/>
        <v>Inviable Sanitariamente</v>
      </c>
      <c r="T320" s="16"/>
    </row>
    <row r="321" spans="1:20" ht="32.1" customHeight="1" x14ac:dyDescent="0.2">
      <c r="A321" s="209" t="s">
        <v>175</v>
      </c>
      <c r="B321" s="524" t="s">
        <v>2427</v>
      </c>
      <c r="C321" s="464" t="s">
        <v>2428</v>
      </c>
      <c r="D321" s="121">
        <v>34</v>
      </c>
      <c r="E321" s="222"/>
      <c r="F321" s="222"/>
      <c r="G321" s="222"/>
      <c r="H321" s="222">
        <v>97.4</v>
      </c>
      <c r="I321" s="222"/>
      <c r="J321" s="222"/>
      <c r="K321" s="222"/>
      <c r="L321" s="222"/>
      <c r="M321" s="222">
        <v>97.4</v>
      </c>
      <c r="N321" s="222"/>
      <c r="O321" s="222"/>
      <c r="P321" s="222"/>
      <c r="Q321" s="249">
        <f t="shared" si="19"/>
        <v>97.4</v>
      </c>
      <c r="R321" s="153" t="str">
        <f t="shared" si="18"/>
        <v>NO</v>
      </c>
      <c r="S321" s="223" t="str">
        <f t="shared" si="17"/>
        <v>Inviable Sanitariamente</v>
      </c>
      <c r="T321" s="16"/>
    </row>
    <row r="322" spans="1:20" ht="32.1" customHeight="1" x14ac:dyDescent="0.2">
      <c r="A322" s="209" t="s">
        <v>175</v>
      </c>
      <c r="B322" s="524" t="s">
        <v>2429</v>
      </c>
      <c r="C322" s="464" t="s">
        <v>2430</v>
      </c>
      <c r="D322" s="121">
        <v>75</v>
      </c>
      <c r="E322" s="222"/>
      <c r="F322" s="222"/>
      <c r="G322" s="222"/>
      <c r="H322" s="222">
        <v>97.4</v>
      </c>
      <c r="I322" s="222"/>
      <c r="J322" s="222"/>
      <c r="K322" s="222"/>
      <c r="L322" s="222"/>
      <c r="M322" s="222">
        <v>97.4</v>
      </c>
      <c r="N322" s="222"/>
      <c r="O322" s="222"/>
      <c r="P322" s="222"/>
      <c r="Q322" s="249">
        <f t="shared" si="19"/>
        <v>97.4</v>
      </c>
      <c r="R322" s="153" t="str">
        <f t="shared" si="18"/>
        <v>NO</v>
      </c>
      <c r="S322" s="223" t="str">
        <f t="shared" si="17"/>
        <v>Inviable Sanitariamente</v>
      </c>
      <c r="T322" s="16"/>
    </row>
    <row r="323" spans="1:20" ht="32.1" customHeight="1" x14ac:dyDescent="0.2">
      <c r="A323" s="209" t="s">
        <v>176</v>
      </c>
      <c r="B323" s="520" t="s">
        <v>2431</v>
      </c>
      <c r="C323" s="464" t="s">
        <v>2432</v>
      </c>
      <c r="D323" s="121">
        <v>51</v>
      </c>
      <c r="E323" s="222"/>
      <c r="F323" s="222"/>
      <c r="G323" s="222"/>
      <c r="H323" s="222"/>
      <c r="I323" s="222"/>
      <c r="J323" s="222"/>
      <c r="K323" s="222"/>
      <c r="L323" s="222">
        <v>53</v>
      </c>
      <c r="M323" s="222"/>
      <c r="N323" s="222"/>
      <c r="O323" s="222"/>
      <c r="P323" s="222"/>
      <c r="Q323" s="249">
        <f t="shared" si="19"/>
        <v>53</v>
      </c>
      <c r="R323" s="153" t="str">
        <f t="shared" si="18"/>
        <v>NO</v>
      </c>
      <c r="S323" s="223" t="str">
        <f t="shared" si="17"/>
        <v>Alto</v>
      </c>
      <c r="T323" s="16"/>
    </row>
    <row r="324" spans="1:20" ht="32.1" customHeight="1" x14ac:dyDescent="0.2">
      <c r="A324" s="209" t="s">
        <v>176</v>
      </c>
      <c r="B324" s="520" t="s">
        <v>1041</v>
      </c>
      <c r="C324" s="464" t="s">
        <v>2433</v>
      </c>
      <c r="D324" s="121">
        <v>27</v>
      </c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49" t="e">
        <f t="shared" si="19"/>
        <v>#DIV/0!</v>
      </c>
      <c r="R324" s="153" t="e">
        <f t="shared" si="18"/>
        <v>#DIV/0!</v>
      </c>
      <c r="S324" s="223" t="e">
        <f t="shared" si="17"/>
        <v>#DIV/0!</v>
      </c>
      <c r="T324" s="16"/>
    </row>
    <row r="325" spans="1:20" ht="32.1" customHeight="1" x14ac:dyDescent="0.2">
      <c r="A325" s="209" t="s">
        <v>176</v>
      </c>
      <c r="B325" s="520" t="s">
        <v>2434</v>
      </c>
      <c r="C325" s="464" t="s">
        <v>2435</v>
      </c>
      <c r="D325" s="121">
        <v>28</v>
      </c>
      <c r="E325" s="222"/>
      <c r="F325" s="222"/>
      <c r="G325" s="222"/>
      <c r="H325" s="222">
        <v>53</v>
      </c>
      <c r="I325" s="222"/>
      <c r="J325" s="222"/>
      <c r="K325" s="222"/>
      <c r="L325" s="222"/>
      <c r="M325" s="222"/>
      <c r="N325" s="222"/>
      <c r="O325" s="222"/>
      <c r="P325" s="222"/>
      <c r="Q325" s="249">
        <f t="shared" si="19"/>
        <v>53</v>
      </c>
      <c r="R325" s="153" t="str">
        <f t="shared" si="18"/>
        <v>NO</v>
      </c>
      <c r="S325" s="223" t="str">
        <f t="shared" si="17"/>
        <v>Alto</v>
      </c>
      <c r="T325" s="16"/>
    </row>
    <row r="326" spans="1:20" ht="32.1" customHeight="1" x14ac:dyDescent="0.2">
      <c r="A326" s="209" t="s">
        <v>176</v>
      </c>
      <c r="B326" s="520" t="s">
        <v>2436</v>
      </c>
      <c r="C326" s="464" t="s">
        <v>2437</v>
      </c>
      <c r="D326" s="221">
        <v>28</v>
      </c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49" t="e">
        <f t="shared" si="19"/>
        <v>#DIV/0!</v>
      </c>
      <c r="R326" s="153" t="e">
        <f t="shared" si="18"/>
        <v>#DIV/0!</v>
      </c>
      <c r="S326" s="223" t="e">
        <f t="shared" ref="S326:S389" si="20">IF(Q326&lt;5,"Sin Riesgo",IF(Q326 &lt;=14,"Bajo",IF(Q326&lt;=35,"Medio",IF(Q326&lt;=80,"Alto","Inviable Sanitariamente"))))</f>
        <v>#DIV/0!</v>
      </c>
      <c r="T326" s="16"/>
    </row>
    <row r="327" spans="1:20" ht="32.1" customHeight="1" x14ac:dyDescent="0.2">
      <c r="A327" s="209" t="s">
        <v>176</v>
      </c>
      <c r="B327" s="520" t="s">
        <v>2438</v>
      </c>
      <c r="C327" s="464" t="s">
        <v>2439</v>
      </c>
      <c r="D327" s="221">
        <v>33</v>
      </c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>
        <v>53</v>
      </c>
      <c r="P327" s="222"/>
      <c r="Q327" s="249">
        <f t="shared" si="19"/>
        <v>53</v>
      </c>
      <c r="R327" s="153" t="str">
        <f t="shared" si="18"/>
        <v>NO</v>
      </c>
      <c r="S327" s="223" t="str">
        <f t="shared" si="20"/>
        <v>Alto</v>
      </c>
      <c r="T327" s="16"/>
    </row>
    <row r="328" spans="1:20" ht="32.1" customHeight="1" x14ac:dyDescent="0.2">
      <c r="A328" s="209" t="s">
        <v>176</v>
      </c>
      <c r="B328" s="520" t="s">
        <v>2440</v>
      </c>
      <c r="C328" s="464" t="s">
        <v>2441</v>
      </c>
      <c r="D328" s="121">
        <v>55</v>
      </c>
      <c r="E328" s="222"/>
      <c r="F328" s="222"/>
      <c r="G328" s="222"/>
      <c r="H328" s="222">
        <v>0</v>
      </c>
      <c r="I328" s="222"/>
      <c r="J328" s="222"/>
      <c r="K328" s="222"/>
      <c r="L328" s="222"/>
      <c r="M328" s="222"/>
      <c r="N328" s="222"/>
      <c r="O328" s="222"/>
      <c r="P328" s="222"/>
      <c r="Q328" s="249">
        <f t="shared" si="19"/>
        <v>0</v>
      </c>
      <c r="R328" s="153" t="str">
        <f t="shared" si="18"/>
        <v>SI</v>
      </c>
      <c r="S328" s="223" t="str">
        <f t="shared" si="20"/>
        <v>Sin Riesgo</v>
      </c>
      <c r="T328" s="16"/>
    </row>
    <row r="329" spans="1:20" ht="32.1" customHeight="1" x14ac:dyDescent="0.2">
      <c r="A329" s="209" t="s">
        <v>176</v>
      </c>
      <c r="B329" s="520" t="s">
        <v>2442</v>
      </c>
      <c r="C329" s="464" t="s">
        <v>2443</v>
      </c>
      <c r="D329" s="121">
        <v>54</v>
      </c>
      <c r="E329" s="222"/>
      <c r="F329" s="222"/>
      <c r="G329" s="222"/>
      <c r="H329" s="222"/>
      <c r="I329" s="222">
        <v>0</v>
      </c>
      <c r="J329" s="222"/>
      <c r="K329" s="222"/>
      <c r="L329" s="222"/>
      <c r="M329" s="222"/>
      <c r="N329" s="222"/>
      <c r="O329" s="222"/>
      <c r="P329" s="222"/>
      <c r="Q329" s="249">
        <f t="shared" si="19"/>
        <v>0</v>
      </c>
      <c r="R329" s="153" t="str">
        <f t="shared" si="18"/>
        <v>SI</v>
      </c>
      <c r="S329" s="223" t="str">
        <f t="shared" si="20"/>
        <v>Sin Riesgo</v>
      </c>
      <c r="T329" s="16"/>
    </row>
    <row r="330" spans="1:20" ht="32.1" customHeight="1" x14ac:dyDescent="0.2">
      <c r="A330" s="209" t="s">
        <v>176</v>
      </c>
      <c r="B330" s="99" t="s">
        <v>2444</v>
      </c>
      <c r="C330" s="469" t="s">
        <v>2445</v>
      </c>
      <c r="D330" s="229">
        <v>67</v>
      </c>
      <c r="E330" s="222"/>
      <c r="F330" s="222"/>
      <c r="G330" s="222"/>
      <c r="H330" s="222"/>
      <c r="I330" s="222">
        <v>53</v>
      </c>
      <c r="J330" s="222"/>
      <c r="K330" s="222"/>
      <c r="L330" s="222"/>
      <c r="M330" s="222"/>
      <c r="N330" s="222"/>
      <c r="O330" s="222">
        <v>53</v>
      </c>
      <c r="P330" s="222"/>
      <c r="Q330" s="249">
        <f t="shared" si="19"/>
        <v>53</v>
      </c>
      <c r="R330" s="153" t="str">
        <f t="shared" si="18"/>
        <v>NO</v>
      </c>
      <c r="S330" s="223" t="str">
        <f t="shared" si="20"/>
        <v>Alto</v>
      </c>
      <c r="T330" s="16"/>
    </row>
    <row r="331" spans="1:20" ht="32.1" customHeight="1" x14ac:dyDescent="0.2">
      <c r="A331" s="209" t="s">
        <v>176</v>
      </c>
      <c r="B331" s="520" t="s">
        <v>62</v>
      </c>
      <c r="C331" s="464" t="s">
        <v>2446</v>
      </c>
      <c r="D331" s="221">
        <v>20</v>
      </c>
      <c r="E331" s="222"/>
      <c r="F331" s="222"/>
      <c r="G331" s="222"/>
      <c r="H331" s="222"/>
      <c r="I331" s="222"/>
      <c r="J331" s="222">
        <v>53</v>
      </c>
      <c r="K331" s="222"/>
      <c r="L331" s="222"/>
      <c r="M331" s="222"/>
      <c r="N331" s="222"/>
      <c r="O331" s="222"/>
      <c r="P331" s="222"/>
      <c r="Q331" s="249">
        <f t="shared" si="19"/>
        <v>53</v>
      </c>
      <c r="R331" s="153" t="str">
        <f t="shared" si="18"/>
        <v>NO</v>
      </c>
      <c r="S331" s="223" t="str">
        <f t="shared" si="20"/>
        <v>Alto</v>
      </c>
      <c r="T331" s="16"/>
    </row>
    <row r="332" spans="1:20" ht="32.1" customHeight="1" x14ac:dyDescent="0.2">
      <c r="A332" s="209" t="s">
        <v>176</v>
      </c>
      <c r="B332" s="520" t="s">
        <v>2447</v>
      </c>
      <c r="C332" s="464" t="s">
        <v>2448</v>
      </c>
      <c r="D332" s="221">
        <v>24</v>
      </c>
      <c r="E332" s="222"/>
      <c r="F332" s="222"/>
      <c r="G332" s="222"/>
      <c r="H332" s="222"/>
      <c r="I332" s="222"/>
      <c r="J332" s="222">
        <v>53</v>
      </c>
      <c r="K332" s="222"/>
      <c r="L332" s="222"/>
      <c r="M332" s="222"/>
      <c r="N332" s="222"/>
      <c r="O332" s="222"/>
      <c r="P332" s="222"/>
      <c r="Q332" s="249">
        <f t="shared" si="19"/>
        <v>53</v>
      </c>
      <c r="R332" s="153" t="str">
        <f t="shared" si="18"/>
        <v>NO</v>
      </c>
      <c r="S332" s="223" t="str">
        <f t="shared" si="20"/>
        <v>Alto</v>
      </c>
      <c r="T332" s="16"/>
    </row>
    <row r="333" spans="1:20" ht="32.1" customHeight="1" x14ac:dyDescent="0.2">
      <c r="A333" s="209" t="s">
        <v>176</v>
      </c>
      <c r="B333" s="520" t="s">
        <v>2449</v>
      </c>
      <c r="C333" s="464" t="s">
        <v>2450</v>
      </c>
      <c r="D333" s="116">
        <v>26</v>
      </c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49" t="e">
        <f t="shared" si="19"/>
        <v>#DIV/0!</v>
      </c>
      <c r="R333" s="153" t="e">
        <f t="shared" si="18"/>
        <v>#DIV/0!</v>
      </c>
      <c r="S333" s="223" t="e">
        <f t="shared" si="20"/>
        <v>#DIV/0!</v>
      </c>
      <c r="T333" s="16"/>
    </row>
    <row r="334" spans="1:20" ht="32.1" customHeight="1" x14ac:dyDescent="0.2">
      <c r="A334" s="209" t="s">
        <v>176</v>
      </c>
      <c r="B334" s="520" t="s">
        <v>2451</v>
      </c>
      <c r="C334" s="464" t="s">
        <v>2452</v>
      </c>
      <c r="D334" s="221">
        <v>180</v>
      </c>
      <c r="E334" s="222"/>
      <c r="F334" s="222"/>
      <c r="G334" s="222"/>
      <c r="H334" s="222"/>
      <c r="I334" s="222"/>
      <c r="J334" s="222"/>
      <c r="K334" s="222"/>
      <c r="L334" s="222">
        <v>26</v>
      </c>
      <c r="M334" s="222"/>
      <c r="N334" s="222"/>
      <c r="O334" s="222"/>
      <c r="P334" s="222"/>
      <c r="Q334" s="249">
        <f t="shared" si="19"/>
        <v>26</v>
      </c>
      <c r="R334" s="153" t="str">
        <f t="shared" si="18"/>
        <v>NO</v>
      </c>
      <c r="S334" s="223" t="str">
        <f t="shared" si="20"/>
        <v>Medio</v>
      </c>
      <c r="T334" s="16"/>
    </row>
    <row r="335" spans="1:20" ht="32.1" customHeight="1" x14ac:dyDescent="0.2">
      <c r="A335" s="209" t="s">
        <v>176</v>
      </c>
      <c r="B335" s="520" t="s">
        <v>2453</v>
      </c>
      <c r="C335" s="464" t="s">
        <v>2454</v>
      </c>
      <c r="D335" s="121">
        <v>240</v>
      </c>
      <c r="E335" s="222"/>
      <c r="F335" s="222"/>
      <c r="G335" s="222"/>
      <c r="H335" s="222"/>
      <c r="I335" s="222"/>
      <c r="J335" s="222">
        <v>53</v>
      </c>
      <c r="K335" s="222"/>
      <c r="L335" s="222"/>
      <c r="M335" s="222"/>
      <c r="N335" s="222"/>
      <c r="O335" s="222"/>
      <c r="P335" s="222"/>
      <c r="Q335" s="249">
        <f t="shared" si="19"/>
        <v>53</v>
      </c>
      <c r="R335" s="153" t="str">
        <f t="shared" si="18"/>
        <v>NO</v>
      </c>
      <c r="S335" s="223" t="str">
        <f t="shared" si="20"/>
        <v>Alto</v>
      </c>
      <c r="T335" s="16"/>
    </row>
    <row r="336" spans="1:20" ht="32.1" customHeight="1" x14ac:dyDescent="0.2">
      <c r="A336" s="209" t="s">
        <v>176</v>
      </c>
      <c r="B336" s="520" t="s">
        <v>2455</v>
      </c>
      <c r="C336" s="464" t="s">
        <v>2456</v>
      </c>
      <c r="D336" s="116">
        <v>82</v>
      </c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49" t="e">
        <f t="shared" si="19"/>
        <v>#DIV/0!</v>
      </c>
      <c r="R336" s="153" t="e">
        <f t="shared" si="18"/>
        <v>#DIV/0!</v>
      </c>
      <c r="S336" s="223" t="e">
        <f t="shared" si="20"/>
        <v>#DIV/0!</v>
      </c>
      <c r="T336" s="16"/>
    </row>
    <row r="337" spans="1:20" ht="32.1" customHeight="1" x14ac:dyDescent="0.2">
      <c r="A337" s="209" t="s">
        <v>176</v>
      </c>
      <c r="B337" s="520" t="s">
        <v>2457</v>
      </c>
      <c r="C337" s="464" t="s">
        <v>2458</v>
      </c>
      <c r="D337" s="221">
        <v>102</v>
      </c>
      <c r="E337" s="222"/>
      <c r="F337" s="222"/>
      <c r="G337" s="222"/>
      <c r="H337" s="222"/>
      <c r="I337" s="222"/>
      <c r="J337" s="222">
        <v>53</v>
      </c>
      <c r="K337" s="222"/>
      <c r="L337" s="222"/>
      <c r="M337" s="222"/>
      <c r="N337" s="222"/>
      <c r="O337" s="222"/>
      <c r="P337" s="222"/>
      <c r="Q337" s="249">
        <f t="shared" si="19"/>
        <v>53</v>
      </c>
      <c r="R337" s="153" t="str">
        <f t="shared" si="18"/>
        <v>NO</v>
      </c>
      <c r="S337" s="223" t="str">
        <f t="shared" si="20"/>
        <v>Alto</v>
      </c>
      <c r="T337" s="16"/>
    </row>
    <row r="338" spans="1:20" ht="32.1" customHeight="1" x14ac:dyDescent="0.2">
      <c r="A338" s="209" t="s">
        <v>176</v>
      </c>
      <c r="B338" s="520" t="s">
        <v>2459</v>
      </c>
      <c r="C338" s="464" t="s">
        <v>2460</v>
      </c>
      <c r="D338" s="221">
        <v>22</v>
      </c>
      <c r="E338" s="222"/>
      <c r="F338" s="222"/>
      <c r="G338" s="222"/>
      <c r="H338" s="222"/>
      <c r="I338" s="222"/>
      <c r="J338" s="222">
        <v>53</v>
      </c>
      <c r="K338" s="222"/>
      <c r="L338" s="222"/>
      <c r="M338" s="222"/>
      <c r="N338" s="222"/>
      <c r="O338" s="222"/>
      <c r="P338" s="222"/>
      <c r="Q338" s="249">
        <f t="shared" si="19"/>
        <v>53</v>
      </c>
      <c r="R338" s="153" t="str">
        <f t="shared" si="18"/>
        <v>NO</v>
      </c>
      <c r="S338" s="223" t="str">
        <f t="shared" si="20"/>
        <v>Alto</v>
      </c>
      <c r="T338" s="16"/>
    </row>
    <row r="339" spans="1:20" ht="32.1" customHeight="1" x14ac:dyDescent="0.2">
      <c r="A339" s="209" t="s">
        <v>176</v>
      </c>
      <c r="B339" s="520" t="s">
        <v>2461</v>
      </c>
      <c r="C339" s="464" t="s">
        <v>2462</v>
      </c>
      <c r="D339" s="221">
        <v>109</v>
      </c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>
        <v>53</v>
      </c>
      <c r="P339" s="222"/>
      <c r="Q339" s="249">
        <f t="shared" si="19"/>
        <v>53</v>
      </c>
      <c r="R339" s="153" t="str">
        <f t="shared" si="18"/>
        <v>NO</v>
      </c>
      <c r="S339" s="223" t="str">
        <f t="shared" si="20"/>
        <v>Alto</v>
      </c>
      <c r="T339" s="16"/>
    </row>
    <row r="340" spans="1:20" ht="32.1" customHeight="1" x14ac:dyDescent="0.2">
      <c r="A340" s="209" t="s">
        <v>176</v>
      </c>
      <c r="B340" s="520" t="s">
        <v>2463</v>
      </c>
      <c r="C340" s="464" t="s">
        <v>2464</v>
      </c>
      <c r="D340" s="221">
        <v>45</v>
      </c>
      <c r="E340" s="222"/>
      <c r="F340" s="222"/>
      <c r="G340" s="222"/>
      <c r="H340" s="222"/>
      <c r="I340" s="222">
        <v>53</v>
      </c>
      <c r="J340" s="222"/>
      <c r="K340" s="222"/>
      <c r="L340" s="222"/>
      <c r="M340" s="222"/>
      <c r="N340" s="222"/>
      <c r="O340" s="222"/>
      <c r="P340" s="222"/>
      <c r="Q340" s="249">
        <f t="shared" si="19"/>
        <v>53</v>
      </c>
      <c r="R340" s="153" t="str">
        <f t="shared" si="18"/>
        <v>NO</v>
      </c>
      <c r="S340" s="223" t="str">
        <f t="shared" si="20"/>
        <v>Alto</v>
      </c>
      <c r="T340" s="16"/>
    </row>
    <row r="341" spans="1:20" ht="32.1" customHeight="1" x14ac:dyDescent="0.2">
      <c r="A341" s="209" t="s">
        <v>176</v>
      </c>
      <c r="B341" s="520" t="s">
        <v>1070</v>
      </c>
      <c r="C341" s="464" t="s">
        <v>2465</v>
      </c>
      <c r="D341" s="221">
        <v>44</v>
      </c>
      <c r="E341" s="222"/>
      <c r="F341" s="222"/>
      <c r="G341" s="222"/>
      <c r="H341" s="222">
        <v>0</v>
      </c>
      <c r="I341" s="222"/>
      <c r="J341" s="222"/>
      <c r="K341" s="222"/>
      <c r="L341" s="222"/>
      <c r="M341" s="222"/>
      <c r="N341" s="222"/>
      <c r="O341" s="222"/>
      <c r="P341" s="222"/>
      <c r="Q341" s="249">
        <f t="shared" si="19"/>
        <v>0</v>
      </c>
      <c r="R341" s="153" t="str">
        <f t="shared" si="18"/>
        <v>SI</v>
      </c>
      <c r="S341" s="223" t="str">
        <f t="shared" si="20"/>
        <v>Sin Riesgo</v>
      </c>
      <c r="T341" s="16"/>
    </row>
    <row r="342" spans="1:20" ht="32.1" customHeight="1" x14ac:dyDescent="0.2">
      <c r="A342" s="209" t="s">
        <v>176</v>
      </c>
      <c r="B342" s="525" t="s">
        <v>2466</v>
      </c>
      <c r="C342" s="492" t="s">
        <v>2467</v>
      </c>
      <c r="D342" s="493" t="s">
        <v>2468</v>
      </c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49" t="e">
        <f t="shared" si="19"/>
        <v>#DIV/0!</v>
      </c>
      <c r="R342" s="153" t="e">
        <f t="shared" si="18"/>
        <v>#DIV/0!</v>
      </c>
      <c r="S342" s="223" t="e">
        <f t="shared" si="20"/>
        <v>#DIV/0!</v>
      </c>
      <c r="T342" s="16"/>
    </row>
    <row r="343" spans="1:20" ht="32.1" customHeight="1" x14ac:dyDescent="0.2">
      <c r="A343" s="209" t="s">
        <v>176</v>
      </c>
      <c r="B343" s="99" t="s">
        <v>2469</v>
      </c>
      <c r="C343" s="469" t="s">
        <v>2470</v>
      </c>
      <c r="D343" s="221">
        <v>35</v>
      </c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49" t="e">
        <f t="shared" si="19"/>
        <v>#DIV/0!</v>
      </c>
      <c r="R343" s="153" t="e">
        <f t="shared" si="18"/>
        <v>#DIV/0!</v>
      </c>
      <c r="S343" s="223" t="e">
        <f t="shared" si="20"/>
        <v>#DIV/0!</v>
      </c>
      <c r="T343" s="16"/>
    </row>
    <row r="344" spans="1:20" ht="32.1" customHeight="1" x14ac:dyDescent="0.2">
      <c r="A344" s="209" t="s">
        <v>176</v>
      </c>
      <c r="B344" s="520" t="s">
        <v>2471</v>
      </c>
      <c r="C344" s="469" t="s">
        <v>2472</v>
      </c>
      <c r="D344" s="221">
        <v>28</v>
      </c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49" t="e">
        <f t="shared" si="19"/>
        <v>#DIV/0!</v>
      </c>
      <c r="R344" s="153" t="e">
        <f t="shared" si="18"/>
        <v>#DIV/0!</v>
      </c>
      <c r="S344" s="223" t="e">
        <f t="shared" si="20"/>
        <v>#DIV/0!</v>
      </c>
      <c r="T344" s="16"/>
    </row>
    <row r="345" spans="1:20" ht="32.1" customHeight="1" x14ac:dyDescent="0.2">
      <c r="A345" s="209" t="s">
        <v>176</v>
      </c>
      <c r="B345" s="99" t="s">
        <v>2473</v>
      </c>
      <c r="C345" s="469" t="s">
        <v>2474</v>
      </c>
      <c r="D345" s="121">
        <v>21</v>
      </c>
      <c r="E345" s="222"/>
      <c r="F345" s="222"/>
      <c r="G345" s="222"/>
      <c r="H345" s="222">
        <v>53</v>
      </c>
      <c r="I345" s="222"/>
      <c r="J345" s="222"/>
      <c r="K345" s="222"/>
      <c r="L345" s="222"/>
      <c r="M345" s="222"/>
      <c r="N345" s="222"/>
      <c r="O345" s="222"/>
      <c r="P345" s="222"/>
      <c r="Q345" s="249">
        <f t="shared" si="19"/>
        <v>53</v>
      </c>
      <c r="R345" s="153" t="str">
        <f t="shared" si="18"/>
        <v>NO</v>
      </c>
      <c r="S345" s="223" t="str">
        <f t="shared" si="20"/>
        <v>Alto</v>
      </c>
      <c r="T345" s="16"/>
    </row>
    <row r="346" spans="1:20" ht="32.1" customHeight="1" x14ac:dyDescent="0.2">
      <c r="A346" s="209" t="s">
        <v>176</v>
      </c>
      <c r="B346" s="519" t="s">
        <v>2475</v>
      </c>
      <c r="C346" s="462" t="s">
        <v>2476</v>
      </c>
      <c r="D346" s="121">
        <v>22</v>
      </c>
      <c r="E346" s="222"/>
      <c r="F346" s="222"/>
      <c r="G346" s="222"/>
      <c r="H346" s="222"/>
      <c r="I346" s="222"/>
      <c r="J346" s="222"/>
      <c r="K346" s="222"/>
      <c r="L346" s="222">
        <v>53</v>
      </c>
      <c r="M346" s="222"/>
      <c r="N346" s="222"/>
      <c r="O346" s="222"/>
      <c r="P346" s="222"/>
      <c r="Q346" s="249">
        <f t="shared" si="19"/>
        <v>53</v>
      </c>
      <c r="R346" s="153" t="str">
        <f t="shared" si="18"/>
        <v>NO</v>
      </c>
      <c r="S346" s="223" t="str">
        <f t="shared" si="20"/>
        <v>Alto</v>
      </c>
      <c r="T346" s="16"/>
    </row>
    <row r="347" spans="1:20" ht="32.1" customHeight="1" x14ac:dyDescent="0.2">
      <c r="A347" s="209" t="s">
        <v>176</v>
      </c>
      <c r="B347" s="519" t="s">
        <v>2477</v>
      </c>
      <c r="C347" s="462" t="s">
        <v>2478</v>
      </c>
      <c r="D347" s="121">
        <v>21</v>
      </c>
      <c r="E347" s="222"/>
      <c r="F347" s="222">
        <v>53</v>
      </c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49">
        <f t="shared" si="19"/>
        <v>53</v>
      </c>
      <c r="R347" s="153" t="str">
        <f t="shared" si="18"/>
        <v>NO</v>
      </c>
      <c r="S347" s="223" t="str">
        <f t="shared" si="20"/>
        <v>Alto</v>
      </c>
      <c r="T347" s="16"/>
    </row>
    <row r="348" spans="1:20" ht="32.1" customHeight="1" x14ac:dyDescent="0.2">
      <c r="A348" s="209" t="s">
        <v>176</v>
      </c>
      <c r="B348" s="519" t="s">
        <v>2479</v>
      </c>
      <c r="C348" s="462" t="s">
        <v>2480</v>
      </c>
      <c r="D348" s="121">
        <v>53</v>
      </c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>
        <v>53</v>
      </c>
      <c r="P348" s="222"/>
      <c r="Q348" s="249">
        <f t="shared" si="19"/>
        <v>53</v>
      </c>
      <c r="R348" s="153" t="str">
        <f t="shared" si="18"/>
        <v>NO</v>
      </c>
      <c r="S348" s="223" t="str">
        <f t="shared" si="20"/>
        <v>Alto</v>
      </c>
      <c r="T348" s="16"/>
    </row>
    <row r="349" spans="1:20" ht="32.1" customHeight="1" x14ac:dyDescent="0.2">
      <c r="A349" s="209" t="s">
        <v>176</v>
      </c>
      <c r="B349" s="519" t="s">
        <v>2481</v>
      </c>
      <c r="C349" s="462" t="s">
        <v>2482</v>
      </c>
      <c r="D349" s="155">
        <v>32</v>
      </c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49" t="e">
        <f t="shared" si="19"/>
        <v>#DIV/0!</v>
      </c>
      <c r="R349" s="153" t="e">
        <f t="shared" si="18"/>
        <v>#DIV/0!</v>
      </c>
      <c r="S349" s="223" t="e">
        <f t="shared" si="20"/>
        <v>#DIV/0!</v>
      </c>
      <c r="T349" s="16"/>
    </row>
    <row r="350" spans="1:20" ht="50.25" customHeight="1" x14ac:dyDescent="0.2">
      <c r="A350" s="209" t="s">
        <v>177</v>
      </c>
      <c r="B350" s="519" t="s">
        <v>2483</v>
      </c>
      <c r="C350" s="462" t="s">
        <v>2484</v>
      </c>
      <c r="D350" s="221">
        <v>390</v>
      </c>
      <c r="E350" s="222">
        <v>0</v>
      </c>
      <c r="F350" s="222"/>
      <c r="G350" s="222">
        <v>0</v>
      </c>
      <c r="H350" s="222"/>
      <c r="I350" s="222"/>
      <c r="J350" s="222"/>
      <c r="K350" s="222">
        <v>0</v>
      </c>
      <c r="L350" s="222"/>
      <c r="M350" s="222">
        <v>0</v>
      </c>
      <c r="N350" s="222"/>
      <c r="O350" s="222"/>
      <c r="P350" s="222">
        <v>0</v>
      </c>
      <c r="Q350" s="249">
        <f t="shared" si="19"/>
        <v>0</v>
      </c>
      <c r="R350" s="153" t="str">
        <f t="shared" si="18"/>
        <v>SI</v>
      </c>
      <c r="S350" s="223" t="str">
        <f t="shared" si="20"/>
        <v>Sin Riesgo</v>
      </c>
      <c r="T350" s="16"/>
    </row>
    <row r="351" spans="1:20" ht="32.1" customHeight="1" x14ac:dyDescent="0.2">
      <c r="A351" s="209" t="s">
        <v>177</v>
      </c>
      <c r="B351" s="519" t="s">
        <v>1428</v>
      </c>
      <c r="C351" s="462" t="s">
        <v>2485</v>
      </c>
      <c r="D351" s="221">
        <v>36</v>
      </c>
      <c r="E351" s="222"/>
      <c r="F351" s="222"/>
      <c r="G351" s="222"/>
      <c r="H351" s="222"/>
      <c r="I351" s="222"/>
      <c r="J351" s="222">
        <v>97.9</v>
      </c>
      <c r="K351" s="222"/>
      <c r="L351" s="222"/>
      <c r="M351" s="222"/>
      <c r="N351" s="222"/>
      <c r="O351" s="222"/>
      <c r="P351" s="222"/>
      <c r="Q351" s="249">
        <f t="shared" si="19"/>
        <v>97.9</v>
      </c>
      <c r="R351" s="153" t="str">
        <f t="shared" si="18"/>
        <v>NO</v>
      </c>
      <c r="S351" s="223" t="str">
        <f t="shared" si="20"/>
        <v>Inviable Sanitariamente</v>
      </c>
      <c r="T351" s="16"/>
    </row>
    <row r="352" spans="1:20" ht="32.1" customHeight="1" x14ac:dyDescent="0.2">
      <c r="A352" s="209" t="s">
        <v>177</v>
      </c>
      <c r="B352" s="520" t="s">
        <v>2080</v>
      </c>
      <c r="C352" s="462" t="s">
        <v>2486</v>
      </c>
      <c r="D352" s="221">
        <v>68</v>
      </c>
      <c r="E352" s="222"/>
      <c r="F352" s="222"/>
      <c r="G352" s="222">
        <v>97.9</v>
      </c>
      <c r="H352" s="222"/>
      <c r="I352" s="222"/>
      <c r="J352" s="222"/>
      <c r="K352" s="222"/>
      <c r="L352" s="222"/>
      <c r="M352" s="222"/>
      <c r="N352" s="222"/>
      <c r="O352" s="222"/>
      <c r="P352" s="222"/>
      <c r="Q352" s="249">
        <f t="shared" si="19"/>
        <v>97.9</v>
      </c>
      <c r="R352" s="153" t="str">
        <f t="shared" si="18"/>
        <v>NO</v>
      </c>
      <c r="S352" s="223" t="str">
        <f t="shared" si="20"/>
        <v>Inviable Sanitariamente</v>
      </c>
      <c r="T352" s="16"/>
    </row>
    <row r="353" spans="1:20" ht="32.1" customHeight="1" x14ac:dyDescent="0.2">
      <c r="A353" s="209" t="s">
        <v>177</v>
      </c>
      <c r="B353" s="519" t="s">
        <v>2487</v>
      </c>
      <c r="C353" s="462" t="s">
        <v>2488</v>
      </c>
      <c r="D353" s="121">
        <v>280</v>
      </c>
      <c r="E353" s="222">
        <v>0</v>
      </c>
      <c r="F353" s="222"/>
      <c r="G353" s="222">
        <v>0</v>
      </c>
      <c r="H353" s="222"/>
      <c r="I353" s="222">
        <v>0</v>
      </c>
      <c r="J353" s="222"/>
      <c r="K353" s="222">
        <v>0</v>
      </c>
      <c r="L353" s="222"/>
      <c r="M353" s="222">
        <v>0</v>
      </c>
      <c r="N353" s="222"/>
      <c r="O353" s="222"/>
      <c r="P353" s="222">
        <v>0</v>
      </c>
      <c r="Q353" s="249">
        <f t="shared" si="19"/>
        <v>0</v>
      </c>
      <c r="R353" s="153" t="str">
        <f t="shared" si="18"/>
        <v>SI</v>
      </c>
      <c r="S353" s="223" t="str">
        <f t="shared" si="20"/>
        <v>Sin Riesgo</v>
      </c>
      <c r="T353" s="16"/>
    </row>
    <row r="354" spans="1:20" ht="32.1" customHeight="1" x14ac:dyDescent="0.2">
      <c r="A354" s="209" t="s">
        <v>177</v>
      </c>
      <c r="B354" s="519" t="s">
        <v>2489</v>
      </c>
      <c r="C354" s="462" t="s">
        <v>2490</v>
      </c>
      <c r="D354" s="221">
        <v>32</v>
      </c>
      <c r="E354" s="222"/>
      <c r="F354" s="222"/>
      <c r="G354" s="222"/>
      <c r="H354" s="222"/>
      <c r="I354" s="222"/>
      <c r="J354" s="222"/>
      <c r="K354" s="222"/>
      <c r="L354" s="222"/>
      <c r="M354" s="222"/>
      <c r="N354" s="222">
        <v>97.9</v>
      </c>
      <c r="O354" s="222"/>
      <c r="P354" s="222"/>
      <c r="Q354" s="249">
        <f t="shared" si="19"/>
        <v>97.9</v>
      </c>
      <c r="R354" s="153" t="str">
        <f t="shared" si="18"/>
        <v>NO</v>
      </c>
      <c r="S354" s="223" t="str">
        <f t="shared" si="20"/>
        <v>Inviable Sanitariamente</v>
      </c>
      <c r="T354" s="16"/>
    </row>
    <row r="355" spans="1:20" ht="32.1" customHeight="1" x14ac:dyDescent="0.2">
      <c r="A355" s="209" t="s">
        <v>177</v>
      </c>
      <c r="B355" s="519" t="s">
        <v>2491</v>
      </c>
      <c r="C355" s="462" t="s">
        <v>2492</v>
      </c>
      <c r="D355" s="221">
        <v>28</v>
      </c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>
        <v>97.9</v>
      </c>
      <c r="Q355" s="249">
        <f t="shared" si="19"/>
        <v>97.9</v>
      </c>
      <c r="R355" s="153" t="str">
        <f t="shared" si="18"/>
        <v>NO</v>
      </c>
      <c r="S355" s="223" t="str">
        <f t="shared" si="20"/>
        <v>Inviable Sanitariamente</v>
      </c>
      <c r="T355" s="16"/>
    </row>
    <row r="356" spans="1:20" ht="32.1" customHeight="1" x14ac:dyDescent="0.2">
      <c r="A356" s="209" t="s">
        <v>177</v>
      </c>
      <c r="B356" s="519" t="s">
        <v>2493</v>
      </c>
      <c r="C356" s="462" t="s">
        <v>2494</v>
      </c>
      <c r="D356" s="121">
        <v>130</v>
      </c>
      <c r="E356" s="222"/>
      <c r="F356" s="222">
        <v>76.92</v>
      </c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49">
        <f t="shared" si="19"/>
        <v>76.92</v>
      </c>
      <c r="R356" s="153" t="str">
        <f t="shared" si="18"/>
        <v>NO</v>
      </c>
      <c r="S356" s="223" t="str">
        <f t="shared" si="20"/>
        <v>Alto</v>
      </c>
      <c r="T356" s="16"/>
    </row>
    <row r="357" spans="1:20" ht="32.1" customHeight="1" x14ac:dyDescent="0.2">
      <c r="A357" s="209" t="s">
        <v>177</v>
      </c>
      <c r="B357" s="519" t="s">
        <v>672</v>
      </c>
      <c r="C357" s="462" t="s">
        <v>2495</v>
      </c>
      <c r="D357" s="116">
        <v>34</v>
      </c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49" t="e">
        <f t="shared" si="19"/>
        <v>#DIV/0!</v>
      </c>
      <c r="R357" s="153" t="e">
        <f t="shared" si="18"/>
        <v>#DIV/0!</v>
      </c>
      <c r="S357" s="223" t="e">
        <f t="shared" si="20"/>
        <v>#DIV/0!</v>
      </c>
      <c r="T357" s="16"/>
    </row>
    <row r="358" spans="1:20" ht="32.1" customHeight="1" x14ac:dyDescent="0.2">
      <c r="A358" s="209" t="s">
        <v>177</v>
      </c>
      <c r="B358" s="519" t="s">
        <v>2496</v>
      </c>
      <c r="C358" s="462" t="s">
        <v>2497</v>
      </c>
      <c r="D358" s="121">
        <v>50</v>
      </c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>
        <v>97.9</v>
      </c>
      <c r="P358" s="222"/>
      <c r="Q358" s="249">
        <f t="shared" si="19"/>
        <v>97.9</v>
      </c>
      <c r="R358" s="153" t="str">
        <f t="shared" ref="R358:R421" si="21">IF(Q358&lt;5,"SI","NO")</f>
        <v>NO</v>
      </c>
      <c r="S358" s="223" t="str">
        <f t="shared" si="20"/>
        <v>Inviable Sanitariamente</v>
      </c>
      <c r="T358" s="16"/>
    </row>
    <row r="359" spans="1:20" ht="32.1" customHeight="1" x14ac:dyDescent="0.2">
      <c r="A359" s="209" t="s">
        <v>177</v>
      </c>
      <c r="B359" s="519" t="s">
        <v>2498</v>
      </c>
      <c r="C359" s="462" t="s">
        <v>2499</v>
      </c>
      <c r="D359" s="221">
        <v>115</v>
      </c>
      <c r="E359" s="222"/>
      <c r="F359" s="222">
        <v>76.92</v>
      </c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49">
        <f t="shared" ref="Q359:Q422" si="22">AVERAGE(E359:P359)</f>
        <v>76.92</v>
      </c>
      <c r="R359" s="153" t="str">
        <f t="shared" si="21"/>
        <v>NO</v>
      </c>
      <c r="S359" s="223" t="str">
        <f t="shared" si="20"/>
        <v>Alto</v>
      </c>
      <c r="T359" s="16"/>
    </row>
    <row r="360" spans="1:20" ht="32.1" customHeight="1" x14ac:dyDescent="0.2">
      <c r="A360" s="209" t="s">
        <v>177</v>
      </c>
      <c r="B360" s="519" t="s">
        <v>1326</v>
      </c>
      <c r="C360" s="462" t="s">
        <v>2500</v>
      </c>
      <c r="D360" s="230">
        <v>139</v>
      </c>
      <c r="E360" s="222"/>
      <c r="F360" s="222"/>
      <c r="G360" s="222"/>
      <c r="H360" s="222">
        <v>97.9</v>
      </c>
      <c r="I360" s="222"/>
      <c r="J360" s="222"/>
      <c r="K360" s="222"/>
      <c r="L360" s="222"/>
      <c r="M360" s="222"/>
      <c r="N360" s="222"/>
      <c r="O360" s="222"/>
      <c r="P360" s="222"/>
      <c r="Q360" s="249">
        <f t="shared" si="22"/>
        <v>97.9</v>
      </c>
      <c r="R360" s="153" t="str">
        <f t="shared" si="21"/>
        <v>NO</v>
      </c>
      <c r="S360" s="223" t="str">
        <f t="shared" si="20"/>
        <v>Inviable Sanitariamente</v>
      </c>
      <c r="T360" s="16"/>
    </row>
    <row r="361" spans="1:20" ht="32.1" customHeight="1" x14ac:dyDescent="0.2">
      <c r="A361" s="209" t="s">
        <v>177</v>
      </c>
      <c r="B361" s="519" t="s">
        <v>1561</v>
      </c>
      <c r="C361" s="469" t="s">
        <v>2501</v>
      </c>
      <c r="D361" s="121">
        <v>67</v>
      </c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>
        <v>97.9</v>
      </c>
      <c r="P361" s="222"/>
      <c r="Q361" s="249">
        <f t="shared" si="22"/>
        <v>97.9</v>
      </c>
      <c r="R361" s="153" t="str">
        <f t="shared" si="21"/>
        <v>NO</v>
      </c>
      <c r="S361" s="223" t="str">
        <f t="shared" si="20"/>
        <v>Inviable Sanitariamente</v>
      </c>
      <c r="T361" s="16"/>
    </row>
    <row r="362" spans="1:20" ht="46.5" customHeight="1" x14ac:dyDescent="0.2">
      <c r="A362" s="209" t="s">
        <v>177</v>
      </c>
      <c r="B362" s="519" t="s">
        <v>2502</v>
      </c>
      <c r="C362" s="462" t="s">
        <v>2503</v>
      </c>
      <c r="D362" s="221">
        <v>15</v>
      </c>
      <c r="E362" s="222">
        <v>0</v>
      </c>
      <c r="F362" s="222"/>
      <c r="G362" s="222">
        <v>0</v>
      </c>
      <c r="H362" s="222"/>
      <c r="I362" s="222"/>
      <c r="J362" s="222"/>
      <c r="K362" s="222">
        <v>0</v>
      </c>
      <c r="L362" s="222"/>
      <c r="M362" s="222">
        <v>0</v>
      </c>
      <c r="N362" s="222"/>
      <c r="O362" s="222"/>
      <c r="P362" s="222">
        <v>0</v>
      </c>
      <c r="Q362" s="249">
        <f t="shared" si="22"/>
        <v>0</v>
      </c>
      <c r="R362" s="153" t="str">
        <f t="shared" si="21"/>
        <v>SI</v>
      </c>
      <c r="S362" s="223" t="str">
        <f t="shared" si="20"/>
        <v>Sin Riesgo</v>
      </c>
      <c r="T362" s="16"/>
    </row>
    <row r="363" spans="1:20" ht="39" customHeight="1" x14ac:dyDescent="0.2">
      <c r="A363" s="209" t="s">
        <v>177</v>
      </c>
      <c r="B363" s="519" t="s">
        <v>2504</v>
      </c>
      <c r="C363" s="462" t="s">
        <v>2505</v>
      </c>
      <c r="D363" s="116">
        <v>50</v>
      </c>
      <c r="E363" s="222">
        <v>0</v>
      </c>
      <c r="F363" s="222"/>
      <c r="G363" s="222">
        <v>0</v>
      </c>
      <c r="H363" s="222"/>
      <c r="I363" s="222"/>
      <c r="J363" s="222"/>
      <c r="K363" s="222">
        <v>0</v>
      </c>
      <c r="L363" s="222"/>
      <c r="M363" s="222">
        <v>0</v>
      </c>
      <c r="N363" s="222"/>
      <c r="O363" s="222"/>
      <c r="P363" s="222">
        <v>0</v>
      </c>
      <c r="Q363" s="249">
        <f t="shared" si="22"/>
        <v>0</v>
      </c>
      <c r="R363" s="153" t="str">
        <f t="shared" si="21"/>
        <v>SI</v>
      </c>
      <c r="S363" s="223" t="str">
        <f t="shared" si="20"/>
        <v>Sin Riesgo</v>
      </c>
      <c r="T363" s="16"/>
    </row>
    <row r="364" spans="1:20" ht="32.1" customHeight="1" x14ac:dyDescent="0.2">
      <c r="A364" s="209" t="s">
        <v>177</v>
      </c>
      <c r="B364" s="519" t="s">
        <v>2506</v>
      </c>
      <c r="C364" s="462" t="s">
        <v>2507</v>
      </c>
      <c r="D364" s="121">
        <v>24</v>
      </c>
      <c r="E364" s="222">
        <v>0</v>
      </c>
      <c r="F364" s="222"/>
      <c r="G364" s="222">
        <v>0</v>
      </c>
      <c r="H364" s="222"/>
      <c r="I364" s="222"/>
      <c r="J364" s="222">
        <v>0</v>
      </c>
      <c r="K364" s="222"/>
      <c r="L364" s="222">
        <v>0</v>
      </c>
      <c r="M364" s="222"/>
      <c r="N364" s="222">
        <v>0</v>
      </c>
      <c r="O364" s="222"/>
      <c r="P364" s="222"/>
      <c r="Q364" s="249">
        <f t="shared" si="22"/>
        <v>0</v>
      </c>
      <c r="R364" s="153" t="str">
        <f t="shared" si="21"/>
        <v>SI</v>
      </c>
      <c r="S364" s="223" t="str">
        <f t="shared" si="20"/>
        <v>Sin Riesgo</v>
      </c>
      <c r="T364" s="16"/>
    </row>
    <row r="365" spans="1:20" ht="46.5" customHeight="1" x14ac:dyDescent="0.2">
      <c r="A365" s="209" t="s">
        <v>177</v>
      </c>
      <c r="B365" s="519" t="s">
        <v>2508</v>
      </c>
      <c r="C365" s="462" t="s">
        <v>2509</v>
      </c>
      <c r="D365" s="121">
        <v>256</v>
      </c>
      <c r="E365" s="222"/>
      <c r="F365" s="222"/>
      <c r="G365" s="222"/>
      <c r="H365" s="222">
        <v>97.9</v>
      </c>
      <c r="I365" s="222"/>
      <c r="J365" s="222"/>
      <c r="K365" s="222"/>
      <c r="L365" s="222"/>
      <c r="M365" s="222"/>
      <c r="N365" s="222"/>
      <c r="O365" s="222"/>
      <c r="P365" s="222"/>
      <c r="Q365" s="249">
        <f t="shared" si="22"/>
        <v>97.9</v>
      </c>
      <c r="R365" s="153" t="str">
        <f t="shared" si="21"/>
        <v>NO</v>
      </c>
      <c r="S365" s="223" t="str">
        <f t="shared" si="20"/>
        <v>Inviable Sanitariamente</v>
      </c>
      <c r="T365" s="16"/>
    </row>
    <row r="366" spans="1:20" ht="32.1" customHeight="1" x14ac:dyDescent="0.2">
      <c r="A366" s="209" t="s">
        <v>177</v>
      </c>
      <c r="B366" s="519" t="s">
        <v>2510</v>
      </c>
      <c r="C366" s="462" t="s">
        <v>2511</v>
      </c>
      <c r="D366" s="221">
        <v>25</v>
      </c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>
        <v>97.9</v>
      </c>
      <c r="P366" s="222"/>
      <c r="Q366" s="249">
        <f t="shared" si="22"/>
        <v>97.9</v>
      </c>
      <c r="R366" s="153" t="str">
        <f t="shared" si="21"/>
        <v>NO</v>
      </c>
      <c r="S366" s="223" t="str">
        <f t="shared" si="20"/>
        <v>Inviable Sanitariamente</v>
      </c>
      <c r="T366" s="16"/>
    </row>
    <row r="367" spans="1:20" ht="32.1" customHeight="1" x14ac:dyDescent="0.2">
      <c r="A367" s="209" t="s">
        <v>177</v>
      </c>
      <c r="B367" s="519" t="s">
        <v>2512</v>
      </c>
      <c r="C367" s="462" t="s">
        <v>2513</v>
      </c>
      <c r="D367" s="121">
        <v>33</v>
      </c>
      <c r="E367" s="222"/>
      <c r="F367" s="222"/>
      <c r="G367" s="222"/>
      <c r="H367" s="222"/>
      <c r="I367" s="222"/>
      <c r="J367" s="222">
        <v>97.9</v>
      </c>
      <c r="K367" s="222"/>
      <c r="L367" s="222"/>
      <c r="M367" s="222">
        <v>97.9</v>
      </c>
      <c r="N367" s="222"/>
      <c r="O367" s="222"/>
      <c r="P367" s="222"/>
      <c r="Q367" s="249">
        <f t="shared" si="22"/>
        <v>97.9</v>
      </c>
      <c r="R367" s="153" t="str">
        <f t="shared" si="21"/>
        <v>NO</v>
      </c>
      <c r="S367" s="223" t="str">
        <f t="shared" si="20"/>
        <v>Inviable Sanitariamente</v>
      </c>
      <c r="T367" s="16"/>
    </row>
    <row r="368" spans="1:20" ht="32.1" customHeight="1" x14ac:dyDescent="0.2">
      <c r="A368" s="209" t="s">
        <v>177</v>
      </c>
      <c r="B368" s="519" t="s">
        <v>2514</v>
      </c>
      <c r="C368" s="462" t="s">
        <v>2515</v>
      </c>
      <c r="D368" s="121">
        <v>61</v>
      </c>
      <c r="E368" s="222"/>
      <c r="F368" s="222"/>
      <c r="G368" s="222"/>
      <c r="H368" s="222"/>
      <c r="I368" s="222"/>
      <c r="J368" s="222"/>
      <c r="K368" s="222"/>
      <c r="L368" s="222"/>
      <c r="M368" s="222">
        <v>97.9</v>
      </c>
      <c r="N368" s="222"/>
      <c r="O368" s="222"/>
      <c r="P368" s="222"/>
      <c r="Q368" s="249">
        <f t="shared" si="22"/>
        <v>97.9</v>
      </c>
      <c r="R368" s="153" t="str">
        <f t="shared" si="21"/>
        <v>NO</v>
      </c>
      <c r="S368" s="223" t="str">
        <f t="shared" si="20"/>
        <v>Inviable Sanitariamente</v>
      </c>
      <c r="T368" s="16"/>
    </row>
    <row r="369" spans="1:20" ht="32.1" customHeight="1" x14ac:dyDescent="0.2">
      <c r="A369" s="209" t="s">
        <v>177</v>
      </c>
      <c r="B369" s="519" t="s">
        <v>700</v>
      </c>
      <c r="C369" s="462" t="s">
        <v>1137</v>
      </c>
      <c r="D369" s="121">
        <v>34</v>
      </c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>
        <v>97.9</v>
      </c>
      <c r="P369" s="222"/>
      <c r="Q369" s="249">
        <f t="shared" si="22"/>
        <v>97.9</v>
      </c>
      <c r="R369" s="153" t="str">
        <f t="shared" si="21"/>
        <v>NO</v>
      </c>
      <c r="S369" s="223" t="str">
        <f t="shared" si="20"/>
        <v>Inviable Sanitariamente</v>
      </c>
      <c r="T369" s="16"/>
    </row>
    <row r="370" spans="1:20" ht="32.1" customHeight="1" x14ac:dyDescent="0.2">
      <c r="A370" s="209" t="s">
        <v>177</v>
      </c>
      <c r="B370" s="519" t="s">
        <v>78</v>
      </c>
      <c r="C370" s="462" t="s">
        <v>2516</v>
      </c>
      <c r="D370" s="121">
        <v>65</v>
      </c>
      <c r="E370" s="222"/>
      <c r="F370" s="222"/>
      <c r="G370" s="222"/>
      <c r="H370" s="222"/>
      <c r="I370" s="222"/>
      <c r="J370" s="222"/>
      <c r="K370" s="222"/>
      <c r="L370" s="222"/>
      <c r="M370" s="222">
        <v>97.9</v>
      </c>
      <c r="N370" s="222"/>
      <c r="O370" s="222"/>
      <c r="P370" s="222"/>
      <c r="Q370" s="249">
        <f t="shared" si="22"/>
        <v>97.9</v>
      </c>
      <c r="R370" s="153" t="str">
        <f t="shared" si="21"/>
        <v>NO</v>
      </c>
      <c r="S370" s="223" t="str">
        <f t="shared" si="20"/>
        <v>Inviable Sanitariamente</v>
      </c>
      <c r="T370" s="16"/>
    </row>
    <row r="371" spans="1:20" ht="32.1" customHeight="1" x14ac:dyDescent="0.2">
      <c r="A371" s="209" t="s">
        <v>177</v>
      </c>
      <c r="B371" s="519" t="s">
        <v>2517</v>
      </c>
      <c r="C371" s="462" t="s">
        <v>2518</v>
      </c>
      <c r="D371" s="121">
        <v>18</v>
      </c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49" t="e">
        <f t="shared" si="22"/>
        <v>#DIV/0!</v>
      </c>
      <c r="R371" s="153" t="e">
        <f t="shared" si="21"/>
        <v>#DIV/0!</v>
      </c>
      <c r="S371" s="223" t="e">
        <f t="shared" si="20"/>
        <v>#DIV/0!</v>
      </c>
      <c r="T371" s="16"/>
    </row>
    <row r="372" spans="1:20" ht="32.1" customHeight="1" x14ac:dyDescent="0.2">
      <c r="A372" s="209" t="s">
        <v>177</v>
      </c>
      <c r="B372" s="519" t="s">
        <v>2519</v>
      </c>
      <c r="C372" s="462" t="s">
        <v>2520</v>
      </c>
      <c r="D372" s="121">
        <v>23</v>
      </c>
      <c r="E372" s="222"/>
      <c r="F372" s="222"/>
      <c r="G372" s="222"/>
      <c r="H372" s="222"/>
      <c r="I372" s="222"/>
      <c r="J372" s="222"/>
      <c r="K372" s="222"/>
      <c r="L372" s="222">
        <v>97.9</v>
      </c>
      <c r="M372" s="222"/>
      <c r="N372" s="222"/>
      <c r="O372" s="222"/>
      <c r="P372" s="222"/>
      <c r="Q372" s="249">
        <f t="shared" si="22"/>
        <v>97.9</v>
      </c>
      <c r="R372" s="153" t="str">
        <f t="shared" si="21"/>
        <v>NO</v>
      </c>
      <c r="S372" s="223" t="str">
        <f t="shared" si="20"/>
        <v>Inviable Sanitariamente</v>
      </c>
      <c r="T372" s="16"/>
    </row>
    <row r="373" spans="1:20" ht="32.1" customHeight="1" x14ac:dyDescent="0.2">
      <c r="A373" s="209" t="s">
        <v>177</v>
      </c>
      <c r="B373" s="519" t="s">
        <v>2521</v>
      </c>
      <c r="C373" s="462" t="s">
        <v>2522</v>
      </c>
      <c r="D373" s="121">
        <v>28</v>
      </c>
      <c r="E373" s="222"/>
      <c r="F373" s="222"/>
      <c r="G373" s="222"/>
      <c r="H373" s="222"/>
      <c r="I373" s="222"/>
      <c r="J373" s="222"/>
      <c r="K373" s="222"/>
      <c r="L373" s="222"/>
      <c r="M373" s="222"/>
      <c r="N373" s="222">
        <v>97.9</v>
      </c>
      <c r="O373" s="222"/>
      <c r="P373" s="222"/>
      <c r="Q373" s="249">
        <f t="shared" si="22"/>
        <v>97.9</v>
      </c>
      <c r="R373" s="153" t="str">
        <f t="shared" si="21"/>
        <v>NO</v>
      </c>
      <c r="S373" s="223" t="str">
        <f t="shared" si="20"/>
        <v>Inviable Sanitariamente</v>
      </c>
      <c r="T373" s="16"/>
    </row>
    <row r="374" spans="1:20" s="18" customFormat="1" ht="32.1" customHeight="1" x14ac:dyDescent="0.2">
      <c r="A374" s="209" t="s">
        <v>177</v>
      </c>
      <c r="B374" s="519" t="s">
        <v>2523</v>
      </c>
      <c r="C374" s="462" t="s">
        <v>2524</v>
      </c>
      <c r="D374" s="121">
        <v>70</v>
      </c>
      <c r="E374" s="222"/>
      <c r="F374" s="222"/>
      <c r="G374" s="222"/>
      <c r="H374" s="222"/>
      <c r="I374" s="222">
        <v>97.9</v>
      </c>
      <c r="J374" s="222"/>
      <c r="K374" s="222"/>
      <c r="L374" s="222"/>
      <c r="M374" s="222"/>
      <c r="N374" s="222"/>
      <c r="O374" s="222"/>
      <c r="P374" s="222"/>
      <c r="Q374" s="249">
        <f t="shared" si="22"/>
        <v>97.9</v>
      </c>
      <c r="R374" s="153" t="str">
        <f t="shared" si="21"/>
        <v>NO</v>
      </c>
      <c r="S374" s="223" t="str">
        <f t="shared" si="20"/>
        <v>Inviable Sanitariamente</v>
      </c>
      <c r="T374" s="17"/>
    </row>
    <row r="375" spans="1:20" ht="32.1" customHeight="1" x14ac:dyDescent="0.2">
      <c r="A375" s="209" t="s">
        <v>177</v>
      </c>
      <c r="B375" s="519" t="s">
        <v>2525</v>
      </c>
      <c r="C375" s="462" t="s">
        <v>2526</v>
      </c>
      <c r="D375" s="121">
        <v>89</v>
      </c>
      <c r="E375" s="222"/>
      <c r="F375" s="222"/>
      <c r="G375" s="222"/>
      <c r="H375" s="222"/>
      <c r="I375" s="222"/>
      <c r="J375" s="222"/>
      <c r="K375" s="222">
        <v>97.9</v>
      </c>
      <c r="L375" s="222"/>
      <c r="M375" s="222"/>
      <c r="N375" s="222"/>
      <c r="O375" s="222"/>
      <c r="P375" s="222"/>
      <c r="Q375" s="249">
        <f t="shared" si="22"/>
        <v>97.9</v>
      </c>
      <c r="R375" s="153" t="str">
        <f t="shared" si="21"/>
        <v>NO</v>
      </c>
      <c r="S375" s="223" t="str">
        <f t="shared" si="20"/>
        <v>Inviable Sanitariamente</v>
      </c>
      <c r="T375" s="16"/>
    </row>
    <row r="376" spans="1:20" ht="32.1" customHeight="1" x14ac:dyDescent="0.2">
      <c r="A376" s="209" t="s">
        <v>177</v>
      </c>
      <c r="B376" s="519" t="s">
        <v>2527</v>
      </c>
      <c r="C376" s="462" t="s">
        <v>2528</v>
      </c>
      <c r="D376" s="155">
        <v>32</v>
      </c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49" t="e">
        <f t="shared" si="22"/>
        <v>#DIV/0!</v>
      </c>
      <c r="R376" s="153" t="e">
        <f t="shared" si="21"/>
        <v>#DIV/0!</v>
      </c>
      <c r="S376" s="223" t="e">
        <f t="shared" si="20"/>
        <v>#DIV/0!</v>
      </c>
      <c r="T376" s="16"/>
    </row>
    <row r="377" spans="1:20" ht="32.1" customHeight="1" x14ac:dyDescent="0.2">
      <c r="A377" s="209" t="s">
        <v>177</v>
      </c>
      <c r="B377" s="519" t="s">
        <v>2529</v>
      </c>
      <c r="C377" s="462" t="s">
        <v>2530</v>
      </c>
      <c r="D377" s="121">
        <v>115</v>
      </c>
      <c r="E377" s="222">
        <v>0</v>
      </c>
      <c r="F377" s="222"/>
      <c r="G377" s="222">
        <v>0</v>
      </c>
      <c r="H377" s="222"/>
      <c r="I377" s="222"/>
      <c r="J377" s="222">
        <v>0</v>
      </c>
      <c r="K377" s="222"/>
      <c r="L377" s="222">
        <v>0</v>
      </c>
      <c r="M377" s="222"/>
      <c r="N377" s="222">
        <v>0</v>
      </c>
      <c r="O377" s="222"/>
      <c r="P377" s="222"/>
      <c r="Q377" s="249">
        <f t="shared" si="22"/>
        <v>0</v>
      </c>
      <c r="R377" s="153" t="str">
        <f t="shared" si="21"/>
        <v>SI</v>
      </c>
      <c r="S377" s="223" t="str">
        <f t="shared" si="20"/>
        <v>Sin Riesgo</v>
      </c>
      <c r="T377" s="16"/>
    </row>
    <row r="378" spans="1:20" ht="32.1" customHeight="1" x14ac:dyDescent="0.2">
      <c r="A378" s="209" t="s">
        <v>177</v>
      </c>
      <c r="B378" s="519" t="s">
        <v>2531</v>
      </c>
      <c r="C378" s="462" t="s">
        <v>2532</v>
      </c>
      <c r="D378" s="121">
        <v>139</v>
      </c>
      <c r="E378" s="222"/>
      <c r="F378" s="222">
        <v>0</v>
      </c>
      <c r="G378" s="222"/>
      <c r="H378" s="222">
        <v>0</v>
      </c>
      <c r="I378" s="222"/>
      <c r="J378" s="222">
        <v>0</v>
      </c>
      <c r="K378" s="222"/>
      <c r="L378" s="222">
        <v>0</v>
      </c>
      <c r="M378" s="222"/>
      <c r="N378" s="222">
        <v>0</v>
      </c>
      <c r="O378" s="222"/>
      <c r="P378" s="222"/>
      <c r="Q378" s="249">
        <f t="shared" si="22"/>
        <v>0</v>
      </c>
      <c r="R378" s="153" t="str">
        <f t="shared" si="21"/>
        <v>SI</v>
      </c>
      <c r="S378" s="223" t="str">
        <f t="shared" si="20"/>
        <v>Sin Riesgo</v>
      </c>
      <c r="T378" s="16"/>
    </row>
    <row r="379" spans="1:20" ht="32.1" customHeight="1" x14ac:dyDescent="0.2">
      <c r="A379" s="209" t="s">
        <v>177</v>
      </c>
      <c r="B379" s="519" t="s">
        <v>2533</v>
      </c>
      <c r="C379" s="462" t="s">
        <v>2534</v>
      </c>
      <c r="D379" s="155">
        <v>35</v>
      </c>
      <c r="E379" s="222">
        <v>0</v>
      </c>
      <c r="F379" s="222"/>
      <c r="G379" s="222">
        <v>0</v>
      </c>
      <c r="H379" s="222"/>
      <c r="I379" s="222"/>
      <c r="J379" s="222">
        <v>0</v>
      </c>
      <c r="K379" s="222"/>
      <c r="L379" s="222">
        <v>0</v>
      </c>
      <c r="M379" s="222"/>
      <c r="N379" s="222">
        <v>0</v>
      </c>
      <c r="O379" s="222"/>
      <c r="P379" s="222"/>
      <c r="Q379" s="249">
        <f t="shared" si="22"/>
        <v>0</v>
      </c>
      <c r="R379" s="153" t="str">
        <f t="shared" si="21"/>
        <v>SI</v>
      </c>
      <c r="S379" s="223" t="str">
        <f t="shared" si="20"/>
        <v>Sin Riesgo</v>
      </c>
      <c r="T379" s="16"/>
    </row>
    <row r="380" spans="1:20" ht="32.1" customHeight="1" x14ac:dyDescent="0.2">
      <c r="A380" s="209" t="s">
        <v>177</v>
      </c>
      <c r="B380" s="519" t="s">
        <v>44</v>
      </c>
      <c r="C380" s="462" t="s">
        <v>2535</v>
      </c>
      <c r="D380" s="121">
        <v>36</v>
      </c>
      <c r="E380" s="222">
        <v>0</v>
      </c>
      <c r="F380" s="222"/>
      <c r="G380" s="222">
        <v>0</v>
      </c>
      <c r="H380" s="222"/>
      <c r="I380" s="222"/>
      <c r="J380" s="222">
        <v>0</v>
      </c>
      <c r="K380" s="222"/>
      <c r="L380" s="222">
        <v>0</v>
      </c>
      <c r="M380" s="222"/>
      <c r="N380" s="222">
        <v>0</v>
      </c>
      <c r="O380" s="222"/>
      <c r="P380" s="222"/>
      <c r="Q380" s="249">
        <f t="shared" si="22"/>
        <v>0</v>
      </c>
      <c r="R380" s="153" t="str">
        <f t="shared" si="21"/>
        <v>SI</v>
      </c>
      <c r="S380" s="223" t="str">
        <f t="shared" si="20"/>
        <v>Sin Riesgo</v>
      </c>
      <c r="T380" s="16"/>
    </row>
    <row r="381" spans="1:20" ht="32.1" customHeight="1" x14ac:dyDescent="0.2">
      <c r="A381" s="209" t="s">
        <v>177</v>
      </c>
      <c r="B381" s="519" t="s">
        <v>2536</v>
      </c>
      <c r="C381" s="462" t="s">
        <v>2537</v>
      </c>
      <c r="D381" s="155">
        <v>18</v>
      </c>
      <c r="E381" s="222"/>
      <c r="F381" s="222">
        <v>0</v>
      </c>
      <c r="G381" s="222"/>
      <c r="H381" s="222">
        <v>0</v>
      </c>
      <c r="I381" s="222"/>
      <c r="J381" s="222">
        <v>0</v>
      </c>
      <c r="K381" s="222"/>
      <c r="L381" s="222">
        <v>0</v>
      </c>
      <c r="M381" s="222"/>
      <c r="N381" s="222">
        <v>0</v>
      </c>
      <c r="O381" s="222"/>
      <c r="P381" s="222"/>
      <c r="Q381" s="249">
        <f t="shared" si="22"/>
        <v>0</v>
      </c>
      <c r="R381" s="153" t="str">
        <f t="shared" si="21"/>
        <v>SI</v>
      </c>
      <c r="S381" s="223" t="str">
        <f t="shared" si="20"/>
        <v>Sin Riesgo</v>
      </c>
      <c r="T381" s="16"/>
    </row>
    <row r="382" spans="1:20" ht="32.1" customHeight="1" x14ac:dyDescent="0.2">
      <c r="A382" s="209" t="s">
        <v>177</v>
      </c>
      <c r="B382" s="519" t="s">
        <v>64</v>
      </c>
      <c r="C382" s="462" t="s">
        <v>2538</v>
      </c>
      <c r="D382" s="155">
        <v>48</v>
      </c>
      <c r="E382" s="222">
        <v>0</v>
      </c>
      <c r="F382" s="222"/>
      <c r="G382" s="222">
        <v>0</v>
      </c>
      <c r="H382" s="222"/>
      <c r="I382" s="222"/>
      <c r="J382" s="222">
        <v>0</v>
      </c>
      <c r="K382" s="222"/>
      <c r="L382" s="222">
        <v>0</v>
      </c>
      <c r="M382" s="222"/>
      <c r="N382" s="222">
        <v>0</v>
      </c>
      <c r="O382" s="222"/>
      <c r="P382" s="222"/>
      <c r="Q382" s="249">
        <f t="shared" si="22"/>
        <v>0</v>
      </c>
      <c r="R382" s="153" t="str">
        <f t="shared" si="21"/>
        <v>SI</v>
      </c>
      <c r="S382" s="223" t="str">
        <f t="shared" si="20"/>
        <v>Sin Riesgo</v>
      </c>
      <c r="T382" s="16"/>
    </row>
    <row r="383" spans="1:20" ht="32.1" customHeight="1" x14ac:dyDescent="0.2">
      <c r="A383" s="209" t="s">
        <v>177</v>
      </c>
      <c r="B383" s="519" t="s">
        <v>2539</v>
      </c>
      <c r="C383" s="462" t="s">
        <v>2540</v>
      </c>
      <c r="D383" s="155">
        <v>143</v>
      </c>
      <c r="E383" s="222">
        <v>0</v>
      </c>
      <c r="F383" s="222"/>
      <c r="G383" s="222">
        <v>0</v>
      </c>
      <c r="H383" s="222"/>
      <c r="I383" s="222"/>
      <c r="J383" s="222">
        <v>0</v>
      </c>
      <c r="K383" s="222"/>
      <c r="L383" s="222">
        <v>0</v>
      </c>
      <c r="M383" s="222"/>
      <c r="N383" s="222">
        <v>0</v>
      </c>
      <c r="O383" s="222"/>
      <c r="P383" s="222"/>
      <c r="Q383" s="249">
        <f t="shared" si="22"/>
        <v>0</v>
      </c>
      <c r="R383" s="153" t="str">
        <f t="shared" si="21"/>
        <v>SI</v>
      </c>
      <c r="S383" s="223" t="str">
        <f t="shared" si="20"/>
        <v>Sin Riesgo</v>
      </c>
      <c r="T383" s="16"/>
    </row>
    <row r="384" spans="1:20" ht="32.1" customHeight="1" x14ac:dyDescent="0.2">
      <c r="A384" s="209" t="s">
        <v>177</v>
      </c>
      <c r="B384" s="519" t="s">
        <v>2541</v>
      </c>
      <c r="C384" s="462" t="s">
        <v>2542</v>
      </c>
      <c r="D384" s="155">
        <v>27</v>
      </c>
      <c r="E384" s="222">
        <v>0</v>
      </c>
      <c r="F384" s="222"/>
      <c r="G384" s="222">
        <v>0</v>
      </c>
      <c r="H384" s="222"/>
      <c r="I384" s="222"/>
      <c r="J384" s="222">
        <v>0</v>
      </c>
      <c r="K384" s="222"/>
      <c r="L384" s="222">
        <v>0</v>
      </c>
      <c r="M384" s="222"/>
      <c r="N384" s="222">
        <v>0</v>
      </c>
      <c r="O384" s="222"/>
      <c r="P384" s="222"/>
      <c r="Q384" s="249">
        <f t="shared" si="22"/>
        <v>0</v>
      </c>
      <c r="R384" s="153" t="str">
        <f t="shared" si="21"/>
        <v>SI</v>
      </c>
      <c r="S384" s="223" t="str">
        <f t="shared" si="20"/>
        <v>Sin Riesgo</v>
      </c>
      <c r="T384" s="16"/>
    </row>
    <row r="385" spans="1:20" ht="32.1" customHeight="1" x14ac:dyDescent="0.2">
      <c r="A385" s="209" t="s">
        <v>177</v>
      </c>
      <c r="B385" s="519" t="s">
        <v>2543</v>
      </c>
      <c r="C385" s="462" t="s">
        <v>2544</v>
      </c>
      <c r="D385" s="221">
        <v>40</v>
      </c>
      <c r="E385" s="222">
        <v>0</v>
      </c>
      <c r="F385" s="222"/>
      <c r="G385" s="222"/>
      <c r="H385" s="222">
        <v>0</v>
      </c>
      <c r="I385" s="222"/>
      <c r="J385" s="222">
        <v>0</v>
      </c>
      <c r="K385" s="222"/>
      <c r="L385" s="222">
        <v>0</v>
      </c>
      <c r="M385" s="222"/>
      <c r="N385" s="222">
        <v>0</v>
      </c>
      <c r="O385" s="222"/>
      <c r="P385" s="222"/>
      <c r="Q385" s="249">
        <f t="shared" si="22"/>
        <v>0</v>
      </c>
      <c r="R385" s="153" t="str">
        <f t="shared" si="21"/>
        <v>SI</v>
      </c>
      <c r="S385" s="223" t="str">
        <f t="shared" si="20"/>
        <v>Sin Riesgo</v>
      </c>
      <c r="T385" s="16"/>
    </row>
    <row r="386" spans="1:20" ht="32.1" customHeight="1" x14ac:dyDescent="0.2">
      <c r="A386" s="209" t="s">
        <v>177</v>
      </c>
      <c r="B386" s="520" t="s">
        <v>2545</v>
      </c>
      <c r="C386" s="464" t="s">
        <v>2546</v>
      </c>
      <c r="D386" s="247">
        <v>51</v>
      </c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>
        <v>97.9</v>
      </c>
      <c r="P386" s="222"/>
      <c r="Q386" s="249">
        <f t="shared" si="22"/>
        <v>97.9</v>
      </c>
      <c r="R386" s="153" t="str">
        <f t="shared" si="21"/>
        <v>NO</v>
      </c>
      <c r="S386" s="223" t="str">
        <f t="shared" si="20"/>
        <v>Inviable Sanitariamente</v>
      </c>
      <c r="T386" s="16"/>
    </row>
    <row r="387" spans="1:20" ht="32.1" customHeight="1" x14ac:dyDescent="0.2">
      <c r="A387" s="209" t="s">
        <v>177</v>
      </c>
      <c r="B387" s="520" t="s">
        <v>2547</v>
      </c>
      <c r="C387" s="464" t="s">
        <v>2548</v>
      </c>
      <c r="D387" s="221">
        <v>33</v>
      </c>
      <c r="E387" s="222">
        <v>0</v>
      </c>
      <c r="F387" s="222"/>
      <c r="G387" s="222">
        <v>0</v>
      </c>
      <c r="H387" s="222"/>
      <c r="I387" s="222"/>
      <c r="J387" s="222">
        <v>0</v>
      </c>
      <c r="K387" s="222"/>
      <c r="L387" s="222">
        <v>0</v>
      </c>
      <c r="M387" s="222"/>
      <c r="N387" s="222">
        <v>0</v>
      </c>
      <c r="O387" s="222"/>
      <c r="P387" s="222"/>
      <c r="Q387" s="249">
        <f t="shared" si="22"/>
        <v>0</v>
      </c>
      <c r="R387" s="153" t="str">
        <f t="shared" si="21"/>
        <v>SI</v>
      </c>
      <c r="S387" s="223" t="str">
        <f t="shared" si="20"/>
        <v>Sin Riesgo</v>
      </c>
      <c r="T387" s="16"/>
    </row>
    <row r="388" spans="1:20" ht="32.1" customHeight="1" x14ac:dyDescent="0.2">
      <c r="A388" s="209" t="s">
        <v>177</v>
      </c>
      <c r="B388" s="519" t="s">
        <v>2549</v>
      </c>
      <c r="C388" s="469" t="s">
        <v>2550</v>
      </c>
      <c r="D388" s="247">
        <v>102</v>
      </c>
      <c r="E388" s="222">
        <v>0</v>
      </c>
      <c r="F388" s="222"/>
      <c r="G388" s="222">
        <v>0</v>
      </c>
      <c r="H388" s="222"/>
      <c r="I388" s="222"/>
      <c r="J388" s="222">
        <v>0</v>
      </c>
      <c r="K388" s="222"/>
      <c r="L388" s="222">
        <v>0</v>
      </c>
      <c r="M388" s="222"/>
      <c r="N388" s="222">
        <v>0</v>
      </c>
      <c r="O388" s="222"/>
      <c r="P388" s="222"/>
      <c r="Q388" s="249">
        <f t="shared" si="22"/>
        <v>0</v>
      </c>
      <c r="R388" s="153" t="str">
        <f t="shared" si="21"/>
        <v>SI</v>
      </c>
      <c r="S388" s="223" t="str">
        <f t="shared" si="20"/>
        <v>Sin Riesgo</v>
      </c>
      <c r="T388" s="16"/>
    </row>
    <row r="389" spans="1:20" ht="32.1" customHeight="1" x14ac:dyDescent="0.2">
      <c r="A389" s="209" t="s">
        <v>177</v>
      </c>
      <c r="B389" s="520" t="s">
        <v>2551</v>
      </c>
      <c r="C389" s="469" t="s">
        <v>2552</v>
      </c>
      <c r="D389" s="121">
        <v>80</v>
      </c>
      <c r="E389" s="222"/>
      <c r="F389" s="222"/>
      <c r="G389" s="222"/>
      <c r="H389" s="222"/>
      <c r="I389" s="222"/>
      <c r="J389" s="222"/>
      <c r="K389" s="222"/>
      <c r="L389" s="222"/>
      <c r="M389" s="222">
        <v>97.9</v>
      </c>
      <c r="N389" s="222"/>
      <c r="O389" s="222"/>
      <c r="P389" s="222"/>
      <c r="Q389" s="249">
        <f t="shared" si="22"/>
        <v>97.9</v>
      </c>
      <c r="R389" s="153" t="str">
        <f t="shared" si="21"/>
        <v>NO</v>
      </c>
      <c r="S389" s="223" t="str">
        <f t="shared" si="20"/>
        <v>Inviable Sanitariamente</v>
      </c>
      <c r="T389" s="16"/>
    </row>
    <row r="390" spans="1:20" ht="32.1" customHeight="1" x14ac:dyDescent="0.2">
      <c r="A390" s="209" t="s">
        <v>177</v>
      </c>
      <c r="B390" s="520" t="s">
        <v>2553</v>
      </c>
      <c r="C390" s="464" t="s">
        <v>2554</v>
      </c>
      <c r="D390" s="247">
        <v>113</v>
      </c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49" t="e">
        <f t="shared" si="22"/>
        <v>#DIV/0!</v>
      </c>
      <c r="R390" s="153" t="e">
        <f t="shared" si="21"/>
        <v>#DIV/0!</v>
      </c>
      <c r="S390" s="223" t="e">
        <f t="shared" ref="S390:S453" si="23">IF(Q390&lt;5,"Sin Riesgo",IF(Q390 &lt;=14,"Bajo",IF(Q390&lt;=35,"Medio",IF(Q390&lt;=80,"Alto","Inviable Sanitariamente"))))</f>
        <v>#DIV/0!</v>
      </c>
      <c r="T390" s="16"/>
    </row>
    <row r="391" spans="1:20" ht="32.1" customHeight="1" x14ac:dyDescent="0.2">
      <c r="A391" s="209" t="s">
        <v>4126</v>
      </c>
      <c r="B391" s="520" t="s">
        <v>19</v>
      </c>
      <c r="C391" s="464" t="s">
        <v>2555</v>
      </c>
      <c r="D391" s="247">
        <v>45</v>
      </c>
      <c r="E391" s="222"/>
      <c r="F391" s="222"/>
      <c r="G391" s="222"/>
      <c r="H391" s="222"/>
      <c r="I391" s="222">
        <v>62.94</v>
      </c>
      <c r="J391" s="222"/>
      <c r="K391" s="222"/>
      <c r="L391" s="222"/>
      <c r="M391" s="222"/>
      <c r="N391" s="222"/>
      <c r="O391" s="222">
        <v>62.94</v>
      </c>
      <c r="P391" s="222"/>
      <c r="Q391" s="249">
        <f t="shared" si="22"/>
        <v>62.94</v>
      </c>
      <c r="R391" s="153" t="str">
        <f t="shared" si="21"/>
        <v>NO</v>
      </c>
      <c r="S391" s="223" t="str">
        <f t="shared" si="23"/>
        <v>Alto</v>
      </c>
      <c r="T391" s="16"/>
    </row>
    <row r="392" spans="1:20" ht="32.1" customHeight="1" x14ac:dyDescent="0.2">
      <c r="A392" s="209" t="s">
        <v>4126</v>
      </c>
      <c r="B392" s="519" t="s">
        <v>2556</v>
      </c>
      <c r="C392" s="462" t="s">
        <v>2557</v>
      </c>
      <c r="D392" s="247">
        <v>250</v>
      </c>
      <c r="E392" s="222">
        <v>0</v>
      </c>
      <c r="F392" s="222">
        <v>0</v>
      </c>
      <c r="G392" s="222">
        <v>0</v>
      </c>
      <c r="H392" s="222">
        <v>0</v>
      </c>
      <c r="I392" s="222">
        <v>0</v>
      </c>
      <c r="J392" s="222">
        <v>0</v>
      </c>
      <c r="K392" s="222">
        <v>0</v>
      </c>
      <c r="L392" s="222">
        <v>0</v>
      </c>
      <c r="M392" s="222">
        <v>0</v>
      </c>
      <c r="N392" s="222">
        <v>0</v>
      </c>
      <c r="O392" s="222">
        <v>0</v>
      </c>
      <c r="P392" s="222"/>
      <c r="Q392" s="249">
        <f t="shared" si="22"/>
        <v>0</v>
      </c>
      <c r="R392" s="153" t="str">
        <f t="shared" si="21"/>
        <v>SI</v>
      </c>
      <c r="S392" s="223" t="str">
        <f t="shared" si="23"/>
        <v>Sin Riesgo</v>
      </c>
      <c r="T392" s="16"/>
    </row>
    <row r="393" spans="1:20" ht="32.1" customHeight="1" x14ac:dyDescent="0.2">
      <c r="A393" s="209" t="s">
        <v>4126</v>
      </c>
      <c r="B393" s="520" t="s">
        <v>2514</v>
      </c>
      <c r="C393" s="464" t="s">
        <v>2558</v>
      </c>
      <c r="D393" s="247">
        <v>108</v>
      </c>
      <c r="E393" s="222"/>
      <c r="F393" s="222"/>
      <c r="G393" s="222"/>
      <c r="H393" s="222"/>
      <c r="I393" s="222"/>
      <c r="J393" s="222"/>
      <c r="K393" s="222"/>
      <c r="L393" s="222"/>
      <c r="M393" s="222">
        <v>97.9</v>
      </c>
      <c r="N393" s="222"/>
      <c r="O393" s="222"/>
      <c r="P393" s="222"/>
      <c r="Q393" s="249">
        <f t="shared" si="22"/>
        <v>97.9</v>
      </c>
      <c r="R393" s="153" t="str">
        <f t="shared" si="21"/>
        <v>NO</v>
      </c>
      <c r="S393" s="223" t="str">
        <f t="shared" si="23"/>
        <v>Inviable Sanitariamente</v>
      </c>
      <c r="T393" s="16"/>
    </row>
    <row r="394" spans="1:20" ht="32.1" customHeight="1" x14ac:dyDescent="0.2">
      <c r="A394" s="209" t="s">
        <v>4126</v>
      </c>
      <c r="B394" s="520" t="s">
        <v>2559</v>
      </c>
      <c r="C394" s="464" t="s">
        <v>2560</v>
      </c>
      <c r="D394" s="247">
        <v>288</v>
      </c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>
        <v>97.9</v>
      </c>
      <c r="P394" s="222"/>
      <c r="Q394" s="249">
        <f t="shared" si="22"/>
        <v>97.9</v>
      </c>
      <c r="R394" s="153" t="str">
        <f t="shared" si="21"/>
        <v>NO</v>
      </c>
      <c r="S394" s="223" t="str">
        <f t="shared" si="23"/>
        <v>Inviable Sanitariamente</v>
      </c>
      <c r="T394" s="16"/>
    </row>
    <row r="395" spans="1:20" ht="32.1" customHeight="1" x14ac:dyDescent="0.2">
      <c r="A395" s="209" t="s">
        <v>4126</v>
      </c>
      <c r="B395" s="520" t="s">
        <v>2561</v>
      </c>
      <c r="C395" s="469" t="s">
        <v>2562</v>
      </c>
      <c r="D395" s="247">
        <v>72</v>
      </c>
      <c r="E395" s="222"/>
      <c r="F395" s="222"/>
      <c r="G395" s="222"/>
      <c r="H395" s="222"/>
      <c r="I395" s="222"/>
      <c r="J395" s="222"/>
      <c r="K395" s="222"/>
      <c r="L395" s="222"/>
      <c r="M395" s="222">
        <v>97.9</v>
      </c>
      <c r="N395" s="222"/>
      <c r="O395" s="222"/>
      <c r="P395" s="222"/>
      <c r="Q395" s="249">
        <f t="shared" si="22"/>
        <v>97.9</v>
      </c>
      <c r="R395" s="153" t="str">
        <f t="shared" si="21"/>
        <v>NO</v>
      </c>
      <c r="S395" s="223" t="str">
        <f t="shared" si="23"/>
        <v>Inviable Sanitariamente</v>
      </c>
      <c r="T395" s="16"/>
    </row>
    <row r="396" spans="1:20" ht="32.1" customHeight="1" x14ac:dyDescent="0.2">
      <c r="A396" s="209" t="s">
        <v>4126</v>
      </c>
      <c r="B396" s="520" t="s">
        <v>1546</v>
      </c>
      <c r="C396" s="464" t="s">
        <v>2563</v>
      </c>
      <c r="D396" s="247">
        <v>34</v>
      </c>
      <c r="E396" s="222"/>
      <c r="F396" s="222"/>
      <c r="G396" s="222"/>
      <c r="H396" s="222"/>
      <c r="I396" s="222"/>
      <c r="J396" s="222"/>
      <c r="K396" s="222"/>
      <c r="L396" s="222">
        <v>97.35</v>
      </c>
      <c r="M396" s="222"/>
      <c r="N396" s="222"/>
      <c r="O396" s="222"/>
      <c r="P396" s="222"/>
      <c r="Q396" s="249">
        <f t="shared" si="22"/>
        <v>97.35</v>
      </c>
      <c r="R396" s="153" t="str">
        <f t="shared" si="21"/>
        <v>NO</v>
      </c>
      <c r="S396" s="223" t="str">
        <f t="shared" si="23"/>
        <v>Inviable Sanitariamente</v>
      </c>
      <c r="T396" s="16"/>
    </row>
    <row r="397" spans="1:20" ht="32.1" customHeight="1" x14ac:dyDescent="0.2">
      <c r="A397" s="209" t="s">
        <v>4126</v>
      </c>
      <c r="B397" s="520" t="s">
        <v>2564</v>
      </c>
      <c r="C397" s="464" t="s">
        <v>2565</v>
      </c>
      <c r="D397" s="247">
        <v>40</v>
      </c>
      <c r="E397" s="222"/>
      <c r="F397" s="222"/>
      <c r="G397" s="222"/>
      <c r="H397" s="222"/>
      <c r="I397" s="222"/>
      <c r="J397" s="222"/>
      <c r="K397" s="222"/>
      <c r="L397" s="222"/>
      <c r="M397" s="222">
        <v>76.92</v>
      </c>
      <c r="N397" s="222"/>
      <c r="O397" s="222"/>
      <c r="P397" s="222"/>
      <c r="Q397" s="249">
        <f t="shared" si="22"/>
        <v>76.92</v>
      </c>
      <c r="R397" s="153" t="str">
        <f t="shared" si="21"/>
        <v>NO</v>
      </c>
      <c r="S397" s="223" t="str">
        <f t="shared" si="23"/>
        <v>Alto</v>
      </c>
      <c r="T397" s="16"/>
    </row>
    <row r="398" spans="1:20" ht="32.1" customHeight="1" x14ac:dyDescent="0.2">
      <c r="A398" s="209" t="s">
        <v>4126</v>
      </c>
      <c r="B398" s="520" t="s">
        <v>2566</v>
      </c>
      <c r="C398" s="469" t="s">
        <v>2567</v>
      </c>
      <c r="D398" s="248">
        <v>17</v>
      </c>
      <c r="E398" s="222">
        <v>97.35</v>
      </c>
      <c r="F398" s="222"/>
      <c r="G398" s="222"/>
      <c r="H398" s="222"/>
      <c r="I398" s="222"/>
      <c r="J398" s="222"/>
      <c r="K398" s="222"/>
      <c r="L398" s="222"/>
      <c r="M398" s="222">
        <v>62.92</v>
      </c>
      <c r="N398" s="222"/>
      <c r="O398" s="222"/>
      <c r="P398" s="222"/>
      <c r="Q398" s="249">
        <f t="shared" si="22"/>
        <v>80.134999999999991</v>
      </c>
      <c r="R398" s="153" t="str">
        <f t="shared" si="21"/>
        <v>NO</v>
      </c>
      <c r="S398" s="223" t="str">
        <f t="shared" si="23"/>
        <v>Inviable Sanitariamente</v>
      </c>
      <c r="T398" s="16"/>
    </row>
    <row r="399" spans="1:20" ht="32.1" customHeight="1" x14ac:dyDescent="0.2">
      <c r="A399" s="209" t="s">
        <v>4126</v>
      </c>
      <c r="B399" s="519" t="s">
        <v>2568</v>
      </c>
      <c r="C399" s="469" t="s">
        <v>2569</v>
      </c>
      <c r="D399" s="247">
        <v>247</v>
      </c>
      <c r="E399" s="222">
        <v>76.900000000000006</v>
      </c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49">
        <f t="shared" si="22"/>
        <v>76.900000000000006</v>
      </c>
      <c r="R399" s="153" t="str">
        <f t="shared" si="21"/>
        <v>NO</v>
      </c>
      <c r="S399" s="223" t="str">
        <f t="shared" si="23"/>
        <v>Alto</v>
      </c>
      <c r="T399" s="16"/>
    </row>
    <row r="400" spans="1:20" ht="32.1" customHeight="1" x14ac:dyDescent="0.2">
      <c r="A400" s="209" t="s">
        <v>4126</v>
      </c>
      <c r="B400" s="520" t="s">
        <v>2570</v>
      </c>
      <c r="C400" s="469" t="s">
        <v>2571</v>
      </c>
      <c r="D400" s="247">
        <v>247</v>
      </c>
      <c r="E400" s="222"/>
      <c r="F400" s="222"/>
      <c r="G400" s="222"/>
      <c r="H400" s="222"/>
      <c r="I400" s="222"/>
      <c r="J400" s="222">
        <v>53.1</v>
      </c>
      <c r="K400" s="222"/>
      <c r="L400" s="222"/>
      <c r="M400" s="222">
        <v>41.96</v>
      </c>
      <c r="N400" s="222"/>
      <c r="O400" s="222"/>
      <c r="P400" s="222"/>
      <c r="Q400" s="249">
        <f t="shared" si="22"/>
        <v>47.53</v>
      </c>
      <c r="R400" s="153" t="str">
        <f t="shared" si="21"/>
        <v>NO</v>
      </c>
      <c r="S400" s="223" t="str">
        <f t="shared" si="23"/>
        <v>Alto</v>
      </c>
      <c r="T400" s="16"/>
    </row>
    <row r="401" spans="1:20" ht="32.1" customHeight="1" x14ac:dyDescent="0.2">
      <c r="A401" s="209" t="s">
        <v>4126</v>
      </c>
      <c r="B401" s="519" t="s">
        <v>2572</v>
      </c>
      <c r="C401" s="469" t="s">
        <v>2573</v>
      </c>
      <c r="D401" s="116">
        <v>182</v>
      </c>
      <c r="E401" s="222">
        <v>0</v>
      </c>
      <c r="F401" s="222"/>
      <c r="G401" s="222">
        <v>0</v>
      </c>
      <c r="H401" s="222"/>
      <c r="I401" s="222">
        <v>0</v>
      </c>
      <c r="J401" s="222"/>
      <c r="K401" s="222">
        <v>0</v>
      </c>
      <c r="L401" s="222"/>
      <c r="M401" s="222"/>
      <c r="N401" s="222"/>
      <c r="O401" s="222">
        <v>0</v>
      </c>
      <c r="P401" s="222"/>
      <c r="Q401" s="249">
        <f t="shared" si="22"/>
        <v>0</v>
      </c>
      <c r="R401" s="153" t="str">
        <f t="shared" si="21"/>
        <v>SI</v>
      </c>
      <c r="S401" s="223" t="str">
        <f t="shared" si="23"/>
        <v>Sin Riesgo</v>
      </c>
      <c r="T401" s="16"/>
    </row>
    <row r="402" spans="1:20" ht="32.1" customHeight="1" x14ac:dyDescent="0.2">
      <c r="A402" s="209" t="s">
        <v>4126</v>
      </c>
      <c r="B402" s="519" t="s">
        <v>2574</v>
      </c>
      <c r="C402" s="469" t="s">
        <v>2575</v>
      </c>
      <c r="D402" s="247">
        <v>182</v>
      </c>
      <c r="E402" s="222">
        <v>0</v>
      </c>
      <c r="F402" s="222"/>
      <c r="G402" s="222">
        <v>0</v>
      </c>
      <c r="H402" s="222"/>
      <c r="I402" s="222">
        <v>0</v>
      </c>
      <c r="J402" s="222"/>
      <c r="K402" s="222">
        <v>0</v>
      </c>
      <c r="L402" s="222"/>
      <c r="M402" s="222"/>
      <c r="N402" s="222"/>
      <c r="O402" s="222">
        <v>0</v>
      </c>
      <c r="P402" s="222"/>
      <c r="Q402" s="249">
        <f t="shared" si="22"/>
        <v>0</v>
      </c>
      <c r="R402" s="153" t="str">
        <f t="shared" si="21"/>
        <v>SI</v>
      </c>
      <c r="S402" s="223" t="str">
        <f t="shared" si="23"/>
        <v>Sin Riesgo</v>
      </c>
      <c r="T402" s="16"/>
    </row>
    <row r="403" spans="1:20" ht="32.1" customHeight="1" x14ac:dyDescent="0.2">
      <c r="A403" s="209" t="s">
        <v>4126</v>
      </c>
      <c r="B403" s="520" t="s">
        <v>1118</v>
      </c>
      <c r="C403" s="464" t="s">
        <v>2576</v>
      </c>
      <c r="D403" s="221">
        <v>182</v>
      </c>
      <c r="E403" s="222">
        <v>0</v>
      </c>
      <c r="F403" s="222"/>
      <c r="G403" s="222">
        <v>0</v>
      </c>
      <c r="H403" s="222"/>
      <c r="I403" s="222">
        <v>0</v>
      </c>
      <c r="J403" s="222"/>
      <c r="K403" s="222">
        <v>0</v>
      </c>
      <c r="L403" s="222"/>
      <c r="M403" s="222"/>
      <c r="N403" s="222">
        <v>0</v>
      </c>
      <c r="O403" s="222"/>
      <c r="P403" s="222"/>
      <c r="Q403" s="249">
        <f t="shared" si="22"/>
        <v>0</v>
      </c>
      <c r="R403" s="153" t="str">
        <f t="shared" si="21"/>
        <v>SI</v>
      </c>
      <c r="S403" s="223" t="str">
        <f t="shared" si="23"/>
        <v>Sin Riesgo</v>
      </c>
      <c r="T403" s="16"/>
    </row>
    <row r="404" spans="1:20" ht="32.1" customHeight="1" x14ac:dyDescent="0.2">
      <c r="A404" s="209" t="s">
        <v>4126</v>
      </c>
      <c r="B404" s="519" t="s">
        <v>2577</v>
      </c>
      <c r="C404" s="469" t="s">
        <v>2578</v>
      </c>
      <c r="D404" s="116">
        <v>350</v>
      </c>
      <c r="E404" s="222"/>
      <c r="F404" s="222">
        <v>0</v>
      </c>
      <c r="G404" s="222"/>
      <c r="H404" s="222">
        <v>0</v>
      </c>
      <c r="I404" s="222"/>
      <c r="J404" s="222">
        <v>0</v>
      </c>
      <c r="K404" s="222"/>
      <c r="L404" s="222">
        <v>0</v>
      </c>
      <c r="M404" s="222"/>
      <c r="N404" s="222">
        <v>0</v>
      </c>
      <c r="O404" s="222"/>
      <c r="P404" s="222"/>
      <c r="Q404" s="249">
        <f t="shared" si="22"/>
        <v>0</v>
      </c>
      <c r="R404" s="153" t="str">
        <f t="shared" si="21"/>
        <v>SI</v>
      </c>
      <c r="S404" s="223" t="str">
        <f t="shared" si="23"/>
        <v>Sin Riesgo</v>
      </c>
      <c r="T404" s="16"/>
    </row>
    <row r="405" spans="1:20" ht="32.1" customHeight="1" x14ac:dyDescent="0.2">
      <c r="A405" s="209" t="s">
        <v>4126</v>
      </c>
      <c r="B405" s="520" t="s">
        <v>2579</v>
      </c>
      <c r="C405" s="464" t="s">
        <v>2579</v>
      </c>
      <c r="D405" s="247">
        <v>350</v>
      </c>
      <c r="E405" s="222"/>
      <c r="F405" s="222">
        <v>0</v>
      </c>
      <c r="G405" s="222"/>
      <c r="H405" s="222">
        <v>0</v>
      </c>
      <c r="I405" s="222"/>
      <c r="J405" s="222">
        <v>0</v>
      </c>
      <c r="K405" s="222"/>
      <c r="L405" s="222">
        <v>0</v>
      </c>
      <c r="M405" s="222">
        <v>0</v>
      </c>
      <c r="N405" s="222"/>
      <c r="O405" s="222"/>
      <c r="P405" s="222"/>
      <c r="Q405" s="249">
        <f t="shared" si="22"/>
        <v>0</v>
      </c>
      <c r="R405" s="153" t="str">
        <f t="shared" si="21"/>
        <v>SI</v>
      </c>
      <c r="S405" s="223" t="str">
        <f t="shared" si="23"/>
        <v>Sin Riesgo</v>
      </c>
      <c r="T405" s="16"/>
    </row>
    <row r="406" spans="1:20" ht="32.1" customHeight="1" x14ac:dyDescent="0.2">
      <c r="A406" s="209" t="s">
        <v>4126</v>
      </c>
      <c r="B406" s="520" t="s">
        <v>2580</v>
      </c>
      <c r="C406" s="464" t="s">
        <v>2581</v>
      </c>
      <c r="D406" s="221">
        <v>48</v>
      </c>
      <c r="E406" s="222"/>
      <c r="F406" s="222">
        <v>62.9</v>
      </c>
      <c r="G406" s="222"/>
      <c r="H406" s="222"/>
      <c r="I406" s="222"/>
      <c r="J406" s="222"/>
      <c r="K406" s="222"/>
      <c r="L406" s="222"/>
      <c r="M406" s="222"/>
      <c r="N406" s="222">
        <v>62.9</v>
      </c>
      <c r="O406" s="222"/>
      <c r="P406" s="222"/>
      <c r="Q406" s="249">
        <f t="shared" si="22"/>
        <v>62.9</v>
      </c>
      <c r="R406" s="153" t="str">
        <f t="shared" si="21"/>
        <v>NO</v>
      </c>
      <c r="S406" s="223" t="str">
        <f t="shared" si="23"/>
        <v>Alto</v>
      </c>
      <c r="T406" s="16"/>
    </row>
    <row r="407" spans="1:20" ht="32.1" customHeight="1" x14ac:dyDescent="0.2">
      <c r="A407" s="209" t="s">
        <v>4126</v>
      </c>
      <c r="B407" s="519" t="s">
        <v>99</v>
      </c>
      <c r="C407" s="469" t="s">
        <v>2582</v>
      </c>
      <c r="D407" s="247">
        <v>180</v>
      </c>
      <c r="E407" s="222"/>
      <c r="F407" s="222"/>
      <c r="G407" s="222"/>
      <c r="H407" s="222">
        <v>62.9</v>
      </c>
      <c r="I407" s="222"/>
      <c r="J407" s="222"/>
      <c r="K407" s="222"/>
      <c r="L407" s="222"/>
      <c r="M407" s="222"/>
      <c r="N407" s="222">
        <v>62.9</v>
      </c>
      <c r="O407" s="222"/>
      <c r="P407" s="222"/>
      <c r="Q407" s="249">
        <f t="shared" si="22"/>
        <v>62.9</v>
      </c>
      <c r="R407" s="153" t="str">
        <f t="shared" si="21"/>
        <v>NO</v>
      </c>
      <c r="S407" s="223" t="str">
        <f t="shared" si="23"/>
        <v>Alto</v>
      </c>
      <c r="T407" s="16"/>
    </row>
    <row r="408" spans="1:20" ht="32.1" customHeight="1" x14ac:dyDescent="0.2">
      <c r="A408" s="209" t="s">
        <v>4126</v>
      </c>
      <c r="B408" s="520" t="s">
        <v>906</v>
      </c>
      <c r="C408" s="464" t="s">
        <v>2583</v>
      </c>
      <c r="D408" s="221">
        <v>350</v>
      </c>
      <c r="E408" s="222"/>
      <c r="F408" s="222">
        <v>0</v>
      </c>
      <c r="G408" s="222"/>
      <c r="H408" s="222">
        <v>0</v>
      </c>
      <c r="I408" s="222"/>
      <c r="J408" s="222">
        <v>0</v>
      </c>
      <c r="K408" s="222"/>
      <c r="L408" s="222">
        <v>0</v>
      </c>
      <c r="M408" s="222"/>
      <c r="N408" s="222">
        <v>0</v>
      </c>
      <c r="O408" s="222"/>
      <c r="P408" s="222"/>
      <c r="Q408" s="249">
        <f t="shared" si="22"/>
        <v>0</v>
      </c>
      <c r="R408" s="153" t="str">
        <f t="shared" si="21"/>
        <v>SI</v>
      </c>
      <c r="S408" s="223" t="str">
        <f t="shared" si="23"/>
        <v>Sin Riesgo</v>
      </c>
      <c r="T408" s="16"/>
    </row>
    <row r="409" spans="1:20" ht="32.1" customHeight="1" x14ac:dyDescent="0.2">
      <c r="A409" s="209" t="s">
        <v>4126</v>
      </c>
      <c r="B409" s="520" t="s">
        <v>1407</v>
      </c>
      <c r="C409" s="469" t="s">
        <v>2584</v>
      </c>
      <c r="D409" s="221">
        <v>74</v>
      </c>
      <c r="E409" s="222"/>
      <c r="F409" s="222">
        <v>62.94</v>
      </c>
      <c r="G409" s="222"/>
      <c r="H409" s="222"/>
      <c r="I409" s="222"/>
      <c r="J409" s="222"/>
      <c r="K409" s="222"/>
      <c r="L409" s="222"/>
      <c r="M409" s="222">
        <v>62.94</v>
      </c>
      <c r="N409" s="222"/>
      <c r="O409" s="222" t="s">
        <v>1723</v>
      </c>
      <c r="P409" s="222"/>
      <c r="Q409" s="249">
        <f t="shared" si="22"/>
        <v>62.94</v>
      </c>
      <c r="R409" s="153" t="str">
        <f t="shared" si="21"/>
        <v>NO</v>
      </c>
      <c r="S409" s="223" t="str">
        <f t="shared" si="23"/>
        <v>Alto</v>
      </c>
      <c r="T409" s="16"/>
    </row>
    <row r="410" spans="1:20" ht="32.1" customHeight="1" x14ac:dyDescent="0.2">
      <c r="A410" s="209" t="s">
        <v>4126</v>
      </c>
      <c r="B410" s="519" t="s">
        <v>2585</v>
      </c>
      <c r="C410" s="469" t="s">
        <v>2586</v>
      </c>
      <c r="D410" s="247">
        <v>114</v>
      </c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49" t="e">
        <f t="shared" si="22"/>
        <v>#DIV/0!</v>
      </c>
      <c r="R410" s="153" t="e">
        <f t="shared" si="21"/>
        <v>#DIV/0!</v>
      </c>
      <c r="S410" s="223" t="e">
        <f t="shared" si="23"/>
        <v>#DIV/0!</v>
      </c>
      <c r="T410" s="16"/>
    </row>
    <row r="411" spans="1:20" ht="32.1" customHeight="1" x14ac:dyDescent="0.2">
      <c r="A411" s="209" t="s">
        <v>4126</v>
      </c>
      <c r="B411" s="520" t="s">
        <v>2587</v>
      </c>
      <c r="C411" s="464" t="s">
        <v>2588</v>
      </c>
      <c r="D411" s="247">
        <v>114</v>
      </c>
      <c r="E411" s="222"/>
      <c r="F411" s="222"/>
      <c r="G411" s="222"/>
      <c r="H411" s="222"/>
      <c r="I411" s="222">
        <v>97.9</v>
      </c>
      <c r="J411" s="222"/>
      <c r="K411" s="222"/>
      <c r="L411" s="222"/>
      <c r="M411" s="222"/>
      <c r="N411" s="222"/>
      <c r="O411" s="222"/>
      <c r="P411" s="222"/>
      <c r="Q411" s="249">
        <f t="shared" si="22"/>
        <v>97.9</v>
      </c>
      <c r="R411" s="153" t="str">
        <f t="shared" si="21"/>
        <v>NO</v>
      </c>
      <c r="S411" s="223" t="str">
        <f t="shared" si="23"/>
        <v>Inviable Sanitariamente</v>
      </c>
      <c r="T411" s="16"/>
    </row>
    <row r="412" spans="1:20" ht="32.1" customHeight="1" x14ac:dyDescent="0.2">
      <c r="A412" s="209" t="s">
        <v>4126</v>
      </c>
      <c r="B412" s="520" t="s">
        <v>632</v>
      </c>
      <c r="C412" s="464" t="s">
        <v>2589</v>
      </c>
      <c r="D412" s="247">
        <v>114</v>
      </c>
      <c r="E412" s="222">
        <v>97.35</v>
      </c>
      <c r="F412" s="222"/>
      <c r="G412" s="222"/>
      <c r="H412" s="222"/>
      <c r="I412" s="222"/>
      <c r="J412" s="222"/>
      <c r="K412" s="222"/>
      <c r="L412" s="222"/>
      <c r="M412" s="222">
        <v>76.92</v>
      </c>
      <c r="N412" s="222"/>
      <c r="O412" s="222"/>
      <c r="P412" s="222"/>
      <c r="Q412" s="249">
        <f t="shared" si="22"/>
        <v>87.134999999999991</v>
      </c>
      <c r="R412" s="153" t="str">
        <f t="shared" si="21"/>
        <v>NO</v>
      </c>
      <c r="S412" s="223" t="str">
        <f t="shared" si="23"/>
        <v>Inviable Sanitariamente</v>
      </c>
      <c r="T412" s="16"/>
    </row>
    <row r="413" spans="1:20" ht="32.1" customHeight="1" x14ac:dyDescent="0.2">
      <c r="A413" s="209" t="s">
        <v>4126</v>
      </c>
      <c r="B413" s="99" t="s">
        <v>2590</v>
      </c>
      <c r="C413" s="469" t="s">
        <v>2591</v>
      </c>
      <c r="D413" s="121">
        <v>247</v>
      </c>
      <c r="E413" s="222"/>
      <c r="F413" s="222">
        <v>97.9</v>
      </c>
      <c r="G413" s="222"/>
      <c r="H413" s="222"/>
      <c r="I413" s="222">
        <v>62.94</v>
      </c>
      <c r="J413" s="222"/>
      <c r="K413" s="222"/>
      <c r="L413" s="222"/>
      <c r="M413" s="222"/>
      <c r="N413" s="222"/>
      <c r="O413" s="222"/>
      <c r="P413" s="222"/>
      <c r="Q413" s="249">
        <f t="shared" si="22"/>
        <v>80.42</v>
      </c>
      <c r="R413" s="153" t="str">
        <f t="shared" si="21"/>
        <v>NO</v>
      </c>
      <c r="S413" s="223" t="str">
        <f t="shared" si="23"/>
        <v>Inviable Sanitariamente</v>
      </c>
      <c r="T413" s="16"/>
    </row>
    <row r="414" spans="1:20" ht="32.1" customHeight="1" x14ac:dyDescent="0.2">
      <c r="A414" s="209" t="s">
        <v>4126</v>
      </c>
      <c r="B414" s="519" t="s">
        <v>2</v>
      </c>
      <c r="C414" s="462" t="s">
        <v>2592</v>
      </c>
      <c r="D414" s="247">
        <v>247</v>
      </c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49" t="e">
        <f t="shared" si="22"/>
        <v>#DIV/0!</v>
      </c>
      <c r="R414" s="153" t="e">
        <f t="shared" si="21"/>
        <v>#DIV/0!</v>
      </c>
      <c r="S414" s="223" t="e">
        <f t="shared" si="23"/>
        <v>#DIV/0!</v>
      </c>
      <c r="T414" s="16"/>
    </row>
    <row r="415" spans="1:20" ht="32.1" customHeight="1" x14ac:dyDescent="0.2">
      <c r="A415" s="209" t="s">
        <v>4126</v>
      </c>
      <c r="B415" s="520" t="s">
        <v>1</v>
      </c>
      <c r="C415" s="469" t="s">
        <v>2593</v>
      </c>
      <c r="D415" s="247">
        <v>247</v>
      </c>
      <c r="E415" s="222"/>
      <c r="F415" s="222">
        <v>76.92</v>
      </c>
      <c r="G415" s="222"/>
      <c r="H415" s="222"/>
      <c r="I415" s="222">
        <v>41.96</v>
      </c>
      <c r="J415" s="222"/>
      <c r="K415" s="222"/>
      <c r="L415" s="222"/>
      <c r="M415" s="222"/>
      <c r="N415" s="222">
        <v>76.900000000000006</v>
      </c>
      <c r="O415" s="222"/>
      <c r="P415" s="222"/>
      <c r="Q415" s="249">
        <f t="shared" si="22"/>
        <v>65.260000000000005</v>
      </c>
      <c r="R415" s="153" t="str">
        <f t="shared" si="21"/>
        <v>NO</v>
      </c>
      <c r="S415" s="223" t="str">
        <f t="shared" si="23"/>
        <v>Alto</v>
      </c>
      <c r="T415" s="16"/>
    </row>
    <row r="416" spans="1:20" ht="32.1" customHeight="1" x14ac:dyDescent="0.2">
      <c r="A416" s="209" t="s">
        <v>4126</v>
      </c>
      <c r="B416" s="519" t="s">
        <v>2000</v>
      </c>
      <c r="C416" s="462" t="s">
        <v>2594</v>
      </c>
      <c r="D416" s="247">
        <v>247</v>
      </c>
      <c r="E416" s="222"/>
      <c r="F416" s="222"/>
      <c r="G416" s="222"/>
      <c r="H416" s="222"/>
      <c r="I416" s="222">
        <v>41.96</v>
      </c>
      <c r="J416" s="222"/>
      <c r="K416" s="222"/>
      <c r="L416" s="222"/>
      <c r="M416" s="222"/>
      <c r="N416" s="222"/>
      <c r="O416" s="222"/>
      <c r="P416" s="222"/>
      <c r="Q416" s="249">
        <f t="shared" si="22"/>
        <v>41.96</v>
      </c>
      <c r="R416" s="153" t="str">
        <f t="shared" si="21"/>
        <v>NO</v>
      </c>
      <c r="S416" s="223" t="str">
        <f t="shared" si="23"/>
        <v>Alto</v>
      </c>
      <c r="T416" s="16"/>
    </row>
    <row r="417" spans="1:20" ht="32.1" customHeight="1" x14ac:dyDescent="0.2">
      <c r="A417" s="209" t="s">
        <v>4126</v>
      </c>
      <c r="B417" s="520" t="s">
        <v>2595</v>
      </c>
      <c r="C417" s="464" t="s">
        <v>2596</v>
      </c>
      <c r="D417" s="221">
        <v>247</v>
      </c>
      <c r="E417" s="222"/>
      <c r="F417" s="222">
        <v>76.92</v>
      </c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49">
        <f t="shared" si="22"/>
        <v>76.92</v>
      </c>
      <c r="R417" s="153" t="str">
        <f t="shared" si="21"/>
        <v>NO</v>
      </c>
      <c r="S417" s="223" t="str">
        <f t="shared" si="23"/>
        <v>Alto</v>
      </c>
      <c r="T417" s="16"/>
    </row>
    <row r="418" spans="1:20" ht="32.1" customHeight="1" x14ac:dyDescent="0.2">
      <c r="A418" s="209" t="s">
        <v>4126</v>
      </c>
      <c r="B418" s="520" t="s">
        <v>2597</v>
      </c>
      <c r="C418" s="464" t="s">
        <v>2598</v>
      </c>
      <c r="D418" s="221">
        <v>247</v>
      </c>
      <c r="E418" s="222"/>
      <c r="F418" s="222"/>
      <c r="G418" s="222"/>
      <c r="H418" s="222"/>
      <c r="I418" s="222">
        <v>62.9</v>
      </c>
      <c r="J418" s="222"/>
      <c r="K418" s="222"/>
      <c r="L418" s="222"/>
      <c r="M418" s="222"/>
      <c r="N418" s="222"/>
      <c r="O418" s="222">
        <v>76.92</v>
      </c>
      <c r="P418" s="222"/>
      <c r="Q418" s="249">
        <f t="shared" si="22"/>
        <v>69.91</v>
      </c>
      <c r="R418" s="153" t="str">
        <f t="shared" si="21"/>
        <v>NO</v>
      </c>
      <c r="S418" s="223" t="str">
        <f t="shared" si="23"/>
        <v>Alto</v>
      </c>
      <c r="T418" s="16"/>
    </row>
    <row r="419" spans="1:20" ht="32.1" customHeight="1" x14ac:dyDescent="0.2">
      <c r="A419" s="209" t="s">
        <v>4126</v>
      </c>
      <c r="B419" s="519" t="s">
        <v>2</v>
      </c>
      <c r="C419" s="469" t="s">
        <v>412</v>
      </c>
      <c r="D419" s="121">
        <v>30</v>
      </c>
      <c r="E419" s="222"/>
      <c r="F419" s="222"/>
      <c r="G419" s="222">
        <v>63</v>
      </c>
      <c r="H419" s="222"/>
      <c r="I419" s="222"/>
      <c r="J419" s="222"/>
      <c r="K419" s="222"/>
      <c r="L419" s="222"/>
      <c r="M419" s="222"/>
      <c r="N419" s="222"/>
      <c r="O419" s="222"/>
      <c r="P419" s="222"/>
      <c r="Q419" s="249">
        <f t="shared" si="22"/>
        <v>63</v>
      </c>
      <c r="R419" s="153" t="str">
        <f t="shared" si="21"/>
        <v>NO</v>
      </c>
      <c r="S419" s="223" t="str">
        <f t="shared" si="23"/>
        <v>Alto</v>
      </c>
      <c r="T419" s="16"/>
    </row>
    <row r="420" spans="1:20" ht="32.1" customHeight="1" x14ac:dyDescent="0.2">
      <c r="A420" s="209" t="s">
        <v>4126</v>
      </c>
      <c r="B420" s="520" t="s">
        <v>2599</v>
      </c>
      <c r="C420" s="464" t="s">
        <v>2600</v>
      </c>
      <c r="D420" s="247">
        <v>40</v>
      </c>
      <c r="E420" s="222"/>
      <c r="F420" s="222"/>
      <c r="G420" s="222"/>
      <c r="H420" s="222"/>
      <c r="I420" s="222"/>
      <c r="J420" s="222"/>
      <c r="K420" s="222"/>
      <c r="L420" s="222"/>
      <c r="M420" s="222">
        <v>97.9</v>
      </c>
      <c r="N420" s="222"/>
      <c r="O420" s="222"/>
      <c r="P420" s="222"/>
      <c r="Q420" s="249">
        <f t="shared" si="22"/>
        <v>97.9</v>
      </c>
      <c r="R420" s="153" t="str">
        <f t="shared" si="21"/>
        <v>NO</v>
      </c>
      <c r="S420" s="223" t="str">
        <f t="shared" si="23"/>
        <v>Inviable Sanitariamente</v>
      </c>
      <c r="T420" s="16"/>
    </row>
    <row r="421" spans="1:20" ht="32.1" customHeight="1" x14ac:dyDescent="0.2">
      <c r="A421" s="209" t="s">
        <v>4126</v>
      </c>
      <c r="B421" s="520" t="s">
        <v>2601</v>
      </c>
      <c r="C421" s="464" t="s">
        <v>2602</v>
      </c>
      <c r="D421" s="247">
        <v>54</v>
      </c>
      <c r="E421" s="222"/>
      <c r="F421" s="222"/>
      <c r="G421" s="222"/>
      <c r="H421" s="222">
        <v>62.94</v>
      </c>
      <c r="I421" s="222"/>
      <c r="J421" s="222"/>
      <c r="K421" s="222"/>
      <c r="L421" s="222"/>
      <c r="M421" s="222"/>
      <c r="N421" s="222">
        <v>62.94</v>
      </c>
      <c r="O421" s="222"/>
      <c r="P421" s="222"/>
      <c r="Q421" s="249">
        <f t="shared" si="22"/>
        <v>62.94</v>
      </c>
      <c r="R421" s="153" t="str">
        <f t="shared" si="21"/>
        <v>NO</v>
      </c>
      <c r="S421" s="223" t="str">
        <f t="shared" si="23"/>
        <v>Alto</v>
      </c>
      <c r="T421" s="16"/>
    </row>
    <row r="422" spans="1:20" ht="32.1" customHeight="1" x14ac:dyDescent="0.2">
      <c r="A422" s="209" t="s">
        <v>4126</v>
      </c>
      <c r="B422" s="519" t="s">
        <v>2603</v>
      </c>
      <c r="C422" s="462" t="s">
        <v>2604</v>
      </c>
      <c r="D422" s="247">
        <v>72</v>
      </c>
      <c r="E422" s="222"/>
      <c r="F422" s="222"/>
      <c r="G422" s="222"/>
      <c r="H422" s="222"/>
      <c r="I422" s="222">
        <v>97.9</v>
      </c>
      <c r="J422" s="222"/>
      <c r="K422" s="222"/>
      <c r="L422" s="222"/>
      <c r="M422" s="222"/>
      <c r="N422" s="222"/>
      <c r="O422" s="222"/>
      <c r="P422" s="222"/>
      <c r="Q422" s="249">
        <f t="shared" si="22"/>
        <v>97.9</v>
      </c>
      <c r="R422" s="153" t="str">
        <f t="shared" ref="R422:R485" si="24">IF(Q422&lt;5,"SI","NO")</f>
        <v>NO</v>
      </c>
      <c r="S422" s="223" t="str">
        <f t="shared" si="23"/>
        <v>Inviable Sanitariamente</v>
      </c>
      <c r="T422" s="16"/>
    </row>
    <row r="423" spans="1:20" ht="32.1" customHeight="1" x14ac:dyDescent="0.2">
      <c r="A423" s="209" t="s">
        <v>4126</v>
      </c>
      <c r="B423" s="520" t="s">
        <v>2605</v>
      </c>
      <c r="C423" s="464" t="s">
        <v>2606</v>
      </c>
      <c r="D423" s="221">
        <v>40</v>
      </c>
      <c r="E423" s="222"/>
      <c r="F423" s="222"/>
      <c r="G423" s="222"/>
      <c r="H423" s="222"/>
      <c r="I423" s="222"/>
      <c r="J423" s="222"/>
      <c r="K423" s="222"/>
      <c r="L423" s="222"/>
      <c r="M423" s="222">
        <v>97.9</v>
      </c>
      <c r="N423" s="222"/>
      <c r="O423" s="222"/>
      <c r="P423" s="222"/>
      <c r="Q423" s="249">
        <f t="shared" ref="Q423:Q486" si="25">AVERAGE(E423:P423)</f>
        <v>97.9</v>
      </c>
      <c r="R423" s="153" t="str">
        <f t="shared" si="24"/>
        <v>NO</v>
      </c>
      <c r="S423" s="223" t="str">
        <f t="shared" si="23"/>
        <v>Inviable Sanitariamente</v>
      </c>
      <c r="T423" s="16"/>
    </row>
    <row r="424" spans="1:20" ht="32.1" customHeight="1" x14ac:dyDescent="0.2">
      <c r="A424" s="209" t="s">
        <v>179</v>
      </c>
      <c r="B424" s="520" t="s">
        <v>2607</v>
      </c>
      <c r="C424" s="464" t="s">
        <v>2608</v>
      </c>
      <c r="D424" s="121">
        <v>70</v>
      </c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49" t="e">
        <f t="shared" si="25"/>
        <v>#DIV/0!</v>
      </c>
      <c r="R424" s="153" t="e">
        <f t="shared" si="24"/>
        <v>#DIV/0!</v>
      </c>
      <c r="S424" s="223" t="e">
        <f t="shared" si="23"/>
        <v>#DIV/0!</v>
      </c>
      <c r="T424" s="16"/>
    </row>
    <row r="425" spans="1:20" ht="32.1" customHeight="1" x14ac:dyDescent="0.2">
      <c r="A425" s="209" t="s">
        <v>179</v>
      </c>
      <c r="B425" s="520" t="s">
        <v>2609</v>
      </c>
      <c r="C425" s="464" t="s">
        <v>2610</v>
      </c>
      <c r="D425" s="121">
        <v>25</v>
      </c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49" t="e">
        <f t="shared" si="25"/>
        <v>#DIV/0!</v>
      </c>
      <c r="R425" s="153" t="e">
        <f t="shared" si="24"/>
        <v>#DIV/0!</v>
      </c>
      <c r="S425" s="223" t="e">
        <f t="shared" si="23"/>
        <v>#DIV/0!</v>
      </c>
      <c r="T425" s="16"/>
    </row>
    <row r="426" spans="1:20" ht="32.1" customHeight="1" x14ac:dyDescent="0.2">
      <c r="A426" s="209" t="s">
        <v>179</v>
      </c>
      <c r="B426" s="520" t="s">
        <v>2611</v>
      </c>
      <c r="C426" s="469" t="s">
        <v>2612</v>
      </c>
      <c r="D426" s="121">
        <v>80</v>
      </c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49" t="e">
        <f t="shared" si="25"/>
        <v>#DIV/0!</v>
      </c>
      <c r="R426" s="153" t="e">
        <f t="shared" si="24"/>
        <v>#DIV/0!</v>
      </c>
      <c r="S426" s="223" t="e">
        <f t="shared" si="23"/>
        <v>#DIV/0!</v>
      </c>
      <c r="T426" s="16"/>
    </row>
    <row r="427" spans="1:20" ht="32.1" customHeight="1" x14ac:dyDescent="0.2">
      <c r="A427" s="209" t="s">
        <v>179</v>
      </c>
      <c r="B427" s="520" t="s">
        <v>2169</v>
      </c>
      <c r="C427" s="469" t="s">
        <v>2613</v>
      </c>
      <c r="D427" s="116">
        <v>50</v>
      </c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49" t="e">
        <f t="shared" si="25"/>
        <v>#DIV/0!</v>
      </c>
      <c r="R427" s="153" t="e">
        <f t="shared" si="24"/>
        <v>#DIV/0!</v>
      </c>
      <c r="S427" s="223" t="e">
        <f t="shared" si="23"/>
        <v>#DIV/0!</v>
      </c>
      <c r="T427" s="16"/>
    </row>
    <row r="428" spans="1:20" ht="32.1" customHeight="1" x14ac:dyDescent="0.2">
      <c r="A428" s="209" t="s">
        <v>179</v>
      </c>
      <c r="B428" s="520" t="s">
        <v>2614</v>
      </c>
      <c r="C428" s="464" t="s">
        <v>2615</v>
      </c>
      <c r="D428" s="121">
        <v>40</v>
      </c>
      <c r="E428" s="222"/>
      <c r="F428" s="222">
        <v>97.3</v>
      </c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49">
        <f t="shared" si="25"/>
        <v>97.3</v>
      </c>
      <c r="R428" s="153" t="str">
        <f t="shared" si="24"/>
        <v>NO</v>
      </c>
      <c r="S428" s="223" t="str">
        <f t="shared" si="23"/>
        <v>Inviable Sanitariamente</v>
      </c>
      <c r="T428" s="16"/>
    </row>
    <row r="429" spans="1:20" ht="32.1" customHeight="1" x14ac:dyDescent="0.2">
      <c r="A429" s="209" t="s">
        <v>179</v>
      </c>
      <c r="B429" s="520" t="s">
        <v>2616</v>
      </c>
      <c r="C429" s="469" t="s">
        <v>2617</v>
      </c>
      <c r="D429" s="121">
        <v>50</v>
      </c>
      <c r="E429" s="222">
        <v>97.3</v>
      </c>
      <c r="F429" s="222"/>
      <c r="G429" s="222"/>
      <c r="H429" s="222">
        <v>97.3</v>
      </c>
      <c r="I429" s="222"/>
      <c r="J429" s="222"/>
      <c r="K429" s="222"/>
      <c r="L429" s="222"/>
      <c r="M429" s="222"/>
      <c r="N429" s="222"/>
      <c r="O429" s="222"/>
      <c r="P429" s="222"/>
      <c r="Q429" s="249">
        <f t="shared" si="25"/>
        <v>97.3</v>
      </c>
      <c r="R429" s="153" t="str">
        <f t="shared" si="24"/>
        <v>NO</v>
      </c>
      <c r="S429" s="223" t="str">
        <f t="shared" si="23"/>
        <v>Inviable Sanitariamente</v>
      </c>
      <c r="T429" s="16"/>
    </row>
    <row r="430" spans="1:20" ht="32.1" customHeight="1" x14ac:dyDescent="0.2">
      <c r="A430" s="209" t="s">
        <v>179</v>
      </c>
      <c r="B430" s="520" t="s">
        <v>2618</v>
      </c>
      <c r="C430" s="469" t="s">
        <v>2619</v>
      </c>
      <c r="D430" s="229">
        <v>45</v>
      </c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>
        <v>53.1</v>
      </c>
      <c r="P430" s="222"/>
      <c r="Q430" s="249">
        <f t="shared" si="25"/>
        <v>53.1</v>
      </c>
      <c r="R430" s="153" t="str">
        <f t="shared" si="24"/>
        <v>NO</v>
      </c>
      <c r="S430" s="223" t="str">
        <f t="shared" si="23"/>
        <v>Alto</v>
      </c>
      <c r="T430" s="16"/>
    </row>
    <row r="431" spans="1:20" ht="32.1" customHeight="1" x14ac:dyDescent="0.2">
      <c r="A431" s="209" t="s">
        <v>179</v>
      </c>
      <c r="B431" s="520" t="s">
        <v>838</v>
      </c>
      <c r="C431" s="464" t="s">
        <v>2620</v>
      </c>
      <c r="D431" s="229">
        <v>35</v>
      </c>
      <c r="E431" s="222"/>
      <c r="F431" s="222"/>
      <c r="G431" s="222">
        <v>0</v>
      </c>
      <c r="H431" s="222"/>
      <c r="I431" s="222"/>
      <c r="J431" s="222"/>
      <c r="K431" s="222"/>
      <c r="L431" s="222"/>
      <c r="M431" s="222"/>
      <c r="N431" s="222"/>
      <c r="O431" s="222">
        <v>0</v>
      </c>
      <c r="P431" s="222"/>
      <c r="Q431" s="249">
        <f t="shared" si="25"/>
        <v>0</v>
      </c>
      <c r="R431" s="153" t="str">
        <f t="shared" si="24"/>
        <v>SI</v>
      </c>
      <c r="S431" s="223" t="str">
        <f t="shared" si="23"/>
        <v>Sin Riesgo</v>
      </c>
      <c r="T431" s="16"/>
    </row>
    <row r="432" spans="1:20" ht="32.1" customHeight="1" x14ac:dyDescent="0.2">
      <c r="A432" s="209" t="s">
        <v>180</v>
      </c>
      <c r="B432" s="520" t="s">
        <v>2621</v>
      </c>
      <c r="C432" s="464" t="s">
        <v>2622</v>
      </c>
      <c r="D432" s="121">
        <v>20</v>
      </c>
      <c r="E432" s="222"/>
      <c r="F432" s="222">
        <v>97.3</v>
      </c>
      <c r="G432" s="222"/>
      <c r="H432" s="222">
        <v>53.1</v>
      </c>
      <c r="I432" s="222"/>
      <c r="J432" s="222"/>
      <c r="K432" s="222">
        <v>53.1</v>
      </c>
      <c r="L432" s="222"/>
      <c r="M432" s="222">
        <v>0</v>
      </c>
      <c r="N432" s="222"/>
      <c r="O432" s="222">
        <v>0</v>
      </c>
      <c r="P432" s="222"/>
      <c r="Q432" s="249">
        <f t="shared" si="25"/>
        <v>40.700000000000003</v>
      </c>
      <c r="R432" s="153" t="str">
        <f t="shared" si="24"/>
        <v>NO</v>
      </c>
      <c r="S432" s="223" t="str">
        <f t="shared" si="23"/>
        <v>Alto</v>
      </c>
    </row>
    <row r="433" spans="1:19" ht="32.1" customHeight="1" x14ac:dyDescent="0.2">
      <c r="A433" s="209" t="s">
        <v>180</v>
      </c>
      <c r="B433" s="520" t="s">
        <v>2623</v>
      </c>
      <c r="C433" s="464" t="s">
        <v>2624</v>
      </c>
      <c r="D433" s="121">
        <v>104</v>
      </c>
      <c r="E433" s="222"/>
      <c r="F433" s="222">
        <v>0</v>
      </c>
      <c r="G433" s="222"/>
      <c r="H433" s="222">
        <v>0</v>
      </c>
      <c r="I433" s="222"/>
      <c r="J433" s="222"/>
      <c r="K433" s="222">
        <v>0</v>
      </c>
      <c r="L433" s="222"/>
      <c r="M433" s="222">
        <v>0</v>
      </c>
      <c r="N433" s="222"/>
      <c r="O433" s="222">
        <v>46.9</v>
      </c>
      <c r="P433" s="222"/>
      <c r="Q433" s="249">
        <f t="shared" si="25"/>
        <v>9.379999999999999</v>
      </c>
      <c r="R433" s="153" t="str">
        <f t="shared" si="24"/>
        <v>NO</v>
      </c>
      <c r="S433" s="223" t="str">
        <f t="shared" si="23"/>
        <v>Bajo</v>
      </c>
    </row>
    <row r="434" spans="1:19" ht="32.1" customHeight="1" x14ac:dyDescent="0.2">
      <c r="A434" s="209" t="s">
        <v>180</v>
      </c>
      <c r="B434" s="520" t="s">
        <v>2625</v>
      </c>
      <c r="C434" s="464" t="s">
        <v>2626</v>
      </c>
      <c r="D434" s="121">
        <v>187</v>
      </c>
      <c r="E434" s="222"/>
      <c r="F434" s="222"/>
      <c r="G434" s="222"/>
      <c r="H434" s="222"/>
      <c r="I434" s="222">
        <v>97.3</v>
      </c>
      <c r="J434" s="222"/>
      <c r="K434" s="222"/>
      <c r="L434" s="222">
        <v>97.3</v>
      </c>
      <c r="M434" s="222"/>
      <c r="N434" s="222"/>
      <c r="O434" s="222">
        <v>97.3</v>
      </c>
      <c r="P434" s="222"/>
      <c r="Q434" s="249">
        <f t="shared" si="25"/>
        <v>97.3</v>
      </c>
      <c r="R434" s="153" t="str">
        <f t="shared" si="24"/>
        <v>NO</v>
      </c>
      <c r="S434" s="223" t="str">
        <f t="shared" si="23"/>
        <v>Inviable Sanitariamente</v>
      </c>
    </row>
    <row r="435" spans="1:19" ht="32.1" customHeight="1" x14ac:dyDescent="0.2">
      <c r="A435" s="209" t="s">
        <v>180</v>
      </c>
      <c r="B435" s="520" t="s">
        <v>2627</v>
      </c>
      <c r="C435" s="464" t="s">
        <v>2628</v>
      </c>
      <c r="D435" s="121">
        <v>148</v>
      </c>
      <c r="E435" s="222"/>
      <c r="F435" s="222"/>
      <c r="G435" s="222"/>
      <c r="H435" s="222">
        <v>97.3</v>
      </c>
      <c r="I435" s="222"/>
      <c r="J435" s="222"/>
      <c r="K435" s="222"/>
      <c r="L435" s="222"/>
      <c r="M435" s="222"/>
      <c r="N435" s="222"/>
      <c r="O435" s="222">
        <v>97.3</v>
      </c>
      <c r="P435" s="222"/>
      <c r="Q435" s="249">
        <f t="shared" si="25"/>
        <v>97.3</v>
      </c>
      <c r="R435" s="153" t="str">
        <f t="shared" si="24"/>
        <v>NO</v>
      </c>
      <c r="S435" s="223" t="str">
        <f t="shared" si="23"/>
        <v>Inviable Sanitariamente</v>
      </c>
    </row>
    <row r="436" spans="1:19" ht="32.1" customHeight="1" x14ac:dyDescent="0.2">
      <c r="A436" s="209" t="s">
        <v>180</v>
      </c>
      <c r="B436" s="520" t="s">
        <v>2629</v>
      </c>
      <c r="C436" s="464" t="s">
        <v>2630</v>
      </c>
      <c r="D436" s="221">
        <v>36</v>
      </c>
      <c r="E436" s="222"/>
      <c r="F436" s="222">
        <v>97.3</v>
      </c>
      <c r="G436" s="222"/>
      <c r="H436" s="222"/>
      <c r="I436" s="222"/>
      <c r="J436" s="222"/>
      <c r="K436" s="222"/>
      <c r="L436" s="222"/>
      <c r="M436" s="222"/>
      <c r="N436" s="222"/>
      <c r="O436" s="222">
        <v>97.3</v>
      </c>
      <c r="P436" s="222"/>
      <c r="Q436" s="249">
        <f t="shared" si="25"/>
        <v>97.3</v>
      </c>
      <c r="R436" s="153" t="str">
        <f t="shared" si="24"/>
        <v>NO</v>
      </c>
      <c r="S436" s="223" t="str">
        <f t="shared" si="23"/>
        <v>Inviable Sanitariamente</v>
      </c>
    </row>
    <row r="437" spans="1:19" ht="32.1" customHeight="1" x14ac:dyDescent="0.2">
      <c r="A437" s="209" t="s">
        <v>180</v>
      </c>
      <c r="B437" s="520" t="s">
        <v>1745</v>
      </c>
      <c r="C437" s="464" t="s">
        <v>2631</v>
      </c>
      <c r="D437" s="121">
        <v>32</v>
      </c>
      <c r="E437" s="222"/>
      <c r="F437" s="222"/>
      <c r="G437" s="222"/>
      <c r="H437" s="222">
        <v>97.3</v>
      </c>
      <c r="I437" s="222"/>
      <c r="J437" s="222"/>
      <c r="K437" s="222"/>
      <c r="L437" s="222"/>
      <c r="M437" s="222"/>
      <c r="N437" s="222"/>
      <c r="O437" s="222">
        <v>97.3</v>
      </c>
      <c r="P437" s="222"/>
      <c r="Q437" s="249">
        <f t="shared" si="25"/>
        <v>97.3</v>
      </c>
      <c r="R437" s="153" t="str">
        <f t="shared" si="24"/>
        <v>NO</v>
      </c>
      <c r="S437" s="223" t="str">
        <f t="shared" si="23"/>
        <v>Inviable Sanitariamente</v>
      </c>
    </row>
    <row r="438" spans="1:19" ht="32.1" customHeight="1" x14ac:dyDescent="0.2">
      <c r="A438" s="209" t="s">
        <v>180</v>
      </c>
      <c r="B438" s="520" t="s">
        <v>65</v>
      </c>
      <c r="C438" s="464" t="s">
        <v>2632</v>
      </c>
      <c r="D438" s="116">
        <v>138</v>
      </c>
      <c r="E438" s="222"/>
      <c r="F438" s="222">
        <v>97.3</v>
      </c>
      <c r="G438" s="222"/>
      <c r="H438" s="222"/>
      <c r="I438" s="222"/>
      <c r="J438" s="222"/>
      <c r="K438" s="222"/>
      <c r="L438" s="222"/>
      <c r="M438" s="222"/>
      <c r="N438" s="222"/>
      <c r="O438" s="222">
        <v>97.3</v>
      </c>
      <c r="P438" s="222"/>
      <c r="Q438" s="249">
        <f t="shared" si="25"/>
        <v>97.3</v>
      </c>
      <c r="R438" s="153" t="str">
        <f t="shared" si="24"/>
        <v>NO</v>
      </c>
      <c r="S438" s="223" t="str">
        <f t="shared" si="23"/>
        <v>Inviable Sanitariamente</v>
      </c>
    </row>
    <row r="439" spans="1:19" ht="32.1" customHeight="1" x14ac:dyDescent="0.2">
      <c r="A439" s="209" t="s">
        <v>180</v>
      </c>
      <c r="B439" s="520" t="s">
        <v>632</v>
      </c>
      <c r="C439" s="464" t="s">
        <v>2633</v>
      </c>
      <c r="D439" s="121">
        <v>56</v>
      </c>
      <c r="E439" s="222"/>
      <c r="F439" s="222"/>
      <c r="G439" s="222">
        <v>26.5</v>
      </c>
      <c r="H439" s="222"/>
      <c r="I439" s="222">
        <v>0</v>
      </c>
      <c r="J439" s="222"/>
      <c r="K439" s="222">
        <v>53.1</v>
      </c>
      <c r="L439" s="222"/>
      <c r="M439" s="222">
        <v>0</v>
      </c>
      <c r="N439" s="222"/>
      <c r="O439" s="222">
        <v>0</v>
      </c>
      <c r="P439" s="222"/>
      <c r="Q439" s="249">
        <f t="shared" si="25"/>
        <v>15.919999999999998</v>
      </c>
      <c r="R439" s="153" t="str">
        <f t="shared" si="24"/>
        <v>NO</v>
      </c>
      <c r="S439" s="223" t="str">
        <f t="shared" si="23"/>
        <v>Medio</v>
      </c>
    </row>
    <row r="440" spans="1:19" ht="32.1" customHeight="1" x14ac:dyDescent="0.2">
      <c r="A440" s="209" t="s">
        <v>180</v>
      </c>
      <c r="B440" s="520" t="s">
        <v>2634</v>
      </c>
      <c r="C440" s="464" t="s">
        <v>2635</v>
      </c>
      <c r="D440" s="121">
        <v>150</v>
      </c>
      <c r="E440" s="222"/>
      <c r="F440" s="222"/>
      <c r="G440" s="222"/>
      <c r="H440" s="222"/>
      <c r="I440" s="222">
        <v>97.3</v>
      </c>
      <c r="J440" s="222"/>
      <c r="K440" s="222"/>
      <c r="L440" s="222"/>
      <c r="M440" s="222"/>
      <c r="N440" s="222"/>
      <c r="O440" s="222">
        <v>97.3</v>
      </c>
      <c r="P440" s="222"/>
      <c r="Q440" s="249">
        <f t="shared" si="25"/>
        <v>97.3</v>
      </c>
      <c r="R440" s="153" t="str">
        <f t="shared" si="24"/>
        <v>NO</v>
      </c>
      <c r="S440" s="223" t="str">
        <f t="shared" si="23"/>
        <v>Inviable Sanitariamente</v>
      </c>
    </row>
    <row r="441" spans="1:19" ht="32.1" customHeight="1" x14ac:dyDescent="0.2">
      <c r="A441" s="209" t="s">
        <v>180</v>
      </c>
      <c r="B441" s="99" t="s">
        <v>2636</v>
      </c>
      <c r="C441" s="469" t="s">
        <v>2637</v>
      </c>
      <c r="D441" s="229">
        <v>87</v>
      </c>
      <c r="E441" s="222"/>
      <c r="F441" s="222">
        <v>97.3</v>
      </c>
      <c r="G441" s="222"/>
      <c r="H441" s="222"/>
      <c r="I441" s="222"/>
      <c r="J441" s="222"/>
      <c r="K441" s="222"/>
      <c r="L441" s="222"/>
      <c r="M441" s="222"/>
      <c r="N441" s="222"/>
      <c r="O441" s="222">
        <v>97.3</v>
      </c>
      <c r="P441" s="222"/>
      <c r="Q441" s="249">
        <f t="shared" si="25"/>
        <v>97.3</v>
      </c>
      <c r="R441" s="153" t="str">
        <f t="shared" si="24"/>
        <v>NO</v>
      </c>
      <c r="S441" s="223" t="str">
        <f t="shared" si="23"/>
        <v>Inviable Sanitariamente</v>
      </c>
    </row>
    <row r="442" spans="1:19" ht="32.1" customHeight="1" x14ac:dyDescent="0.2">
      <c r="A442" s="209" t="s">
        <v>180</v>
      </c>
      <c r="B442" s="520" t="s">
        <v>2638</v>
      </c>
      <c r="C442" s="469" t="s">
        <v>2639</v>
      </c>
      <c r="D442" s="221">
        <v>52</v>
      </c>
      <c r="E442" s="222"/>
      <c r="F442" s="222"/>
      <c r="G442" s="222"/>
      <c r="H442" s="222"/>
      <c r="I442" s="222"/>
      <c r="J442" s="222">
        <v>97.3</v>
      </c>
      <c r="K442" s="222"/>
      <c r="L442" s="222"/>
      <c r="M442" s="222"/>
      <c r="N442" s="222"/>
      <c r="O442" s="222">
        <v>97.3</v>
      </c>
      <c r="P442" s="222"/>
      <c r="Q442" s="249">
        <f t="shared" si="25"/>
        <v>97.3</v>
      </c>
      <c r="R442" s="153" t="str">
        <f t="shared" si="24"/>
        <v>NO</v>
      </c>
      <c r="S442" s="223" t="str">
        <f t="shared" si="23"/>
        <v>Inviable Sanitariamente</v>
      </c>
    </row>
    <row r="443" spans="1:19" ht="32.1" customHeight="1" x14ac:dyDescent="0.2">
      <c r="A443" s="209" t="s">
        <v>180</v>
      </c>
      <c r="B443" s="520" t="s">
        <v>2640</v>
      </c>
      <c r="C443" s="464" t="s">
        <v>2641</v>
      </c>
      <c r="D443" s="121">
        <v>68</v>
      </c>
      <c r="E443" s="222"/>
      <c r="F443" s="222"/>
      <c r="G443" s="222"/>
      <c r="H443" s="222"/>
      <c r="I443" s="222"/>
      <c r="J443" s="222">
        <v>97.3</v>
      </c>
      <c r="K443" s="222"/>
      <c r="L443" s="222"/>
      <c r="M443" s="222"/>
      <c r="N443" s="222"/>
      <c r="O443" s="222">
        <v>97.3</v>
      </c>
      <c r="P443" s="222"/>
      <c r="Q443" s="249">
        <f t="shared" si="25"/>
        <v>97.3</v>
      </c>
      <c r="R443" s="153" t="str">
        <f t="shared" si="24"/>
        <v>NO</v>
      </c>
      <c r="S443" s="223" t="str">
        <f t="shared" si="23"/>
        <v>Inviable Sanitariamente</v>
      </c>
    </row>
    <row r="444" spans="1:19" ht="32.1" customHeight="1" x14ac:dyDescent="0.2">
      <c r="A444" s="209" t="s">
        <v>180</v>
      </c>
      <c r="B444" s="520" t="s">
        <v>66</v>
      </c>
      <c r="C444" s="469" t="s">
        <v>2642</v>
      </c>
      <c r="D444" s="116">
        <v>94</v>
      </c>
      <c r="E444" s="222"/>
      <c r="F444" s="222"/>
      <c r="G444" s="222">
        <v>97.3</v>
      </c>
      <c r="H444" s="222"/>
      <c r="I444" s="222"/>
      <c r="J444" s="222"/>
      <c r="K444" s="222"/>
      <c r="L444" s="222">
        <v>97.3</v>
      </c>
      <c r="M444" s="222"/>
      <c r="N444" s="222"/>
      <c r="O444" s="222">
        <v>97.3</v>
      </c>
      <c r="P444" s="222"/>
      <c r="Q444" s="249">
        <f t="shared" si="25"/>
        <v>97.3</v>
      </c>
      <c r="R444" s="153" t="str">
        <f t="shared" si="24"/>
        <v>NO</v>
      </c>
      <c r="S444" s="223" t="str">
        <f t="shared" si="23"/>
        <v>Inviable Sanitariamente</v>
      </c>
    </row>
    <row r="445" spans="1:19" ht="32.1" customHeight="1" x14ac:dyDescent="0.2">
      <c r="A445" s="209" t="s">
        <v>180</v>
      </c>
      <c r="B445" s="520" t="s">
        <v>2643</v>
      </c>
      <c r="C445" s="464" t="s">
        <v>2644</v>
      </c>
      <c r="D445" s="121">
        <v>61</v>
      </c>
      <c r="E445" s="222"/>
      <c r="F445" s="222"/>
      <c r="G445" s="222">
        <v>97.3</v>
      </c>
      <c r="H445" s="222"/>
      <c r="I445" s="222"/>
      <c r="J445" s="222"/>
      <c r="K445" s="222"/>
      <c r="L445" s="222"/>
      <c r="M445" s="222"/>
      <c r="N445" s="222"/>
      <c r="O445" s="222">
        <v>97.3</v>
      </c>
      <c r="P445" s="222"/>
      <c r="Q445" s="249">
        <f t="shared" si="25"/>
        <v>97.3</v>
      </c>
      <c r="R445" s="153" t="str">
        <f t="shared" si="24"/>
        <v>NO</v>
      </c>
      <c r="S445" s="223" t="str">
        <f t="shared" si="23"/>
        <v>Inviable Sanitariamente</v>
      </c>
    </row>
    <row r="446" spans="1:19" ht="32.1" customHeight="1" x14ac:dyDescent="0.2">
      <c r="A446" s="209" t="s">
        <v>180</v>
      </c>
      <c r="B446" s="520" t="s">
        <v>2645</v>
      </c>
      <c r="C446" s="464" t="s">
        <v>2646</v>
      </c>
      <c r="D446" s="121">
        <v>150</v>
      </c>
      <c r="E446" s="222"/>
      <c r="F446" s="222"/>
      <c r="G446" s="222"/>
      <c r="H446" s="222"/>
      <c r="I446" s="222"/>
      <c r="J446" s="222"/>
      <c r="K446" s="222"/>
      <c r="L446" s="222">
        <v>97.3</v>
      </c>
      <c r="M446" s="222"/>
      <c r="N446" s="222"/>
      <c r="O446" s="222"/>
      <c r="P446" s="222"/>
      <c r="Q446" s="249">
        <f t="shared" si="25"/>
        <v>97.3</v>
      </c>
      <c r="R446" s="153" t="str">
        <f t="shared" si="24"/>
        <v>NO</v>
      </c>
      <c r="S446" s="223" t="str">
        <f t="shared" si="23"/>
        <v>Inviable Sanitariamente</v>
      </c>
    </row>
    <row r="447" spans="1:19" ht="32.1" customHeight="1" x14ac:dyDescent="0.2">
      <c r="A447" s="209" t="s">
        <v>180</v>
      </c>
      <c r="B447" s="520" t="s">
        <v>2647</v>
      </c>
      <c r="C447" s="464" t="s">
        <v>2648</v>
      </c>
      <c r="D447" s="121">
        <v>70</v>
      </c>
      <c r="E447" s="222"/>
      <c r="F447" s="222"/>
      <c r="G447" s="222"/>
      <c r="H447" s="222">
        <v>97.3</v>
      </c>
      <c r="I447" s="222"/>
      <c r="J447" s="222"/>
      <c r="K447" s="222"/>
      <c r="L447" s="222"/>
      <c r="M447" s="222"/>
      <c r="N447" s="222"/>
      <c r="O447" s="222">
        <v>97.3</v>
      </c>
      <c r="P447" s="222"/>
      <c r="Q447" s="249">
        <f t="shared" si="25"/>
        <v>97.3</v>
      </c>
      <c r="R447" s="153" t="str">
        <f t="shared" si="24"/>
        <v>NO</v>
      </c>
      <c r="S447" s="223" t="str">
        <f t="shared" si="23"/>
        <v>Inviable Sanitariamente</v>
      </c>
    </row>
    <row r="448" spans="1:19" ht="32.1" customHeight="1" x14ac:dyDescent="0.2">
      <c r="A448" s="209" t="s">
        <v>180</v>
      </c>
      <c r="B448" s="520" t="s">
        <v>2649</v>
      </c>
      <c r="C448" s="464" t="s">
        <v>2650</v>
      </c>
      <c r="D448" s="221">
        <v>63</v>
      </c>
      <c r="E448" s="222"/>
      <c r="F448" s="222"/>
      <c r="G448" s="222"/>
      <c r="H448" s="222"/>
      <c r="I448" s="222"/>
      <c r="J448" s="222">
        <v>97.3</v>
      </c>
      <c r="K448" s="222"/>
      <c r="L448" s="222"/>
      <c r="M448" s="222"/>
      <c r="N448" s="222"/>
      <c r="O448" s="222">
        <v>97.3</v>
      </c>
      <c r="P448" s="222"/>
      <c r="Q448" s="249">
        <f t="shared" si="25"/>
        <v>97.3</v>
      </c>
      <c r="R448" s="153" t="str">
        <f t="shared" si="24"/>
        <v>NO</v>
      </c>
      <c r="S448" s="223" t="str">
        <f t="shared" si="23"/>
        <v>Inviable Sanitariamente</v>
      </c>
    </row>
    <row r="449" spans="1:19" ht="32.1" customHeight="1" x14ac:dyDescent="0.2">
      <c r="A449" s="209" t="s">
        <v>180</v>
      </c>
      <c r="B449" s="520" t="s">
        <v>61</v>
      </c>
      <c r="C449" s="464" t="s">
        <v>2651</v>
      </c>
      <c r="D449" s="221">
        <v>43</v>
      </c>
      <c r="E449" s="222"/>
      <c r="F449" s="222"/>
      <c r="G449" s="222"/>
      <c r="H449" s="222"/>
      <c r="I449" s="222">
        <v>97.3</v>
      </c>
      <c r="J449" s="222"/>
      <c r="K449" s="222"/>
      <c r="L449" s="222"/>
      <c r="M449" s="222"/>
      <c r="N449" s="222"/>
      <c r="O449" s="222">
        <v>97.3</v>
      </c>
      <c r="P449" s="222"/>
      <c r="Q449" s="249">
        <f t="shared" si="25"/>
        <v>97.3</v>
      </c>
      <c r="R449" s="153" t="str">
        <f t="shared" si="24"/>
        <v>NO</v>
      </c>
      <c r="S449" s="223" t="str">
        <f t="shared" si="23"/>
        <v>Inviable Sanitariamente</v>
      </c>
    </row>
    <row r="450" spans="1:19" ht="32.1" customHeight="1" x14ac:dyDescent="0.2">
      <c r="A450" s="209" t="s">
        <v>180</v>
      </c>
      <c r="B450" s="520" t="s">
        <v>2652</v>
      </c>
      <c r="C450" s="464" t="s">
        <v>2653</v>
      </c>
      <c r="D450" s="121">
        <v>16</v>
      </c>
      <c r="E450" s="222"/>
      <c r="F450" s="222"/>
      <c r="G450" s="222"/>
      <c r="H450" s="222"/>
      <c r="I450" s="222"/>
      <c r="J450" s="222">
        <v>97.3</v>
      </c>
      <c r="K450" s="222"/>
      <c r="L450" s="222"/>
      <c r="M450" s="222"/>
      <c r="N450" s="222"/>
      <c r="O450" s="222">
        <v>97.3</v>
      </c>
      <c r="P450" s="222"/>
      <c r="Q450" s="249">
        <f t="shared" si="25"/>
        <v>97.3</v>
      </c>
      <c r="R450" s="153" t="str">
        <f t="shared" si="24"/>
        <v>NO</v>
      </c>
      <c r="S450" s="223" t="str">
        <f t="shared" si="23"/>
        <v>Inviable Sanitariamente</v>
      </c>
    </row>
    <row r="451" spans="1:19" ht="32.1" customHeight="1" x14ac:dyDescent="0.2">
      <c r="A451" s="209" t="s">
        <v>180</v>
      </c>
      <c r="B451" s="520" t="s">
        <v>2654</v>
      </c>
      <c r="C451" s="464" t="s">
        <v>2655</v>
      </c>
      <c r="D451" s="221">
        <v>20</v>
      </c>
      <c r="E451" s="222"/>
      <c r="F451" s="222"/>
      <c r="G451" s="222"/>
      <c r="H451" s="222"/>
      <c r="I451" s="222"/>
      <c r="J451" s="222">
        <v>97.3</v>
      </c>
      <c r="K451" s="222"/>
      <c r="L451" s="222"/>
      <c r="M451" s="222"/>
      <c r="N451" s="222"/>
      <c r="O451" s="222">
        <v>97.3</v>
      </c>
      <c r="P451" s="222"/>
      <c r="Q451" s="249">
        <f t="shared" si="25"/>
        <v>97.3</v>
      </c>
      <c r="R451" s="153" t="str">
        <f t="shared" si="24"/>
        <v>NO</v>
      </c>
      <c r="S451" s="223" t="str">
        <f t="shared" si="23"/>
        <v>Inviable Sanitariamente</v>
      </c>
    </row>
    <row r="452" spans="1:19" ht="32.1" customHeight="1" x14ac:dyDescent="0.2">
      <c r="A452" s="209" t="s">
        <v>180</v>
      </c>
      <c r="B452" s="520" t="s">
        <v>2656</v>
      </c>
      <c r="C452" s="464" t="s">
        <v>2657</v>
      </c>
      <c r="D452" s="221">
        <v>36</v>
      </c>
      <c r="E452" s="222"/>
      <c r="F452" s="222"/>
      <c r="G452" s="222"/>
      <c r="H452" s="222">
        <v>97.3</v>
      </c>
      <c r="I452" s="222"/>
      <c r="J452" s="222"/>
      <c r="K452" s="222"/>
      <c r="L452" s="222"/>
      <c r="M452" s="222"/>
      <c r="N452" s="222"/>
      <c r="O452" s="222">
        <v>97.3</v>
      </c>
      <c r="P452" s="222"/>
      <c r="Q452" s="249">
        <f t="shared" si="25"/>
        <v>97.3</v>
      </c>
      <c r="R452" s="153" t="str">
        <f t="shared" si="24"/>
        <v>NO</v>
      </c>
      <c r="S452" s="223" t="str">
        <f t="shared" si="23"/>
        <v>Inviable Sanitariamente</v>
      </c>
    </row>
    <row r="453" spans="1:19" ht="32.1" customHeight="1" x14ac:dyDescent="0.2">
      <c r="A453" s="209" t="s">
        <v>180</v>
      </c>
      <c r="B453" s="520" t="s">
        <v>2658</v>
      </c>
      <c r="C453" s="464" t="s">
        <v>2659</v>
      </c>
      <c r="D453" s="221">
        <v>99</v>
      </c>
      <c r="E453" s="222"/>
      <c r="F453" s="222"/>
      <c r="G453" s="222"/>
      <c r="H453" s="222"/>
      <c r="I453" s="222"/>
      <c r="J453" s="222">
        <v>97.3</v>
      </c>
      <c r="K453" s="222"/>
      <c r="L453" s="222"/>
      <c r="M453" s="222"/>
      <c r="N453" s="222"/>
      <c r="O453" s="222">
        <v>97.3</v>
      </c>
      <c r="P453" s="222"/>
      <c r="Q453" s="249">
        <f t="shared" si="25"/>
        <v>97.3</v>
      </c>
      <c r="R453" s="153" t="str">
        <f t="shared" si="24"/>
        <v>NO</v>
      </c>
      <c r="S453" s="223" t="str">
        <f t="shared" si="23"/>
        <v>Inviable Sanitariamente</v>
      </c>
    </row>
    <row r="454" spans="1:19" ht="32.1" customHeight="1" x14ac:dyDescent="0.2">
      <c r="A454" s="209" t="s">
        <v>180</v>
      </c>
      <c r="B454" s="520" t="s">
        <v>2640</v>
      </c>
      <c r="C454" s="464" t="s">
        <v>2660</v>
      </c>
      <c r="D454" s="221">
        <v>27</v>
      </c>
      <c r="E454" s="222"/>
      <c r="F454" s="222"/>
      <c r="G454" s="222"/>
      <c r="H454" s="222"/>
      <c r="I454" s="222"/>
      <c r="J454" s="222">
        <v>97.3</v>
      </c>
      <c r="K454" s="222"/>
      <c r="L454" s="222"/>
      <c r="M454" s="222"/>
      <c r="N454" s="222"/>
      <c r="O454" s="222">
        <v>97.3</v>
      </c>
      <c r="P454" s="222"/>
      <c r="Q454" s="249">
        <f t="shared" si="25"/>
        <v>97.3</v>
      </c>
      <c r="R454" s="153" t="str">
        <f t="shared" si="24"/>
        <v>NO</v>
      </c>
      <c r="S454" s="223" t="str">
        <f t="shared" ref="S454:S509" si="26">IF(Q454&lt;5,"Sin Riesgo",IF(Q454 &lt;=14,"Bajo",IF(Q454&lt;=35,"Medio",IF(Q454&lt;=80,"Alto","Inviable Sanitariamente"))))</f>
        <v>Inviable Sanitariamente</v>
      </c>
    </row>
    <row r="455" spans="1:19" ht="32.1" customHeight="1" x14ac:dyDescent="0.2">
      <c r="A455" s="209" t="s">
        <v>181</v>
      </c>
      <c r="B455" s="520" t="s">
        <v>2661</v>
      </c>
      <c r="C455" s="464" t="s">
        <v>2662</v>
      </c>
      <c r="D455" s="221">
        <v>34</v>
      </c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49" t="e">
        <f t="shared" si="25"/>
        <v>#DIV/0!</v>
      </c>
      <c r="R455" s="153" t="e">
        <f t="shared" si="24"/>
        <v>#DIV/0!</v>
      </c>
      <c r="S455" s="223" t="e">
        <f t="shared" si="26"/>
        <v>#DIV/0!</v>
      </c>
    </row>
    <row r="456" spans="1:19" ht="32.1" customHeight="1" x14ac:dyDescent="0.2">
      <c r="A456" s="209" t="s">
        <v>181</v>
      </c>
      <c r="B456" s="520" t="s">
        <v>2663</v>
      </c>
      <c r="C456" s="464" t="s">
        <v>2664</v>
      </c>
      <c r="D456" s="221">
        <v>50</v>
      </c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49" t="e">
        <f t="shared" si="25"/>
        <v>#DIV/0!</v>
      </c>
      <c r="R456" s="153" t="e">
        <f t="shared" si="24"/>
        <v>#DIV/0!</v>
      </c>
      <c r="S456" s="223" t="e">
        <f t="shared" si="26"/>
        <v>#DIV/0!</v>
      </c>
    </row>
    <row r="457" spans="1:19" ht="32.1" customHeight="1" x14ac:dyDescent="0.2">
      <c r="A457" s="209" t="s">
        <v>181</v>
      </c>
      <c r="B457" s="520" t="s">
        <v>2665</v>
      </c>
      <c r="C457" s="464" t="s">
        <v>2666</v>
      </c>
      <c r="D457" s="221">
        <v>47</v>
      </c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49" t="e">
        <f t="shared" si="25"/>
        <v>#DIV/0!</v>
      </c>
      <c r="R457" s="153" t="e">
        <f t="shared" si="24"/>
        <v>#DIV/0!</v>
      </c>
      <c r="S457" s="223" t="e">
        <f t="shared" si="26"/>
        <v>#DIV/0!</v>
      </c>
    </row>
    <row r="458" spans="1:19" ht="32.1" customHeight="1" x14ac:dyDescent="0.2">
      <c r="A458" s="209" t="s">
        <v>181</v>
      </c>
      <c r="B458" s="520" t="s">
        <v>19</v>
      </c>
      <c r="C458" s="464" t="s">
        <v>2667</v>
      </c>
      <c r="D458" s="221">
        <v>45</v>
      </c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49" t="e">
        <f t="shared" si="25"/>
        <v>#DIV/0!</v>
      </c>
      <c r="R458" s="153" t="e">
        <f t="shared" si="24"/>
        <v>#DIV/0!</v>
      </c>
      <c r="S458" s="223" t="e">
        <f t="shared" si="26"/>
        <v>#DIV/0!</v>
      </c>
    </row>
    <row r="459" spans="1:19" ht="32.1" customHeight="1" x14ac:dyDescent="0.2">
      <c r="A459" s="209" t="s">
        <v>181</v>
      </c>
      <c r="B459" s="520" t="s">
        <v>2668</v>
      </c>
      <c r="C459" s="464" t="s">
        <v>2669</v>
      </c>
      <c r="D459" s="221">
        <v>33</v>
      </c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49" t="e">
        <f t="shared" si="25"/>
        <v>#DIV/0!</v>
      </c>
      <c r="R459" s="153" t="e">
        <f t="shared" si="24"/>
        <v>#DIV/0!</v>
      </c>
      <c r="S459" s="223" t="e">
        <f t="shared" si="26"/>
        <v>#DIV/0!</v>
      </c>
    </row>
    <row r="460" spans="1:19" ht="32.1" customHeight="1" x14ac:dyDescent="0.2">
      <c r="A460" s="209" t="s">
        <v>181</v>
      </c>
      <c r="B460" s="520" t="s">
        <v>2670</v>
      </c>
      <c r="C460" s="464" t="s">
        <v>2671</v>
      </c>
      <c r="D460" s="121">
        <v>30</v>
      </c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49" t="e">
        <f t="shared" si="25"/>
        <v>#DIV/0!</v>
      </c>
      <c r="R460" s="153" t="e">
        <f t="shared" si="24"/>
        <v>#DIV/0!</v>
      </c>
      <c r="S460" s="223" t="e">
        <f t="shared" si="26"/>
        <v>#DIV/0!</v>
      </c>
    </row>
    <row r="461" spans="1:19" ht="32.1" customHeight="1" x14ac:dyDescent="0.2">
      <c r="A461" s="209" t="s">
        <v>181</v>
      </c>
      <c r="B461" s="520" t="s">
        <v>2672</v>
      </c>
      <c r="C461" s="464" t="s">
        <v>2673</v>
      </c>
      <c r="D461" s="221">
        <v>80</v>
      </c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49" t="e">
        <f t="shared" si="25"/>
        <v>#DIV/0!</v>
      </c>
      <c r="R461" s="153" t="e">
        <f t="shared" si="24"/>
        <v>#DIV/0!</v>
      </c>
      <c r="S461" s="223" t="e">
        <f t="shared" si="26"/>
        <v>#DIV/0!</v>
      </c>
    </row>
    <row r="462" spans="1:19" ht="32.1" customHeight="1" x14ac:dyDescent="0.2">
      <c r="A462" s="209" t="s">
        <v>181</v>
      </c>
      <c r="B462" s="520" t="s">
        <v>2674</v>
      </c>
      <c r="C462" s="464" t="s">
        <v>2675</v>
      </c>
      <c r="D462" s="229">
        <v>147</v>
      </c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49" t="e">
        <f t="shared" si="25"/>
        <v>#DIV/0!</v>
      </c>
      <c r="R462" s="153" t="e">
        <f t="shared" si="24"/>
        <v>#DIV/0!</v>
      </c>
      <c r="S462" s="223" t="e">
        <f t="shared" si="26"/>
        <v>#DIV/0!</v>
      </c>
    </row>
    <row r="463" spans="1:19" ht="32.1" customHeight="1" x14ac:dyDescent="0.2">
      <c r="A463" s="209" t="s">
        <v>181</v>
      </c>
      <c r="B463" s="520" t="s">
        <v>97</v>
      </c>
      <c r="C463" s="464" t="s">
        <v>2676</v>
      </c>
      <c r="D463" s="121">
        <v>40</v>
      </c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49" t="e">
        <f t="shared" si="25"/>
        <v>#DIV/0!</v>
      </c>
      <c r="R463" s="153" t="e">
        <f t="shared" si="24"/>
        <v>#DIV/0!</v>
      </c>
      <c r="S463" s="223" t="e">
        <f t="shared" si="26"/>
        <v>#DIV/0!</v>
      </c>
    </row>
    <row r="464" spans="1:19" ht="32.1" customHeight="1" x14ac:dyDescent="0.2">
      <c r="A464" s="209" t="s">
        <v>181</v>
      </c>
      <c r="B464" s="520" t="s">
        <v>2677</v>
      </c>
      <c r="C464" s="464" t="s">
        <v>2678</v>
      </c>
      <c r="D464" s="121">
        <v>35</v>
      </c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49" t="e">
        <f t="shared" si="25"/>
        <v>#DIV/0!</v>
      </c>
      <c r="R464" s="153" t="e">
        <f t="shared" si="24"/>
        <v>#DIV/0!</v>
      </c>
      <c r="S464" s="223" t="e">
        <f t="shared" si="26"/>
        <v>#DIV/0!</v>
      </c>
    </row>
    <row r="465" spans="1:19" ht="32.1" customHeight="1" x14ac:dyDescent="0.2">
      <c r="A465" s="209" t="s">
        <v>181</v>
      </c>
      <c r="B465" s="520" t="s">
        <v>2679</v>
      </c>
      <c r="C465" s="464" t="s">
        <v>2680</v>
      </c>
      <c r="D465" s="229">
        <v>24</v>
      </c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49" t="e">
        <f t="shared" si="25"/>
        <v>#DIV/0!</v>
      </c>
      <c r="R465" s="153" t="e">
        <f t="shared" si="24"/>
        <v>#DIV/0!</v>
      </c>
      <c r="S465" s="223" t="e">
        <f t="shared" si="26"/>
        <v>#DIV/0!</v>
      </c>
    </row>
    <row r="466" spans="1:19" ht="32.1" customHeight="1" x14ac:dyDescent="0.2">
      <c r="A466" s="209" t="s">
        <v>181</v>
      </c>
      <c r="B466" s="520" t="s">
        <v>2681</v>
      </c>
      <c r="C466" s="464" t="s">
        <v>2682</v>
      </c>
      <c r="D466" s="221">
        <v>42</v>
      </c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49" t="e">
        <f t="shared" si="25"/>
        <v>#DIV/0!</v>
      </c>
      <c r="R466" s="153" t="e">
        <f t="shared" si="24"/>
        <v>#DIV/0!</v>
      </c>
      <c r="S466" s="223" t="e">
        <f t="shared" si="26"/>
        <v>#DIV/0!</v>
      </c>
    </row>
    <row r="467" spans="1:19" ht="32.1" customHeight="1" x14ac:dyDescent="0.2">
      <c r="A467" s="209" t="s">
        <v>181</v>
      </c>
      <c r="B467" s="520" t="s">
        <v>2683</v>
      </c>
      <c r="C467" s="464" t="s">
        <v>2684</v>
      </c>
      <c r="D467" s="121">
        <v>75</v>
      </c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49" t="e">
        <f t="shared" si="25"/>
        <v>#DIV/0!</v>
      </c>
      <c r="R467" s="153" t="e">
        <f t="shared" si="24"/>
        <v>#DIV/0!</v>
      </c>
      <c r="S467" s="223" t="e">
        <f t="shared" si="26"/>
        <v>#DIV/0!</v>
      </c>
    </row>
    <row r="468" spans="1:19" ht="32.1" customHeight="1" x14ac:dyDescent="0.2">
      <c r="A468" s="209" t="s">
        <v>181</v>
      </c>
      <c r="B468" s="520" t="s">
        <v>2685</v>
      </c>
      <c r="C468" s="464" t="s">
        <v>2686</v>
      </c>
      <c r="D468" s="116">
        <v>36</v>
      </c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49" t="e">
        <f t="shared" si="25"/>
        <v>#DIV/0!</v>
      </c>
      <c r="R468" s="153" t="e">
        <f t="shared" si="24"/>
        <v>#DIV/0!</v>
      </c>
      <c r="S468" s="223" t="e">
        <f t="shared" si="26"/>
        <v>#DIV/0!</v>
      </c>
    </row>
    <row r="469" spans="1:19" ht="32.1" customHeight="1" x14ac:dyDescent="0.2">
      <c r="A469" s="209" t="s">
        <v>181</v>
      </c>
      <c r="B469" s="520" t="s">
        <v>2687</v>
      </c>
      <c r="C469" s="464" t="s">
        <v>2688</v>
      </c>
      <c r="D469" s="221">
        <v>35</v>
      </c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49" t="e">
        <f t="shared" si="25"/>
        <v>#DIV/0!</v>
      </c>
      <c r="R469" s="153" t="e">
        <f t="shared" si="24"/>
        <v>#DIV/0!</v>
      </c>
      <c r="S469" s="223" t="e">
        <f t="shared" si="26"/>
        <v>#DIV/0!</v>
      </c>
    </row>
    <row r="470" spans="1:19" ht="32.1" customHeight="1" x14ac:dyDescent="0.2">
      <c r="A470" s="209" t="s">
        <v>181</v>
      </c>
      <c r="B470" s="520" t="s">
        <v>2689</v>
      </c>
      <c r="C470" s="464" t="s">
        <v>2690</v>
      </c>
      <c r="D470" s="221">
        <v>44</v>
      </c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49" t="e">
        <f t="shared" si="25"/>
        <v>#DIV/0!</v>
      </c>
      <c r="R470" s="153" t="e">
        <f t="shared" si="24"/>
        <v>#DIV/0!</v>
      </c>
      <c r="S470" s="223" t="e">
        <f t="shared" si="26"/>
        <v>#DIV/0!</v>
      </c>
    </row>
    <row r="471" spans="1:19" ht="32.1" customHeight="1" x14ac:dyDescent="0.2">
      <c r="A471" s="209" t="s">
        <v>181</v>
      </c>
      <c r="B471" s="520" t="s">
        <v>2691</v>
      </c>
      <c r="C471" s="464" t="s">
        <v>2692</v>
      </c>
      <c r="D471" s="221">
        <v>40</v>
      </c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49" t="e">
        <f t="shared" si="25"/>
        <v>#DIV/0!</v>
      </c>
      <c r="R471" s="153" t="e">
        <f t="shared" si="24"/>
        <v>#DIV/0!</v>
      </c>
      <c r="S471" s="223" t="e">
        <f t="shared" si="26"/>
        <v>#DIV/0!</v>
      </c>
    </row>
    <row r="472" spans="1:19" ht="32.1" customHeight="1" x14ac:dyDescent="0.2">
      <c r="A472" s="209" t="s">
        <v>181</v>
      </c>
      <c r="B472" s="520" t="s">
        <v>2693</v>
      </c>
      <c r="C472" s="464" t="s">
        <v>2694</v>
      </c>
      <c r="D472" s="121">
        <v>21</v>
      </c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49" t="e">
        <f t="shared" si="25"/>
        <v>#DIV/0!</v>
      </c>
      <c r="R472" s="153" t="e">
        <f t="shared" si="24"/>
        <v>#DIV/0!</v>
      </c>
      <c r="S472" s="223" t="e">
        <f t="shared" si="26"/>
        <v>#DIV/0!</v>
      </c>
    </row>
    <row r="473" spans="1:19" ht="32.1" customHeight="1" x14ac:dyDescent="0.2">
      <c r="A473" s="209" t="s">
        <v>181</v>
      </c>
      <c r="B473" s="520" t="s">
        <v>2695</v>
      </c>
      <c r="C473" s="464" t="s">
        <v>2696</v>
      </c>
      <c r="D473" s="121">
        <v>29</v>
      </c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49" t="e">
        <f t="shared" si="25"/>
        <v>#DIV/0!</v>
      </c>
      <c r="R473" s="153" t="e">
        <f t="shared" si="24"/>
        <v>#DIV/0!</v>
      </c>
      <c r="S473" s="223" t="e">
        <f t="shared" si="26"/>
        <v>#DIV/0!</v>
      </c>
    </row>
    <row r="474" spans="1:19" ht="32.1" customHeight="1" x14ac:dyDescent="0.2">
      <c r="A474" s="209" t="s">
        <v>181</v>
      </c>
      <c r="B474" s="520" t="s">
        <v>1550</v>
      </c>
      <c r="C474" s="464" t="s">
        <v>2697</v>
      </c>
      <c r="D474" s="121">
        <v>90</v>
      </c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49" t="e">
        <f t="shared" si="25"/>
        <v>#DIV/0!</v>
      </c>
      <c r="R474" s="153" t="e">
        <f t="shared" si="24"/>
        <v>#DIV/0!</v>
      </c>
      <c r="S474" s="223" t="e">
        <f t="shared" si="26"/>
        <v>#DIV/0!</v>
      </c>
    </row>
    <row r="475" spans="1:19" ht="32.1" customHeight="1" x14ac:dyDescent="0.2">
      <c r="A475" s="209" t="s">
        <v>181</v>
      </c>
      <c r="B475" s="520" t="s">
        <v>2698</v>
      </c>
      <c r="C475" s="464" t="s">
        <v>2699</v>
      </c>
      <c r="D475" s="121">
        <v>120</v>
      </c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49" t="e">
        <f t="shared" si="25"/>
        <v>#DIV/0!</v>
      </c>
      <c r="R475" s="153" t="e">
        <f t="shared" si="24"/>
        <v>#DIV/0!</v>
      </c>
      <c r="S475" s="223" t="e">
        <f t="shared" si="26"/>
        <v>#DIV/0!</v>
      </c>
    </row>
    <row r="476" spans="1:19" ht="32.1" customHeight="1" x14ac:dyDescent="0.2">
      <c r="A476" s="209" t="s">
        <v>181</v>
      </c>
      <c r="B476" s="520" t="s">
        <v>2700</v>
      </c>
      <c r="C476" s="464" t="s">
        <v>2701</v>
      </c>
      <c r="D476" s="121">
        <v>95</v>
      </c>
      <c r="E476" s="222"/>
      <c r="F476" s="222"/>
      <c r="G476" s="222"/>
      <c r="H476" s="222">
        <v>97.5</v>
      </c>
      <c r="I476" s="222"/>
      <c r="J476" s="222"/>
      <c r="K476" s="222"/>
      <c r="L476" s="222"/>
      <c r="M476" s="222"/>
      <c r="N476" s="222"/>
      <c r="O476" s="222"/>
      <c r="P476" s="222"/>
      <c r="Q476" s="249">
        <f t="shared" si="25"/>
        <v>97.5</v>
      </c>
      <c r="R476" s="153" t="str">
        <f t="shared" si="24"/>
        <v>NO</v>
      </c>
      <c r="S476" s="223" t="str">
        <f t="shared" si="26"/>
        <v>Inviable Sanitariamente</v>
      </c>
    </row>
    <row r="477" spans="1:19" ht="32.1" customHeight="1" x14ac:dyDescent="0.2">
      <c r="A477" s="209" t="s">
        <v>181</v>
      </c>
      <c r="B477" s="520" t="s">
        <v>2702</v>
      </c>
      <c r="C477" s="464" t="s">
        <v>2703</v>
      </c>
      <c r="D477" s="121">
        <v>48</v>
      </c>
      <c r="E477" s="222"/>
      <c r="F477" s="222"/>
      <c r="G477" s="222"/>
      <c r="H477" s="222"/>
      <c r="I477" s="222"/>
      <c r="J477" s="222"/>
      <c r="K477" s="222"/>
      <c r="L477" s="222">
        <v>97.35</v>
      </c>
      <c r="M477" s="222"/>
      <c r="N477" s="222"/>
      <c r="O477" s="222"/>
      <c r="P477" s="222"/>
      <c r="Q477" s="249">
        <f t="shared" si="25"/>
        <v>97.35</v>
      </c>
      <c r="R477" s="153" t="str">
        <f t="shared" si="24"/>
        <v>NO</v>
      </c>
      <c r="S477" s="223" t="str">
        <f t="shared" si="26"/>
        <v>Inviable Sanitariamente</v>
      </c>
    </row>
    <row r="478" spans="1:19" ht="32.1" customHeight="1" x14ac:dyDescent="0.2">
      <c r="A478" s="209" t="s">
        <v>181</v>
      </c>
      <c r="B478" s="520" t="s">
        <v>2704</v>
      </c>
      <c r="C478" s="464" t="s">
        <v>2705</v>
      </c>
      <c r="D478" s="121">
        <v>83</v>
      </c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49" t="e">
        <f t="shared" si="25"/>
        <v>#DIV/0!</v>
      </c>
      <c r="R478" s="153" t="e">
        <f t="shared" si="24"/>
        <v>#DIV/0!</v>
      </c>
      <c r="S478" s="223" t="e">
        <f t="shared" si="26"/>
        <v>#DIV/0!</v>
      </c>
    </row>
    <row r="479" spans="1:19" ht="32.1" customHeight="1" x14ac:dyDescent="0.2">
      <c r="A479" s="209" t="s">
        <v>181</v>
      </c>
      <c r="B479" s="520" t="s">
        <v>2706</v>
      </c>
      <c r="C479" s="464" t="s">
        <v>2707</v>
      </c>
      <c r="D479" s="121">
        <v>82</v>
      </c>
      <c r="E479" s="222"/>
      <c r="F479" s="222"/>
      <c r="G479" s="222"/>
      <c r="H479" s="222">
        <v>97.5</v>
      </c>
      <c r="I479" s="222"/>
      <c r="J479" s="222"/>
      <c r="K479" s="222"/>
      <c r="L479" s="222"/>
      <c r="M479" s="222"/>
      <c r="N479" s="222"/>
      <c r="O479" s="222"/>
      <c r="P479" s="222"/>
      <c r="Q479" s="249">
        <f t="shared" si="25"/>
        <v>97.5</v>
      </c>
      <c r="R479" s="153" t="str">
        <f t="shared" si="24"/>
        <v>NO</v>
      </c>
      <c r="S479" s="223" t="str">
        <f t="shared" si="26"/>
        <v>Inviable Sanitariamente</v>
      </c>
    </row>
    <row r="480" spans="1:19" ht="32.1" customHeight="1" x14ac:dyDescent="0.2">
      <c r="A480" s="209" t="s">
        <v>181</v>
      </c>
      <c r="B480" s="520" t="s">
        <v>2708</v>
      </c>
      <c r="C480" s="464" t="s">
        <v>2709</v>
      </c>
      <c r="D480" s="121">
        <v>205</v>
      </c>
      <c r="E480" s="222"/>
      <c r="F480" s="222"/>
      <c r="G480" s="222"/>
      <c r="H480" s="222">
        <v>26.5</v>
      </c>
      <c r="I480" s="222"/>
      <c r="J480" s="222"/>
      <c r="K480" s="222"/>
      <c r="L480" s="222">
        <v>26.5</v>
      </c>
      <c r="M480" s="222"/>
      <c r="N480" s="222"/>
      <c r="O480" s="222"/>
      <c r="P480" s="222"/>
      <c r="Q480" s="249">
        <f t="shared" si="25"/>
        <v>26.5</v>
      </c>
      <c r="R480" s="153" t="str">
        <f t="shared" si="24"/>
        <v>NO</v>
      </c>
      <c r="S480" s="223" t="str">
        <f t="shared" si="26"/>
        <v>Medio</v>
      </c>
    </row>
    <row r="481" spans="1:19" ht="32.1" customHeight="1" x14ac:dyDescent="0.2">
      <c r="A481" s="209" t="s">
        <v>181</v>
      </c>
      <c r="B481" s="520" t="s">
        <v>2710</v>
      </c>
      <c r="C481" s="464" t="s">
        <v>2711</v>
      </c>
      <c r="D481" s="121">
        <v>115</v>
      </c>
      <c r="E481" s="222"/>
      <c r="F481" s="222"/>
      <c r="G481" s="222"/>
      <c r="H481" s="222">
        <v>97.5</v>
      </c>
      <c r="I481" s="222"/>
      <c r="J481" s="222"/>
      <c r="K481" s="222"/>
      <c r="L481" s="222">
        <v>97.34</v>
      </c>
      <c r="M481" s="222"/>
      <c r="N481" s="222"/>
      <c r="O481" s="222"/>
      <c r="P481" s="222"/>
      <c r="Q481" s="249">
        <f t="shared" si="25"/>
        <v>97.42</v>
      </c>
      <c r="R481" s="153" t="str">
        <f t="shared" si="24"/>
        <v>NO</v>
      </c>
      <c r="S481" s="223" t="str">
        <f t="shared" si="26"/>
        <v>Inviable Sanitariamente</v>
      </c>
    </row>
    <row r="482" spans="1:19" ht="32.1" customHeight="1" x14ac:dyDescent="0.2">
      <c r="A482" s="127" t="s">
        <v>181</v>
      </c>
      <c r="B482" s="526" t="s">
        <v>2712</v>
      </c>
      <c r="C482" s="463" t="s">
        <v>2713</v>
      </c>
      <c r="D482" s="121">
        <v>60</v>
      </c>
      <c r="E482" s="222"/>
      <c r="F482" s="222"/>
      <c r="G482" s="222"/>
      <c r="H482" s="222"/>
      <c r="I482" s="222"/>
      <c r="J482" s="222"/>
      <c r="K482" s="222"/>
      <c r="L482" s="222">
        <v>97.35</v>
      </c>
      <c r="M482" s="222"/>
      <c r="N482" s="222"/>
      <c r="O482" s="222"/>
      <c r="P482" s="222"/>
      <c r="Q482" s="249">
        <f t="shared" si="25"/>
        <v>97.35</v>
      </c>
      <c r="R482" s="241" t="str">
        <f t="shared" si="24"/>
        <v>NO</v>
      </c>
      <c r="S482" s="223" t="str">
        <f t="shared" si="26"/>
        <v>Inviable Sanitariamente</v>
      </c>
    </row>
    <row r="483" spans="1:19" ht="32.1" customHeight="1" x14ac:dyDescent="0.2">
      <c r="A483" s="127" t="s">
        <v>181</v>
      </c>
      <c r="B483" s="526" t="s">
        <v>6</v>
      </c>
      <c r="C483" s="463" t="s">
        <v>2714</v>
      </c>
      <c r="D483" s="121">
        <v>52</v>
      </c>
      <c r="E483" s="222"/>
      <c r="F483" s="222"/>
      <c r="G483" s="222"/>
      <c r="H483" s="222"/>
      <c r="I483" s="222"/>
      <c r="J483" s="222"/>
      <c r="K483" s="222"/>
      <c r="L483" s="222"/>
      <c r="M483" s="222">
        <v>97.35</v>
      </c>
      <c r="N483" s="222"/>
      <c r="O483" s="222"/>
      <c r="P483" s="222"/>
      <c r="Q483" s="249">
        <f t="shared" si="25"/>
        <v>97.35</v>
      </c>
      <c r="R483" s="241" t="str">
        <f t="shared" si="24"/>
        <v>NO</v>
      </c>
      <c r="S483" s="223" t="str">
        <f t="shared" si="26"/>
        <v>Inviable Sanitariamente</v>
      </c>
    </row>
    <row r="484" spans="1:19" ht="32.1" customHeight="1" x14ac:dyDescent="0.2">
      <c r="A484" s="127" t="s">
        <v>181</v>
      </c>
      <c r="B484" s="526" t="s">
        <v>2715</v>
      </c>
      <c r="C484" s="463" t="s">
        <v>2716</v>
      </c>
      <c r="D484" s="121">
        <v>63</v>
      </c>
      <c r="E484" s="222"/>
      <c r="F484" s="222"/>
      <c r="G484" s="222"/>
      <c r="H484" s="222"/>
      <c r="I484" s="222"/>
      <c r="J484" s="222"/>
      <c r="K484" s="222"/>
      <c r="L484" s="222">
        <v>97.3</v>
      </c>
      <c r="M484" s="222"/>
      <c r="N484" s="222"/>
      <c r="O484" s="222"/>
      <c r="P484" s="222"/>
      <c r="Q484" s="249">
        <f t="shared" si="25"/>
        <v>97.3</v>
      </c>
      <c r="R484" s="241" t="str">
        <f t="shared" si="24"/>
        <v>NO</v>
      </c>
      <c r="S484" s="223" t="str">
        <f t="shared" si="26"/>
        <v>Inviable Sanitariamente</v>
      </c>
    </row>
    <row r="485" spans="1:19" ht="32.1" customHeight="1" x14ac:dyDescent="0.2">
      <c r="A485" s="127" t="s">
        <v>181</v>
      </c>
      <c r="B485" s="526" t="s">
        <v>2717</v>
      </c>
      <c r="C485" s="463" t="s">
        <v>2718</v>
      </c>
      <c r="D485" s="121">
        <v>52</v>
      </c>
      <c r="E485" s="222"/>
      <c r="F485" s="222"/>
      <c r="G485" s="222"/>
      <c r="H485" s="222"/>
      <c r="I485" s="222"/>
      <c r="J485" s="222"/>
      <c r="K485" s="222"/>
      <c r="L485" s="222">
        <v>97.35</v>
      </c>
      <c r="M485" s="222"/>
      <c r="N485" s="222"/>
      <c r="O485" s="222"/>
      <c r="P485" s="222"/>
      <c r="Q485" s="249">
        <f t="shared" si="25"/>
        <v>97.35</v>
      </c>
      <c r="R485" s="241" t="str">
        <f t="shared" si="24"/>
        <v>NO</v>
      </c>
      <c r="S485" s="223" t="str">
        <f t="shared" si="26"/>
        <v>Inviable Sanitariamente</v>
      </c>
    </row>
    <row r="486" spans="1:19" ht="32.1" customHeight="1" x14ac:dyDescent="0.2">
      <c r="A486" s="491" t="s">
        <v>182</v>
      </c>
      <c r="B486" s="526" t="s">
        <v>2719</v>
      </c>
      <c r="C486" s="463" t="s">
        <v>2720</v>
      </c>
      <c r="D486" s="116">
        <v>29</v>
      </c>
      <c r="E486" s="222"/>
      <c r="F486" s="222"/>
      <c r="G486" s="222"/>
      <c r="H486" s="222"/>
      <c r="I486" s="222">
        <v>76.900000000000006</v>
      </c>
      <c r="J486" s="222"/>
      <c r="K486" s="222"/>
      <c r="L486" s="222"/>
      <c r="M486" s="222"/>
      <c r="N486" s="222"/>
      <c r="O486" s="222"/>
      <c r="P486" s="222"/>
      <c r="Q486" s="249">
        <f t="shared" si="25"/>
        <v>76.900000000000006</v>
      </c>
      <c r="R486" s="241" t="str">
        <f t="shared" ref="R486:R509" si="27">IF(Q486&lt;5,"SI","NO")</f>
        <v>NO</v>
      </c>
      <c r="S486" s="223" t="str">
        <f t="shared" si="26"/>
        <v>Alto</v>
      </c>
    </row>
    <row r="487" spans="1:19" ht="32.1" customHeight="1" x14ac:dyDescent="0.2">
      <c r="A487" s="491" t="s">
        <v>182</v>
      </c>
      <c r="B487" s="526" t="s">
        <v>2721</v>
      </c>
      <c r="C487" s="463" t="s">
        <v>2722</v>
      </c>
      <c r="D487" s="116">
        <v>24</v>
      </c>
      <c r="E487" s="222"/>
      <c r="F487" s="222"/>
      <c r="G487" s="222"/>
      <c r="H487" s="222"/>
      <c r="I487" s="222"/>
      <c r="J487" s="222">
        <v>76.900000000000006</v>
      </c>
      <c r="K487" s="222"/>
      <c r="L487" s="222"/>
      <c r="M487" s="222"/>
      <c r="N487" s="222"/>
      <c r="O487" s="222"/>
      <c r="P487" s="222"/>
      <c r="Q487" s="249">
        <f t="shared" ref="Q487:Q509" si="28">AVERAGE(E487:P487)</f>
        <v>76.900000000000006</v>
      </c>
      <c r="R487" s="241" t="str">
        <f t="shared" si="27"/>
        <v>NO</v>
      </c>
      <c r="S487" s="223" t="str">
        <f t="shared" si="26"/>
        <v>Alto</v>
      </c>
    </row>
    <row r="488" spans="1:19" ht="32.1" customHeight="1" x14ac:dyDescent="0.2">
      <c r="A488" s="491" t="s">
        <v>182</v>
      </c>
      <c r="B488" s="526" t="s">
        <v>2723</v>
      </c>
      <c r="C488" s="463" t="s">
        <v>2724</v>
      </c>
      <c r="D488" s="116">
        <v>33</v>
      </c>
      <c r="E488" s="222"/>
      <c r="F488" s="222"/>
      <c r="G488" s="222"/>
      <c r="H488" s="222"/>
      <c r="I488" s="222"/>
      <c r="J488" s="222"/>
      <c r="K488" s="222"/>
      <c r="L488" s="222"/>
      <c r="M488" s="222"/>
      <c r="N488" s="222">
        <v>76.92</v>
      </c>
      <c r="O488" s="222"/>
      <c r="P488" s="222"/>
      <c r="Q488" s="249">
        <f t="shared" si="28"/>
        <v>76.92</v>
      </c>
      <c r="R488" s="241" t="str">
        <f t="shared" si="27"/>
        <v>NO</v>
      </c>
      <c r="S488" s="223" t="str">
        <f t="shared" si="26"/>
        <v>Alto</v>
      </c>
    </row>
    <row r="489" spans="1:19" ht="32.1" customHeight="1" x14ac:dyDescent="0.2">
      <c r="A489" s="491" t="s">
        <v>182</v>
      </c>
      <c r="B489" s="526" t="s">
        <v>44</v>
      </c>
      <c r="C489" s="463" t="s">
        <v>2725</v>
      </c>
      <c r="D489" s="116">
        <v>69</v>
      </c>
      <c r="E489" s="222"/>
      <c r="F489" s="222"/>
      <c r="G489" s="222"/>
      <c r="H489" s="222"/>
      <c r="I489" s="222"/>
      <c r="J489" s="222"/>
      <c r="K489" s="222">
        <v>76.900000000000006</v>
      </c>
      <c r="L489" s="222"/>
      <c r="M489" s="222"/>
      <c r="N489" s="222"/>
      <c r="O489" s="222"/>
      <c r="P489" s="222"/>
      <c r="Q489" s="249">
        <f t="shared" si="28"/>
        <v>76.900000000000006</v>
      </c>
      <c r="R489" s="241" t="str">
        <f t="shared" si="27"/>
        <v>NO</v>
      </c>
      <c r="S489" s="223" t="str">
        <f t="shared" si="26"/>
        <v>Alto</v>
      </c>
    </row>
    <row r="490" spans="1:19" ht="32.1" customHeight="1" x14ac:dyDescent="0.2">
      <c r="A490" s="491" t="s">
        <v>182</v>
      </c>
      <c r="B490" s="526" t="s">
        <v>2726</v>
      </c>
      <c r="C490" s="463" t="s">
        <v>2727</v>
      </c>
      <c r="D490" s="116">
        <v>146</v>
      </c>
      <c r="E490" s="222"/>
      <c r="F490" s="222"/>
      <c r="G490" s="222">
        <v>76.900000000000006</v>
      </c>
      <c r="H490" s="222"/>
      <c r="I490" s="222"/>
      <c r="J490" s="222"/>
      <c r="K490" s="222"/>
      <c r="L490" s="222"/>
      <c r="M490" s="222"/>
      <c r="N490" s="222"/>
      <c r="O490" s="222"/>
      <c r="P490" s="222"/>
      <c r="Q490" s="249">
        <f t="shared" si="28"/>
        <v>76.900000000000006</v>
      </c>
      <c r="R490" s="241" t="str">
        <f t="shared" si="27"/>
        <v>NO</v>
      </c>
      <c r="S490" s="223" t="str">
        <f t="shared" si="26"/>
        <v>Alto</v>
      </c>
    </row>
    <row r="491" spans="1:19" ht="32.1" customHeight="1" x14ac:dyDescent="0.2">
      <c r="A491" s="491" t="s">
        <v>182</v>
      </c>
      <c r="B491" s="526" t="s">
        <v>2728</v>
      </c>
      <c r="C491" s="463" t="s">
        <v>2729</v>
      </c>
      <c r="D491" s="116">
        <v>70</v>
      </c>
      <c r="E491" s="222"/>
      <c r="F491" s="222"/>
      <c r="G491" s="222"/>
      <c r="H491" s="222"/>
      <c r="I491" s="222"/>
      <c r="J491" s="222">
        <v>76.900000000000006</v>
      </c>
      <c r="K491" s="222"/>
      <c r="L491" s="222"/>
      <c r="M491" s="222"/>
      <c r="N491" s="222"/>
      <c r="O491" s="222"/>
      <c r="P491" s="222"/>
      <c r="Q491" s="249">
        <f t="shared" si="28"/>
        <v>76.900000000000006</v>
      </c>
      <c r="R491" s="241" t="str">
        <f t="shared" si="27"/>
        <v>NO</v>
      </c>
      <c r="S491" s="223" t="str">
        <f t="shared" si="26"/>
        <v>Alto</v>
      </c>
    </row>
    <row r="492" spans="1:19" ht="32.1" customHeight="1" x14ac:dyDescent="0.2">
      <c r="A492" s="491" t="s">
        <v>182</v>
      </c>
      <c r="B492" s="526" t="s">
        <v>2730</v>
      </c>
      <c r="C492" s="463" t="s">
        <v>2731</v>
      </c>
      <c r="D492" s="116">
        <v>44</v>
      </c>
      <c r="E492" s="222"/>
      <c r="F492" s="222"/>
      <c r="G492" s="222"/>
      <c r="H492" s="222">
        <v>76.900000000000006</v>
      </c>
      <c r="I492" s="222"/>
      <c r="J492" s="222"/>
      <c r="K492" s="222"/>
      <c r="L492" s="222"/>
      <c r="M492" s="222"/>
      <c r="N492" s="222"/>
      <c r="O492" s="222"/>
      <c r="P492" s="222"/>
      <c r="Q492" s="249">
        <f t="shared" si="28"/>
        <v>76.900000000000006</v>
      </c>
      <c r="R492" s="241" t="str">
        <f t="shared" si="27"/>
        <v>NO</v>
      </c>
      <c r="S492" s="223" t="str">
        <f t="shared" si="26"/>
        <v>Alto</v>
      </c>
    </row>
    <row r="493" spans="1:19" ht="32.1" customHeight="1" x14ac:dyDescent="0.2">
      <c r="A493" s="491" t="s">
        <v>182</v>
      </c>
      <c r="B493" s="526" t="s">
        <v>2732</v>
      </c>
      <c r="C493" s="463" t="s">
        <v>2733</v>
      </c>
      <c r="D493" s="143">
        <v>76</v>
      </c>
      <c r="E493" s="222"/>
      <c r="F493" s="222"/>
      <c r="G493" s="222"/>
      <c r="H493" s="222"/>
      <c r="I493" s="222"/>
      <c r="J493" s="222"/>
      <c r="K493" s="222"/>
      <c r="L493" s="222">
        <v>76.900000000000006</v>
      </c>
      <c r="M493" s="222"/>
      <c r="N493" s="222"/>
      <c r="O493" s="222"/>
      <c r="P493" s="222"/>
      <c r="Q493" s="249">
        <f t="shared" si="28"/>
        <v>76.900000000000006</v>
      </c>
      <c r="R493" s="241" t="str">
        <f t="shared" si="27"/>
        <v>NO</v>
      </c>
      <c r="S493" s="223" t="str">
        <f t="shared" si="26"/>
        <v>Alto</v>
      </c>
    </row>
    <row r="494" spans="1:19" s="246" customFormat="1" ht="32.1" customHeight="1" x14ac:dyDescent="0.2">
      <c r="A494" s="491" t="s">
        <v>182</v>
      </c>
      <c r="B494" s="526" t="s">
        <v>887</v>
      </c>
      <c r="C494" s="463" t="s">
        <v>2734</v>
      </c>
      <c r="D494" s="143">
        <v>65</v>
      </c>
      <c r="E494" s="222"/>
      <c r="F494" s="222"/>
      <c r="G494" s="222"/>
      <c r="H494" s="222"/>
      <c r="I494" s="222"/>
      <c r="J494" s="222"/>
      <c r="K494" s="222">
        <v>76.92</v>
      </c>
      <c r="L494" s="222"/>
      <c r="M494" s="222"/>
      <c r="N494" s="222"/>
      <c r="O494" s="222"/>
      <c r="P494" s="222"/>
      <c r="Q494" s="249">
        <f t="shared" si="28"/>
        <v>76.92</v>
      </c>
      <c r="R494" s="241" t="str">
        <f t="shared" si="27"/>
        <v>NO</v>
      </c>
      <c r="S494" s="223" t="str">
        <f t="shared" si="26"/>
        <v>Alto</v>
      </c>
    </row>
    <row r="495" spans="1:19" ht="32.1" customHeight="1" x14ac:dyDescent="0.2">
      <c r="A495" s="491" t="s">
        <v>182</v>
      </c>
      <c r="B495" s="526" t="s">
        <v>2580</v>
      </c>
      <c r="C495" s="463" t="s">
        <v>2735</v>
      </c>
      <c r="D495" s="143">
        <v>24</v>
      </c>
      <c r="E495" s="222"/>
      <c r="F495" s="222"/>
      <c r="G495" s="222"/>
      <c r="H495" s="222"/>
      <c r="I495" s="222"/>
      <c r="J495" s="222"/>
      <c r="K495" s="222"/>
      <c r="L495" s="222">
        <v>76.900000000000006</v>
      </c>
      <c r="M495" s="222"/>
      <c r="N495" s="222"/>
      <c r="O495" s="222"/>
      <c r="P495" s="222"/>
      <c r="Q495" s="249">
        <f t="shared" si="28"/>
        <v>76.900000000000006</v>
      </c>
      <c r="R495" s="241" t="str">
        <f t="shared" si="27"/>
        <v>NO</v>
      </c>
      <c r="S495" s="223" t="str">
        <f t="shared" si="26"/>
        <v>Alto</v>
      </c>
    </row>
    <row r="496" spans="1:19" ht="32.1" customHeight="1" x14ac:dyDescent="0.2">
      <c r="A496" s="491" t="s">
        <v>182</v>
      </c>
      <c r="B496" s="526" t="s">
        <v>2255</v>
      </c>
      <c r="C496" s="463" t="s">
        <v>2736</v>
      </c>
      <c r="D496" s="143">
        <v>23</v>
      </c>
      <c r="E496" s="222"/>
      <c r="F496" s="222"/>
      <c r="G496" s="222">
        <v>76.900000000000006</v>
      </c>
      <c r="H496" s="222"/>
      <c r="I496" s="222"/>
      <c r="J496" s="222"/>
      <c r="K496" s="222"/>
      <c r="L496" s="222"/>
      <c r="M496" s="222"/>
      <c r="N496" s="222"/>
      <c r="O496" s="222"/>
      <c r="P496" s="222"/>
      <c r="Q496" s="249">
        <f t="shared" si="28"/>
        <v>76.900000000000006</v>
      </c>
      <c r="R496" s="241" t="str">
        <f t="shared" si="27"/>
        <v>NO</v>
      </c>
      <c r="S496" s="223" t="str">
        <f t="shared" si="26"/>
        <v>Alto</v>
      </c>
    </row>
    <row r="497" spans="1:19" ht="32.1" customHeight="1" x14ac:dyDescent="0.2">
      <c r="A497" s="491" t="s">
        <v>182</v>
      </c>
      <c r="B497" s="526" t="s">
        <v>2737</v>
      </c>
      <c r="C497" s="463" t="s">
        <v>2738</v>
      </c>
      <c r="D497" s="143">
        <v>65</v>
      </c>
      <c r="E497" s="222"/>
      <c r="F497" s="222"/>
      <c r="G497" s="222">
        <v>76.900000000000006</v>
      </c>
      <c r="H497" s="222"/>
      <c r="I497" s="222"/>
      <c r="J497" s="222"/>
      <c r="K497" s="222"/>
      <c r="L497" s="222"/>
      <c r="M497" s="222"/>
      <c r="N497" s="222"/>
      <c r="O497" s="222"/>
      <c r="P497" s="222"/>
      <c r="Q497" s="249">
        <f t="shared" si="28"/>
        <v>76.900000000000006</v>
      </c>
      <c r="R497" s="241" t="str">
        <f t="shared" si="27"/>
        <v>NO</v>
      </c>
      <c r="S497" s="223" t="str">
        <f t="shared" si="26"/>
        <v>Alto</v>
      </c>
    </row>
    <row r="498" spans="1:19" ht="32.1" customHeight="1" x14ac:dyDescent="0.2">
      <c r="A498" s="491" t="s">
        <v>182</v>
      </c>
      <c r="B498" s="180" t="s">
        <v>2739</v>
      </c>
      <c r="C498" s="178" t="s">
        <v>2740</v>
      </c>
      <c r="D498" s="143">
        <v>94</v>
      </c>
      <c r="E498" s="222"/>
      <c r="F498" s="222"/>
      <c r="G498" s="222"/>
      <c r="H498" s="222"/>
      <c r="I498" s="222">
        <v>76.900000000000006</v>
      </c>
      <c r="J498" s="222"/>
      <c r="K498" s="222"/>
      <c r="L498" s="222"/>
      <c r="M498" s="222"/>
      <c r="N498" s="222"/>
      <c r="O498" s="222"/>
      <c r="P498" s="222"/>
      <c r="Q498" s="249">
        <f t="shared" si="28"/>
        <v>76.900000000000006</v>
      </c>
      <c r="R498" s="241" t="str">
        <f t="shared" si="27"/>
        <v>NO</v>
      </c>
      <c r="S498" s="223" t="str">
        <f t="shared" si="26"/>
        <v>Alto</v>
      </c>
    </row>
    <row r="499" spans="1:19" ht="32.1" customHeight="1" x14ac:dyDescent="0.2">
      <c r="A499" s="491" t="s">
        <v>183</v>
      </c>
      <c r="B499" s="526" t="s">
        <v>2741</v>
      </c>
      <c r="C499" s="463" t="s">
        <v>2742</v>
      </c>
      <c r="D499" s="121">
        <v>1055</v>
      </c>
      <c r="E499" s="222"/>
      <c r="F499" s="222"/>
      <c r="G499" s="222"/>
      <c r="H499" s="222">
        <v>0</v>
      </c>
      <c r="I499" s="222"/>
      <c r="J499" s="222"/>
      <c r="K499" s="222"/>
      <c r="L499" s="222"/>
      <c r="M499" s="222"/>
      <c r="N499" s="222"/>
      <c r="O499" s="222"/>
      <c r="P499" s="222"/>
      <c r="Q499" s="249">
        <f t="shared" si="28"/>
        <v>0</v>
      </c>
      <c r="R499" s="153" t="str">
        <f t="shared" si="27"/>
        <v>SI</v>
      </c>
      <c r="S499" s="223" t="str">
        <f t="shared" si="26"/>
        <v>Sin Riesgo</v>
      </c>
    </row>
    <row r="500" spans="1:19" ht="32.1" customHeight="1" x14ac:dyDescent="0.2">
      <c r="A500" s="491" t="s">
        <v>183</v>
      </c>
      <c r="B500" s="526" t="s">
        <v>2743</v>
      </c>
      <c r="C500" s="463" t="s">
        <v>2744</v>
      </c>
      <c r="D500" s="121">
        <v>165</v>
      </c>
      <c r="E500" s="222"/>
      <c r="F500" s="222"/>
      <c r="G500" s="222"/>
      <c r="H500" s="222">
        <v>42</v>
      </c>
      <c r="I500" s="222"/>
      <c r="J500" s="222"/>
      <c r="K500" s="222"/>
      <c r="L500" s="222"/>
      <c r="M500" s="222"/>
      <c r="N500" s="222"/>
      <c r="O500" s="222"/>
      <c r="P500" s="222"/>
      <c r="Q500" s="249">
        <f t="shared" si="28"/>
        <v>42</v>
      </c>
      <c r="R500" s="241" t="str">
        <f t="shared" si="27"/>
        <v>NO</v>
      </c>
      <c r="S500" s="223" t="str">
        <f t="shared" si="26"/>
        <v>Alto</v>
      </c>
    </row>
    <row r="501" spans="1:19" ht="32.1" customHeight="1" x14ac:dyDescent="0.2">
      <c r="A501" s="491" t="s">
        <v>183</v>
      </c>
      <c r="B501" s="526" t="s">
        <v>1909</v>
      </c>
      <c r="C501" s="463" t="s">
        <v>2745</v>
      </c>
      <c r="D501" s="121">
        <v>426</v>
      </c>
      <c r="E501" s="222"/>
      <c r="F501" s="222"/>
      <c r="G501" s="222"/>
      <c r="H501" s="222">
        <v>0</v>
      </c>
      <c r="I501" s="222"/>
      <c r="J501" s="222"/>
      <c r="K501" s="222"/>
      <c r="L501" s="222"/>
      <c r="M501" s="222"/>
      <c r="N501" s="222"/>
      <c r="O501" s="222"/>
      <c r="P501" s="222"/>
      <c r="Q501" s="249">
        <f t="shared" si="28"/>
        <v>0</v>
      </c>
      <c r="R501" s="153" t="str">
        <f t="shared" si="27"/>
        <v>SI</v>
      </c>
      <c r="S501" s="223" t="str">
        <f t="shared" si="26"/>
        <v>Sin Riesgo</v>
      </c>
    </row>
    <row r="502" spans="1:19" ht="32.1" customHeight="1" x14ac:dyDescent="0.2">
      <c r="A502" s="491" t="s">
        <v>183</v>
      </c>
      <c r="B502" s="526" t="s">
        <v>1428</v>
      </c>
      <c r="C502" s="463" t="s">
        <v>2746</v>
      </c>
      <c r="D502" s="121">
        <v>103</v>
      </c>
      <c r="E502" s="222"/>
      <c r="F502" s="222"/>
      <c r="G502" s="222"/>
      <c r="H502" s="222">
        <v>20.9</v>
      </c>
      <c r="I502" s="222"/>
      <c r="J502" s="222"/>
      <c r="K502" s="222"/>
      <c r="L502" s="222"/>
      <c r="M502" s="222"/>
      <c r="N502" s="222"/>
      <c r="O502" s="222"/>
      <c r="P502" s="222"/>
      <c r="Q502" s="249">
        <f t="shared" si="28"/>
        <v>20.9</v>
      </c>
      <c r="R502" s="241" t="str">
        <f t="shared" si="27"/>
        <v>NO</v>
      </c>
      <c r="S502" s="223" t="str">
        <f t="shared" si="26"/>
        <v>Medio</v>
      </c>
    </row>
    <row r="503" spans="1:19" ht="32.1" customHeight="1" x14ac:dyDescent="0.2">
      <c r="A503" s="491" t="s">
        <v>183</v>
      </c>
      <c r="B503" s="526" t="s">
        <v>2747</v>
      </c>
      <c r="C503" s="463" t="s">
        <v>2748</v>
      </c>
      <c r="D503" s="121">
        <v>60</v>
      </c>
      <c r="E503" s="222"/>
      <c r="F503" s="222"/>
      <c r="G503" s="222"/>
      <c r="H503" s="222">
        <v>20.9</v>
      </c>
      <c r="I503" s="222"/>
      <c r="J503" s="222"/>
      <c r="K503" s="222"/>
      <c r="L503" s="222"/>
      <c r="M503" s="222"/>
      <c r="N503" s="222"/>
      <c r="O503" s="222"/>
      <c r="P503" s="222"/>
      <c r="Q503" s="249">
        <f t="shared" si="28"/>
        <v>20.9</v>
      </c>
      <c r="R503" s="241" t="str">
        <f t="shared" si="27"/>
        <v>NO</v>
      </c>
      <c r="S503" s="223" t="str">
        <f t="shared" si="26"/>
        <v>Medio</v>
      </c>
    </row>
    <row r="504" spans="1:19" ht="32.1" customHeight="1" x14ac:dyDescent="0.2">
      <c r="A504" s="491" t="s">
        <v>183</v>
      </c>
      <c r="B504" s="526" t="s">
        <v>63</v>
      </c>
      <c r="C504" s="463" t="s">
        <v>2749</v>
      </c>
      <c r="D504" s="121">
        <v>52</v>
      </c>
      <c r="E504" s="222"/>
      <c r="F504" s="222"/>
      <c r="G504" s="222"/>
      <c r="H504" s="222"/>
      <c r="I504" s="222">
        <v>42</v>
      </c>
      <c r="J504" s="222"/>
      <c r="K504" s="222"/>
      <c r="L504" s="222"/>
      <c r="M504" s="222"/>
      <c r="N504" s="222"/>
      <c r="O504" s="222"/>
      <c r="P504" s="222"/>
      <c r="Q504" s="249">
        <f t="shared" si="28"/>
        <v>42</v>
      </c>
      <c r="R504" s="241" t="str">
        <f t="shared" si="27"/>
        <v>NO</v>
      </c>
      <c r="S504" s="223" t="str">
        <f t="shared" si="26"/>
        <v>Alto</v>
      </c>
    </row>
    <row r="505" spans="1:19" ht="32.1" customHeight="1" x14ac:dyDescent="0.2">
      <c r="A505" s="491" t="s">
        <v>183</v>
      </c>
      <c r="B505" s="526" t="s">
        <v>2750</v>
      </c>
      <c r="C505" s="463" t="s">
        <v>2751</v>
      </c>
      <c r="D505" s="121">
        <v>64</v>
      </c>
      <c r="E505" s="222"/>
      <c r="F505" s="222"/>
      <c r="G505" s="222"/>
      <c r="H505" s="222">
        <v>0</v>
      </c>
      <c r="I505" s="222"/>
      <c r="J505" s="222"/>
      <c r="K505" s="222"/>
      <c r="L505" s="222"/>
      <c r="M505" s="222"/>
      <c r="N505" s="222"/>
      <c r="O505" s="222"/>
      <c r="P505" s="222"/>
      <c r="Q505" s="249">
        <f t="shared" si="28"/>
        <v>0</v>
      </c>
      <c r="R505" s="153" t="str">
        <f t="shared" si="27"/>
        <v>SI</v>
      </c>
      <c r="S505" s="223" t="str">
        <f t="shared" si="26"/>
        <v>Sin Riesgo</v>
      </c>
    </row>
    <row r="506" spans="1:19" ht="32.1" customHeight="1" x14ac:dyDescent="0.2">
      <c r="A506" s="491" t="s">
        <v>183</v>
      </c>
      <c r="B506" s="526" t="s">
        <v>2752</v>
      </c>
      <c r="C506" s="463" t="s">
        <v>2753</v>
      </c>
      <c r="D506" s="143">
        <v>40</v>
      </c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49" t="e">
        <f t="shared" si="28"/>
        <v>#DIV/0!</v>
      </c>
      <c r="R506" s="153" t="e">
        <f t="shared" si="27"/>
        <v>#DIV/0!</v>
      </c>
      <c r="S506" s="223" t="e">
        <f t="shared" si="26"/>
        <v>#DIV/0!</v>
      </c>
    </row>
    <row r="507" spans="1:19" ht="32.1" customHeight="1" x14ac:dyDescent="0.2">
      <c r="A507" s="491" t="s">
        <v>183</v>
      </c>
      <c r="B507" s="526" t="s">
        <v>2754</v>
      </c>
      <c r="C507" s="463" t="s">
        <v>2755</v>
      </c>
      <c r="D507" s="121">
        <v>60</v>
      </c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49" t="e">
        <f t="shared" si="28"/>
        <v>#DIV/0!</v>
      </c>
      <c r="R507" s="153" t="e">
        <f t="shared" si="27"/>
        <v>#DIV/0!</v>
      </c>
      <c r="S507" s="223" t="e">
        <f t="shared" si="26"/>
        <v>#DIV/0!</v>
      </c>
    </row>
    <row r="508" spans="1:19" ht="32.1" customHeight="1" x14ac:dyDescent="0.2">
      <c r="A508" s="491" t="s">
        <v>183</v>
      </c>
      <c r="B508" s="526" t="s">
        <v>64</v>
      </c>
      <c r="C508" s="463" t="s">
        <v>2756</v>
      </c>
      <c r="D508" s="121">
        <v>70</v>
      </c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>
        <v>53</v>
      </c>
      <c r="P508" s="222"/>
      <c r="Q508" s="249">
        <f t="shared" si="28"/>
        <v>53</v>
      </c>
      <c r="R508" s="241" t="str">
        <f t="shared" si="27"/>
        <v>NO</v>
      </c>
      <c r="S508" s="223" t="str">
        <f t="shared" si="26"/>
        <v>Alto</v>
      </c>
    </row>
    <row r="509" spans="1:19" ht="32.1" customHeight="1" x14ac:dyDescent="0.2">
      <c r="A509" s="491" t="s">
        <v>183</v>
      </c>
      <c r="B509" s="526" t="s">
        <v>2757</v>
      </c>
      <c r="C509" s="463" t="s">
        <v>2758</v>
      </c>
      <c r="D509" s="121">
        <v>17</v>
      </c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49" t="e">
        <f t="shared" si="28"/>
        <v>#DIV/0!</v>
      </c>
      <c r="R509" s="153" t="e">
        <f t="shared" si="27"/>
        <v>#DIV/0!</v>
      </c>
      <c r="S509" s="223" t="e">
        <f t="shared" si="26"/>
        <v>#DIV/0!</v>
      </c>
    </row>
    <row r="510" spans="1:19" ht="32.1" customHeight="1" x14ac:dyDescent="0.2">
      <c r="A510" s="134"/>
      <c r="B510" s="435"/>
      <c r="C510" s="435"/>
      <c r="D510" s="431"/>
      <c r="E510" s="432"/>
      <c r="F510" s="432"/>
      <c r="G510" s="432"/>
      <c r="H510" s="432"/>
      <c r="I510" s="432"/>
      <c r="J510" s="432"/>
      <c r="K510" s="432"/>
      <c r="L510" s="432"/>
      <c r="M510" s="432"/>
      <c r="N510" s="432"/>
      <c r="O510" s="432"/>
      <c r="P510" s="432"/>
      <c r="Q510" s="88"/>
      <c r="R510" s="213"/>
      <c r="S510" s="436"/>
    </row>
    <row r="511" spans="1:19" x14ac:dyDescent="0.2">
      <c r="P511" s="18"/>
      <c r="Q511" s="18"/>
      <c r="R511" s="18"/>
    </row>
    <row r="512" spans="1:19" ht="32.25" customHeight="1" x14ac:dyDescent="0.2">
      <c r="A512" s="512" t="s">
        <v>4430</v>
      </c>
      <c r="B512" s="512" t="s">
        <v>4478</v>
      </c>
    </row>
    <row r="513" spans="1:2" ht="32.25" customHeight="1" x14ac:dyDescent="0.2">
      <c r="A513" s="516" t="s">
        <v>4358</v>
      </c>
      <c r="B513" s="518">
        <f>COUNTIF(E10:P509,"&lt;=5")</f>
        <v>197</v>
      </c>
    </row>
    <row r="514" spans="1:2" ht="32.25" customHeight="1" x14ac:dyDescent="0.2">
      <c r="A514" s="502" t="s">
        <v>4359</v>
      </c>
      <c r="B514" s="515">
        <f>COUNTIFS(E10:P509,"&gt;5",E10:P509,"&lt;=14")</f>
        <v>0</v>
      </c>
    </row>
    <row r="515" spans="1:2" ht="32.25" customHeight="1" x14ac:dyDescent="0.2">
      <c r="A515" s="503" t="s">
        <v>4360</v>
      </c>
      <c r="B515" s="509">
        <f>COUNTIFS(E10:P509,"&gt;14",E10:P509,"&lt;=35")</f>
        <v>57</v>
      </c>
    </row>
    <row r="516" spans="1:2" ht="32.25" customHeight="1" x14ac:dyDescent="0.2">
      <c r="A516" s="504" t="s">
        <v>4361</v>
      </c>
      <c r="B516" s="509">
        <f>COUNTIFS(E10:P509,"&gt;35",E10:P509,"&lt;=80")</f>
        <v>145</v>
      </c>
    </row>
    <row r="517" spans="1:2" ht="32.25" customHeight="1" x14ac:dyDescent="0.2">
      <c r="A517" s="505" t="s">
        <v>4362</v>
      </c>
      <c r="B517" s="509">
        <f>COUNTIFS(E10:P509,"&gt;80",E10:P509,"&lt;=100")</f>
        <v>249</v>
      </c>
    </row>
    <row r="518" spans="1:2" ht="32.25" customHeight="1" x14ac:dyDescent="0.2">
      <c r="A518" s="533" t="s">
        <v>4363</v>
      </c>
      <c r="B518" s="534">
        <f>COUNT(E10:P509)</f>
        <v>648</v>
      </c>
    </row>
    <row r="519" spans="1:2" ht="37.5" customHeight="1" x14ac:dyDescent="0.2">
      <c r="A519" s="508" t="s">
        <v>4366</v>
      </c>
      <c r="B519" s="510">
        <f>B518-B513</f>
        <v>451</v>
      </c>
    </row>
    <row r="520" spans="1:2" x14ac:dyDescent="0.2"/>
    <row r="521" spans="1:2" x14ac:dyDescent="0.2"/>
    <row r="522" spans="1:2" x14ac:dyDescent="0.2"/>
    <row r="523" spans="1:2" x14ac:dyDescent="0.2"/>
    <row r="524" spans="1:2" x14ac:dyDescent="0.2"/>
    <row r="525" spans="1:2" x14ac:dyDescent="0.2"/>
    <row r="526" spans="1:2" x14ac:dyDescent="0.2"/>
    <row r="527" spans="1:2" x14ac:dyDescent="0.2"/>
    <row r="528" spans="1:2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hidden="1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</sheetData>
  <autoFilter ref="A10:IV509">
    <sortState ref="A12:IV509">
      <sortCondition ref="A10:A514"/>
    </sortState>
  </autoFilter>
  <customSheetViews>
    <customSheetView guid="{45C8AF51-29EC-46A5-AB7F-1F0634E55D82}" scale="60" hiddenRows="1" hiddenColumns="1">
      <pane xSplit="2.1587982832618025" ySplit="10" topLeftCell="D509" activePane="bottomRight" state="frozenSplit"/>
      <selection pane="bottomRight" activeCell="C523" sqref="C52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hiddenRows="1" hiddenColumns="1">
      <pane xSplit="3" ySplit="10" topLeftCell="D11" activePane="bottomRight" state="frozenSplit"/>
      <selection pane="bottomRight" activeCell="C340" sqref="C34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AEDE1BDB-8710-4CDA-8488-31F49D423ACE}" scale="60" hiddenRows="1" hiddenColumns="1">
      <pane xSplit="3" ySplit="10" topLeftCell="D503" activePane="bottomRight" state="frozenSplit"/>
      <selection pane="bottomRight" activeCell="S518" sqref="S51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75DD7674-E7DE-4BB1-A36D-76AA33452CB3}" scale="60" showAutoFilter="1" hiddenRows="1" hiddenColumns="1">
      <pane xSplit="3" ySplit="10" topLeftCell="D23" activePane="bottomRight" state="frozenSplit"/>
      <selection pane="bottomRight" activeCell="D518" sqref="D51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IV509">
        <sortState ref="A12:IV509">
          <sortCondition ref="A10:A514"/>
        </sortState>
      </autoFilter>
    </customSheetView>
  </customSheetViews>
  <mergeCells count="21">
    <mergeCell ref="A7:B7"/>
    <mergeCell ref="S9:S10"/>
    <mergeCell ref="R9:R10"/>
    <mergeCell ref="Q9:Q10"/>
    <mergeCell ref="E9:P9"/>
    <mergeCell ref="C9:C10"/>
    <mergeCell ref="D9:D10"/>
    <mergeCell ref="B9:B10"/>
    <mergeCell ref="A9:A10"/>
    <mergeCell ref="S5:S6"/>
    <mergeCell ref="B1:D1"/>
    <mergeCell ref="B2:D2"/>
    <mergeCell ref="B4:D4"/>
    <mergeCell ref="B5:B6"/>
    <mergeCell ref="C5:C6"/>
    <mergeCell ref="D5:D6"/>
    <mergeCell ref="E5:G6"/>
    <mergeCell ref="H5:J6"/>
    <mergeCell ref="K5:M6"/>
    <mergeCell ref="N5:P6"/>
    <mergeCell ref="Q5:R6"/>
  </mergeCells>
  <phoneticPr fontId="2" type="noConversion"/>
  <conditionalFormatting sqref="T102 T79:T81 E11:Q509">
    <cfRule type="containsBlanks" dxfId="3478" priority="4178" stopIfTrue="1">
      <formula>LEN(TRIM(E11))=0</formula>
    </cfRule>
    <cfRule type="cellIs" dxfId="3477" priority="4179" stopIfTrue="1" operator="between">
      <formula>80.1</formula>
      <formula>100</formula>
    </cfRule>
    <cfRule type="cellIs" dxfId="3476" priority="4180" stopIfTrue="1" operator="between">
      <formula>35.1</formula>
      <formula>80</formula>
    </cfRule>
    <cfRule type="cellIs" dxfId="3475" priority="4181" stopIfTrue="1" operator="between">
      <formula>14.1</formula>
      <formula>35</formula>
    </cfRule>
    <cfRule type="cellIs" dxfId="3474" priority="4182" stopIfTrue="1" operator="between">
      <formula>5.1</formula>
      <formula>14</formula>
    </cfRule>
    <cfRule type="cellIs" dxfId="3473" priority="4183" stopIfTrue="1" operator="between">
      <formula>0</formula>
      <formula>5</formula>
    </cfRule>
    <cfRule type="containsBlanks" dxfId="3472" priority="4184" stopIfTrue="1">
      <formula>LEN(TRIM(E11))=0</formula>
    </cfRule>
  </conditionalFormatting>
  <conditionalFormatting sqref="T99 T82">
    <cfRule type="containsBlanks" dxfId="3471" priority="2832" stopIfTrue="1">
      <formula>LEN(TRIM(T82))=0</formula>
    </cfRule>
    <cfRule type="cellIs" dxfId="3470" priority="2833" stopIfTrue="1" operator="between">
      <formula>80.1</formula>
      <formula>100</formula>
    </cfRule>
    <cfRule type="cellIs" dxfId="3469" priority="2834" stopIfTrue="1" operator="between">
      <formula>35.1</formula>
      <formula>80</formula>
    </cfRule>
    <cfRule type="cellIs" dxfId="3468" priority="2835" stopIfTrue="1" operator="between">
      <formula>14.1</formula>
      <formula>35</formula>
    </cfRule>
    <cfRule type="cellIs" dxfId="3467" priority="2836" stopIfTrue="1" operator="between">
      <formula>5.1</formula>
      <formula>14</formula>
    </cfRule>
    <cfRule type="cellIs" dxfId="3466" priority="2837" stopIfTrue="1" operator="between">
      <formula>0</formula>
      <formula>5</formula>
    </cfRule>
    <cfRule type="containsBlanks" dxfId="3465" priority="2838" stopIfTrue="1">
      <formula>LEN(TRIM(T82))=0</formula>
    </cfRule>
  </conditionalFormatting>
  <conditionalFormatting sqref="R312 R296:R309 R124:R144 R174:R182 R315:R479 R146:R172 R185:R294">
    <cfRule type="cellIs" dxfId="3464" priority="2281" stopIfTrue="1" operator="equal">
      <formula>"NO"</formula>
    </cfRule>
  </conditionalFormatting>
  <conditionalFormatting sqref="Q173">
    <cfRule type="containsBlanks" dxfId="3463" priority="1295" stopIfTrue="1">
      <formula>LEN(TRIM(Q173))=0</formula>
    </cfRule>
    <cfRule type="cellIs" dxfId="3462" priority="1296" stopIfTrue="1" operator="between">
      <formula>80.1</formula>
      <formula>100</formula>
    </cfRule>
    <cfRule type="cellIs" dxfId="3461" priority="1297" stopIfTrue="1" operator="between">
      <formula>35.1</formula>
      <formula>80</formula>
    </cfRule>
    <cfRule type="cellIs" dxfId="3460" priority="1298" stopIfTrue="1" operator="between">
      <formula>14.1</formula>
      <formula>35</formula>
    </cfRule>
    <cfRule type="cellIs" dxfId="3459" priority="1299" stopIfTrue="1" operator="between">
      <formula>5.1</formula>
      <formula>14</formula>
    </cfRule>
    <cfRule type="cellIs" dxfId="3458" priority="1300" stopIfTrue="1" operator="between">
      <formula>0</formula>
      <formula>5</formula>
    </cfRule>
    <cfRule type="containsBlanks" dxfId="3457" priority="1301" stopIfTrue="1">
      <formula>LEN(TRIM(Q173))=0</formula>
    </cfRule>
  </conditionalFormatting>
  <conditionalFormatting sqref="R173">
    <cfRule type="cellIs" dxfId="3456" priority="1293" stopIfTrue="1" operator="equal">
      <formula>"NO"</formula>
    </cfRule>
  </conditionalFormatting>
  <conditionalFormatting sqref="Q183:Q184">
    <cfRule type="containsBlanks" dxfId="3455" priority="1280" stopIfTrue="1">
      <formula>LEN(TRIM(Q183))=0</formula>
    </cfRule>
    <cfRule type="cellIs" dxfId="3454" priority="1281" stopIfTrue="1" operator="between">
      <formula>80.1</formula>
      <formula>100</formula>
    </cfRule>
    <cfRule type="cellIs" dxfId="3453" priority="1282" stopIfTrue="1" operator="between">
      <formula>35.1</formula>
      <formula>80</formula>
    </cfRule>
    <cfRule type="cellIs" dxfId="3452" priority="1283" stopIfTrue="1" operator="between">
      <formula>14.1</formula>
      <formula>35</formula>
    </cfRule>
    <cfRule type="cellIs" dxfId="3451" priority="1284" stopIfTrue="1" operator="between">
      <formula>5.1</formula>
      <formula>14</formula>
    </cfRule>
    <cfRule type="cellIs" dxfId="3450" priority="1285" stopIfTrue="1" operator="between">
      <formula>0</formula>
      <formula>5</formula>
    </cfRule>
    <cfRule type="containsBlanks" dxfId="3449" priority="1286" stopIfTrue="1">
      <formula>LEN(TRIM(Q183))=0</formula>
    </cfRule>
  </conditionalFormatting>
  <conditionalFormatting sqref="R183:R184">
    <cfRule type="cellIs" dxfId="3448" priority="1278" stopIfTrue="1" operator="equal">
      <formula>"NO"</formula>
    </cfRule>
  </conditionalFormatting>
  <conditionalFormatting sqref="Q145">
    <cfRule type="containsBlanks" dxfId="3447" priority="1166" stopIfTrue="1">
      <formula>LEN(TRIM(Q145))=0</formula>
    </cfRule>
    <cfRule type="cellIs" dxfId="3446" priority="1167" stopIfTrue="1" operator="between">
      <formula>80.1</formula>
      <formula>100</formula>
    </cfRule>
    <cfRule type="cellIs" dxfId="3445" priority="1168" stopIfTrue="1" operator="between">
      <formula>35.1</formula>
      <formula>80</formula>
    </cfRule>
    <cfRule type="cellIs" dxfId="3444" priority="1169" stopIfTrue="1" operator="between">
      <formula>14.1</formula>
      <formula>35</formula>
    </cfRule>
    <cfRule type="cellIs" dxfId="3443" priority="1170" stopIfTrue="1" operator="between">
      <formula>5.1</formula>
      <formula>14</formula>
    </cfRule>
    <cfRule type="cellIs" dxfId="3442" priority="1171" stopIfTrue="1" operator="between">
      <formula>0</formula>
      <formula>5</formula>
    </cfRule>
    <cfRule type="containsBlanks" dxfId="3441" priority="1172" stopIfTrue="1">
      <formula>LEN(TRIM(Q145))=0</formula>
    </cfRule>
  </conditionalFormatting>
  <conditionalFormatting sqref="R145">
    <cfRule type="cellIs" dxfId="3440" priority="1164" stopIfTrue="1" operator="equal">
      <formula>"NO"</formula>
    </cfRule>
  </conditionalFormatting>
  <conditionalFormatting sqref="Q295">
    <cfRule type="containsBlanks" dxfId="3439" priority="1123" stopIfTrue="1">
      <formula>LEN(TRIM(Q295))=0</formula>
    </cfRule>
    <cfRule type="cellIs" dxfId="3438" priority="1124" stopIfTrue="1" operator="between">
      <formula>80.1</formula>
      <formula>100</formula>
    </cfRule>
    <cfRule type="cellIs" dxfId="3437" priority="1125" stopIfTrue="1" operator="between">
      <formula>35.1</formula>
      <formula>80</formula>
    </cfRule>
    <cfRule type="cellIs" dxfId="3436" priority="1126" stopIfTrue="1" operator="between">
      <formula>14.1</formula>
      <formula>35</formula>
    </cfRule>
    <cfRule type="cellIs" dxfId="3435" priority="1127" stopIfTrue="1" operator="between">
      <formula>5.1</formula>
      <formula>14</formula>
    </cfRule>
    <cfRule type="cellIs" dxfId="3434" priority="1128" stopIfTrue="1" operator="between">
      <formula>0</formula>
      <formula>5</formula>
    </cfRule>
    <cfRule type="containsBlanks" dxfId="3433" priority="1129" stopIfTrue="1">
      <formula>LEN(TRIM(Q295))=0</formula>
    </cfRule>
  </conditionalFormatting>
  <conditionalFormatting sqref="R295">
    <cfRule type="cellIs" dxfId="3432" priority="1121" stopIfTrue="1" operator="equal">
      <formula>"NO"</formula>
    </cfRule>
  </conditionalFormatting>
  <conditionalFormatting sqref="Q310:Q311">
    <cfRule type="containsBlanks" dxfId="3431" priority="1094" stopIfTrue="1">
      <formula>LEN(TRIM(Q310))=0</formula>
    </cfRule>
    <cfRule type="cellIs" dxfId="3430" priority="1095" stopIfTrue="1" operator="between">
      <formula>80.1</formula>
      <formula>100</formula>
    </cfRule>
    <cfRule type="cellIs" dxfId="3429" priority="1096" stopIfTrue="1" operator="between">
      <formula>35.1</formula>
      <formula>80</formula>
    </cfRule>
    <cfRule type="cellIs" dxfId="3428" priority="1097" stopIfTrue="1" operator="between">
      <formula>14.1</formula>
      <formula>35</formula>
    </cfRule>
    <cfRule type="cellIs" dxfId="3427" priority="1098" stopIfTrue="1" operator="between">
      <formula>5.1</formula>
      <formula>14</formula>
    </cfRule>
    <cfRule type="cellIs" dxfId="3426" priority="1099" stopIfTrue="1" operator="between">
      <formula>0</formula>
      <formula>5</formula>
    </cfRule>
    <cfRule type="containsBlanks" dxfId="3425" priority="1100" stopIfTrue="1">
      <formula>LEN(TRIM(Q310))=0</formula>
    </cfRule>
  </conditionalFormatting>
  <conditionalFormatting sqref="R310:R311">
    <cfRule type="cellIs" dxfId="3424" priority="1092" stopIfTrue="1" operator="equal">
      <formula>"NO"</formula>
    </cfRule>
  </conditionalFormatting>
  <conditionalFormatting sqref="Q313">
    <cfRule type="containsBlanks" dxfId="3423" priority="1079" stopIfTrue="1">
      <formula>LEN(TRIM(Q313))=0</formula>
    </cfRule>
    <cfRule type="cellIs" dxfId="3422" priority="1080" stopIfTrue="1" operator="between">
      <formula>80.1</formula>
      <formula>100</formula>
    </cfRule>
    <cfRule type="cellIs" dxfId="3421" priority="1081" stopIfTrue="1" operator="between">
      <formula>35.1</formula>
      <formula>80</formula>
    </cfRule>
    <cfRule type="cellIs" dxfId="3420" priority="1082" stopIfTrue="1" operator="between">
      <formula>14.1</formula>
      <formula>35</formula>
    </cfRule>
    <cfRule type="cellIs" dxfId="3419" priority="1083" stopIfTrue="1" operator="between">
      <formula>5.1</formula>
      <formula>14</formula>
    </cfRule>
    <cfRule type="cellIs" dxfId="3418" priority="1084" stopIfTrue="1" operator="between">
      <formula>0</formula>
      <formula>5</formula>
    </cfRule>
    <cfRule type="containsBlanks" dxfId="3417" priority="1085" stopIfTrue="1">
      <formula>LEN(TRIM(Q313))=0</formula>
    </cfRule>
  </conditionalFormatting>
  <conditionalFormatting sqref="R313">
    <cfRule type="cellIs" dxfId="3416" priority="1077" stopIfTrue="1" operator="equal">
      <formula>"NO"</formula>
    </cfRule>
  </conditionalFormatting>
  <conditionalFormatting sqref="Q314">
    <cfRule type="containsBlanks" dxfId="3415" priority="1064" stopIfTrue="1">
      <formula>LEN(TRIM(Q314))=0</formula>
    </cfRule>
    <cfRule type="cellIs" dxfId="3414" priority="1065" stopIfTrue="1" operator="between">
      <formula>80.1</formula>
      <formula>100</formula>
    </cfRule>
    <cfRule type="cellIs" dxfId="3413" priority="1066" stopIfTrue="1" operator="between">
      <formula>35.1</formula>
      <formula>80</formula>
    </cfRule>
    <cfRule type="cellIs" dxfId="3412" priority="1067" stopIfTrue="1" operator="between">
      <formula>14.1</formula>
      <formula>35</formula>
    </cfRule>
    <cfRule type="cellIs" dxfId="3411" priority="1068" stopIfTrue="1" operator="between">
      <formula>5.1</formula>
      <formula>14</formula>
    </cfRule>
    <cfRule type="cellIs" dxfId="3410" priority="1069" stopIfTrue="1" operator="between">
      <formula>0</formula>
      <formula>5</formula>
    </cfRule>
    <cfRule type="containsBlanks" dxfId="3409" priority="1070" stopIfTrue="1">
      <formula>LEN(TRIM(Q314))=0</formula>
    </cfRule>
  </conditionalFormatting>
  <conditionalFormatting sqref="R314">
    <cfRule type="cellIs" dxfId="3408" priority="1062" stopIfTrue="1" operator="equal">
      <formula>"NO"</formula>
    </cfRule>
  </conditionalFormatting>
  <conditionalFormatting sqref="Q480:Q481">
    <cfRule type="containsBlanks" dxfId="3407" priority="31" stopIfTrue="1">
      <formula>LEN(TRIM(Q480))=0</formula>
    </cfRule>
    <cfRule type="cellIs" dxfId="3406" priority="32" stopIfTrue="1" operator="between">
      <formula>80.1</formula>
      <formula>100</formula>
    </cfRule>
    <cfRule type="cellIs" dxfId="3405" priority="33" stopIfTrue="1" operator="between">
      <formula>35.1</formula>
      <formula>80</formula>
    </cfRule>
    <cfRule type="cellIs" dxfId="3404" priority="34" stopIfTrue="1" operator="between">
      <formula>14.1</formula>
      <formula>35</formula>
    </cfRule>
    <cfRule type="cellIs" dxfId="3403" priority="35" stopIfTrue="1" operator="between">
      <formula>5.1</formula>
      <formula>14</formula>
    </cfRule>
    <cfRule type="cellIs" dxfId="3402" priority="36" stopIfTrue="1" operator="between">
      <formula>0</formula>
      <formula>5</formula>
    </cfRule>
    <cfRule type="containsBlanks" dxfId="3401" priority="37" stopIfTrue="1">
      <formula>LEN(TRIM(Q480))=0</formula>
    </cfRule>
  </conditionalFormatting>
  <conditionalFormatting sqref="R480:R481">
    <cfRule type="cellIs" dxfId="3400" priority="29" stopIfTrue="1" operator="equal">
      <formula>"NO"</formula>
    </cfRule>
  </conditionalFormatting>
  <conditionalFormatting sqref="R11:R123">
    <cfRule type="cellIs" dxfId="3399" priority="22" stopIfTrue="1" operator="equal">
      <formula>"NO"</formula>
    </cfRule>
  </conditionalFormatting>
  <conditionalFormatting sqref="S11:S510">
    <cfRule type="cellIs" dxfId="3398" priority="21" stopIfTrue="1" operator="equal">
      <formula>"INVIABLE SANITARIAMENTE"</formula>
    </cfRule>
  </conditionalFormatting>
  <conditionalFormatting sqref="S11:S510">
    <cfRule type="containsText" dxfId="3397" priority="9" stopIfTrue="1" operator="containsText" text="INVIABLE SANITARIAMENTE">
      <formula>NOT(ISERROR(SEARCH("INVIABLE SANITARIAMENTE",S11)))</formula>
    </cfRule>
    <cfRule type="containsText" dxfId="3396" priority="10" stopIfTrue="1" operator="containsText" text="ALTO">
      <formula>NOT(ISERROR(SEARCH("ALTO",S11)))</formula>
    </cfRule>
    <cfRule type="containsText" dxfId="3395" priority="11" stopIfTrue="1" operator="containsText" text="MEDIO">
      <formula>NOT(ISERROR(SEARCH("MEDIO",S11)))</formula>
    </cfRule>
    <cfRule type="containsText" dxfId="3394" priority="12" stopIfTrue="1" operator="containsText" text="BAJO">
      <formula>NOT(ISERROR(SEARCH("BAJO",S11)))</formula>
    </cfRule>
    <cfRule type="containsText" dxfId="3393" priority="13" stopIfTrue="1" operator="containsText" text="SIN RIESGO">
      <formula>NOT(ISERROR(SEARCH("SIN RIESGO",S11)))</formula>
    </cfRule>
  </conditionalFormatting>
  <conditionalFormatting sqref="S11:S510">
    <cfRule type="containsText" dxfId="3392" priority="8" stopIfTrue="1" operator="containsText" text="SIN RIESGO">
      <formula>NOT(ISERROR(SEARCH("SIN RIESGO",S11)))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719"/>
  <sheetViews>
    <sheetView zoomScale="60" zoomScaleNormal="60" workbookViewId="0">
      <selection activeCell="A11" sqref="A11"/>
    </sheetView>
  </sheetViews>
  <sheetFormatPr baseColWidth="10" defaultColWidth="0" defaultRowHeight="12.75" customHeight="1" zeroHeight="1" x14ac:dyDescent="0.2"/>
  <cols>
    <col min="1" max="1" width="38.28515625" style="34" customWidth="1"/>
    <col min="2" max="2" width="46.42578125" style="14" customWidth="1"/>
    <col min="3" max="3" width="63.42578125" style="19" customWidth="1"/>
    <col min="4" max="4" width="23.5703125" style="422" customWidth="1"/>
    <col min="5" max="18" width="10.7109375" style="13" customWidth="1"/>
    <col min="19" max="19" width="42.28515625" style="13" bestFit="1" customWidth="1"/>
    <col min="20" max="20" width="9.85546875" style="13" hidden="1" customWidth="1"/>
    <col min="21" max="16384" width="11.42578125" style="13" hidden="1"/>
  </cols>
  <sheetData>
    <row r="1" spans="1:23" s="7" customFormat="1" ht="18" customHeight="1" x14ac:dyDescent="0.2">
      <c r="A1" s="54"/>
      <c r="B1" s="559" t="s">
        <v>258</v>
      </c>
      <c r="C1" s="559"/>
      <c r="D1" s="559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39" t="s">
        <v>546</v>
      </c>
      <c r="T1" s="3"/>
      <c r="U1" s="5"/>
      <c r="V1" s="6"/>
      <c r="W1" s="6"/>
    </row>
    <row r="2" spans="1:23" s="9" customFormat="1" ht="18" customHeight="1" x14ac:dyDescent="0.2">
      <c r="A2" s="54"/>
      <c r="B2" s="560" t="s">
        <v>259</v>
      </c>
      <c r="C2" s="560"/>
      <c r="D2" s="56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4"/>
      <c r="S2" s="40" t="s">
        <v>260</v>
      </c>
      <c r="T2" s="3"/>
      <c r="U2" s="8"/>
      <c r="V2" s="6"/>
      <c r="W2" s="6"/>
    </row>
    <row r="3" spans="1:23" s="7" customFormat="1" ht="18" customHeight="1" x14ac:dyDescent="0.25">
      <c r="A3" s="54"/>
      <c r="B3" s="64" t="s">
        <v>4413</v>
      </c>
      <c r="C3" s="64"/>
      <c r="D3" s="49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05"/>
      <c r="S3" s="40" t="s">
        <v>547</v>
      </c>
      <c r="T3" s="3"/>
      <c r="U3" s="5"/>
      <c r="V3" s="6"/>
      <c r="W3" s="6"/>
    </row>
    <row r="4" spans="1:23" s="7" customFormat="1" ht="18" customHeight="1" x14ac:dyDescent="0.2">
      <c r="A4" s="54"/>
      <c r="B4" s="559" t="s">
        <v>548</v>
      </c>
      <c r="C4" s="559"/>
      <c r="D4" s="55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261</v>
      </c>
      <c r="T4" s="3"/>
      <c r="U4" s="5"/>
      <c r="V4" s="6"/>
      <c r="W4" s="6"/>
    </row>
    <row r="5" spans="1:23" s="32" customFormat="1" ht="15" customHeight="1" x14ac:dyDescent="0.2">
      <c r="A5" s="42"/>
      <c r="B5" s="565"/>
      <c r="C5" s="561"/>
      <c r="D5" s="564" t="s">
        <v>266</v>
      </c>
      <c r="E5" s="556" t="s">
        <v>255</v>
      </c>
      <c r="F5" s="556"/>
      <c r="G5" s="556"/>
      <c r="H5" s="551" t="s">
        <v>263</v>
      </c>
      <c r="I5" s="551"/>
      <c r="J5" s="551"/>
      <c r="K5" s="558" t="s">
        <v>264</v>
      </c>
      <c r="L5" s="558"/>
      <c r="M5" s="558"/>
      <c r="N5" s="555" t="s">
        <v>474</v>
      </c>
      <c r="O5" s="555"/>
      <c r="P5" s="555"/>
      <c r="Q5" s="549" t="s">
        <v>265</v>
      </c>
      <c r="R5" s="549"/>
      <c r="S5" s="550" t="s">
        <v>267</v>
      </c>
    </row>
    <row r="6" spans="1:23" s="32" customFormat="1" ht="16.5" customHeight="1" x14ac:dyDescent="0.2">
      <c r="A6" s="42"/>
      <c r="B6" s="565"/>
      <c r="C6" s="561"/>
      <c r="D6" s="564"/>
      <c r="E6" s="556"/>
      <c r="F6" s="556"/>
      <c r="G6" s="556"/>
      <c r="H6" s="551"/>
      <c r="I6" s="551"/>
      <c r="J6" s="551"/>
      <c r="K6" s="558"/>
      <c r="L6" s="558"/>
      <c r="M6" s="558"/>
      <c r="N6" s="555"/>
      <c r="O6" s="555"/>
      <c r="P6" s="555"/>
      <c r="Q6" s="549"/>
      <c r="R6" s="549"/>
      <c r="S6" s="550"/>
    </row>
    <row r="7" spans="1:23" s="32" customFormat="1" ht="6" customHeight="1" x14ac:dyDescent="0.2">
      <c r="A7" s="562"/>
      <c r="B7" s="562"/>
      <c r="C7" s="43"/>
      <c r="D7" s="108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1"/>
    </row>
    <row r="8" spans="1:23" s="423" customFormat="1" ht="27" customHeight="1" x14ac:dyDescent="0.2">
      <c r="A8" s="286" t="s">
        <v>4364</v>
      </c>
      <c r="B8" s="124"/>
      <c r="C8" s="120"/>
      <c r="D8" s="131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5"/>
    </row>
    <row r="9" spans="1:23" s="119" customFormat="1" ht="18" customHeight="1" x14ac:dyDescent="0.2">
      <c r="A9" s="563" t="s">
        <v>37</v>
      </c>
      <c r="B9" s="547" t="s">
        <v>38</v>
      </c>
      <c r="C9" s="547" t="s">
        <v>262</v>
      </c>
      <c r="D9" s="572" t="s">
        <v>454</v>
      </c>
      <c r="E9" s="547" t="s">
        <v>33</v>
      </c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70" t="s">
        <v>34</v>
      </c>
      <c r="R9" s="570" t="s">
        <v>36</v>
      </c>
      <c r="S9" s="547" t="s">
        <v>35</v>
      </c>
      <c r="T9" s="142"/>
    </row>
    <row r="10" spans="1:23" s="119" customFormat="1" ht="33" customHeight="1" x14ac:dyDescent="0.2">
      <c r="A10" s="563"/>
      <c r="B10" s="547"/>
      <c r="C10" s="547"/>
      <c r="D10" s="573"/>
      <c r="E10" s="419" t="s">
        <v>21</v>
      </c>
      <c r="F10" s="419" t="s">
        <v>22</v>
      </c>
      <c r="G10" s="419" t="s">
        <v>23</v>
      </c>
      <c r="H10" s="419" t="s">
        <v>24</v>
      </c>
      <c r="I10" s="419" t="s">
        <v>25</v>
      </c>
      <c r="J10" s="419" t="s">
        <v>26</v>
      </c>
      <c r="K10" s="419" t="s">
        <v>27</v>
      </c>
      <c r="L10" s="419" t="s">
        <v>28</v>
      </c>
      <c r="M10" s="419" t="s">
        <v>29</v>
      </c>
      <c r="N10" s="419" t="s">
        <v>30</v>
      </c>
      <c r="O10" s="419" t="s">
        <v>31</v>
      </c>
      <c r="P10" s="419" t="s">
        <v>32</v>
      </c>
      <c r="Q10" s="570"/>
      <c r="R10" s="570"/>
      <c r="S10" s="547"/>
      <c r="T10" s="142"/>
    </row>
    <row r="11" spans="1:23" s="119" customFormat="1" ht="36.950000000000003" customHeight="1" x14ac:dyDescent="0.2">
      <c r="A11" s="84" t="s">
        <v>235</v>
      </c>
      <c r="B11" s="84" t="s">
        <v>14</v>
      </c>
      <c r="C11" s="84" t="s">
        <v>415</v>
      </c>
      <c r="D11" s="121">
        <v>201</v>
      </c>
      <c r="E11" s="81"/>
      <c r="F11" s="81"/>
      <c r="G11" s="81"/>
      <c r="H11" s="81"/>
      <c r="I11" s="81">
        <v>53.1</v>
      </c>
      <c r="J11" s="81"/>
      <c r="K11" s="81">
        <v>53.1</v>
      </c>
      <c r="L11" s="81"/>
      <c r="M11" s="81"/>
      <c r="N11" s="81"/>
      <c r="O11" s="81"/>
      <c r="P11" s="81"/>
      <c r="Q11" s="83">
        <f t="shared" ref="Q11:Q42" si="0">AVERAGE(E11:P11)</f>
        <v>53.1</v>
      </c>
      <c r="R11" s="424" t="str">
        <f t="shared" ref="R11:R42" si="1">IF(Q11&lt;5,"SI","NO")</f>
        <v>NO</v>
      </c>
      <c r="S11" s="536" t="str">
        <f t="shared" ref="S11:S42" si="2">IF(Q11&lt;=5,"Sin Riesgo",IF(Q11 &lt;=14,"Bajo",IF(Q11&lt;=35,"Medio",IF(Q11&lt;=80,"Alto","Inviable Sanitariamente"))))</f>
        <v>Alto</v>
      </c>
      <c r="T11" s="158"/>
    </row>
    <row r="12" spans="1:23" s="119" customFormat="1" ht="36.950000000000003" customHeight="1" x14ac:dyDescent="0.2">
      <c r="A12" s="84" t="s">
        <v>235</v>
      </c>
      <c r="B12" s="425" t="s">
        <v>50</v>
      </c>
      <c r="C12" s="426" t="s">
        <v>416</v>
      </c>
      <c r="D12" s="9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3" t="e">
        <f t="shared" si="0"/>
        <v>#DIV/0!</v>
      </c>
      <c r="R12" s="424" t="e">
        <f t="shared" si="1"/>
        <v>#DIV/0!</v>
      </c>
      <c r="S12" s="536" t="e">
        <f t="shared" si="2"/>
        <v>#DIV/0!</v>
      </c>
      <c r="T12" s="158"/>
    </row>
    <row r="13" spans="1:23" s="119" customFormat="1" ht="36.950000000000003" customHeight="1" x14ac:dyDescent="0.2">
      <c r="A13" s="84" t="s">
        <v>235</v>
      </c>
      <c r="B13" s="99" t="s">
        <v>414</v>
      </c>
      <c r="C13" s="99" t="s">
        <v>1872</v>
      </c>
      <c r="D13" s="121">
        <v>600</v>
      </c>
      <c r="E13" s="81"/>
      <c r="F13" s="81"/>
      <c r="G13" s="81"/>
      <c r="H13" s="81"/>
      <c r="I13" s="81"/>
      <c r="J13" s="81"/>
      <c r="K13" s="81">
        <v>26.55</v>
      </c>
      <c r="L13" s="81"/>
      <c r="M13" s="81"/>
      <c r="N13" s="81"/>
      <c r="O13" s="81"/>
      <c r="P13" s="81"/>
      <c r="Q13" s="83">
        <f t="shared" si="0"/>
        <v>26.55</v>
      </c>
      <c r="R13" s="164" t="str">
        <f t="shared" si="1"/>
        <v>NO</v>
      </c>
      <c r="S13" s="536" t="str">
        <f t="shared" si="2"/>
        <v>Medio</v>
      </c>
    </row>
    <row r="14" spans="1:23" s="119" customFormat="1" ht="32.1" customHeight="1" x14ac:dyDescent="0.2">
      <c r="A14" s="84" t="s">
        <v>235</v>
      </c>
      <c r="B14" s="99" t="s">
        <v>13</v>
      </c>
      <c r="C14" s="99" t="s">
        <v>1873</v>
      </c>
      <c r="D14" s="121">
        <v>195</v>
      </c>
      <c r="E14" s="81"/>
      <c r="F14" s="81"/>
      <c r="G14" s="81"/>
      <c r="H14" s="81"/>
      <c r="I14" s="81"/>
      <c r="J14" s="81"/>
      <c r="K14" s="81">
        <v>97.35</v>
      </c>
      <c r="L14" s="81"/>
      <c r="M14" s="81"/>
      <c r="N14" s="81"/>
      <c r="O14" s="81"/>
      <c r="P14" s="81"/>
      <c r="Q14" s="83">
        <f t="shared" si="0"/>
        <v>97.35</v>
      </c>
      <c r="R14" s="164" t="str">
        <f t="shared" si="1"/>
        <v>NO</v>
      </c>
      <c r="S14" s="536" t="str">
        <f t="shared" si="2"/>
        <v>Inviable Sanitariamente</v>
      </c>
    </row>
    <row r="15" spans="1:23" s="119" customFormat="1" ht="32.1" customHeight="1" x14ac:dyDescent="0.2">
      <c r="A15" s="84" t="s">
        <v>235</v>
      </c>
      <c r="B15" s="99" t="s">
        <v>1874</v>
      </c>
      <c r="C15" s="99" t="s">
        <v>1875</v>
      </c>
      <c r="D15" s="121">
        <v>70</v>
      </c>
      <c r="E15" s="81"/>
      <c r="F15" s="81"/>
      <c r="G15" s="81"/>
      <c r="H15" s="81"/>
      <c r="I15" s="81"/>
      <c r="J15" s="81"/>
      <c r="K15" s="81">
        <v>93.7</v>
      </c>
      <c r="L15" s="81"/>
      <c r="M15" s="81"/>
      <c r="N15" s="81"/>
      <c r="O15" s="81"/>
      <c r="P15" s="81"/>
      <c r="Q15" s="83">
        <f t="shared" si="0"/>
        <v>93.7</v>
      </c>
      <c r="R15" s="164" t="str">
        <f t="shared" si="1"/>
        <v>NO</v>
      </c>
      <c r="S15" s="536" t="str">
        <f t="shared" si="2"/>
        <v>Inviable Sanitariamente</v>
      </c>
    </row>
    <row r="16" spans="1:23" s="119" customFormat="1" ht="32.1" customHeight="1" x14ac:dyDescent="0.2">
      <c r="A16" s="84" t="s">
        <v>235</v>
      </c>
      <c r="B16" s="99" t="s">
        <v>1876</v>
      </c>
      <c r="C16" s="99" t="s">
        <v>1877</v>
      </c>
      <c r="D16" s="121">
        <v>150</v>
      </c>
      <c r="E16" s="81"/>
      <c r="F16" s="81"/>
      <c r="G16" s="81"/>
      <c r="H16" s="81"/>
      <c r="I16" s="81"/>
      <c r="J16" s="81"/>
      <c r="K16" s="81">
        <v>93.7</v>
      </c>
      <c r="L16" s="81"/>
      <c r="M16" s="81">
        <v>97.35</v>
      </c>
      <c r="N16" s="81"/>
      <c r="O16" s="81"/>
      <c r="P16" s="81"/>
      <c r="Q16" s="83">
        <f t="shared" si="0"/>
        <v>95.525000000000006</v>
      </c>
      <c r="R16" s="164" t="str">
        <f t="shared" si="1"/>
        <v>NO</v>
      </c>
      <c r="S16" s="536" t="str">
        <f t="shared" si="2"/>
        <v>Inviable Sanitariamente</v>
      </c>
    </row>
    <row r="17" spans="1:19" s="119" customFormat="1" ht="32.1" customHeight="1" x14ac:dyDescent="0.2">
      <c r="A17" s="84" t="s">
        <v>235</v>
      </c>
      <c r="B17" s="99" t="s">
        <v>1878</v>
      </c>
      <c r="C17" s="99" t="s">
        <v>1879</v>
      </c>
      <c r="D17" s="121">
        <v>43</v>
      </c>
      <c r="E17" s="81"/>
      <c r="F17" s="81"/>
      <c r="G17" s="81"/>
      <c r="H17" s="81"/>
      <c r="I17" s="81"/>
      <c r="J17" s="81"/>
      <c r="K17" s="81">
        <v>93.7</v>
      </c>
      <c r="L17" s="81"/>
      <c r="M17" s="81"/>
      <c r="N17" s="81"/>
      <c r="O17" s="81"/>
      <c r="P17" s="81"/>
      <c r="Q17" s="83">
        <f t="shared" si="0"/>
        <v>93.7</v>
      </c>
      <c r="R17" s="164" t="str">
        <f t="shared" si="1"/>
        <v>NO</v>
      </c>
      <c r="S17" s="536" t="str">
        <f t="shared" si="2"/>
        <v>Inviable Sanitariamente</v>
      </c>
    </row>
    <row r="18" spans="1:19" s="119" customFormat="1" ht="32.1" customHeight="1" x14ac:dyDescent="0.2">
      <c r="A18" s="84" t="s">
        <v>235</v>
      </c>
      <c r="B18" s="99" t="s">
        <v>417</v>
      </c>
      <c r="C18" s="99" t="s">
        <v>418</v>
      </c>
      <c r="D18" s="121">
        <v>36</v>
      </c>
      <c r="E18" s="453">
        <v>6.45</v>
      </c>
      <c r="F18" s="453">
        <v>26.55</v>
      </c>
      <c r="G18" s="453">
        <v>26.55</v>
      </c>
      <c r="H18" s="453">
        <v>0</v>
      </c>
      <c r="I18" s="453"/>
      <c r="J18" s="453">
        <v>48.8</v>
      </c>
      <c r="K18" s="453">
        <v>0</v>
      </c>
      <c r="L18" s="453">
        <v>0</v>
      </c>
      <c r="M18" s="453"/>
      <c r="N18" s="453">
        <v>0</v>
      </c>
      <c r="O18" s="453"/>
      <c r="P18" s="81">
        <v>0</v>
      </c>
      <c r="Q18" s="83">
        <f t="shared" si="0"/>
        <v>12.038888888888888</v>
      </c>
      <c r="R18" s="164" t="str">
        <f t="shared" si="1"/>
        <v>NO</v>
      </c>
      <c r="S18" s="536" t="str">
        <f t="shared" si="2"/>
        <v>Bajo</v>
      </c>
    </row>
    <row r="19" spans="1:19" s="119" customFormat="1" ht="32.1" customHeight="1" x14ac:dyDescent="0.2">
      <c r="A19" s="84" t="s">
        <v>185</v>
      </c>
      <c r="B19" s="100" t="s">
        <v>1709</v>
      </c>
      <c r="C19" s="100" t="s">
        <v>1710</v>
      </c>
      <c r="D19" s="121">
        <v>25</v>
      </c>
      <c r="E19" s="81"/>
      <c r="F19" s="81"/>
      <c r="G19" s="81"/>
      <c r="H19" s="81"/>
      <c r="I19" s="81"/>
      <c r="J19" s="81">
        <v>97.3</v>
      </c>
      <c r="K19" s="81"/>
      <c r="L19" s="81"/>
      <c r="M19" s="81"/>
      <c r="N19" s="81"/>
      <c r="O19" s="81"/>
      <c r="P19" s="81">
        <v>97.3</v>
      </c>
      <c r="Q19" s="83">
        <f t="shared" si="0"/>
        <v>97.3</v>
      </c>
      <c r="R19" s="151" t="str">
        <f t="shared" si="1"/>
        <v>NO</v>
      </c>
      <c r="S19" s="536" t="str">
        <f t="shared" si="2"/>
        <v>Inviable Sanitariamente</v>
      </c>
    </row>
    <row r="20" spans="1:19" s="119" customFormat="1" ht="32.1" customHeight="1" x14ac:dyDescent="0.2">
      <c r="A20" s="84" t="s">
        <v>185</v>
      </c>
      <c r="B20" s="100" t="s">
        <v>1711</v>
      </c>
      <c r="C20" s="100" t="s">
        <v>1712</v>
      </c>
      <c r="D20" s="121">
        <v>82</v>
      </c>
      <c r="E20" s="81"/>
      <c r="F20" s="81"/>
      <c r="G20" s="81"/>
      <c r="H20" s="81"/>
      <c r="I20" s="81"/>
      <c r="J20" s="81">
        <v>97.3</v>
      </c>
      <c r="K20" s="81"/>
      <c r="L20" s="81"/>
      <c r="M20" s="81"/>
      <c r="N20" s="81"/>
      <c r="O20" s="81">
        <v>97.3</v>
      </c>
      <c r="P20" s="81"/>
      <c r="Q20" s="83">
        <f t="shared" si="0"/>
        <v>97.3</v>
      </c>
      <c r="R20" s="151" t="str">
        <f t="shared" si="1"/>
        <v>NO</v>
      </c>
      <c r="S20" s="536" t="str">
        <f t="shared" si="2"/>
        <v>Inviable Sanitariamente</v>
      </c>
    </row>
    <row r="21" spans="1:19" s="119" customFormat="1" ht="32.1" customHeight="1" x14ac:dyDescent="0.2">
      <c r="A21" s="84" t="s">
        <v>185</v>
      </c>
      <c r="B21" s="100" t="s">
        <v>688</v>
      </c>
      <c r="C21" s="100" t="s">
        <v>1713</v>
      </c>
      <c r="D21" s="121">
        <v>16</v>
      </c>
      <c r="E21" s="81"/>
      <c r="F21" s="81"/>
      <c r="G21" s="81"/>
      <c r="H21" s="81"/>
      <c r="I21" s="81"/>
      <c r="J21" s="81">
        <v>97.3</v>
      </c>
      <c r="K21" s="81"/>
      <c r="L21" s="81"/>
      <c r="M21" s="81"/>
      <c r="N21" s="81"/>
      <c r="O21" s="81">
        <v>97.3</v>
      </c>
      <c r="P21" s="81"/>
      <c r="Q21" s="83">
        <f t="shared" si="0"/>
        <v>97.3</v>
      </c>
      <c r="R21" s="164" t="str">
        <f t="shared" si="1"/>
        <v>NO</v>
      </c>
      <c r="S21" s="536" t="str">
        <f t="shared" si="2"/>
        <v>Inviable Sanitariamente</v>
      </c>
    </row>
    <row r="22" spans="1:19" s="119" customFormat="1" ht="31.5" customHeight="1" x14ac:dyDescent="0.2">
      <c r="A22" s="84" t="s">
        <v>185</v>
      </c>
      <c r="B22" s="100" t="s">
        <v>1714</v>
      </c>
      <c r="C22" s="100" t="s">
        <v>1715</v>
      </c>
      <c r="D22" s="121">
        <v>45</v>
      </c>
      <c r="E22" s="81"/>
      <c r="F22" s="81"/>
      <c r="G22" s="81"/>
      <c r="H22" s="81"/>
      <c r="I22" s="81"/>
      <c r="J22" s="81">
        <v>97.3</v>
      </c>
      <c r="K22" s="81"/>
      <c r="L22" s="81"/>
      <c r="M22" s="81"/>
      <c r="N22" s="81"/>
      <c r="O22" s="81">
        <v>97.3</v>
      </c>
      <c r="P22" s="81"/>
      <c r="Q22" s="83">
        <f t="shared" si="0"/>
        <v>97.3</v>
      </c>
      <c r="R22" s="164" t="str">
        <f t="shared" si="1"/>
        <v>NO</v>
      </c>
      <c r="S22" s="536" t="str">
        <f t="shared" si="2"/>
        <v>Inviable Sanitariamente</v>
      </c>
    </row>
    <row r="23" spans="1:19" s="119" customFormat="1" ht="32.1" customHeight="1" x14ac:dyDescent="0.2">
      <c r="A23" s="84" t="s">
        <v>185</v>
      </c>
      <c r="B23" s="100" t="s">
        <v>1716</v>
      </c>
      <c r="C23" s="100" t="s">
        <v>413</v>
      </c>
      <c r="D23" s="121">
        <v>16</v>
      </c>
      <c r="E23" s="81"/>
      <c r="F23" s="81"/>
      <c r="G23" s="81"/>
      <c r="H23" s="81"/>
      <c r="I23" s="81"/>
      <c r="J23" s="81">
        <v>97.3</v>
      </c>
      <c r="K23" s="81"/>
      <c r="L23" s="81"/>
      <c r="M23" s="81"/>
      <c r="N23" s="81"/>
      <c r="O23" s="81"/>
      <c r="P23" s="81">
        <v>97.3</v>
      </c>
      <c r="Q23" s="83">
        <f t="shared" si="0"/>
        <v>97.3</v>
      </c>
      <c r="R23" s="164" t="str">
        <f t="shared" si="1"/>
        <v>NO</v>
      </c>
      <c r="S23" s="536" t="str">
        <f t="shared" si="2"/>
        <v>Inviable Sanitariamente</v>
      </c>
    </row>
    <row r="24" spans="1:19" s="119" customFormat="1" ht="32.1" customHeight="1" x14ac:dyDescent="0.2">
      <c r="A24" s="84" t="s">
        <v>185</v>
      </c>
      <c r="B24" s="100" t="s">
        <v>1717</v>
      </c>
      <c r="C24" s="100" t="s">
        <v>1718</v>
      </c>
      <c r="D24" s="121">
        <v>30</v>
      </c>
      <c r="E24" s="81"/>
      <c r="F24" s="81"/>
      <c r="G24" s="81"/>
      <c r="H24" s="81"/>
      <c r="I24" s="81"/>
      <c r="J24" s="81">
        <v>97.3</v>
      </c>
      <c r="K24" s="81"/>
      <c r="L24" s="81"/>
      <c r="M24" s="81"/>
      <c r="N24" s="81"/>
      <c r="O24" s="81"/>
      <c r="P24" s="81">
        <v>97.3</v>
      </c>
      <c r="Q24" s="83">
        <f t="shared" si="0"/>
        <v>97.3</v>
      </c>
      <c r="R24" s="164" t="str">
        <f t="shared" si="1"/>
        <v>NO</v>
      </c>
      <c r="S24" s="536" t="str">
        <f t="shared" si="2"/>
        <v>Inviable Sanitariamente</v>
      </c>
    </row>
    <row r="25" spans="1:19" s="119" customFormat="1" ht="32.1" customHeight="1" x14ac:dyDescent="0.2">
      <c r="A25" s="84" t="s">
        <v>185</v>
      </c>
      <c r="B25" s="100" t="s">
        <v>1719</v>
      </c>
      <c r="C25" s="100" t="s">
        <v>1720</v>
      </c>
      <c r="D25" s="121">
        <v>25</v>
      </c>
      <c r="E25" s="81"/>
      <c r="F25" s="81"/>
      <c r="G25" s="81"/>
      <c r="H25" s="81"/>
      <c r="I25" s="81"/>
      <c r="J25" s="81">
        <v>97.3</v>
      </c>
      <c r="K25" s="81"/>
      <c r="L25" s="81"/>
      <c r="M25" s="81"/>
      <c r="N25" s="81"/>
      <c r="O25" s="81"/>
      <c r="P25" s="81">
        <v>97.3</v>
      </c>
      <c r="Q25" s="83">
        <f t="shared" si="0"/>
        <v>97.3</v>
      </c>
      <c r="R25" s="164" t="str">
        <f t="shared" si="1"/>
        <v>NO</v>
      </c>
      <c r="S25" s="536" t="str">
        <f t="shared" si="2"/>
        <v>Inviable Sanitariamente</v>
      </c>
    </row>
    <row r="26" spans="1:19" s="119" customFormat="1" ht="32.1" customHeight="1" x14ac:dyDescent="0.2">
      <c r="A26" s="84" t="s">
        <v>185</v>
      </c>
      <c r="B26" s="100" t="s">
        <v>1721</v>
      </c>
      <c r="C26" s="100" t="s">
        <v>1722</v>
      </c>
      <c r="D26" s="116">
        <v>82</v>
      </c>
      <c r="E26" s="81"/>
      <c r="F26" s="81"/>
      <c r="G26" s="81"/>
      <c r="H26" s="81"/>
      <c r="I26" s="81"/>
      <c r="J26" s="81">
        <v>97.3</v>
      </c>
      <c r="K26" s="81"/>
      <c r="L26" s="81"/>
      <c r="M26" s="81"/>
      <c r="N26" s="81"/>
      <c r="O26" s="81" t="s">
        <v>1723</v>
      </c>
      <c r="P26" s="81">
        <v>97.3</v>
      </c>
      <c r="Q26" s="83">
        <f t="shared" si="0"/>
        <v>97.3</v>
      </c>
      <c r="R26" s="164" t="str">
        <f t="shared" si="1"/>
        <v>NO</v>
      </c>
      <c r="S26" s="536" t="str">
        <f t="shared" si="2"/>
        <v>Inviable Sanitariamente</v>
      </c>
    </row>
    <row r="27" spans="1:19" s="119" customFormat="1" ht="32.1" customHeight="1" x14ac:dyDescent="0.2">
      <c r="A27" s="84" t="s">
        <v>185</v>
      </c>
      <c r="B27" s="100" t="s">
        <v>632</v>
      </c>
      <c r="C27" s="100" t="s">
        <v>1724</v>
      </c>
      <c r="D27" s="121">
        <v>180</v>
      </c>
      <c r="E27" s="81"/>
      <c r="F27" s="81"/>
      <c r="G27" s="81"/>
      <c r="H27" s="81"/>
      <c r="I27" s="81"/>
      <c r="J27" s="81">
        <v>97.3</v>
      </c>
      <c r="K27" s="81"/>
      <c r="L27" s="81"/>
      <c r="M27" s="81"/>
      <c r="N27" s="81"/>
      <c r="O27" s="81">
        <v>97.3</v>
      </c>
      <c r="P27" s="81"/>
      <c r="Q27" s="83">
        <f t="shared" si="0"/>
        <v>97.3</v>
      </c>
      <c r="R27" s="164" t="str">
        <f t="shared" si="1"/>
        <v>NO</v>
      </c>
      <c r="S27" s="536" t="str">
        <f t="shared" si="2"/>
        <v>Inviable Sanitariamente</v>
      </c>
    </row>
    <row r="28" spans="1:19" s="119" customFormat="1" ht="32.1" customHeight="1" x14ac:dyDescent="0.2">
      <c r="A28" s="84" t="s">
        <v>185</v>
      </c>
      <c r="B28" s="100" t="s">
        <v>1725</v>
      </c>
      <c r="C28" s="100" t="s">
        <v>1726</v>
      </c>
      <c r="D28" s="116">
        <v>20</v>
      </c>
      <c r="E28" s="81"/>
      <c r="F28" s="81"/>
      <c r="G28" s="81"/>
      <c r="H28" s="81"/>
      <c r="I28" s="81"/>
      <c r="J28" s="81">
        <v>97.3</v>
      </c>
      <c r="K28" s="81"/>
      <c r="L28" s="81"/>
      <c r="M28" s="81"/>
      <c r="N28" s="81"/>
      <c r="O28" s="81"/>
      <c r="P28" s="81">
        <v>97.3</v>
      </c>
      <c r="Q28" s="83">
        <f t="shared" si="0"/>
        <v>97.3</v>
      </c>
      <c r="R28" s="164" t="str">
        <f t="shared" si="1"/>
        <v>NO</v>
      </c>
      <c r="S28" s="536" t="str">
        <f t="shared" si="2"/>
        <v>Inviable Sanitariamente</v>
      </c>
    </row>
    <row r="29" spans="1:19" s="119" customFormat="1" ht="32.1" customHeight="1" x14ac:dyDescent="0.2">
      <c r="A29" s="84" t="s">
        <v>185</v>
      </c>
      <c r="B29" s="100" t="s">
        <v>1727</v>
      </c>
      <c r="C29" s="100" t="s">
        <v>1728</v>
      </c>
      <c r="D29" s="121">
        <v>29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3" t="e">
        <f t="shared" si="0"/>
        <v>#DIV/0!</v>
      </c>
      <c r="R29" s="151" t="e">
        <f t="shared" si="1"/>
        <v>#DIV/0!</v>
      </c>
      <c r="S29" s="536" t="e">
        <f t="shared" si="2"/>
        <v>#DIV/0!</v>
      </c>
    </row>
    <row r="30" spans="1:19" s="119" customFormat="1" ht="32.1" customHeight="1" x14ac:dyDescent="0.2">
      <c r="A30" s="84" t="s">
        <v>185</v>
      </c>
      <c r="B30" s="100" t="s">
        <v>46</v>
      </c>
      <c r="C30" s="100" t="s">
        <v>1729</v>
      </c>
      <c r="D30" s="121">
        <v>45</v>
      </c>
      <c r="E30" s="81"/>
      <c r="F30" s="81"/>
      <c r="G30" s="81"/>
      <c r="H30" s="81"/>
      <c r="I30" s="81"/>
      <c r="J30" s="81">
        <v>97.3</v>
      </c>
      <c r="K30" s="81"/>
      <c r="L30" s="81"/>
      <c r="M30" s="81"/>
      <c r="N30" s="81"/>
      <c r="O30" s="81">
        <v>97.3</v>
      </c>
      <c r="P30" s="81"/>
      <c r="Q30" s="83">
        <f t="shared" si="0"/>
        <v>97.3</v>
      </c>
      <c r="R30" s="164" t="str">
        <f t="shared" si="1"/>
        <v>NO</v>
      </c>
      <c r="S30" s="536" t="str">
        <f t="shared" si="2"/>
        <v>Inviable Sanitariamente</v>
      </c>
    </row>
    <row r="31" spans="1:19" s="119" customFormat="1" ht="32.1" customHeight="1" x14ac:dyDescent="0.2">
      <c r="A31" s="84" t="s">
        <v>185</v>
      </c>
      <c r="B31" s="100" t="s">
        <v>1730</v>
      </c>
      <c r="C31" s="100" t="s">
        <v>1731</v>
      </c>
      <c r="D31" s="116">
        <v>50</v>
      </c>
      <c r="E31" s="81"/>
      <c r="F31" s="81"/>
      <c r="G31" s="81"/>
      <c r="H31" s="81"/>
      <c r="I31" s="81"/>
      <c r="J31" s="81">
        <v>97.3</v>
      </c>
      <c r="K31" s="81"/>
      <c r="L31" s="81"/>
      <c r="M31" s="81"/>
      <c r="N31" s="81"/>
      <c r="O31" s="81"/>
      <c r="P31" s="81">
        <v>97.3</v>
      </c>
      <c r="Q31" s="83">
        <f t="shared" si="0"/>
        <v>97.3</v>
      </c>
      <c r="R31" s="164" t="str">
        <f t="shared" si="1"/>
        <v>NO</v>
      </c>
      <c r="S31" s="536" t="str">
        <f t="shared" si="2"/>
        <v>Inviable Sanitariamente</v>
      </c>
    </row>
    <row r="32" spans="1:19" s="119" customFormat="1" ht="32.1" customHeight="1" x14ac:dyDescent="0.2">
      <c r="A32" s="84" t="s">
        <v>185</v>
      </c>
      <c r="B32" s="100" t="s">
        <v>1732</v>
      </c>
      <c r="C32" s="100" t="s">
        <v>1733</v>
      </c>
      <c r="D32" s="121">
        <v>79</v>
      </c>
      <c r="E32" s="81"/>
      <c r="F32" s="81"/>
      <c r="G32" s="81"/>
      <c r="H32" s="81"/>
      <c r="I32" s="81"/>
      <c r="J32" s="81">
        <v>97.3</v>
      </c>
      <c r="K32" s="81"/>
      <c r="L32" s="81"/>
      <c r="M32" s="81"/>
      <c r="N32" s="81"/>
      <c r="O32" s="81"/>
      <c r="P32" s="81">
        <v>97.3</v>
      </c>
      <c r="Q32" s="83">
        <f t="shared" si="0"/>
        <v>97.3</v>
      </c>
      <c r="R32" s="164" t="str">
        <f t="shared" si="1"/>
        <v>NO</v>
      </c>
      <c r="S32" s="536" t="str">
        <f t="shared" si="2"/>
        <v>Inviable Sanitariamente</v>
      </c>
    </row>
    <row r="33" spans="1:19" s="119" customFormat="1" ht="32.1" customHeight="1" x14ac:dyDescent="0.2">
      <c r="A33" s="84" t="s">
        <v>185</v>
      </c>
      <c r="B33" s="100" t="s">
        <v>711</v>
      </c>
      <c r="C33" s="100" t="s">
        <v>1734</v>
      </c>
      <c r="D33" s="121">
        <v>15</v>
      </c>
      <c r="E33" s="81"/>
      <c r="F33" s="81"/>
      <c r="G33" s="81"/>
      <c r="H33" s="81"/>
      <c r="I33" s="81"/>
      <c r="J33" s="81">
        <v>97.3</v>
      </c>
      <c r="K33" s="81"/>
      <c r="L33" s="81"/>
      <c r="M33" s="81"/>
      <c r="N33" s="81"/>
      <c r="O33" s="81"/>
      <c r="P33" s="81">
        <v>97.3</v>
      </c>
      <c r="Q33" s="83">
        <f t="shared" si="0"/>
        <v>97.3</v>
      </c>
      <c r="R33" s="164" t="str">
        <f t="shared" si="1"/>
        <v>NO</v>
      </c>
      <c r="S33" s="536" t="str">
        <f t="shared" si="2"/>
        <v>Inviable Sanitariamente</v>
      </c>
    </row>
    <row r="34" spans="1:19" s="119" customFormat="1" ht="32.1" customHeight="1" x14ac:dyDescent="0.2">
      <c r="A34" s="84" t="s">
        <v>185</v>
      </c>
      <c r="B34" s="100" t="s">
        <v>1735</v>
      </c>
      <c r="C34" s="100" t="s">
        <v>1736</v>
      </c>
      <c r="D34" s="121">
        <v>120</v>
      </c>
      <c r="E34" s="81"/>
      <c r="F34" s="81"/>
      <c r="G34" s="81"/>
      <c r="H34" s="81"/>
      <c r="I34" s="81"/>
      <c r="J34" s="81">
        <v>97.3</v>
      </c>
      <c r="K34" s="81"/>
      <c r="L34" s="81"/>
      <c r="M34" s="81"/>
      <c r="N34" s="81"/>
      <c r="O34" s="81">
        <v>97.3</v>
      </c>
      <c r="P34" s="81"/>
      <c r="Q34" s="83">
        <f t="shared" si="0"/>
        <v>97.3</v>
      </c>
      <c r="R34" s="164" t="str">
        <f t="shared" si="1"/>
        <v>NO</v>
      </c>
      <c r="S34" s="536" t="str">
        <f t="shared" si="2"/>
        <v>Inviable Sanitariamente</v>
      </c>
    </row>
    <row r="35" spans="1:19" s="119" customFormat="1" ht="32.1" customHeight="1" x14ac:dyDescent="0.2">
      <c r="A35" s="84" t="s">
        <v>185</v>
      </c>
      <c r="B35" s="100" t="s">
        <v>1737</v>
      </c>
      <c r="C35" s="100" t="s">
        <v>1738</v>
      </c>
      <c r="D35" s="121">
        <v>50</v>
      </c>
      <c r="E35" s="81"/>
      <c r="F35" s="81"/>
      <c r="G35" s="81"/>
      <c r="H35" s="81"/>
      <c r="I35" s="81"/>
      <c r="J35" s="81">
        <v>97.3</v>
      </c>
      <c r="K35" s="81"/>
      <c r="L35" s="81"/>
      <c r="M35" s="81"/>
      <c r="N35" s="81"/>
      <c r="O35" s="81"/>
      <c r="P35" s="81"/>
      <c r="Q35" s="83">
        <f t="shared" si="0"/>
        <v>97.3</v>
      </c>
      <c r="R35" s="164" t="str">
        <f t="shared" si="1"/>
        <v>NO</v>
      </c>
      <c r="S35" s="536" t="str">
        <f t="shared" si="2"/>
        <v>Inviable Sanitariamente</v>
      </c>
    </row>
    <row r="36" spans="1:19" s="119" customFormat="1" ht="32.1" customHeight="1" x14ac:dyDescent="0.2">
      <c r="A36" s="84" t="s">
        <v>185</v>
      </c>
      <c r="B36" s="100" t="s">
        <v>1737</v>
      </c>
      <c r="C36" s="100" t="s">
        <v>1739</v>
      </c>
      <c r="D36" s="121">
        <v>15</v>
      </c>
      <c r="E36" s="81"/>
      <c r="F36" s="81"/>
      <c r="G36" s="81"/>
      <c r="H36" s="81"/>
      <c r="I36" s="81"/>
      <c r="J36" s="81">
        <v>97.3</v>
      </c>
      <c r="K36" s="81"/>
      <c r="L36" s="81"/>
      <c r="M36" s="81"/>
      <c r="N36" s="81"/>
      <c r="O36" s="81"/>
      <c r="P36" s="81">
        <v>97.3</v>
      </c>
      <c r="Q36" s="83">
        <f t="shared" si="0"/>
        <v>97.3</v>
      </c>
      <c r="R36" s="164" t="str">
        <f t="shared" si="1"/>
        <v>NO</v>
      </c>
      <c r="S36" s="536" t="str">
        <f t="shared" si="2"/>
        <v>Inviable Sanitariamente</v>
      </c>
    </row>
    <row r="37" spans="1:19" s="119" customFormat="1" ht="32.1" customHeight="1" x14ac:dyDescent="0.2">
      <c r="A37" s="84" t="s">
        <v>185</v>
      </c>
      <c r="B37" s="100" t="s">
        <v>1740</v>
      </c>
      <c r="C37" s="100" t="s">
        <v>1741</v>
      </c>
      <c r="D37" s="121">
        <v>60</v>
      </c>
      <c r="E37" s="81"/>
      <c r="F37" s="81"/>
      <c r="G37" s="81"/>
      <c r="H37" s="81"/>
      <c r="I37" s="81"/>
      <c r="J37" s="81">
        <v>97.3</v>
      </c>
      <c r="K37" s="81"/>
      <c r="L37" s="81"/>
      <c r="M37" s="81"/>
      <c r="N37" s="81"/>
      <c r="O37" s="81"/>
      <c r="P37" s="81">
        <v>97.3</v>
      </c>
      <c r="Q37" s="83">
        <f t="shared" si="0"/>
        <v>97.3</v>
      </c>
      <c r="R37" s="164" t="str">
        <f t="shared" si="1"/>
        <v>NO</v>
      </c>
      <c r="S37" s="536" t="str">
        <f t="shared" si="2"/>
        <v>Inviable Sanitariamente</v>
      </c>
    </row>
    <row r="38" spans="1:19" s="119" customFormat="1" ht="32.1" customHeight="1" x14ac:dyDescent="0.2">
      <c r="A38" s="84" t="s">
        <v>185</v>
      </c>
      <c r="B38" s="100" t="s">
        <v>1742</v>
      </c>
      <c r="C38" s="100" t="s">
        <v>1743</v>
      </c>
      <c r="D38" s="121">
        <v>53</v>
      </c>
      <c r="E38" s="81"/>
      <c r="F38" s="81"/>
      <c r="G38" s="81"/>
      <c r="H38" s="81"/>
      <c r="I38" s="81"/>
      <c r="J38" s="81">
        <v>97.3</v>
      </c>
      <c r="K38" s="81"/>
      <c r="L38" s="81"/>
      <c r="M38" s="81"/>
      <c r="N38" s="81"/>
      <c r="O38" s="81"/>
      <c r="P38" s="81">
        <v>97.3</v>
      </c>
      <c r="Q38" s="83">
        <f t="shared" si="0"/>
        <v>97.3</v>
      </c>
      <c r="R38" s="164" t="str">
        <f t="shared" si="1"/>
        <v>NO</v>
      </c>
      <c r="S38" s="536" t="str">
        <f t="shared" si="2"/>
        <v>Inviable Sanitariamente</v>
      </c>
    </row>
    <row r="39" spans="1:19" s="119" customFormat="1" ht="32.1" customHeight="1" x14ac:dyDescent="0.2">
      <c r="A39" s="127" t="s">
        <v>187</v>
      </c>
      <c r="B39" s="100" t="s">
        <v>1967</v>
      </c>
      <c r="C39" s="100" t="s">
        <v>1968</v>
      </c>
      <c r="D39" s="121">
        <v>770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>
        <v>90.32</v>
      </c>
      <c r="P39" s="81"/>
      <c r="Q39" s="83">
        <f t="shared" si="0"/>
        <v>90.32</v>
      </c>
      <c r="R39" s="164" t="str">
        <f t="shared" si="1"/>
        <v>NO</v>
      </c>
      <c r="S39" s="536" t="str">
        <f t="shared" si="2"/>
        <v>Inviable Sanitariamente</v>
      </c>
    </row>
    <row r="40" spans="1:19" s="119" customFormat="1" ht="32.1" customHeight="1" x14ac:dyDescent="0.2">
      <c r="A40" s="127" t="s">
        <v>187</v>
      </c>
      <c r="B40" s="100" t="s">
        <v>1969</v>
      </c>
      <c r="C40" s="100" t="s">
        <v>1970</v>
      </c>
      <c r="D40" s="121">
        <v>1026</v>
      </c>
      <c r="E40" s="81">
        <v>90.4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3">
        <f t="shared" si="0"/>
        <v>90.4</v>
      </c>
      <c r="R40" s="164" t="str">
        <f t="shared" si="1"/>
        <v>NO</v>
      </c>
      <c r="S40" s="536" t="str">
        <f t="shared" si="2"/>
        <v>Inviable Sanitariamente</v>
      </c>
    </row>
    <row r="41" spans="1:19" s="119" customFormat="1" ht="32.1" customHeight="1" x14ac:dyDescent="0.2">
      <c r="A41" s="127" t="s">
        <v>4127</v>
      </c>
      <c r="B41" s="100" t="s">
        <v>52</v>
      </c>
      <c r="C41" s="100" t="s">
        <v>1971</v>
      </c>
      <c r="D41" s="121">
        <v>98</v>
      </c>
      <c r="E41" s="81"/>
      <c r="F41" s="81"/>
      <c r="G41" s="81"/>
      <c r="H41" s="81"/>
      <c r="I41" s="81"/>
      <c r="J41" s="81"/>
      <c r="K41" s="81"/>
      <c r="L41" s="81">
        <v>97.3</v>
      </c>
      <c r="M41" s="81"/>
      <c r="N41" s="81"/>
      <c r="O41" s="81"/>
      <c r="P41" s="81"/>
      <c r="Q41" s="83">
        <f t="shared" si="0"/>
        <v>97.3</v>
      </c>
      <c r="R41" s="164" t="str">
        <f t="shared" si="1"/>
        <v>NO</v>
      </c>
      <c r="S41" s="536" t="str">
        <f t="shared" si="2"/>
        <v>Inviable Sanitariamente</v>
      </c>
    </row>
    <row r="42" spans="1:19" s="119" customFormat="1" ht="32.1" customHeight="1" x14ac:dyDescent="0.2">
      <c r="A42" s="127" t="s">
        <v>4127</v>
      </c>
      <c r="B42" s="100" t="s">
        <v>1972</v>
      </c>
      <c r="C42" s="100" t="s">
        <v>1973</v>
      </c>
      <c r="D42" s="121">
        <v>250</v>
      </c>
      <c r="E42" s="81"/>
      <c r="F42" s="81"/>
      <c r="G42" s="81"/>
      <c r="H42" s="81"/>
      <c r="I42" s="81"/>
      <c r="J42" s="81"/>
      <c r="K42" s="81"/>
      <c r="L42" s="81">
        <v>97.3</v>
      </c>
      <c r="M42" s="81"/>
      <c r="N42" s="81"/>
      <c r="O42" s="81"/>
      <c r="P42" s="81"/>
      <c r="Q42" s="83">
        <f t="shared" si="0"/>
        <v>97.3</v>
      </c>
      <c r="R42" s="164" t="str">
        <f t="shared" si="1"/>
        <v>NO</v>
      </c>
      <c r="S42" s="536" t="str">
        <f t="shared" si="2"/>
        <v>Inviable Sanitariamente</v>
      </c>
    </row>
    <row r="43" spans="1:19" s="119" customFormat="1" ht="32.1" customHeight="1" x14ac:dyDescent="0.2">
      <c r="A43" s="127" t="s">
        <v>4127</v>
      </c>
      <c r="B43" s="100" t="s">
        <v>1974</v>
      </c>
      <c r="C43" s="100" t="s">
        <v>1975</v>
      </c>
      <c r="D43" s="121">
        <v>200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3" t="e">
        <f t="shared" ref="Q43:Q70" si="3">AVERAGE(E43:P43)</f>
        <v>#DIV/0!</v>
      </c>
      <c r="R43" s="151" t="e">
        <f t="shared" ref="R43:R70" si="4">IF(Q43&lt;5,"SI","NO")</f>
        <v>#DIV/0!</v>
      </c>
      <c r="S43" s="536" t="e">
        <f t="shared" ref="S43:S70" si="5">IF(Q43&lt;=5,"Sin Riesgo",IF(Q43 &lt;=14,"Bajo",IF(Q43&lt;=35,"Medio",IF(Q43&lt;=80,"Alto","Inviable Sanitariamente"))))</f>
        <v>#DIV/0!</v>
      </c>
    </row>
    <row r="44" spans="1:19" s="119" customFormat="1" ht="32.1" customHeight="1" x14ac:dyDescent="0.2">
      <c r="A44" s="127" t="s">
        <v>4127</v>
      </c>
      <c r="B44" s="100" t="s">
        <v>1976</v>
      </c>
      <c r="C44" s="99" t="s">
        <v>1977</v>
      </c>
      <c r="D44" s="12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3" t="e">
        <f t="shared" si="3"/>
        <v>#DIV/0!</v>
      </c>
      <c r="R44" s="206" t="e">
        <f t="shared" si="4"/>
        <v>#DIV/0!</v>
      </c>
      <c r="S44" s="536" t="e">
        <f t="shared" si="5"/>
        <v>#DIV/0!</v>
      </c>
    </row>
    <row r="45" spans="1:19" s="119" customFormat="1" ht="32.1" customHeight="1" x14ac:dyDescent="0.2">
      <c r="A45" s="127" t="s">
        <v>4127</v>
      </c>
      <c r="B45" s="100" t="s">
        <v>1978</v>
      </c>
      <c r="C45" s="99" t="s">
        <v>1979</v>
      </c>
      <c r="D45" s="12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3" t="e">
        <f t="shared" si="3"/>
        <v>#DIV/0!</v>
      </c>
      <c r="R45" s="206" t="e">
        <f t="shared" si="4"/>
        <v>#DIV/0!</v>
      </c>
      <c r="S45" s="536" t="e">
        <f t="shared" si="5"/>
        <v>#DIV/0!</v>
      </c>
    </row>
    <row r="46" spans="1:19" s="119" customFormat="1" ht="32.1" customHeight="1" x14ac:dyDescent="0.2">
      <c r="A46" s="127" t="s">
        <v>188</v>
      </c>
      <c r="B46" s="454" t="s">
        <v>1980</v>
      </c>
      <c r="C46" s="100" t="s">
        <v>1981</v>
      </c>
      <c r="D46" s="121">
        <v>1014</v>
      </c>
      <c r="E46" s="81">
        <v>50.2</v>
      </c>
      <c r="F46" s="81">
        <v>71.349999999999994</v>
      </c>
      <c r="G46" s="81">
        <v>6.45</v>
      </c>
      <c r="H46" s="81">
        <v>19.350000000000001</v>
      </c>
      <c r="I46" s="81">
        <v>41.3</v>
      </c>
      <c r="J46" s="81">
        <v>35.4</v>
      </c>
      <c r="K46" s="81">
        <v>100</v>
      </c>
      <c r="L46" s="81">
        <v>100</v>
      </c>
      <c r="M46" s="81">
        <v>100</v>
      </c>
      <c r="N46" s="81">
        <v>100</v>
      </c>
      <c r="O46" s="81">
        <v>90.3</v>
      </c>
      <c r="P46" s="81">
        <v>77</v>
      </c>
      <c r="Q46" s="83">
        <f t="shared" si="3"/>
        <v>65.945833333333326</v>
      </c>
      <c r="R46" s="164" t="str">
        <f t="shared" si="4"/>
        <v>NO</v>
      </c>
      <c r="S46" s="536" t="str">
        <f t="shared" si="5"/>
        <v>Alto</v>
      </c>
    </row>
    <row r="47" spans="1:19" s="119" customFormat="1" ht="32.1" customHeight="1" x14ac:dyDescent="0.2">
      <c r="A47" s="127" t="s">
        <v>188</v>
      </c>
      <c r="B47" s="454" t="s">
        <v>72</v>
      </c>
      <c r="C47" s="100" t="s">
        <v>1982</v>
      </c>
      <c r="D47" s="121">
        <v>165</v>
      </c>
      <c r="E47" s="81"/>
      <c r="F47" s="81">
        <v>97.3</v>
      </c>
      <c r="G47" s="81"/>
      <c r="H47" s="81"/>
      <c r="I47" s="81"/>
      <c r="J47" s="81"/>
      <c r="K47" s="81"/>
      <c r="L47" s="81">
        <v>97.3</v>
      </c>
      <c r="M47" s="81"/>
      <c r="N47" s="81"/>
      <c r="O47" s="81">
        <v>97.3</v>
      </c>
      <c r="P47" s="81"/>
      <c r="Q47" s="83">
        <f t="shared" si="3"/>
        <v>97.3</v>
      </c>
      <c r="R47" s="164" t="str">
        <f t="shared" si="4"/>
        <v>NO</v>
      </c>
      <c r="S47" s="536" t="str">
        <f t="shared" si="5"/>
        <v>Inviable Sanitariamente</v>
      </c>
    </row>
    <row r="48" spans="1:19" s="119" customFormat="1" ht="32.1" customHeight="1" x14ac:dyDescent="0.2">
      <c r="A48" s="127" t="s">
        <v>188</v>
      </c>
      <c r="B48" s="454" t="s">
        <v>1983</v>
      </c>
      <c r="C48" s="100" t="s">
        <v>1984</v>
      </c>
      <c r="D48" s="121">
        <v>34</v>
      </c>
      <c r="E48" s="81"/>
      <c r="F48" s="81"/>
      <c r="G48" s="81">
        <v>97.3</v>
      </c>
      <c r="H48" s="81"/>
      <c r="I48" s="81"/>
      <c r="J48" s="81"/>
      <c r="K48" s="81"/>
      <c r="L48" s="81"/>
      <c r="M48" s="81"/>
      <c r="N48" s="81"/>
      <c r="O48" s="81"/>
      <c r="P48" s="81"/>
      <c r="Q48" s="83">
        <f t="shared" si="3"/>
        <v>97.3</v>
      </c>
      <c r="R48" s="164" t="str">
        <f t="shared" si="4"/>
        <v>NO</v>
      </c>
      <c r="S48" s="536" t="str">
        <f t="shared" si="5"/>
        <v>Inviable Sanitariamente</v>
      </c>
    </row>
    <row r="49" spans="1:19" s="119" customFormat="1" ht="32.1" customHeight="1" x14ac:dyDescent="0.2">
      <c r="A49" s="127" t="s">
        <v>188</v>
      </c>
      <c r="B49" s="454" t="s">
        <v>1985</v>
      </c>
      <c r="C49" s="100" t="s">
        <v>1986</v>
      </c>
      <c r="D49" s="121">
        <v>392</v>
      </c>
      <c r="E49" s="81"/>
      <c r="F49" s="81">
        <v>97.2</v>
      </c>
      <c r="G49" s="81"/>
      <c r="H49" s="81"/>
      <c r="I49" s="81"/>
      <c r="J49" s="81"/>
      <c r="K49" s="81">
        <v>97.3</v>
      </c>
      <c r="L49" s="81">
        <v>97.3</v>
      </c>
      <c r="M49" s="81"/>
      <c r="N49" s="81"/>
      <c r="O49" s="81"/>
      <c r="P49" s="81"/>
      <c r="Q49" s="83">
        <f t="shared" si="3"/>
        <v>97.266666666666666</v>
      </c>
      <c r="R49" s="164" t="str">
        <f t="shared" si="4"/>
        <v>NO</v>
      </c>
      <c r="S49" s="536" t="str">
        <f t="shared" si="5"/>
        <v>Inviable Sanitariamente</v>
      </c>
    </row>
    <row r="50" spans="1:19" s="119" customFormat="1" ht="32.1" customHeight="1" x14ac:dyDescent="0.2">
      <c r="A50" s="127" t="s">
        <v>188</v>
      </c>
      <c r="B50" s="454" t="s">
        <v>1987</v>
      </c>
      <c r="C50" s="100" t="s">
        <v>1988</v>
      </c>
      <c r="D50" s="121">
        <v>231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>
        <v>97.3</v>
      </c>
      <c r="P50" s="81"/>
      <c r="Q50" s="83">
        <f t="shared" si="3"/>
        <v>97.3</v>
      </c>
      <c r="R50" s="164" t="str">
        <f t="shared" si="4"/>
        <v>NO</v>
      </c>
      <c r="S50" s="536" t="str">
        <f t="shared" si="5"/>
        <v>Inviable Sanitariamente</v>
      </c>
    </row>
    <row r="51" spans="1:19" s="119" customFormat="1" ht="32.1" customHeight="1" x14ac:dyDescent="0.2">
      <c r="A51" s="127" t="s">
        <v>188</v>
      </c>
      <c r="B51" s="454" t="s">
        <v>1989</v>
      </c>
      <c r="C51" s="100" t="s">
        <v>1990</v>
      </c>
      <c r="D51" s="121">
        <v>315</v>
      </c>
      <c r="E51" s="81"/>
      <c r="F51" s="81">
        <v>97.3</v>
      </c>
      <c r="G51" s="81"/>
      <c r="H51" s="81">
        <v>97.3</v>
      </c>
      <c r="I51" s="81"/>
      <c r="J51" s="81"/>
      <c r="K51" s="81"/>
      <c r="L51" s="81">
        <v>97.3</v>
      </c>
      <c r="M51" s="81"/>
      <c r="N51" s="81"/>
      <c r="O51" s="81">
        <v>97.3</v>
      </c>
      <c r="P51" s="81"/>
      <c r="Q51" s="83">
        <f t="shared" si="3"/>
        <v>97.3</v>
      </c>
      <c r="R51" s="164" t="str">
        <f t="shared" si="4"/>
        <v>NO</v>
      </c>
      <c r="S51" s="536" t="str">
        <f t="shared" si="5"/>
        <v>Inviable Sanitariamente</v>
      </c>
    </row>
    <row r="52" spans="1:19" s="119" customFormat="1" ht="32.1" customHeight="1" x14ac:dyDescent="0.2">
      <c r="A52" s="127" t="s">
        <v>188</v>
      </c>
      <c r="B52" s="454" t="s">
        <v>1991</v>
      </c>
      <c r="C52" s="100" t="s">
        <v>1992</v>
      </c>
      <c r="D52" s="121">
        <v>110</v>
      </c>
      <c r="E52" s="81"/>
      <c r="F52" s="81"/>
      <c r="G52" s="81">
        <v>97.3</v>
      </c>
      <c r="H52" s="81"/>
      <c r="I52" s="81"/>
      <c r="J52" s="81"/>
      <c r="K52" s="81"/>
      <c r="L52" s="81"/>
      <c r="M52" s="81">
        <v>97.3</v>
      </c>
      <c r="N52" s="81"/>
      <c r="O52" s="81"/>
      <c r="P52" s="81"/>
      <c r="Q52" s="83">
        <f t="shared" si="3"/>
        <v>97.3</v>
      </c>
      <c r="R52" s="164" t="str">
        <f t="shared" si="4"/>
        <v>NO</v>
      </c>
      <c r="S52" s="536" t="str">
        <f t="shared" si="5"/>
        <v>Inviable Sanitariamente</v>
      </c>
    </row>
    <row r="53" spans="1:19" s="119" customFormat="1" ht="32.1" customHeight="1" x14ac:dyDescent="0.2">
      <c r="A53" s="127" t="s">
        <v>188</v>
      </c>
      <c r="B53" s="454" t="s">
        <v>1993</v>
      </c>
      <c r="C53" s="100" t="s">
        <v>1994</v>
      </c>
      <c r="D53" s="116">
        <v>55</v>
      </c>
      <c r="E53" s="81"/>
      <c r="F53" s="81"/>
      <c r="G53" s="81">
        <v>97.3</v>
      </c>
      <c r="H53" s="81"/>
      <c r="I53" s="81"/>
      <c r="J53" s="81"/>
      <c r="K53" s="81"/>
      <c r="L53" s="81"/>
      <c r="M53" s="81">
        <v>97.3</v>
      </c>
      <c r="N53" s="81"/>
      <c r="O53" s="81"/>
      <c r="P53" s="81"/>
      <c r="Q53" s="83">
        <f t="shared" si="3"/>
        <v>97.3</v>
      </c>
      <c r="R53" s="164" t="str">
        <f t="shared" si="4"/>
        <v>NO</v>
      </c>
      <c r="S53" s="536" t="str">
        <f t="shared" si="5"/>
        <v>Inviable Sanitariamente</v>
      </c>
    </row>
    <row r="54" spans="1:19" s="119" customFormat="1" ht="32.1" customHeight="1" x14ac:dyDescent="0.2">
      <c r="A54" s="127" t="s">
        <v>188</v>
      </c>
      <c r="B54" s="454" t="s">
        <v>419</v>
      </c>
      <c r="C54" s="100" t="s">
        <v>420</v>
      </c>
      <c r="D54" s="121">
        <v>189</v>
      </c>
      <c r="E54" s="81"/>
      <c r="F54" s="81"/>
      <c r="G54" s="81"/>
      <c r="H54" s="81">
        <v>97.3</v>
      </c>
      <c r="I54" s="81"/>
      <c r="J54" s="81"/>
      <c r="K54" s="81"/>
      <c r="L54" s="81"/>
      <c r="M54" s="81">
        <v>97.3</v>
      </c>
      <c r="N54" s="81"/>
      <c r="O54" s="81"/>
      <c r="P54" s="81"/>
      <c r="Q54" s="83">
        <f t="shared" si="3"/>
        <v>97.3</v>
      </c>
      <c r="R54" s="164" t="str">
        <f t="shared" si="4"/>
        <v>NO</v>
      </c>
      <c r="S54" s="536" t="str">
        <f t="shared" si="5"/>
        <v>Inviable Sanitariamente</v>
      </c>
    </row>
    <row r="55" spans="1:19" s="119" customFormat="1" ht="32.1" customHeight="1" x14ac:dyDescent="0.2">
      <c r="A55" s="84" t="s">
        <v>189</v>
      </c>
      <c r="B55" s="209" t="s">
        <v>1995</v>
      </c>
      <c r="C55" s="84" t="s">
        <v>1996</v>
      </c>
      <c r="D55" s="116">
        <v>25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3" t="e">
        <f t="shared" si="3"/>
        <v>#DIV/0!</v>
      </c>
      <c r="R55" s="153" t="e">
        <f t="shared" si="4"/>
        <v>#DIV/0!</v>
      </c>
      <c r="S55" s="536" t="e">
        <f t="shared" si="5"/>
        <v>#DIV/0!</v>
      </c>
    </row>
    <row r="56" spans="1:19" s="119" customFormat="1" ht="32.1" customHeight="1" x14ac:dyDescent="0.2">
      <c r="A56" s="84" t="s">
        <v>189</v>
      </c>
      <c r="B56" s="209" t="s">
        <v>1997</v>
      </c>
      <c r="C56" s="84" t="s">
        <v>1998</v>
      </c>
      <c r="D56" s="121">
        <v>15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3" t="e">
        <f t="shared" si="3"/>
        <v>#DIV/0!</v>
      </c>
      <c r="R56" s="153" t="e">
        <f t="shared" si="4"/>
        <v>#DIV/0!</v>
      </c>
      <c r="S56" s="536" t="e">
        <f t="shared" si="5"/>
        <v>#DIV/0!</v>
      </c>
    </row>
    <row r="57" spans="1:19" s="119" customFormat="1" ht="32.1" customHeight="1" x14ac:dyDescent="0.2">
      <c r="A57" s="84" t="s">
        <v>189</v>
      </c>
      <c r="B57" s="209" t="s">
        <v>1999</v>
      </c>
      <c r="C57" s="84" t="s">
        <v>2000</v>
      </c>
      <c r="D57" s="121">
        <v>16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3" t="e">
        <f t="shared" si="3"/>
        <v>#DIV/0!</v>
      </c>
      <c r="R57" s="153" t="e">
        <f t="shared" si="4"/>
        <v>#DIV/0!</v>
      </c>
      <c r="S57" s="536" t="e">
        <f t="shared" si="5"/>
        <v>#DIV/0!</v>
      </c>
    </row>
    <row r="58" spans="1:19" s="119" customFormat="1" ht="32.1" customHeight="1" x14ac:dyDescent="0.2">
      <c r="A58" s="84" t="s">
        <v>189</v>
      </c>
      <c r="B58" s="209" t="s">
        <v>422</v>
      </c>
      <c r="C58" s="84" t="s">
        <v>2001</v>
      </c>
      <c r="D58" s="121">
        <v>15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3" t="e">
        <f t="shared" si="3"/>
        <v>#DIV/0!</v>
      </c>
      <c r="R58" s="153" t="e">
        <f t="shared" si="4"/>
        <v>#DIV/0!</v>
      </c>
      <c r="S58" s="536" t="e">
        <f t="shared" si="5"/>
        <v>#DIV/0!</v>
      </c>
    </row>
    <row r="59" spans="1:19" s="119" customFormat="1" ht="32.1" customHeight="1" x14ac:dyDescent="0.2">
      <c r="A59" s="84" t="s">
        <v>189</v>
      </c>
      <c r="B59" s="209" t="s">
        <v>2002</v>
      </c>
      <c r="C59" s="84" t="s">
        <v>2003</v>
      </c>
      <c r="D59" s="121">
        <v>120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3" t="e">
        <f t="shared" si="3"/>
        <v>#DIV/0!</v>
      </c>
      <c r="R59" s="153" t="e">
        <f t="shared" si="4"/>
        <v>#DIV/0!</v>
      </c>
      <c r="S59" s="536" t="e">
        <f t="shared" si="5"/>
        <v>#DIV/0!</v>
      </c>
    </row>
    <row r="60" spans="1:19" s="119" customFormat="1" ht="32.1" customHeight="1" x14ac:dyDescent="0.2">
      <c r="A60" s="84" t="s">
        <v>189</v>
      </c>
      <c r="B60" s="209" t="s">
        <v>2004</v>
      </c>
      <c r="C60" s="84" t="s">
        <v>2005</v>
      </c>
      <c r="D60" s="121">
        <v>280</v>
      </c>
      <c r="E60" s="81"/>
      <c r="F60" s="81"/>
      <c r="G60" s="81"/>
      <c r="H60" s="81"/>
      <c r="I60" s="81"/>
      <c r="J60" s="81"/>
      <c r="K60" s="81"/>
      <c r="L60" s="81"/>
      <c r="M60" s="81">
        <v>80</v>
      </c>
      <c r="N60" s="81"/>
      <c r="O60" s="81"/>
      <c r="P60" s="81"/>
      <c r="Q60" s="83">
        <f t="shared" si="3"/>
        <v>80</v>
      </c>
      <c r="R60" s="241" t="str">
        <f t="shared" si="4"/>
        <v>NO</v>
      </c>
      <c r="S60" s="536" t="str">
        <f t="shared" si="5"/>
        <v>Alto</v>
      </c>
    </row>
    <row r="61" spans="1:19" s="119" customFormat="1" ht="32.1" customHeight="1" x14ac:dyDescent="0.2">
      <c r="A61" s="84" t="s">
        <v>189</v>
      </c>
      <c r="B61" s="209" t="s">
        <v>2006</v>
      </c>
      <c r="C61" s="84" t="s">
        <v>2007</v>
      </c>
      <c r="D61" s="121">
        <v>115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3" t="e">
        <f t="shared" si="3"/>
        <v>#DIV/0!</v>
      </c>
      <c r="R61" s="153" t="e">
        <f t="shared" si="4"/>
        <v>#DIV/0!</v>
      </c>
      <c r="S61" s="536" t="e">
        <f t="shared" si="5"/>
        <v>#DIV/0!</v>
      </c>
    </row>
    <row r="62" spans="1:19" s="119" customFormat="1" ht="32.1" customHeight="1" x14ac:dyDescent="0.2">
      <c r="A62" s="84" t="s">
        <v>189</v>
      </c>
      <c r="B62" s="209" t="s">
        <v>2008</v>
      </c>
      <c r="C62" s="84" t="s">
        <v>2009</v>
      </c>
      <c r="D62" s="121">
        <v>46</v>
      </c>
      <c r="E62" s="81"/>
      <c r="F62" s="81"/>
      <c r="G62" s="81"/>
      <c r="H62" s="81"/>
      <c r="I62" s="81"/>
      <c r="J62" s="81"/>
      <c r="K62" s="81"/>
      <c r="L62" s="81"/>
      <c r="M62" s="81">
        <v>94.6</v>
      </c>
      <c r="N62" s="81"/>
      <c r="O62" s="81"/>
      <c r="P62" s="81"/>
      <c r="Q62" s="83">
        <f t="shared" si="3"/>
        <v>94.6</v>
      </c>
      <c r="R62" s="241" t="str">
        <f t="shared" si="4"/>
        <v>NO</v>
      </c>
      <c r="S62" s="536" t="str">
        <f t="shared" si="5"/>
        <v>Inviable Sanitariamente</v>
      </c>
    </row>
    <row r="63" spans="1:19" s="119" customFormat="1" ht="32.1" customHeight="1" x14ac:dyDescent="0.2">
      <c r="A63" s="84" t="s">
        <v>189</v>
      </c>
      <c r="B63" s="209" t="s">
        <v>2010</v>
      </c>
      <c r="C63" s="84" t="s">
        <v>2011</v>
      </c>
      <c r="D63" s="121">
        <v>70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3" t="e">
        <f t="shared" si="3"/>
        <v>#DIV/0!</v>
      </c>
      <c r="R63" s="153" t="e">
        <f t="shared" si="4"/>
        <v>#DIV/0!</v>
      </c>
      <c r="S63" s="536" t="e">
        <f t="shared" si="5"/>
        <v>#DIV/0!</v>
      </c>
    </row>
    <row r="64" spans="1:19" s="119" customFormat="1" ht="32.1" customHeight="1" x14ac:dyDescent="0.2">
      <c r="A64" s="84" t="s">
        <v>189</v>
      </c>
      <c r="B64" s="209" t="s">
        <v>2012</v>
      </c>
      <c r="C64" s="84" t="s">
        <v>2013</v>
      </c>
      <c r="D64" s="116">
        <v>159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3" t="e">
        <f t="shared" si="3"/>
        <v>#DIV/0!</v>
      </c>
      <c r="R64" s="153" t="e">
        <f t="shared" si="4"/>
        <v>#DIV/0!</v>
      </c>
      <c r="S64" s="536" t="e">
        <f t="shared" si="5"/>
        <v>#DIV/0!</v>
      </c>
    </row>
    <row r="65" spans="1:16384" s="119" customFormat="1" ht="32.1" customHeight="1" x14ac:dyDescent="0.2">
      <c r="A65" s="84" t="s">
        <v>189</v>
      </c>
      <c r="B65" s="209" t="s">
        <v>1564</v>
      </c>
      <c r="C65" s="84" t="s">
        <v>2014</v>
      </c>
      <c r="D65" s="121">
        <v>127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3" t="e">
        <f t="shared" si="3"/>
        <v>#DIV/0!</v>
      </c>
      <c r="R65" s="153" t="e">
        <f t="shared" si="4"/>
        <v>#DIV/0!</v>
      </c>
      <c r="S65" s="536" t="e">
        <f t="shared" si="5"/>
        <v>#DIV/0!</v>
      </c>
    </row>
    <row r="66" spans="1:16384" s="119" customFormat="1" ht="32.1" customHeight="1" x14ac:dyDescent="0.2">
      <c r="A66" s="84" t="s">
        <v>189</v>
      </c>
      <c r="B66" s="209" t="s">
        <v>2015</v>
      </c>
      <c r="C66" s="84" t="s">
        <v>2016</v>
      </c>
      <c r="D66" s="121">
        <v>35</v>
      </c>
      <c r="E66" s="81"/>
      <c r="F66" s="81"/>
      <c r="G66" s="81"/>
      <c r="H66" s="81"/>
      <c r="I66" s="81"/>
      <c r="J66" s="81"/>
      <c r="K66" s="81"/>
      <c r="L66" s="81"/>
      <c r="M66" s="81">
        <v>91.2</v>
      </c>
      <c r="N66" s="81"/>
      <c r="O66" s="81"/>
      <c r="P66" s="81"/>
      <c r="Q66" s="83">
        <f t="shared" si="3"/>
        <v>91.2</v>
      </c>
      <c r="R66" s="241" t="str">
        <f t="shared" si="4"/>
        <v>NO</v>
      </c>
      <c r="S66" s="536" t="str">
        <f t="shared" si="5"/>
        <v>Inviable Sanitariamente</v>
      </c>
    </row>
    <row r="67" spans="1:16384" s="119" customFormat="1" ht="32.1" customHeight="1" x14ac:dyDescent="0.2">
      <c r="A67" s="84" t="s">
        <v>189</v>
      </c>
      <c r="B67" s="209" t="s">
        <v>704</v>
      </c>
      <c r="C67" s="84" t="s">
        <v>2017</v>
      </c>
      <c r="D67" s="121">
        <v>77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3" t="e">
        <f t="shared" si="3"/>
        <v>#DIV/0!</v>
      </c>
      <c r="R67" s="153" t="e">
        <f t="shared" si="4"/>
        <v>#DIV/0!</v>
      </c>
      <c r="S67" s="536" t="e">
        <f t="shared" si="5"/>
        <v>#DIV/0!</v>
      </c>
    </row>
    <row r="68" spans="1:16384" s="119" customFormat="1" ht="32.1" customHeight="1" x14ac:dyDescent="0.2">
      <c r="A68" s="84" t="s">
        <v>189</v>
      </c>
      <c r="B68" s="209" t="s">
        <v>17</v>
      </c>
      <c r="C68" s="84" t="s">
        <v>2018</v>
      </c>
      <c r="D68" s="121">
        <v>23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3" t="e">
        <f t="shared" si="3"/>
        <v>#DIV/0!</v>
      </c>
      <c r="R68" s="153" t="e">
        <f t="shared" si="4"/>
        <v>#DIV/0!</v>
      </c>
      <c r="S68" s="536" t="e">
        <f t="shared" si="5"/>
        <v>#DIV/0!</v>
      </c>
    </row>
    <row r="69" spans="1:16384" s="119" customFormat="1" ht="32.1" customHeight="1" x14ac:dyDescent="0.2">
      <c r="A69" s="345" t="s">
        <v>189</v>
      </c>
      <c r="B69" s="455" t="s">
        <v>72</v>
      </c>
      <c r="C69" s="455" t="s">
        <v>421</v>
      </c>
      <c r="D69" s="336">
        <v>600</v>
      </c>
      <c r="E69" s="456"/>
      <c r="F69" s="456"/>
      <c r="G69" s="456"/>
      <c r="H69" s="456"/>
      <c r="I69" s="456"/>
      <c r="J69" s="456"/>
      <c r="K69" s="456"/>
      <c r="L69" s="456"/>
      <c r="M69" s="456">
        <v>90.4</v>
      </c>
      <c r="N69" s="456"/>
      <c r="O69" s="456"/>
      <c r="P69" s="456"/>
      <c r="Q69" s="457">
        <f t="shared" si="3"/>
        <v>90.4</v>
      </c>
      <c r="R69" s="458" t="str">
        <f t="shared" si="4"/>
        <v>NO</v>
      </c>
      <c r="S69" s="537" t="str">
        <f t="shared" si="5"/>
        <v>Inviable Sanitariamente</v>
      </c>
    </row>
    <row r="70" spans="1:16384" s="234" customFormat="1" ht="32.1" customHeight="1" x14ac:dyDescent="0.2">
      <c r="A70" s="84" t="s">
        <v>189</v>
      </c>
      <c r="B70" s="100" t="s">
        <v>4367</v>
      </c>
      <c r="C70" s="100" t="s">
        <v>4368</v>
      </c>
      <c r="D70" s="116">
        <v>86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3" t="e">
        <f t="shared" si="3"/>
        <v>#DIV/0!</v>
      </c>
      <c r="R70" s="153" t="e">
        <f t="shared" si="4"/>
        <v>#DIV/0!</v>
      </c>
      <c r="S70" s="536" t="e">
        <f t="shared" si="5"/>
        <v>#DIV/0!</v>
      </c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  <c r="II70" s="119"/>
      <c r="IJ70" s="119"/>
      <c r="IK70" s="119"/>
      <c r="IL70" s="119"/>
      <c r="IM70" s="119"/>
      <c r="IN70" s="119"/>
      <c r="IO70" s="119"/>
      <c r="IP70" s="119"/>
      <c r="IQ70" s="119"/>
      <c r="IR70" s="119"/>
      <c r="IS70" s="119"/>
      <c r="IT70" s="119"/>
      <c r="IU70" s="119"/>
      <c r="IV70" s="119"/>
      <c r="IW70" s="119"/>
      <c r="IX70" s="119"/>
      <c r="IY70" s="119"/>
      <c r="IZ70" s="119"/>
      <c r="JA70" s="119"/>
      <c r="JB70" s="119"/>
      <c r="JC70" s="119"/>
      <c r="JD70" s="119"/>
      <c r="JE70" s="119"/>
      <c r="JF70" s="119"/>
      <c r="JG70" s="119"/>
      <c r="JH70" s="119"/>
      <c r="JI70" s="119"/>
      <c r="JJ70" s="119"/>
      <c r="JK70" s="119"/>
      <c r="JL70" s="119"/>
      <c r="JM70" s="119"/>
      <c r="JN70" s="119"/>
      <c r="JO70" s="119"/>
      <c r="JP70" s="119"/>
      <c r="JQ70" s="119"/>
      <c r="JR70" s="119"/>
      <c r="JS70" s="119"/>
      <c r="JT70" s="119"/>
      <c r="JU70" s="119"/>
      <c r="JV70" s="119"/>
      <c r="JW70" s="119"/>
      <c r="JX70" s="119"/>
      <c r="JY70" s="119"/>
      <c r="JZ70" s="119"/>
      <c r="KA70" s="119"/>
      <c r="KB70" s="119"/>
      <c r="KC70" s="119"/>
      <c r="KD70" s="119"/>
      <c r="KE70" s="119"/>
      <c r="KF70" s="119"/>
      <c r="KG70" s="119"/>
      <c r="KH70" s="119"/>
      <c r="KI70" s="119"/>
      <c r="KJ70" s="119"/>
      <c r="KK70" s="119"/>
      <c r="KL70" s="119"/>
      <c r="KM70" s="119"/>
      <c r="KN70" s="119"/>
      <c r="KO70" s="119"/>
      <c r="KP70" s="119"/>
      <c r="KQ70" s="119"/>
      <c r="KR70" s="119"/>
      <c r="KS70" s="119"/>
      <c r="KT70" s="119"/>
      <c r="KU70" s="119"/>
      <c r="KV70" s="119"/>
      <c r="KW70" s="119"/>
      <c r="KX70" s="119"/>
      <c r="KY70" s="119"/>
      <c r="KZ70" s="119"/>
      <c r="LA70" s="119"/>
      <c r="LB70" s="119"/>
      <c r="LC70" s="119"/>
      <c r="LD70" s="119"/>
      <c r="LE70" s="119"/>
      <c r="LF70" s="119"/>
      <c r="LG70" s="119"/>
      <c r="LH70" s="119"/>
      <c r="LI70" s="119"/>
      <c r="LJ70" s="119"/>
      <c r="LK70" s="119"/>
      <c r="LL70" s="119"/>
      <c r="LM70" s="119"/>
      <c r="LN70" s="119"/>
      <c r="LO70" s="119"/>
      <c r="LP70" s="119"/>
      <c r="LQ70" s="119"/>
      <c r="LR70" s="119"/>
      <c r="LS70" s="119"/>
      <c r="LT70" s="119"/>
      <c r="LU70" s="119"/>
      <c r="LV70" s="119"/>
      <c r="LW70" s="119"/>
      <c r="LX70" s="119"/>
      <c r="LY70" s="119"/>
      <c r="LZ70" s="119"/>
      <c r="MA70" s="119"/>
      <c r="MB70" s="119"/>
      <c r="MC70" s="119"/>
      <c r="MD70" s="119"/>
      <c r="ME70" s="119"/>
      <c r="MF70" s="119"/>
      <c r="MG70" s="119"/>
      <c r="MH70" s="119"/>
      <c r="MI70" s="119"/>
      <c r="MJ70" s="119"/>
      <c r="MK70" s="119"/>
      <c r="ML70" s="119"/>
      <c r="MM70" s="119"/>
      <c r="MN70" s="119"/>
      <c r="MO70" s="119"/>
      <c r="MP70" s="119"/>
      <c r="MQ70" s="119"/>
      <c r="MR70" s="119"/>
      <c r="MS70" s="119"/>
      <c r="MT70" s="119"/>
      <c r="MU70" s="119"/>
      <c r="MV70" s="119"/>
      <c r="MW70" s="119"/>
      <c r="MX70" s="119"/>
      <c r="MY70" s="119"/>
      <c r="MZ70" s="119"/>
      <c r="NA70" s="119"/>
      <c r="NB70" s="119"/>
      <c r="NC70" s="119"/>
      <c r="ND70" s="119"/>
      <c r="NE70" s="119"/>
      <c r="NF70" s="119"/>
      <c r="NG70" s="119"/>
      <c r="NH70" s="119"/>
      <c r="NI70" s="119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19"/>
      <c r="NX70" s="119"/>
      <c r="NY70" s="119"/>
      <c r="NZ70" s="119"/>
      <c r="OA70" s="119"/>
      <c r="OB70" s="119"/>
      <c r="OC70" s="119"/>
      <c r="OD70" s="119"/>
      <c r="OE70" s="119"/>
      <c r="OF70" s="119"/>
      <c r="OG70" s="119"/>
      <c r="OH70" s="119"/>
      <c r="OI70" s="119"/>
      <c r="OJ70" s="119"/>
      <c r="OK70" s="119"/>
      <c r="OL70" s="119"/>
      <c r="OM70" s="119"/>
      <c r="ON70" s="119"/>
      <c r="OO70" s="119"/>
      <c r="OP70" s="119"/>
      <c r="OQ70" s="119"/>
      <c r="OR70" s="119"/>
      <c r="OS70" s="119"/>
      <c r="OT70" s="119"/>
      <c r="OU70" s="119"/>
      <c r="OV70" s="119"/>
      <c r="OW70" s="119"/>
      <c r="OX70" s="119"/>
      <c r="OY70" s="119"/>
      <c r="OZ70" s="119"/>
      <c r="PA70" s="119"/>
      <c r="PB70" s="119"/>
      <c r="PC70" s="119"/>
      <c r="PD70" s="119"/>
      <c r="PE70" s="119"/>
      <c r="PF70" s="119"/>
      <c r="PG70" s="119"/>
      <c r="PH70" s="119"/>
      <c r="PI70" s="119"/>
      <c r="PJ70" s="119"/>
      <c r="PK70" s="119"/>
      <c r="PL70" s="119"/>
      <c r="PM70" s="119"/>
      <c r="PN70" s="119"/>
      <c r="PO70" s="119"/>
      <c r="PP70" s="119"/>
      <c r="PQ70" s="119"/>
      <c r="PR70" s="119"/>
      <c r="PS70" s="119"/>
      <c r="PT70" s="119"/>
      <c r="PU70" s="119"/>
      <c r="PV70" s="119"/>
      <c r="PW70" s="119"/>
      <c r="PX70" s="119"/>
      <c r="PY70" s="119"/>
      <c r="PZ70" s="119"/>
      <c r="QA70" s="119"/>
      <c r="QB70" s="119"/>
      <c r="QC70" s="119"/>
      <c r="QD70" s="119"/>
      <c r="QE70" s="119"/>
      <c r="QF70" s="119"/>
      <c r="QG70" s="119"/>
      <c r="QH70" s="119"/>
      <c r="QI70" s="119"/>
      <c r="QJ70" s="119"/>
      <c r="QK70" s="119"/>
      <c r="QL70" s="119"/>
      <c r="QM70" s="119"/>
      <c r="QN70" s="119"/>
      <c r="QO70" s="119"/>
      <c r="QP70" s="119"/>
      <c r="QQ70" s="119"/>
      <c r="QR70" s="119"/>
      <c r="QS70" s="119"/>
      <c r="QT70" s="119"/>
      <c r="QU70" s="119"/>
      <c r="QV70" s="119"/>
      <c r="QW70" s="119"/>
      <c r="QX70" s="119"/>
      <c r="QY70" s="119"/>
      <c r="QZ70" s="119"/>
      <c r="RA70" s="119"/>
      <c r="RB70" s="119"/>
      <c r="RC70" s="119"/>
      <c r="RD70" s="119"/>
      <c r="RE70" s="119"/>
      <c r="RF70" s="119"/>
      <c r="RG70" s="119"/>
      <c r="RH70" s="119"/>
      <c r="RI70" s="119"/>
      <c r="RJ70" s="119"/>
      <c r="RK70" s="119"/>
      <c r="RL70" s="119"/>
      <c r="RM70" s="119"/>
      <c r="RN70" s="119"/>
      <c r="RO70" s="119"/>
      <c r="RP70" s="119"/>
      <c r="RQ70" s="119"/>
      <c r="RR70" s="119"/>
      <c r="RS70" s="119"/>
      <c r="RT70" s="119"/>
      <c r="RU70" s="119"/>
      <c r="RV70" s="119"/>
      <c r="RW70" s="119"/>
      <c r="RX70" s="119"/>
      <c r="RY70" s="119"/>
      <c r="RZ70" s="119"/>
      <c r="SA70" s="119"/>
      <c r="SB70" s="119"/>
      <c r="SC70" s="119"/>
      <c r="SD70" s="119"/>
      <c r="SE70" s="119"/>
      <c r="SF70" s="119"/>
      <c r="SG70" s="119"/>
      <c r="SH70" s="119"/>
      <c r="SI70" s="119"/>
      <c r="SJ70" s="119"/>
      <c r="SK70" s="119"/>
      <c r="SL70" s="119"/>
      <c r="SM70" s="119"/>
      <c r="SN70" s="119"/>
      <c r="SO70" s="119"/>
      <c r="SP70" s="119"/>
      <c r="SQ70" s="119"/>
      <c r="SR70" s="119"/>
      <c r="SS70" s="119"/>
      <c r="ST70" s="119"/>
      <c r="SU70" s="119"/>
      <c r="SV70" s="119"/>
      <c r="SW70" s="119"/>
      <c r="SX70" s="119"/>
      <c r="SY70" s="119"/>
      <c r="SZ70" s="119"/>
      <c r="TA70" s="119"/>
      <c r="TB70" s="119"/>
      <c r="TC70" s="119"/>
      <c r="TD70" s="119"/>
      <c r="TE70" s="119"/>
      <c r="TF70" s="119"/>
      <c r="TG70" s="119"/>
      <c r="TH70" s="119"/>
      <c r="TI70" s="119"/>
      <c r="TJ70" s="119"/>
      <c r="TK70" s="119"/>
      <c r="TL70" s="119"/>
      <c r="TM70" s="119"/>
      <c r="TN70" s="119"/>
      <c r="TO70" s="119"/>
      <c r="TP70" s="119"/>
      <c r="TQ70" s="119"/>
      <c r="TR70" s="119"/>
      <c r="TS70" s="119"/>
      <c r="TT70" s="119"/>
      <c r="TU70" s="119"/>
      <c r="TV70" s="119"/>
      <c r="TW70" s="119"/>
      <c r="TX70" s="119"/>
      <c r="TY70" s="119"/>
      <c r="TZ70" s="119"/>
      <c r="UA70" s="119"/>
      <c r="UB70" s="119"/>
      <c r="UC70" s="119"/>
      <c r="UD70" s="119"/>
      <c r="UE70" s="119"/>
      <c r="UF70" s="119"/>
      <c r="UG70" s="119"/>
      <c r="UH70" s="119"/>
      <c r="UI70" s="119"/>
      <c r="UJ70" s="119"/>
      <c r="UK70" s="119"/>
      <c r="UL70" s="119"/>
      <c r="UM70" s="119"/>
      <c r="UN70" s="119"/>
      <c r="UO70" s="119"/>
      <c r="UP70" s="119"/>
      <c r="UQ70" s="119"/>
      <c r="UR70" s="119"/>
      <c r="US70" s="119"/>
      <c r="UT70" s="119"/>
      <c r="UU70" s="119"/>
      <c r="UV70" s="119"/>
      <c r="UW70" s="119"/>
      <c r="UX70" s="119"/>
      <c r="UY70" s="119"/>
      <c r="UZ70" s="119"/>
      <c r="VA70" s="119"/>
      <c r="VB70" s="119"/>
      <c r="VC70" s="119"/>
      <c r="VD70" s="119"/>
      <c r="VE70" s="119"/>
      <c r="VF70" s="119"/>
      <c r="VG70" s="119"/>
      <c r="VH70" s="119"/>
      <c r="VI70" s="119"/>
      <c r="VJ70" s="119"/>
      <c r="VK70" s="119"/>
      <c r="VL70" s="119"/>
      <c r="VM70" s="119"/>
      <c r="VN70" s="119"/>
      <c r="VO70" s="119"/>
      <c r="VP70" s="119"/>
      <c r="VQ70" s="119"/>
      <c r="VR70" s="119"/>
      <c r="VS70" s="119"/>
      <c r="VT70" s="119"/>
      <c r="VU70" s="119"/>
      <c r="VV70" s="119"/>
      <c r="VW70" s="119"/>
      <c r="VX70" s="119"/>
      <c r="VY70" s="119"/>
      <c r="VZ70" s="119"/>
      <c r="WA70" s="119"/>
      <c r="WB70" s="119"/>
      <c r="WC70" s="119"/>
      <c r="WD70" s="119"/>
      <c r="WE70" s="119"/>
      <c r="WF70" s="119"/>
      <c r="WG70" s="119"/>
      <c r="WH70" s="119"/>
      <c r="WI70" s="119"/>
      <c r="WJ70" s="119"/>
      <c r="WK70" s="119"/>
      <c r="WL70" s="119"/>
      <c r="WM70" s="119"/>
      <c r="WN70" s="119"/>
      <c r="WO70" s="119"/>
      <c r="WP70" s="119"/>
      <c r="WQ70" s="119"/>
      <c r="WR70" s="119"/>
      <c r="WS70" s="119"/>
      <c r="WT70" s="119"/>
      <c r="WU70" s="119"/>
      <c r="WV70" s="119"/>
      <c r="WW70" s="119"/>
      <c r="WX70" s="119"/>
      <c r="WY70" s="119"/>
      <c r="WZ70" s="119"/>
      <c r="XA70" s="119"/>
      <c r="XB70" s="119"/>
      <c r="XC70" s="119"/>
      <c r="XD70" s="119"/>
      <c r="XE70" s="119"/>
      <c r="XF70" s="119"/>
      <c r="XG70" s="119"/>
      <c r="XH70" s="119"/>
      <c r="XI70" s="119"/>
      <c r="XJ70" s="119"/>
      <c r="XK70" s="119"/>
      <c r="XL70" s="119"/>
      <c r="XM70" s="119"/>
      <c r="XN70" s="119"/>
      <c r="XO70" s="119"/>
      <c r="XP70" s="119"/>
      <c r="XQ70" s="119"/>
      <c r="XR70" s="119"/>
      <c r="XS70" s="119"/>
      <c r="XT70" s="119"/>
      <c r="XU70" s="119"/>
      <c r="XV70" s="119"/>
      <c r="XW70" s="119"/>
      <c r="XX70" s="119"/>
      <c r="XY70" s="119"/>
      <c r="XZ70" s="119"/>
      <c r="YA70" s="119"/>
      <c r="YB70" s="119"/>
      <c r="YC70" s="119"/>
      <c r="YD70" s="119"/>
      <c r="YE70" s="119"/>
      <c r="YF70" s="119"/>
      <c r="YG70" s="119"/>
      <c r="YH70" s="119"/>
      <c r="YI70" s="119"/>
      <c r="YJ70" s="119"/>
      <c r="YK70" s="119"/>
      <c r="YL70" s="119"/>
      <c r="YM70" s="119"/>
      <c r="YN70" s="119"/>
      <c r="YO70" s="119"/>
      <c r="YP70" s="119"/>
      <c r="YQ70" s="119"/>
      <c r="YR70" s="119"/>
      <c r="YS70" s="119"/>
      <c r="YT70" s="119"/>
      <c r="YU70" s="119"/>
      <c r="YV70" s="119"/>
      <c r="YW70" s="119"/>
      <c r="YX70" s="119"/>
      <c r="YY70" s="119"/>
      <c r="YZ70" s="119"/>
      <c r="ZA70" s="119"/>
      <c r="ZB70" s="119"/>
      <c r="ZC70" s="119"/>
      <c r="ZD70" s="119"/>
      <c r="ZE70" s="119"/>
      <c r="ZF70" s="119"/>
      <c r="ZG70" s="119"/>
      <c r="ZH70" s="119"/>
      <c r="ZI70" s="119"/>
      <c r="ZJ70" s="119"/>
      <c r="ZK70" s="119"/>
      <c r="ZL70" s="119"/>
      <c r="ZM70" s="119"/>
      <c r="ZN70" s="119"/>
      <c r="ZO70" s="119"/>
      <c r="ZP70" s="119"/>
      <c r="ZQ70" s="119"/>
      <c r="ZR70" s="119"/>
      <c r="ZS70" s="119"/>
      <c r="ZT70" s="119"/>
      <c r="ZU70" s="119"/>
      <c r="ZV70" s="119"/>
      <c r="ZW70" s="119"/>
      <c r="ZX70" s="119"/>
      <c r="ZY70" s="119"/>
      <c r="ZZ70" s="119"/>
      <c r="AAA70" s="119"/>
      <c r="AAB70" s="119"/>
      <c r="AAC70" s="119"/>
      <c r="AAD70" s="119"/>
      <c r="AAE70" s="119"/>
      <c r="AAF70" s="119"/>
      <c r="AAG70" s="119"/>
      <c r="AAH70" s="119"/>
      <c r="AAI70" s="119"/>
      <c r="AAJ70" s="119"/>
      <c r="AAK70" s="119"/>
      <c r="AAL70" s="119"/>
      <c r="AAM70" s="119"/>
      <c r="AAN70" s="119"/>
      <c r="AAO70" s="119"/>
      <c r="AAP70" s="119"/>
      <c r="AAQ70" s="119"/>
      <c r="AAR70" s="119"/>
      <c r="AAS70" s="119"/>
      <c r="AAT70" s="119"/>
      <c r="AAU70" s="119"/>
      <c r="AAV70" s="119"/>
      <c r="AAW70" s="119"/>
      <c r="AAX70" s="119"/>
      <c r="AAY70" s="119"/>
      <c r="AAZ70" s="119"/>
      <c r="ABA70" s="119"/>
      <c r="ABB70" s="119"/>
      <c r="ABC70" s="119"/>
      <c r="ABD70" s="119"/>
      <c r="ABE70" s="119"/>
      <c r="ABF70" s="119"/>
      <c r="ABG70" s="119"/>
      <c r="ABH70" s="119"/>
      <c r="ABI70" s="119"/>
      <c r="ABJ70" s="119"/>
      <c r="ABK70" s="119"/>
      <c r="ABL70" s="119"/>
      <c r="ABM70" s="119"/>
      <c r="ABN70" s="119"/>
      <c r="ABO70" s="119"/>
      <c r="ABP70" s="119"/>
      <c r="ABQ70" s="119"/>
      <c r="ABR70" s="119"/>
      <c r="ABS70" s="119"/>
      <c r="ABT70" s="119"/>
      <c r="ABU70" s="119"/>
      <c r="ABV70" s="119"/>
      <c r="ABW70" s="119"/>
      <c r="ABX70" s="119"/>
      <c r="ABY70" s="119"/>
      <c r="ABZ70" s="119"/>
      <c r="ACA70" s="119"/>
      <c r="ACB70" s="119"/>
      <c r="ACC70" s="119"/>
      <c r="ACD70" s="119"/>
      <c r="ACE70" s="119"/>
      <c r="ACF70" s="119"/>
      <c r="ACG70" s="119"/>
      <c r="ACH70" s="119"/>
      <c r="ACI70" s="119"/>
      <c r="ACJ70" s="119"/>
      <c r="ACK70" s="119"/>
      <c r="ACL70" s="119"/>
      <c r="ACM70" s="119"/>
      <c r="ACN70" s="119"/>
      <c r="ACO70" s="119"/>
      <c r="ACP70" s="119"/>
      <c r="ACQ70" s="119"/>
      <c r="ACR70" s="119"/>
      <c r="ACS70" s="119"/>
      <c r="ACT70" s="119"/>
      <c r="ACU70" s="119"/>
      <c r="ACV70" s="119"/>
      <c r="ACW70" s="119"/>
      <c r="ACX70" s="119"/>
      <c r="ACY70" s="119"/>
      <c r="ACZ70" s="119"/>
      <c r="ADA70" s="119"/>
      <c r="ADB70" s="119"/>
      <c r="ADC70" s="119"/>
      <c r="ADD70" s="119"/>
      <c r="ADE70" s="119"/>
      <c r="ADF70" s="119"/>
      <c r="ADG70" s="119"/>
      <c r="ADH70" s="119"/>
      <c r="ADI70" s="119"/>
      <c r="ADJ70" s="119"/>
      <c r="ADK70" s="119"/>
      <c r="ADL70" s="119"/>
      <c r="ADM70" s="119"/>
      <c r="ADN70" s="119"/>
      <c r="ADO70" s="119"/>
      <c r="ADP70" s="119"/>
      <c r="ADQ70" s="119"/>
      <c r="ADR70" s="119"/>
      <c r="ADS70" s="119"/>
      <c r="ADT70" s="119"/>
      <c r="ADU70" s="119"/>
      <c r="ADV70" s="119"/>
      <c r="ADW70" s="119"/>
      <c r="ADX70" s="119"/>
      <c r="ADY70" s="119"/>
      <c r="ADZ70" s="119"/>
      <c r="AEA70" s="119"/>
      <c r="AEB70" s="119"/>
      <c r="AEC70" s="119"/>
      <c r="AED70" s="119"/>
      <c r="AEE70" s="119"/>
      <c r="AEF70" s="119"/>
      <c r="AEG70" s="119"/>
      <c r="AEH70" s="119"/>
      <c r="AEI70" s="119"/>
      <c r="AEJ70" s="119"/>
      <c r="AEK70" s="119"/>
      <c r="AEL70" s="119"/>
      <c r="AEM70" s="119"/>
      <c r="AEN70" s="119"/>
      <c r="AEO70" s="119"/>
      <c r="AEP70" s="119"/>
      <c r="AEQ70" s="119"/>
      <c r="AER70" s="119"/>
      <c r="AES70" s="119"/>
      <c r="AET70" s="119"/>
      <c r="AEU70" s="119"/>
      <c r="AEV70" s="119"/>
      <c r="AEW70" s="119"/>
      <c r="AEX70" s="119"/>
      <c r="AEY70" s="119"/>
      <c r="AEZ70" s="119"/>
      <c r="AFA70" s="119"/>
      <c r="AFB70" s="119"/>
      <c r="AFC70" s="119"/>
      <c r="AFD70" s="119"/>
      <c r="AFE70" s="119"/>
      <c r="AFF70" s="119"/>
      <c r="AFG70" s="119"/>
      <c r="AFH70" s="119"/>
      <c r="AFI70" s="119"/>
      <c r="AFJ70" s="119"/>
      <c r="AFK70" s="119"/>
      <c r="AFL70" s="119"/>
      <c r="AFM70" s="119"/>
      <c r="AFN70" s="119"/>
      <c r="AFO70" s="119"/>
      <c r="AFP70" s="119"/>
      <c r="AFQ70" s="119"/>
      <c r="AFR70" s="119"/>
      <c r="AFS70" s="119"/>
      <c r="AFT70" s="119"/>
      <c r="AFU70" s="119"/>
      <c r="AFV70" s="119"/>
      <c r="AFW70" s="119"/>
      <c r="AFX70" s="119"/>
      <c r="AFY70" s="119"/>
      <c r="AFZ70" s="119"/>
      <c r="AGA70" s="119"/>
      <c r="AGB70" s="119"/>
      <c r="AGC70" s="119"/>
      <c r="AGD70" s="119"/>
      <c r="AGE70" s="119"/>
      <c r="AGF70" s="119"/>
      <c r="AGG70" s="119"/>
      <c r="AGH70" s="119"/>
      <c r="AGI70" s="119"/>
      <c r="AGJ70" s="119"/>
      <c r="AGK70" s="119"/>
      <c r="AGL70" s="119"/>
      <c r="AGM70" s="119"/>
      <c r="AGN70" s="119"/>
      <c r="AGO70" s="119"/>
      <c r="AGP70" s="119"/>
      <c r="AGQ70" s="119"/>
      <c r="AGR70" s="119"/>
      <c r="AGS70" s="119"/>
      <c r="AGT70" s="119"/>
      <c r="AGU70" s="119"/>
      <c r="AGV70" s="119"/>
      <c r="AGW70" s="119"/>
      <c r="AGX70" s="119"/>
      <c r="AGY70" s="119"/>
      <c r="AGZ70" s="119"/>
      <c r="AHA70" s="119"/>
      <c r="AHB70" s="119"/>
      <c r="AHC70" s="119"/>
      <c r="AHD70" s="119"/>
      <c r="AHE70" s="119"/>
      <c r="AHF70" s="119"/>
      <c r="AHG70" s="119"/>
      <c r="AHH70" s="119"/>
      <c r="AHI70" s="119"/>
      <c r="AHJ70" s="119"/>
      <c r="AHK70" s="119"/>
      <c r="AHL70" s="119"/>
      <c r="AHM70" s="119"/>
      <c r="AHN70" s="119"/>
      <c r="AHO70" s="119"/>
      <c r="AHP70" s="119"/>
      <c r="AHQ70" s="119"/>
      <c r="AHR70" s="119"/>
      <c r="AHS70" s="119"/>
      <c r="AHT70" s="119"/>
      <c r="AHU70" s="119"/>
      <c r="AHV70" s="119"/>
      <c r="AHW70" s="119"/>
      <c r="AHX70" s="119"/>
      <c r="AHY70" s="119"/>
      <c r="AHZ70" s="119"/>
      <c r="AIA70" s="119"/>
      <c r="AIB70" s="119"/>
      <c r="AIC70" s="119"/>
      <c r="AID70" s="119"/>
      <c r="AIE70" s="119"/>
      <c r="AIF70" s="119"/>
      <c r="AIG70" s="119"/>
      <c r="AIH70" s="119"/>
      <c r="AII70" s="119"/>
      <c r="AIJ70" s="119"/>
      <c r="AIK70" s="119"/>
      <c r="AIL70" s="119"/>
      <c r="AIM70" s="119"/>
      <c r="AIN70" s="119"/>
      <c r="AIO70" s="119"/>
      <c r="AIP70" s="119"/>
      <c r="AIQ70" s="119"/>
      <c r="AIR70" s="119"/>
      <c r="AIS70" s="119"/>
      <c r="AIT70" s="119"/>
      <c r="AIU70" s="119"/>
      <c r="AIV70" s="119"/>
      <c r="AIW70" s="119"/>
      <c r="AIX70" s="119"/>
      <c r="AIY70" s="119"/>
      <c r="AIZ70" s="119"/>
      <c r="AJA70" s="119"/>
      <c r="AJB70" s="119"/>
      <c r="AJC70" s="119"/>
      <c r="AJD70" s="119"/>
      <c r="AJE70" s="119"/>
      <c r="AJF70" s="119"/>
      <c r="AJG70" s="119"/>
      <c r="AJH70" s="119"/>
      <c r="AJI70" s="119"/>
      <c r="AJJ70" s="119"/>
      <c r="AJK70" s="119"/>
      <c r="AJL70" s="119"/>
      <c r="AJM70" s="119"/>
      <c r="AJN70" s="119"/>
      <c r="AJO70" s="119"/>
      <c r="AJP70" s="119"/>
      <c r="AJQ70" s="119"/>
      <c r="AJR70" s="119"/>
      <c r="AJS70" s="119"/>
      <c r="AJT70" s="119"/>
      <c r="AJU70" s="119"/>
      <c r="AJV70" s="119"/>
      <c r="AJW70" s="119"/>
      <c r="AJX70" s="119"/>
      <c r="AJY70" s="119"/>
      <c r="AJZ70" s="119"/>
      <c r="AKA70" s="119"/>
      <c r="AKB70" s="119"/>
      <c r="AKC70" s="119"/>
      <c r="AKD70" s="119"/>
      <c r="AKE70" s="119"/>
      <c r="AKF70" s="119"/>
      <c r="AKG70" s="119"/>
      <c r="AKH70" s="119"/>
      <c r="AKI70" s="119"/>
      <c r="AKJ70" s="119"/>
      <c r="AKK70" s="119"/>
      <c r="AKL70" s="119"/>
      <c r="AKM70" s="119"/>
      <c r="AKN70" s="119"/>
      <c r="AKO70" s="119"/>
      <c r="AKP70" s="119"/>
      <c r="AKQ70" s="119"/>
      <c r="AKR70" s="119"/>
      <c r="AKS70" s="119"/>
      <c r="AKT70" s="119"/>
      <c r="AKU70" s="119"/>
      <c r="AKV70" s="119"/>
      <c r="AKW70" s="119"/>
      <c r="AKX70" s="119"/>
      <c r="AKY70" s="119"/>
      <c r="AKZ70" s="119"/>
      <c r="ALA70" s="119"/>
      <c r="ALB70" s="119"/>
      <c r="ALC70" s="119"/>
      <c r="ALD70" s="119"/>
      <c r="ALE70" s="119"/>
      <c r="ALF70" s="119"/>
      <c r="ALG70" s="119"/>
      <c r="ALH70" s="119"/>
      <c r="ALI70" s="119"/>
      <c r="ALJ70" s="119"/>
      <c r="ALK70" s="119"/>
      <c r="ALL70" s="119"/>
      <c r="ALM70" s="119"/>
      <c r="ALN70" s="119"/>
      <c r="ALO70" s="119"/>
      <c r="ALP70" s="119"/>
      <c r="ALQ70" s="119"/>
      <c r="ALR70" s="119"/>
      <c r="ALS70" s="119"/>
      <c r="ALT70" s="119"/>
      <c r="ALU70" s="119"/>
      <c r="ALV70" s="119"/>
      <c r="ALW70" s="119"/>
      <c r="ALX70" s="119"/>
      <c r="ALY70" s="119"/>
      <c r="ALZ70" s="119"/>
      <c r="AMA70" s="119"/>
      <c r="AMB70" s="119"/>
      <c r="AMC70" s="119"/>
      <c r="AMD70" s="119"/>
      <c r="AME70" s="119"/>
      <c r="AMF70" s="119"/>
      <c r="AMG70" s="119"/>
      <c r="AMH70" s="119"/>
      <c r="AMI70" s="119"/>
      <c r="AMJ70" s="119"/>
      <c r="AMK70" s="119"/>
      <c r="AML70" s="119"/>
      <c r="AMM70" s="119"/>
      <c r="AMN70" s="119"/>
      <c r="AMO70" s="119"/>
      <c r="AMP70" s="119"/>
      <c r="AMQ70" s="119"/>
      <c r="AMR70" s="119"/>
      <c r="AMS70" s="119"/>
      <c r="AMT70" s="119"/>
      <c r="AMU70" s="119"/>
      <c r="AMV70" s="119"/>
      <c r="AMW70" s="119"/>
      <c r="AMX70" s="119"/>
      <c r="AMY70" s="119"/>
      <c r="AMZ70" s="119"/>
      <c r="ANA70" s="119"/>
      <c r="ANB70" s="119"/>
      <c r="ANC70" s="119"/>
      <c r="AND70" s="119"/>
      <c r="ANE70" s="119"/>
      <c r="ANF70" s="119"/>
      <c r="ANG70" s="119"/>
      <c r="ANH70" s="119"/>
      <c r="ANI70" s="119"/>
      <c r="ANJ70" s="119"/>
      <c r="ANK70" s="119"/>
      <c r="ANL70" s="119"/>
      <c r="ANM70" s="119"/>
      <c r="ANN70" s="119"/>
      <c r="ANO70" s="119"/>
      <c r="ANP70" s="119"/>
      <c r="ANQ70" s="119"/>
      <c r="ANR70" s="119"/>
      <c r="ANS70" s="119"/>
      <c r="ANT70" s="119"/>
      <c r="ANU70" s="119"/>
      <c r="ANV70" s="119"/>
      <c r="ANW70" s="119"/>
      <c r="ANX70" s="119"/>
      <c r="ANY70" s="119"/>
      <c r="ANZ70" s="119"/>
      <c r="AOA70" s="119"/>
      <c r="AOB70" s="119"/>
      <c r="AOC70" s="119"/>
      <c r="AOD70" s="119"/>
      <c r="AOE70" s="119"/>
      <c r="AOF70" s="119"/>
      <c r="AOG70" s="119"/>
      <c r="AOH70" s="119"/>
      <c r="AOI70" s="119"/>
      <c r="AOJ70" s="119"/>
      <c r="AOK70" s="119"/>
      <c r="AOL70" s="119"/>
      <c r="AOM70" s="119"/>
      <c r="AON70" s="119"/>
      <c r="AOO70" s="119"/>
      <c r="AOP70" s="119"/>
      <c r="AOQ70" s="119"/>
      <c r="AOR70" s="119"/>
      <c r="AOS70" s="119"/>
      <c r="AOT70" s="119"/>
      <c r="AOU70" s="119"/>
      <c r="AOV70" s="119"/>
      <c r="AOW70" s="119"/>
      <c r="AOX70" s="119"/>
      <c r="AOY70" s="119"/>
      <c r="AOZ70" s="119"/>
      <c r="APA70" s="119"/>
      <c r="APB70" s="119"/>
      <c r="APC70" s="119"/>
      <c r="APD70" s="119"/>
      <c r="APE70" s="119"/>
      <c r="APF70" s="119"/>
      <c r="APG70" s="119"/>
      <c r="APH70" s="119"/>
      <c r="API70" s="119"/>
      <c r="APJ70" s="119"/>
      <c r="APK70" s="119"/>
      <c r="APL70" s="119"/>
      <c r="APM70" s="119"/>
      <c r="APN70" s="119"/>
      <c r="APO70" s="119"/>
      <c r="APP70" s="119"/>
      <c r="APQ70" s="119"/>
      <c r="APR70" s="119"/>
      <c r="APS70" s="119"/>
      <c r="APT70" s="119"/>
      <c r="APU70" s="119"/>
      <c r="APV70" s="119"/>
      <c r="APW70" s="119"/>
      <c r="APX70" s="119"/>
      <c r="APY70" s="119"/>
      <c r="APZ70" s="119"/>
      <c r="AQA70" s="119"/>
      <c r="AQB70" s="119"/>
      <c r="AQC70" s="119"/>
      <c r="AQD70" s="119"/>
      <c r="AQE70" s="119"/>
      <c r="AQF70" s="119"/>
      <c r="AQG70" s="119"/>
      <c r="AQH70" s="119"/>
      <c r="AQI70" s="119"/>
      <c r="AQJ70" s="119"/>
      <c r="AQK70" s="119"/>
      <c r="AQL70" s="119"/>
      <c r="AQM70" s="119"/>
      <c r="AQN70" s="119"/>
      <c r="AQO70" s="119"/>
      <c r="AQP70" s="119"/>
      <c r="AQQ70" s="119"/>
      <c r="AQR70" s="119"/>
      <c r="AQS70" s="119"/>
      <c r="AQT70" s="119"/>
      <c r="AQU70" s="119"/>
      <c r="AQV70" s="119"/>
      <c r="AQW70" s="119"/>
      <c r="AQX70" s="119"/>
      <c r="AQY70" s="119"/>
      <c r="AQZ70" s="119"/>
      <c r="ARA70" s="119"/>
      <c r="ARB70" s="119"/>
      <c r="ARC70" s="119"/>
      <c r="ARD70" s="119"/>
      <c r="ARE70" s="119"/>
      <c r="ARF70" s="119"/>
      <c r="ARG70" s="119"/>
      <c r="ARH70" s="119"/>
      <c r="ARI70" s="119"/>
      <c r="ARJ70" s="119"/>
      <c r="ARK70" s="119"/>
      <c r="ARL70" s="119"/>
      <c r="ARM70" s="119"/>
      <c r="ARN70" s="119"/>
      <c r="ARO70" s="119"/>
      <c r="ARP70" s="119"/>
      <c r="ARQ70" s="119"/>
      <c r="ARR70" s="119"/>
      <c r="ARS70" s="119"/>
      <c r="ART70" s="119"/>
      <c r="ARU70" s="119"/>
      <c r="ARV70" s="119"/>
      <c r="ARW70" s="119"/>
      <c r="ARX70" s="119"/>
      <c r="ARY70" s="119"/>
      <c r="ARZ70" s="119"/>
      <c r="ASA70" s="119"/>
      <c r="ASB70" s="119"/>
      <c r="ASC70" s="119"/>
      <c r="ASD70" s="119"/>
      <c r="ASE70" s="119"/>
      <c r="ASF70" s="119"/>
      <c r="ASG70" s="119"/>
      <c r="ASH70" s="119"/>
      <c r="ASI70" s="119"/>
      <c r="ASJ70" s="119"/>
      <c r="ASK70" s="119"/>
      <c r="ASL70" s="119"/>
      <c r="ASM70" s="119"/>
      <c r="ASN70" s="119"/>
      <c r="ASO70" s="119"/>
      <c r="ASP70" s="119"/>
      <c r="ASQ70" s="119"/>
      <c r="ASR70" s="119"/>
      <c r="ASS70" s="119"/>
      <c r="AST70" s="119"/>
      <c r="ASU70" s="119"/>
      <c r="ASV70" s="119"/>
      <c r="ASW70" s="119"/>
      <c r="ASX70" s="119"/>
      <c r="ASY70" s="119"/>
      <c r="ASZ70" s="119"/>
      <c r="ATA70" s="119"/>
      <c r="ATB70" s="119"/>
      <c r="ATC70" s="119"/>
      <c r="ATD70" s="119"/>
      <c r="ATE70" s="119"/>
      <c r="ATF70" s="119"/>
      <c r="ATG70" s="119"/>
      <c r="ATH70" s="119"/>
      <c r="ATI70" s="119"/>
      <c r="ATJ70" s="119"/>
      <c r="ATK70" s="119"/>
      <c r="ATL70" s="119"/>
      <c r="ATM70" s="119"/>
      <c r="ATN70" s="119"/>
      <c r="ATO70" s="119"/>
      <c r="ATP70" s="119"/>
      <c r="ATQ70" s="119"/>
      <c r="ATR70" s="119"/>
      <c r="ATS70" s="119"/>
      <c r="ATT70" s="119"/>
      <c r="ATU70" s="119"/>
      <c r="ATV70" s="119"/>
      <c r="ATW70" s="119"/>
      <c r="ATX70" s="119"/>
      <c r="ATY70" s="119"/>
      <c r="ATZ70" s="119"/>
      <c r="AUA70" s="119"/>
      <c r="AUB70" s="119"/>
      <c r="AUC70" s="119"/>
      <c r="AUD70" s="119"/>
      <c r="AUE70" s="119"/>
      <c r="AUF70" s="119"/>
      <c r="AUG70" s="119"/>
      <c r="AUH70" s="119"/>
      <c r="AUI70" s="119"/>
      <c r="AUJ70" s="119"/>
      <c r="AUK70" s="119"/>
      <c r="AUL70" s="119"/>
      <c r="AUM70" s="119"/>
      <c r="AUN70" s="119"/>
      <c r="AUO70" s="119"/>
      <c r="AUP70" s="119"/>
      <c r="AUQ70" s="119"/>
      <c r="AUR70" s="119"/>
      <c r="AUS70" s="119"/>
      <c r="AUT70" s="119"/>
      <c r="AUU70" s="119"/>
      <c r="AUV70" s="119"/>
      <c r="AUW70" s="119"/>
      <c r="AUX70" s="119"/>
      <c r="AUY70" s="119"/>
      <c r="AUZ70" s="119"/>
      <c r="AVA70" s="119"/>
      <c r="AVB70" s="119"/>
      <c r="AVC70" s="119"/>
      <c r="AVD70" s="119"/>
      <c r="AVE70" s="119"/>
      <c r="AVF70" s="119"/>
      <c r="AVG70" s="119"/>
      <c r="AVH70" s="119"/>
      <c r="AVI70" s="119"/>
      <c r="AVJ70" s="119"/>
      <c r="AVK70" s="119"/>
      <c r="AVL70" s="119"/>
      <c r="AVM70" s="119"/>
      <c r="AVN70" s="119"/>
      <c r="AVO70" s="119"/>
      <c r="AVP70" s="119"/>
      <c r="AVQ70" s="119"/>
      <c r="AVR70" s="119"/>
      <c r="AVS70" s="119"/>
      <c r="AVT70" s="119"/>
      <c r="AVU70" s="119"/>
      <c r="AVV70" s="119"/>
      <c r="AVW70" s="119"/>
      <c r="AVX70" s="119"/>
      <c r="AVY70" s="119"/>
      <c r="AVZ70" s="119"/>
      <c r="AWA70" s="119"/>
      <c r="AWB70" s="119"/>
      <c r="AWC70" s="119"/>
      <c r="AWD70" s="119"/>
      <c r="AWE70" s="119"/>
      <c r="AWF70" s="119"/>
      <c r="AWG70" s="119"/>
      <c r="AWH70" s="119"/>
      <c r="AWI70" s="119"/>
      <c r="AWJ70" s="119"/>
      <c r="AWK70" s="119"/>
      <c r="AWL70" s="119"/>
      <c r="AWM70" s="119"/>
      <c r="AWN70" s="119"/>
      <c r="AWO70" s="119"/>
      <c r="AWP70" s="119"/>
      <c r="AWQ70" s="119"/>
      <c r="AWR70" s="119"/>
      <c r="AWS70" s="119"/>
      <c r="AWT70" s="119"/>
      <c r="AWU70" s="119"/>
      <c r="AWV70" s="119"/>
      <c r="AWW70" s="119"/>
      <c r="AWX70" s="119"/>
      <c r="AWY70" s="119"/>
      <c r="AWZ70" s="119"/>
      <c r="AXA70" s="119"/>
      <c r="AXB70" s="119"/>
      <c r="AXC70" s="119"/>
      <c r="AXD70" s="119"/>
      <c r="AXE70" s="119"/>
      <c r="AXF70" s="119"/>
      <c r="AXG70" s="119"/>
      <c r="AXH70" s="119"/>
      <c r="AXI70" s="119"/>
      <c r="AXJ70" s="119"/>
      <c r="AXK70" s="119"/>
      <c r="AXL70" s="119"/>
      <c r="AXM70" s="119"/>
      <c r="AXN70" s="119"/>
      <c r="AXO70" s="119"/>
      <c r="AXP70" s="119"/>
      <c r="AXQ70" s="119"/>
      <c r="AXR70" s="119"/>
      <c r="AXS70" s="119"/>
      <c r="AXT70" s="119"/>
      <c r="AXU70" s="119"/>
      <c r="AXV70" s="119"/>
      <c r="AXW70" s="119"/>
      <c r="AXX70" s="119"/>
      <c r="AXY70" s="119"/>
      <c r="AXZ70" s="119"/>
      <c r="AYA70" s="119"/>
      <c r="AYB70" s="119"/>
      <c r="AYC70" s="119"/>
      <c r="AYD70" s="119"/>
      <c r="AYE70" s="119"/>
      <c r="AYF70" s="119"/>
      <c r="AYG70" s="119"/>
      <c r="AYH70" s="119"/>
      <c r="AYI70" s="119"/>
      <c r="AYJ70" s="119"/>
      <c r="AYK70" s="119"/>
      <c r="AYL70" s="119"/>
      <c r="AYM70" s="119"/>
      <c r="AYN70" s="119"/>
      <c r="AYO70" s="119"/>
      <c r="AYP70" s="119"/>
      <c r="AYQ70" s="119"/>
      <c r="AYR70" s="119"/>
      <c r="AYS70" s="119"/>
      <c r="AYT70" s="119"/>
      <c r="AYU70" s="119"/>
      <c r="AYV70" s="119"/>
      <c r="AYW70" s="119"/>
      <c r="AYX70" s="119"/>
      <c r="AYY70" s="119"/>
      <c r="AYZ70" s="119"/>
      <c r="AZA70" s="119"/>
      <c r="AZB70" s="119"/>
      <c r="AZC70" s="119"/>
      <c r="AZD70" s="119"/>
      <c r="AZE70" s="119"/>
      <c r="AZF70" s="119"/>
      <c r="AZG70" s="119"/>
      <c r="AZH70" s="119"/>
      <c r="AZI70" s="119"/>
      <c r="AZJ70" s="119"/>
      <c r="AZK70" s="119"/>
      <c r="AZL70" s="119"/>
      <c r="AZM70" s="119"/>
      <c r="AZN70" s="119"/>
      <c r="AZO70" s="119"/>
      <c r="AZP70" s="119"/>
      <c r="AZQ70" s="119"/>
      <c r="AZR70" s="119"/>
      <c r="AZS70" s="119"/>
      <c r="AZT70" s="119"/>
      <c r="AZU70" s="119"/>
      <c r="AZV70" s="119"/>
      <c r="AZW70" s="119"/>
      <c r="AZX70" s="119"/>
      <c r="AZY70" s="119"/>
      <c r="AZZ70" s="119"/>
      <c r="BAA70" s="119"/>
      <c r="BAB70" s="119"/>
      <c r="BAC70" s="119"/>
      <c r="BAD70" s="119"/>
      <c r="BAE70" s="119"/>
      <c r="BAF70" s="119"/>
      <c r="BAG70" s="119"/>
      <c r="BAH70" s="119"/>
      <c r="BAI70" s="119"/>
      <c r="BAJ70" s="119"/>
      <c r="BAK70" s="119"/>
      <c r="BAL70" s="119"/>
      <c r="BAM70" s="119"/>
      <c r="BAN70" s="119"/>
      <c r="BAO70" s="119"/>
      <c r="BAP70" s="119"/>
      <c r="BAQ70" s="119"/>
      <c r="BAR70" s="119"/>
      <c r="BAS70" s="119"/>
      <c r="BAT70" s="119"/>
      <c r="BAU70" s="119"/>
      <c r="BAV70" s="119"/>
      <c r="BAW70" s="119"/>
      <c r="BAX70" s="119"/>
      <c r="BAY70" s="119"/>
      <c r="BAZ70" s="119"/>
      <c r="BBA70" s="119"/>
      <c r="BBB70" s="119"/>
      <c r="BBC70" s="119"/>
      <c r="BBD70" s="119"/>
      <c r="BBE70" s="119"/>
      <c r="BBF70" s="119"/>
      <c r="BBG70" s="119"/>
      <c r="BBH70" s="119"/>
      <c r="BBI70" s="119"/>
      <c r="BBJ70" s="119"/>
      <c r="BBK70" s="119"/>
      <c r="BBL70" s="119"/>
      <c r="BBM70" s="119"/>
      <c r="BBN70" s="119"/>
      <c r="BBO70" s="119"/>
      <c r="BBP70" s="119"/>
      <c r="BBQ70" s="119"/>
      <c r="BBR70" s="119"/>
      <c r="BBS70" s="119"/>
      <c r="BBT70" s="119"/>
      <c r="BBU70" s="119"/>
      <c r="BBV70" s="119"/>
      <c r="BBW70" s="119"/>
      <c r="BBX70" s="119"/>
      <c r="BBY70" s="119"/>
      <c r="BBZ70" s="119"/>
      <c r="BCA70" s="119"/>
      <c r="BCB70" s="119"/>
      <c r="BCC70" s="119"/>
      <c r="BCD70" s="119"/>
      <c r="BCE70" s="119"/>
      <c r="BCF70" s="119"/>
      <c r="BCG70" s="119"/>
      <c r="BCH70" s="119"/>
      <c r="BCI70" s="119"/>
      <c r="BCJ70" s="119"/>
      <c r="BCK70" s="119"/>
      <c r="BCL70" s="119"/>
      <c r="BCM70" s="119"/>
      <c r="BCN70" s="119"/>
      <c r="BCO70" s="119"/>
      <c r="BCP70" s="119"/>
      <c r="BCQ70" s="119"/>
      <c r="BCR70" s="119"/>
      <c r="BCS70" s="119"/>
      <c r="BCT70" s="119"/>
      <c r="BCU70" s="119"/>
      <c r="BCV70" s="119"/>
      <c r="BCW70" s="119"/>
      <c r="BCX70" s="119"/>
      <c r="BCY70" s="119"/>
      <c r="BCZ70" s="119"/>
      <c r="BDA70" s="119"/>
      <c r="BDB70" s="119"/>
      <c r="BDC70" s="119"/>
      <c r="BDD70" s="119"/>
      <c r="BDE70" s="119"/>
      <c r="BDF70" s="119"/>
      <c r="BDG70" s="119"/>
      <c r="BDH70" s="119"/>
      <c r="BDI70" s="119"/>
      <c r="BDJ70" s="119"/>
      <c r="BDK70" s="119"/>
      <c r="BDL70" s="119"/>
      <c r="BDM70" s="119"/>
      <c r="BDN70" s="119"/>
      <c r="BDO70" s="119"/>
      <c r="BDP70" s="119"/>
      <c r="BDQ70" s="119"/>
      <c r="BDR70" s="119"/>
      <c r="BDS70" s="119"/>
      <c r="BDT70" s="119"/>
      <c r="BDU70" s="119"/>
      <c r="BDV70" s="119"/>
      <c r="BDW70" s="119"/>
      <c r="BDX70" s="119"/>
      <c r="BDY70" s="119"/>
      <c r="BDZ70" s="119"/>
      <c r="BEA70" s="119"/>
      <c r="BEB70" s="119"/>
      <c r="BEC70" s="119"/>
      <c r="BED70" s="119"/>
      <c r="BEE70" s="119"/>
      <c r="BEF70" s="119"/>
      <c r="BEG70" s="119"/>
      <c r="BEH70" s="119"/>
      <c r="BEI70" s="119"/>
      <c r="BEJ70" s="119"/>
      <c r="BEK70" s="119"/>
      <c r="BEL70" s="119"/>
      <c r="BEM70" s="119"/>
      <c r="BEN70" s="119"/>
      <c r="BEO70" s="119"/>
      <c r="BEP70" s="119"/>
      <c r="BEQ70" s="119"/>
      <c r="BER70" s="119"/>
      <c r="BES70" s="119"/>
      <c r="BET70" s="119"/>
      <c r="BEU70" s="119"/>
      <c r="BEV70" s="119"/>
      <c r="BEW70" s="119"/>
      <c r="BEX70" s="119"/>
      <c r="BEY70" s="119"/>
      <c r="BEZ70" s="119"/>
      <c r="BFA70" s="119"/>
      <c r="BFB70" s="119"/>
      <c r="BFC70" s="119"/>
      <c r="BFD70" s="119"/>
      <c r="BFE70" s="119"/>
      <c r="BFF70" s="119"/>
      <c r="BFG70" s="119"/>
      <c r="BFH70" s="119"/>
      <c r="BFI70" s="119"/>
      <c r="BFJ70" s="119"/>
      <c r="BFK70" s="119"/>
      <c r="BFL70" s="119"/>
      <c r="BFM70" s="119"/>
      <c r="BFN70" s="119"/>
      <c r="BFO70" s="119"/>
      <c r="BFP70" s="119"/>
      <c r="BFQ70" s="119"/>
      <c r="BFR70" s="119"/>
      <c r="BFS70" s="119"/>
      <c r="BFT70" s="119"/>
      <c r="BFU70" s="119"/>
      <c r="BFV70" s="119"/>
      <c r="BFW70" s="119"/>
      <c r="BFX70" s="119"/>
      <c r="BFY70" s="119"/>
      <c r="BFZ70" s="119"/>
      <c r="BGA70" s="119"/>
      <c r="BGB70" s="119"/>
      <c r="BGC70" s="119"/>
      <c r="BGD70" s="119"/>
      <c r="BGE70" s="119"/>
      <c r="BGF70" s="119"/>
      <c r="BGG70" s="119"/>
      <c r="BGH70" s="119"/>
      <c r="BGI70" s="119"/>
      <c r="BGJ70" s="119"/>
      <c r="BGK70" s="119"/>
      <c r="BGL70" s="119"/>
      <c r="BGM70" s="119"/>
      <c r="BGN70" s="119"/>
      <c r="BGO70" s="119"/>
      <c r="BGP70" s="119"/>
      <c r="BGQ70" s="119"/>
      <c r="BGR70" s="119"/>
      <c r="BGS70" s="119"/>
      <c r="BGT70" s="119"/>
      <c r="BGU70" s="119"/>
      <c r="BGV70" s="119"/>
      <c r="BGW70" s="119"/>
      <c r="BGX70" s="119"/>
      <c r="BGY70" s="119"/>
      <c r="BGZ70" s="119"/>
      <c r="BHA70" s="119"/>
      <c r="BHB70" s="119"/>
      <c r="BHC70" s="119"/>
      <c r="BHD70" s="119"/>
      <c r="BHE70" s="119"/>
      <c r="BHF70" s="119"/>
      <c r="BHG70" s="119"/>
      <c r="BHH70" s="119"/>
      <c r="BHI70" s="119"/>
      <c r="BHJ70" s="119"/>
      <c r="BHK70" s="119"/>
      <c r="BHL70" s="119"/>
      <c r="BHM70" s="119"/>
      <c r="BHN70" s="119"/>
      <c r="BHO70" s="119"/>
      <c r="BHP70" s="119"/>
      <c r="BHQ70" s="119"/>
      <c r="BHR70" s="119"/>
      <c r="BHS70" s="119"/>
      <c r="BHT70" s="119"/>
      <c r="BHU70" s="119"/>
      <c r="BHV70" s="119"/>
      <c r="BHW70" s="119"/>
      <c r="BHX70" s="119"/>
      <c r="BHY70" s="119"/>
      <c r="BHZ70" s="119"/>
      <c r="BIA70" s="119"/>
      <c r="BIB70" s="119"/>
      <c r="BIC70" s="119"/>
      <c r="BID70" s="119"/>
      <c r="BIE70" s="119"/>
      <c r="BIF70" s="119"/>
      <c r="BIG70" s="119"/>
      <c r="BIH70" s="119"/>
      <c r="BII70" s="119"/>
      <c r="BIJ70" s="119"/>
      <c r="BIK70" s="119"/>
      <c r="BIL70" s="119"/>
      <c r="BIM70" s="119"/>
      <c r="BIN70" s="119"/>
      <c r="BIO70" s="119"/>
      <c r="BIP70" s="119"/>
      <c r="BIQ70" s="119"/>
      <c r="BIR70" s="119"/>
      <c r="BIS70" s="119"/>
      <c r="BIT70" s="119"/>
      <c r="BIU70" s="119"/>
      <c r="BIV70" s="119"/>
      <c r="BIW70" s="119"/>
      <c r="BIX70" s="119"/>
      <c r="BIY70" s="119"/>
      <c r="BIZ70" s="119"/>
      <c r="BJA70" s="119"/>
      <c r="BJB70" s="119"/>
      <c r="BJC70" s="119"/>
      <c r="BJD70" s="119"/>
      <c r="BJE70" s="119"/>
      <c r="BJF70" s="119"/>
      <c r="BJG70" s="119"/>
      <c r="BJH70" s="119"/>
      <c r="BJI70" s="119"/>
      <c r="BJJ70" s="119"/>
      <c r="BJK70" s="119"/>
      <c r="BJL70" s="119"/>
      <c r="BJM70" s="119"/>
      <c r="BJN70" s="119"/>
      <c r="BJO70" s="119"/>
      <c r="BJP70" s="119"/>
      <c r="BJQ70" s="119"/>
      <c r="BJR70" s="119"/>
      <c r="BJS70" s="119"/>
      <c r="BJT70" s="119"/>
      <c r="BJU70" s="119"/>
      <c r="BJV70" s="119"/>
      <c r="BJW70" s="119"/>
      <c r="BJX70" s="119"/>
      <c r="BJY70" s="119"/>
      <c r="BJZ70" s="119"/>
      <c r="BKA70" s="119"/>
      <c r="BKB70" s="119"/>
      <c r="BKC70" s="119"/>
      <c r="BKD70" s="119"/>
      <c r="BKE70" s="119"/>
      <c r="BKF70" s="119"/>
      <c r="BKG70" s="119"/>
      <c r="BKH70" s="119"/>
      <c r="BKI70" s="119"/>
      <c r="BKJ70" s="119"/>
      <c r="BKK70" s="119"/>
      <c r="BKL70" s="119"/>
      <c r="BKM70" s="119"/>
      <c r="BKN70" s="119"/>
      <c r="BKO70" s="119"/>
      <c r="BKP70" s="119"/>
      <c r="BKQ70" s="119"/>
      <c r="BKR70" s="119"/>
      <c r="BKS70" s="119"/>
      <c r="BKT70" s="119"/>
      <c r="BKU70" s="119"/>
      <c r="BKV70" s="119"/>
      <c r="BKW70" s="119"/>
      <c r="BKX70" s="119"/>
      <c r="BKY70" s="119"/>
      <c r="BKZ70" s="119"/>
      <c r="BLA70" s="119"/>
      <c r="BLB70" s="119"/>
      <c r="BLC70" s="119"/>
      <c r="BLD70" s="119"/>
      <c r="BLE70" s="119"/>
      <c r="BLF70" s="119"/>
      <c r="BLG70" s="119"/>
      <c r="BLH70" s="119"/>
      <c r="BLI70" s="119"/>
      <c r="BLJ70" s="119"/>
      <c r="BLK70" s="119"/>
      <c r="BLL70" s="119"/>
      <c r="BLM70" s="119"/>
      <c r="BLN70" s="119"/>
      <c r="BLO70" s="119"/>
      <c r="BLP70" s="119"/>
      <c r="BLQ70" s="119"/>
      <c r="BLR70" s="119"/>
      <c r="BLS70" s="119"/>
      <c r="BLT70" s="119"/>
      <c r="BLU70" s="119"/>
      <c r="BLV70" s="119"/>
      <c r="BLW70" s="119"/>
      <c r="BLX70" s="119"/>
      <c r="BLY70" s="119"/>
      <c r="BLZ70" s="119"/>
      <c r="BMA70" s="119"/>
      <c r="BMB70" s="119"/>
      <c r="BMC70" s="119"/>
      <c r="BMD70" s="119"/>
      <c r="BME70" s="119"/>
      <c r="BMF70" s="119"/>
      <c r="BMG70" s="119"/>
      <c r="BMH70" s="119"/>
      <c r="BMI70" s="119"/>
      <c r="BMJ70" s="119"/>
      <c r="BMK70" s="119"/>
      <c r="BML70" s="119"/>
      <c r="BMM70" s="119"/>
      <c r="BMN70" s="119"/>
      <c r="BMO70" s="119"/>
      <c r="BMP70" s="119"/>
      <c r="BMQ70" s="119"/>
      <c r="BMR70" s="119"/>
      <c r="BMS70" s="119"/>
      <c r="BMT70" s="119"/>
      <c r="BMU70" s="119"/>
      <c r="BMV70" s="119"/>
      <c r="BMW70" s="119"/>
      <c r="BMX70" s="119"/>
      <c r="BMY70" s="119"/>
      <c r="BMZ70" s="119"/>
      <c r="BNA70" s="119"/>
      <c r="BNB70" s="119"/>
      <c r="BNC70" s="119"/>
      <c r="BND70" s="119"/>
      <c r="BNE70" s="119"/>
      <c r="BNF70" s="119"/>
      <c r="BNG70" s="119"/>
      <c r="BNH70" s="119"/>
      <c r="BNI70" s="119"/>
      <c r="BNJ70" s="119"/>
      <c r="BNK70" s="119"/>
      <c r="BNL70" s="119"/>
      <c r="BNM70" s="119"/>
      <c r="BNN70" s="119"/>
      <c r="BNO70" s="119"/>
      <c r="BNP70" s="119"/>
      <c r="BNQ70" s="119"/>
      <c r="BNR70" s="119"/>
      <c r="BNS70" s="119"/>
      <c r="BNT70" s="119"/>
      <c r="BNU70" s="119"/>
      <c r="BNV70" s="119"/>
      <c r="BNW70" s="119"/>
      <c r="BNX70" s="119"/>
      <c r="BNY70" s="119"/>
      <c r="BNZ70" s="119"/>
      <c r="BOA70" s="119"/>
      <c r="BOB70" s="119"/>
      <c r="BOC70" s="119"/>
      <c r="BOD70" s="119"/>
      <c r="BOE70" s="119"/>
      <c r="BOF70" s="119"/>
      <c r="BOG70" s="119"/>
      <c r="BOH70" s="119"/>
      <c r="BOI70" s="119"/>
      <c r="BOJ70" s="119"/>
      <c r="BOK70" s="119"/>
      <c r="BOL70" s="119"/>
      <c r="BOM70" s="119"/>
      <c r="BON70" s="119"/>
      <c r="BOO70" s="119"/>
      <c r="BOP70" s="119"/>
      <c r="BOQ70" s="119"/>
      <c r="BOR70" s="119"/>
      <c r="BOS70" s="119"/>
      <c r="BOT70" s="119"/>
      <c r="BOU70" s="119"/>
      <c r="BOV70" s="119"/>
      <c r="BOW70" s="119"/>
      <c r="BOX70" s="119"/>
      <c r="BOY70" s="119"/>
      <c r="BOZ70" s="119"/>
      <c r="BPA70" s="119"/>
      <c r="BPB70" s="119"/>
      <c r="BPC70" s="119"/>
      <c r="BPD70" s="119"/>
      <c r="BPE70" s="119"/>
      <c r="BPF70" s="119"/>
      <c r="BPG70" s="119"/>
      <c r="BPH70" s="119"/>
      <c r="BPI70" s="119"/>
      <c r="BPJ70" s="119"/>
      <c r="BPK70" s="119"/>
      <c r="BPL70" s="119"/>
      <c r="BPM70" s="119"/>
      <c r="BPN70" s="119"/>
      <c r="BPO70" s="119"/>
      <c r="BPP70" s="119"/>
      <c r="BPQ70" s="119"/>
      <c r="BPR70" s="119"/>
      <c r="BPS70" s="119"/>
      <c r="BPT70" s="119"/>
      <c r="BPU70" s="119"/>
      <c r="BPV70" s="119"/>
      <c r="BPW70" s="119"/>
      <c r="BPX70" s="119"/>
      <c r="BPY70" s="119"/>
      <c r="BPZ70" s="119"/>
      <c r="BQA70" s="119"/>
      <c r="BQB70" s="119"/>
      <c r="BQC70" s="119"/>
      <c r="BQD70" s="119"/>
      <c r="BQE70" s="119"/>
      <c r="BQF70" s="119"/>
      <c r="BQG70" s="119"/>
      <c r="BQH70" s="119"/>
      <c r="BQI70" s="119"/>
      <c r="BQJ70" s="119"/>
      <c r="BQK70" s="119"/>
      <c r="BQL70" s="119"/>
      <c r="BQM70" s="119"/>
      <c r="BQN70" s="119"/>
      <c r="BQO70" s="119"/>
      <c r="BQP70" s="119"/>
      <c r="BQQ70" s="119"/>
      <c r="BQR70" s="119"/>
      <c r="BQS70" s="119"/>
      <c r="BQT70" s="119"/>
      <c r="BQU70" s="119"/>
      <c r="BQV70" s="119"/>
      <c r="BQW70" s="119"/>
      <c r="BQX70" s="119"/>
      <c r="BQY70" s="119"/>
      <c r="BQZ70" s="119"/>
      <c r="BRA70" s="119"/>
      <c r="BRB70" s="119"/>
      <c r="BRC70" s="119"/>
      <c r="BRD70" s="119"/>
      <c r="BRE70" s="119"/>
      <c r="BRF70" s="119"/>
      <c r="BRG70" s="119"/>
      <c r="BRH70" s="119"/>
      <c r="BRI70" s="119"/>
      <c r="BRJ70" s="119"/>
      <c r="BRK70" s="119"/>
      <c r="BRL70" s="119"/>
      <c r="BRM70" s="119"/>
      <c r="BRN70" s="119"/>
      <c r="BRO70" s="119"/>
      <c r="BRP70" s="119"/>
      <c r="BRQ70" s="119"/>
      <c r="BRR70" s="119"/>
      <c r="BRS70" s="119"/>
      <c r="BRT70" s="119"/>
      <c r="BRU70" s="119"/>
      <c r="BRV70" s="119"/>
      <c r="BRW70" s="119"/>
      <c r="BRX70" s="119"/>
      <c r="BRY70" s="119"/>
      <c r="BRZ70" s="119"/>
      <c r="BSA70" s="119"/>
      <c r="BSB70" s="119"/>
      <c r="BSC70" s="119"/>
      <c r="BSD70" s="119"/>
      <c r="BSE70" s="119"/>
      <c r="BSF70" s="119"/>
      <c r="BSG70" s="119"/>
      <c r="BSH70" s="119"/>
      <c r="BSI70" s="119"/>
      <c r="BSJ70" s="119"/>
      <c r="BSK70" s="119"/>
      <c r="BSL70" s="119"/>
      <c r="BSM70" s="119"/>
      <c r="BSN70" s="119"/>
      <c r="BSO70" s="119"/>
      <c r="BSP70" s="119"/>
      <c r="BSQ70" s="119"/>
      <c r="BSR70" s="119"/>
      <c r="BSS70" s="119"/>
      <c r="BST70" s="119"/>
      <c r="BSU70" s="119"/>
      <c r="BSV70" s="119"/>
      <c r="BSW70" s="119"/>
      <c r="BSX70" s="119"/>
      <c r="BSY70" s="119"/>
      <c r="BSZ70" s="119"/>
      <c r="BTA70" s="119"/>
      <c r="BTB70" s="119"/>
      <c r="BTC70" s="119"/>
      <c r="BTD70" s="119"/>
      <c r="BTE70" s="119"/>
      <c r="BTF70" s="119"/>
      <c r="BTG70" s="119"/>
      <c r="BTH70" s="119"/>
      <c r="BTI70" s="119"/>
      <c r="BTJ70" s="119"/>
      <c r="BTK70" s="119"/>
      <c r="BTL70" s="119"/>
      <c r="BTM70" s="119"/>
      <c r="BTN70" s="119"/>
      <c r="BTO70" s="119"/>
      <c r="BTP70" s="119"/>
      <c r="BTQ70" s="119"/>
      <c r="BTR70" s="119"/>
      <c r="BTS70" s="119"/>
      <c r="BTT70" s="119"/>
      <c r="BTU70" s="119"/>
      <c r="BTV70" s="119"/>
      <c r="BTW70" s="119"/>
      <c r="BTX70" s="119"/>
      <c r="BTY70" s="119"/>
      <c r="BTZ70" s="119"/>
      <c r="BUA70" s="119"/>
      <c r="BUB70" s="119"/>
      <c r="BUC70" s="119"/>
      <c r="BUD70" s="119"/>
      <c r="BUE70" s="119"/>
      <c r="BUF70" s="119"/>
      <c r="BUG70" s="119"/>
      <c r="BUH70" s="119"/>
      <c r="BUI70" s="119"/>
      <c r="BUJ70" s="119"/>
      <c r="BUK70" s="119"/>
      <c r="BUL70" s="119"/>
      <c r="BUM70" s="119"/>
      <c r="BUN70" s="119"/>
      <c r="BUO70" s="119"/>
      <c r="BUP70" s="119"/>
      <c r="BUQ70" s="119"/>
      <c r="BUR70" s="119"/>
      <c r="BUS70" s="119"/>
      <c r="BUT70" s="119"/>
      <c r="BUU70" s="119"/>
      <c r="BUV70" s="119"/>
      <c r="BUW70" s="119"/>
      <c r="BUX70" s="119"/>
      <c r="BUY70" s="119"/>
      <c r="BUZ70" s="119"/>
      <c r="BVA70" s="119"/>
      <c r="BVB70" s="119"/>
      <c r="BVC70" s="119"/>
      <c r="BVD70" s="119"/>
      <c r="BVE70" s="119"/>
      <c r="BVF70" s="119"/>
      <c r="BVG70" s="119"/>
      <c r="BVH70" s="119"/>
      <c r="BVI70" s="119"/>
      <c r="BVJ70" s="119"/>
      <c r="BVK70" s="119"/>
      <c r="BVL70" s="119"/>
      <c r="BVM70" s="119"/>
      <c r="BVN70" s="119"/>
      <c r="BVO70" s="119"/>
      <c r="BVP70" s="119"/>
      <c r="BVQ70" s="119"/>
      <c r="BVR70" s="119"/>
      <c r="BVS70" s="119"/>
      <c r="BVT70" s="119"/>
      <c r="BVU70" s="119"/>
      <c r="BVV70" s="119"/>
      <c r="BVW70" s="119"/>
      <c r="BVX70" s="119"/>
      <c r="BVY70" s="119"/>
      <c r="BVZ70" s="119"/>
      <c r="BWA70" s="119"/>
      <c r="BWB70" s="119"/>
      <c r="BWC70" s="119"/>
      <c r="BWD70" s="119"/>
      <c r="BWE70" s="119"/>
      <c r="BWF70" s="119"/>
      <c r="BWG70" s="119"/>
      <c r="BWH70" s="119"/>
      <c r="BWI70" s="119"/>
      <c r="BWJ70" s="119"/>
      <c r="BWK70" s="119"/>
      <c r="BWL70" s="119"/>
      <c r="BWM70" s="119"/>
      <c r="BWN70" s="119"/>
      <c r="BWO70" s="119"/>
      <c r="BWP70" s="119"/>
      <c r="BWQ70" s="119"/>
      <c r="BWR70" s="119"/>
      <c r="BWS70" s="119"/>
      <c r="BWT70" s="119"/>
      <c r="BWU70" s="119"/>
      <c r="BWV70" s="119"/>
      <c r="BWW70" s="119"/>
      <c r="BWX70" s="119"/>
      <c r="BWY70" s="119"/>
      <c r="BWZ70" s="119"/>
      <c r="BXA70" s="119"/>
      <c r="BXB70" s="119"/>
      <c r="BXC70" s="119"/>
      <c r="BXD70" s="119"/>
      <c r="BXE70" s="119"/>
      <c r="BXF70" s="119"/>
      <c r="BXG70" s="119"/>
      <c r="BXH70" s="119"/>
      <c r="BXI70" s="119"/>
      <c r="BXJ70" s="119"/>
      <c r="BXK70" s="119"/>
      <c r="BXL70" s="119"/>
      <c r="BXM70" s="119"/>
      <c r="BXN70" s="119"/>
      <c r="BXO70" s="119"/>
      <c r="BXP70" s="119"/>
      <c r="BXQ70" s="119"/>
      <c r="BXR70" s="119"/>
      <c r="BXS70" s="119"/>
      <c r="BXT70" s="119"/>
      <c r="BXU70" s="119"/>
      <c r="BXV70" s="119"/>
      <c r="BXW70" s="119"/>
      <c r="BXX70" s="119"/>
      <c r="BXY70" s="119"/>
      <c r="BXZ70" s="119"/>
      <c r="BYA70" s="119"/>
      <c r="BYB70" s="119"/>
      <c r="BYC70" s="119"/>
      <c r="BYD70" s="119"/>
      <c r="BYE70" s="119"/>
      <c r="BYF70" s="119"/>
      <c r="BYG70" s="119"/>
      <c r="BYH70" s="119"/>
      <c r="BYI70" s="119"/>
      <c r="BYJ70" s="119"/>
      <c r="BYK70" s="119"/>
      <c r="BYL70" s="119"/>
      <c r="BYM70" s="119"/>
      <c r="BYN70" s="119"/>
      <c r="BYO70" s="119"/>
      <c r="BYP70" s="119"/>
      <c r="BYQ70" s="119"/>
      <c r="BYR70" s="119"/>
      <c r="BYS70" s="119"/>
      <c r="BYT70" s="119"/>
      <c r="BYU70" s="119"/>
      <c r="BYV70" s="119"/>
      <c r="BYW70" s="119"/>
      <c r="BYX70" s="119"/>
      <c r="BYY70" s="119"/>
      <c r="BYZ70" s="119"/>
      <c r="BZA70" s="119"/>
      <c r="BZB70" s="119"/>
      <c r="BZC70" s="119"/>
      <c r="BZD70" s="119"/>
      <c r="BZE70" s="119"/>
      <c r="BZF70" s="119"/>
      <c r="BZG70" s="119"/>
      <c r="BZH70" s="119"/>
      <c r="BZI70" s="119"/>
      <c r="BZJ70" s="119"/>
      <c r="BZK70" s="119"/>
      <c r="BZL70" s="119"/>
      <c r="BZM70" s="119"/>
      <c r="BZN70" s="119"/>
      <c r="BZO70" s="119"/>
      <c r="BZP70" s="119"/>
      <c r="BZQ70" s="119"/>
      <c r="BZR70" s="119"/>
      <c r="BZS70" s="119"/>
      <c r="BZT70" s="119"/>
      <c r="BZU70" s="119"/>
      <c r="BZV70" s="119"/>
      <c r="BZW70" s="119"/>
      <c r="BZX70" s="119"/>
      <c r="BZY70" s="119"/>
      <c r="BZZ70" s="119"/>
      <c r="CAA70" s="119"/>
      <c r="CAB70" s="119"/>
      <c r="CAC70" s="119"/>
      <c r="CAD70" s="119"/>
      <c r="CAE70" s="119"/>
      <c r="CAF70" s="119"/>
      <c r="CAG70" s="119"/>
      <c r="CAH70" s="119"/>
      <c r="CAI70" s="119"/>
      <c r="CAJ70" s="119"/>
      <c r="CAK70" s="119"/>
      <c r="CAL70" s="119"/>
      <c r="CAM70" s="119"/>
      <c r="CAN70" s="119"/>
      <c r="CAO70" s="119"/>
      <c r="CAP70" s="119"/>
      <c r="CAQ70" s="119"/>
      <c r="CAR70" s="119"/>
      <c r="CAS70" s="119"/>
      <c r="CAT70" s="119"/>
      <c r="CAU70" s="119"/>
      <c r="CAV70" s="119"/>
      <c r="CAW70" s="119"/>
      <c r="CAX70" s="119"/>
      <c r="CAY70" s="119"/>
      <c r="CAZ70" s="119"/>
      <c r="CBA70" s="119"/>
      <c r="CBB70" s="119"/>
      <c r="CBC70" s="119"/>
      <c r="CBD70" s="119"/>
      <c r="CBE70" s="119"/>
      <c r="CBF70" s="119"/>
      <c r="CBG70" s="119"/>
      <c r="CBH70" s="119"/>
      <c r="CBI70" s="119"/>
      <c r="CBJ70" s="119"/>
      <c r="CBK70" s="119"/>
      <c r="CBL70" s="119"/>
      <c r="CBM70" s="119"/>
      <c r="CBN70" s="119"/>
      <c r="CBO70" s="119"/>
      <c r="CBP70" s="119"/>
      <c r="CBQ70" s="119"/>
      <c r="CBR70" s="119"/>
      <c r="CBS70" s="119"/>
      <c r="CBT70" s="119"/>
      <c r="CBU70" s="119"/>
      <c r="CBV70" s="119"/>
      <c r="CBW70" s="119"/>
      <c r="CBX70" s="119"/>
      <c r="CBY70" s="119"/>
      <c r="CBZ70" s="119"/>
      <c r="CCA70" s="119"/>
      <c r="CCB70" s="119"/>
      <c r="CCC70" s="119"/>
      <c r="CCD70" s="119"/>
      <c r="CCE70" s="119"/>
      <c r="CCF70" s="119"/>
      <c r="CCG70" s="119"/>
      <c r="CCH70" s="119"/>
      <c r="CCI70" s="119"/>
      <c r="CCJ70" s="119"/>
      <c r="CCK70" s="119"/>
      <c r="CCL70" s="119"/>
      <c r="CCM70" s="119"/>
      <c r="CCN70" s="119"/>
      <c r="CCO70" s="119"/>
      <c r="CCP70" s="119"/>
      <c r="CCQ70" s="119"/>
      <c r="CCR70" s="119"/>
      <c r="CCS70" s="119"/>
      <c r="CCT70" s="119"/>
      <c r="CCU70" s="119"/>
      <c r="CCV70" s="119"/>
      <c r="CCW70" s="119"/>
      <c r="CCX70" s="119"/>
      <c r="CCY70" s="119"/>
      <c r="CCZ70" s="119"/>
      <c r="CDA70" s="119"/>
      <c r="CDB70" s="119"/>
      <c r="CDC70" s="119"/>
      <c r="CDD70" s="119"/>
      <c r="CDE70" s="119"/>
      <c r="CDF70" s="119"/>
      <c r="CDG70" s="119"/>
      <c r="CDH70" s="119"/>
      <c r="CDI70" s="119"/>
      <c r="CDJ70" s="119"/>
      <c r="CDK70" s="119"/>
      <c r="CDL70" s="119"/>
      <c r="CDM70" s="119"/>
      <c r="CDN70" s="119"/>
      <c r="CDO70" s="119"/>
      <c r="CDP70" s="119"/>
      <c r="CDQ70" s="119"/>
      <c r="CDR70" s="119"/>
      <c r="CDS70" s="119"/>
      <c r="CDT70" s="119"/>
      <c r="CDU70" s="119"/>
      <c r="CDV70" s="119"/>
      <c r="CDW70" s="119"/>
      <c r="CDX70" s="119"/>
      <c r="CDY70" s="119"/>
      <c r="CDZ70" s="119"/>
      <c r="CEA70" s="119"/>
      <c r="CEB70" s="119"/>
      <c r="CEC70" s="119"/>
      <c r="CED70" s="119"/>
      <c r="CEE70" s="119"/>
      <c r="CEF70" s="119"/>
      <c r="CEG70" s="119"/>
      <c r="CEH70" s="119"/>
      <c r="CEI70" s="119"/>
      <c r="CEJ70" s="119"/>
      <c r="CEK70" s="119"/>
      <c r="CEL70" s="119"/>
      <c r="CEM70" s="119"/>
      <c r="CEN70" s="119"/>
      <c r="CEO70" s="119"/>
      <c r="CEP70" s="119"/>
      <c r="CEQ70" s="119"/>
      <c r="CER70" s="119"/>
      <c r="CES70" s="119"/>
      <c r="CET70" s="119"/>
      <c r="CEU70" s="119"/>
      <c r="CEV70" s="119"/>
      <c r="CEW70" s="119"/>
      <c r="CEX70" s="119"/>
      <c r="CEY70" s="119"/>
      <c r="CEZ70" s="119"/>
      <c r="CFA70" s="119"/>
      <c r="CFB70" s="119"/>
      <c r="CFC70" s="119"/>
      <c r="CFD70" s="119"/>
      <c r="CFE70" s="119"/>
      <c r="CFF70" s="119"/>
      <c r="CFG70" s="119"/>
      <c r="CFH70" s="119"/>
      <c r="CFI70" s="119"/>
      <c r="CFJ70" s="119"/>
      <c r="CFK70" s="119"/>
      <c r="CFL70" s="119"/>
      <c r="CFM70" s="119"/>
      <c r="CFN70" s="119"/>
      <c r="CFO70" s="119"/>
      <c r="CFP70" s="119"/>
      <c r="CFQ70" s="119"/>
      <c r="CFR70" s="119"/>
      <c r="CFS70" s="119"/>
      <c r="CFT70" s="119"/>
      <c r="CFU70" s="119"/>
      <c r="CFV70" s="119"/>
      <c r="CFW70" s="119"/>
      <c r="CFX70" s="119"/>
      <c r="CFY70" s="119"/>
      <c r="CFZ70" s="119"/>
      <c r="CGA70" s="119"/>
      <c r="CGB70" s="119"/>
      <c r="CGC70" s="119"/>
      <c r="CGD70" s="119"/>
      <c r="CGE70" s="119"/>
      <c r="CGF70" s="119"/>
      <c r="CGG70" s="119"/>
      <c r="CGH70" s="119"/>
      <c r="CGI70" s="119"/>
      <c r="CGJ70" s="119"/>
      <c r="CGK70" s="119"/>
      <c r="CGL70" s="119"/>
      <c r="CGM70" s="119"/>
      <c r="CGN70" s="119"/>
      <c r="CGO70" s="119"/>
      <c r="CGP70" s="119"/>
      <c r="CGQ70" s="119"/>
      <c r="CGR70" s="119"/>
      <c r="CGS70" s="119"/>
      <c r="CGT70" s="119"/>
      <c r="CGU70" s="119"/>
      <c r="CGV70" s="119"/>
      <c r="CGW70" s="119"/>
      <c r="CGX70" s="119"/>
      <c r="CGY70" s="119"/>
      <c r="CGZ70" s="119"/>
      <c r="CHA70" s="119"/>
      <c r="CHB70" s="119"/>
      <c r="CHC70" s="119"/>
      <c r="CHD70" s="119"/>
      <c r="CHE70" s="119"/>
      <c r="CHF70" s="119"/>
      <c r="CHG70" s="119"/>
      <c r="CHH70" s="119"/>
      <c r="CHI70" s="119"/>
      <c r="CHJ70" s="119"/>
      <c r="CHK70" s="119"/>
      <c r="CHL70" s="119"/>
      <c r="CHM70" s="119"/>
      <c r="CHN70" s="119"/>
      <c r="CHO70" s="119"/>
      <c r="CHP70" s="119"/>
      <c r="CHQ70" s="119"/>
      <c r="CHR70" s="119"/>
      <c r="CHS70" s="119"/>
      <c r="CHT70" s="119"/>
      <c r="CHU70" s="119"/>
      <c r="CHV70" s="119"/>
      <c r="CHW70" s="119"/>
      <c r="CHX70" s="119"/>
      <c r="CHY70" s="119"/>
      <c r="CHZ70" s="119"/>
      <c r="CIA70" s="119"/>
      <c r="CIB70" s="119"/>
      <c r="CIC70" s="119"/>
      <c r="CID70" s="119"/>
      <c r="CIE70" s="119"/>
      <c r="CIF70" s="119"/>
      <c r="CIG70" s="119"/>
      <c r="CIH70" s="119"/>
      <c r="CII70" s="119"/>
      <c r="CIJ70" s="119"/>
      <c r="CIK70" s="119"/>
      <c r="CIL70" s="119"/>
      <c r="CIM70" s="119"/>
      <c r="CIN70" s="119"/>
      <c r="CIO70" s="119"/>
      <c r="CIP70" s="119"/>
      <c r="CIQ70" s="119"/>
      <c r="CIR70" s="119"/>
      <c r="CIS70" s="119"/>
      <c r="CIT70" s="119"/>
      <c r="CIU70" s="119"/>
      <c r="CIV70" s="119"/>
      <c r="CIW70" s="119"/>
      <c r="CIX70" s="119"/>
      <c r="CIY70" s="119"/>
      <c r="CIZ70" s="119"/>
      <c r="CJA70" s="119"/>
      <c r="CJB70" s="119"/>
      <c r="CJC70" s="119"/>
      <c r="CJD70" s="119"/>
      <c r="CJE70" s="119"/>
      <c r="CJF70" s="119"/>
      <c r="CJG70" s="119"/>
      <c r="CJH70" s="119"/>
      <c r="CJI70" s="119"/>
      <c r="CJJ70" s="119"/>
      <c r="CJK70" s="119"/>
      <c r="CJL70" s="119"/>
      <c r="CJM70" s="119"/>
      <c r="CJN70" s="119"/>
      <c r="CJO70" s="119"/>
      <c r="CJP70" s="119"/>
      <c r="CJQ70" s="119"/>
      <c r="CJR70" s="119"/>
      <c r="CJS70" s="119"/>
      <c r="CJT70" s="119"/>
      <c r="CJU70" s="119"/>
      <c r="CJV70" s="119"/>
      <c r="CJW70" s="119"/>
      <c r="CJX70" s="119"/>
      <c r="CJY70" s="119"/>
      <c r="CJZ70" s="119"/>
      <c r="CKA70" s="119"/>
      <c r="CKB70" s="119"/>
      <c r="CKC70" s="119"/>
      <c r="CKD70" s="119"/>
      <c r="CKE70" s="119"/>
      <c r="CKF70" s="119"/>
      <c r="CKG70" s="119"/>
      <c r="CKH70" s="119"/>
      <c r="CKI70" s="119"/>
      <c r="CKJ70" s="119"/>
      <c r="CKK70" s="119"/>
      <c r="CKL70" s="119"/>
      <c r="CKM70" s="119"/>
      <c r="CKN70" s="119"/>
      <c r="CKO70" s="119"/>
      <c r="CKP70" s="119"/>
      <c r="CKQ70" s="119"/>
      <c r="CKR70" s="119"/>
      <c r="CKS70" s="119"/>
      <c r="CKT70" s="119"/>
      <c r="CKU70" s="119"/>
      <c r="CKV70" s="119"/>
      <c r="CKW70" s="119"/>
      <c r="CKX70" s="119"/>
      <c r="CKY70" s="119"/>
      <c r="CKZ70" s="119"/>
      <c r="CLA70" s="119"/>
      <c r="CLB70" s="119"/>
      <c r="CLC70" s="119"/>
      <c r="CLD70" s="119"/>
      <c r="CLE70" s="119"/>
      <c r="CLF70" s="119"/>
      <c r="CLG70" s="119"/>
      <c r="CLH70" s="119"/>
      <c r="CLI70" s="119"/>
      <c r="CLJ70" s="119"/>
      <c r="CLK70" s="119"/>
      <c r="CLL70" s="119"/>
      <c r="CLM70" s="119"/>
      <c r="CLN70" s="119"/>
      <c r="CLO70" s="119"/>
      <c r="CLP70" s="119"/>
      <c r="CLQ70" s="119"/>
      <c r="CLR70" s="119"/>
      <c r="CLS70" s="119"/>
      <c r="CLT70" s="119"/>
      <c r="CLU70" s="119"/>
      <c r="CLV70" s="119"/>
      <c r="CLW70" s="119"/>
      <c r="CLX70" s="119"/>
      <c r="CLY70" s="119"/>
      <c r="CLZ70" s="119"/>
      <c r="CMA70" s="119"/>
      <c r="CMB70" s="119"/>
      <c r="CMC70" s="119"/>
      <c r="CMD70" s="119"/>
      <c r="CME70" s="119"/>
      <c r="CMF70" s="119"/>
      <c r="CMG70" s="119"/>
      <c r="CMH70" s="119"/>
      <c r="CMI70" s="119"/>
      <c r="CMJ70" s="119"/>
      <c r="CMK70" s="119"/>
      <c r="CML70" s="119"/>
      <c r="CMM70" s="119"/>
      <c r="CMN70" s="119"/>
      <c r="CMO70" s="119"/>
      <c r="CMP70" s="119"/>
      <c r="CMQ70" s="119"/>
      <c r="CMR70" s="119"/>
      <c r="CMS70" s="119"/>
      <c r="CMT70" s="119"/>
      <c r="CMU70" s="119"/>
      <c r="CMV70" s="119"/>
      <c r="CMW70" s="119"/>
      <c r="CMX70" s="119"/>
      <c r="CMY70" s="119"/>
      <c r="CMZ70" s="119"/>
      <c r="CNA70" s="119"/>
      <c r="CNB70" s="119"/>
      <c r="CNC70" s="119"/>
      <c r="CND70" s="119"/>
      <c r="CNE70" s="119"/>
      <c r="CNF70" s="119"/>
      <c r="CNG70" s="119"/>
      <c r="CNH70" s="119"/>
      <c r="CNI70" s="119"/>
      <c r="CNJ70" s="119"/>
      <c r="CNK70" s="119"/>
      <c r="CNL70" s="119"/>
      <c r="CNM70" s="119"/>
      <c r="CNN70" s="119"/>
      <c r="CNO70" s="119"/>
      <c r="CNP70" s="119"/>
      <c r="CNQ70" s="119"/>
      <c r="CNR70" s="119"/>
      <c r="CNS70" s="119"/>
      <c r="CNT70" s="119"/>
      <c r="CNU70" s="119"/>
      <c r="CNV70" s="119"/>
      <c r="CNW70" s="119"/>
      <c r="CNX70" s="119"/>
      <c r="CNY70" s="119"/>
      <c r="CNZ70" s="119"/>
      <c r="COA70" s="119"/>
      <c r="COB70" s="119"/>
      <c r="COC70" s="119"/>
      <c r="COD70" s="119"/>
      <c r="COE70" s="119"/>
      <c r="COF70" s="119"/>
      <c r="COG70" s="119"/>
      <c r="COH70" s="119"/>
      <c r="COI70" s="119"/>
      <c r="COJ70" s="119"/>
      <c r="COK70" s="119"/>
      <c r="COL70" s="119"/>
      <c r="COM70" s="119"/>
      <c r="CON70" s="119"/>
      <c r="COO70" s="119"/>
      <c r="COP70" s="119"/>
      <c r="COQ70" s="119"/>
      <c r="COR70" s="119"/>
      <c r="COS70" s="119"/>
      <c r="COT70" s="119"/>
      <c r="COU70" s="119"/>
      <c r="COV70" s="119"/>
      <c r="COW70" s="119"/>
      <c r="COX70" s="119"/>
      <c r="COY70" s="119"/>
      <c r="COZ70" s="119"/>
      <c r="CPA70" s="119"/>
      <c r="CPB70" s="119"/>
      <c r="CPC70" s="119"/>
      <c r="CPD70" s="119"/>
      <c r="CPE70" s="119"/>
      <c r="CPF70" s="119"/>
      <c r="CPG70" s="119"/>
      <c r="CPH70" s="119"/>
      <c r="CPI70" s="119"/>
      <c r="CPJ70" s="119"/>
      <c r="CPK70" s="119"/>
      <c r="CPL70" s="119"/>
      <c r="CPM70" s="119"/>
      <c r="CPN70" s="119"/>
      <c r="CPO70" s="119"/>
      <c r="CPP70" s="119"/>
      <c r="CPQ70" s="119"/>
      <c r="CPR70" s="119"/>
      <c r="CPS70" s="119"/>
      <c r="CPT70" s="119"/>
      <c r="CPU70" s="119"/>
      <c r="CPV70" s="119"/>
      <c r="CPW70" s="119"/>
      <c r="CPX70" s="119"/>
      <c r="CPY70" s="119"/>
      <c r="CPZ70" s="119"/>
      <c r="CQA70" s="119"/>
      <c r="CQB70" s="119"/>
      <c r="CQC70" s="119"/>
      <c r="CQD70" s="119"/>
      <c r="CQE70" s="119"/>
      <c r="CQF70" s="119"/>
      <c r="CQG70" s="119"/>
      <c r="CQH70" s="119"/>
      <c r="CQI70" s="119"/>
      <c r="CQJ70" s="119"/>
      <c r="CQK70" s="119"/>
      <c r="CQL70" s="119"/>
      <c r="CQM70" s="119"/>
      <c r="CQN70" s="119"/>
      <c r="CQO70" s="119"/>
      <c r="CQP70" s="119"/>
      <c r="CQQ70" s="119"/>
      <c r="CQR70" s="119"/>
      <c r="CQS70" s="119"/>
      <c r="CQT70" s="119"/>
      <c r="CQU70" s="119"/>
      <c r="CQV70" s="119"/>
      <c r="CQW70" s="119"/>
      <c r="CQX70" s="119"/>
      <c r="CQY70" s="119"/>
      <c r="CQZ70" s="119"/>
      <c r="CRA70" s="119"/>
      <c r="CRB70" s="119"/>
      <c r="CRC70" s="119"/>
      <c r="CRD70" s="119"/>
      <c r="CRE70" s="119"/>
      <c r="CRF70" s="119"/>
      <c r="CRG70" s="119"/>
      <c r="CRH70" s="119"/>
      <c r="CRI70" s="119"/>
      <c r="CRJ70" s="119"/>
      <c r="CRK70" s="119"/>
      <c r="CRL70" s="119"/>
      <c r="CRM70" s="119"/>
      <c r="CRN70" s="119"/>
      <c r="CRO70" s="119"/>
      <c r="CRP70" s="119"/>
      <c r="CRQ70" s="119"/>
      <c r="CRR70" s="119"/>
      <c r="CRS70" s="119"/>
      <c r="CRT70" s="119"/>
      <c r="CRU70" s="119"/>
      <c r="CRV70" s="119"/>
      <c r="CRW70" s="119"/>
      <c r="CRX70" s="119"/>
      <c r="CRY70" s="119"/>
      <c r="CRZ70" s="119"/>
      <c r="CSA70" s="119"/>
      <c r="CSB70" s="119"/>
      <c r="CSC70" s="119"/>
      <c r="CSD70" s="119"/>
      <c r="CSE70" s="119"/>
      <c r="CSF70" s="119"/>
      <c r="CSG70" s="119"/>
      <c r="CSH70" s="119"/>
      <c r="CSI70" s="119"/>
      <c r="CSJ70" s="119"/>
      <c r="CSK70" s="119"/>
      <c r="CSL70" s="119"/>
      <c r="CSM70" s="119"/>
      <c r="CSN70" s="119"/>
      <c r="CSO70" s="119"/>
      <c r="CSP70" s="119"/>
      <c r="CSQ70" s="119"/>
      <c r="CSR70" s="119"/>
      <c r="CSS70" s="119"/>
      <c r="CST70" s="119"/>
      <c r="CSU70" s="119"/>
      <c r="CSV70" s="119"/>
      <c r="CSW70" s="119"/>
      <c r="CSX70" s="119"/>
      <c r="CSY70" s="119"/>
      <c r="CSZ70" s="119"/>
      <c r="CTA70" s="119"/>
      <c r="CTB70" s="119"/>
      <c r="CTC70" s="119"/>
      <c r="CTD70" s="119"/>
      <c r="CTE70" s="119"/>
      <c r="CTF70" s="119"/>
      <c r="CTG70" s="119"/>
      <c r="CTH70" s="119"/>
      <c r="CTI70" s="119"/>
      <c r="CTJ70" s="119"/>
      <c r="CTK70" s="119"/>
      <c r="CTL70" s="119"/>
      <c r="CTM70" s="119"/>
      <c r="CTN70" s="119"/>
      <c r="CTO70" s="119"/>
      <c r="CTP70" s="119"/>
      <c r="CTQ70" s="119"/>
      <c r="CTR70" s="119"/>
      <c r="CTS70" s="119"/>
      <c r="CTT70" s="119"/>
      <c r="CTU70" s="119"/>
      <c r="CTV70" s="119"/>
      <c r="CTW70" s="119"/>
      <c r="CTX70" s="119"/>
      <c r="CTY70" s="119"/>
      <c r="CTZ70" s="119"/>
      <c r="CUA70" s="119"/>
      <c r="CUB70" s="119"/>
      <c r="CUC70" s="119"/>
      <c r="CUD70" s="119"/>
      <c r="CUE70" s="119"/>
      <c r="CUF70" s="119"/>
      <c r="CUG70" s="119"/>
      <c r="CUH70" s="119"/>
      <c r="CUI70" s="119"/>
      <c r="CUJ70" s="119"/>
      <c r="CUK70" s="119"/>
      <c r="CUL70" s="119"/>
      <c r="CUM70" s="119"/>
      <c r="CUN70" s="119"/>
      <c r="CUO70" s="119"/>
      <c r="CUP70" s="119"/>
      <c r="CUQ70" s="119"/>
      <c r="CUR70" s="119"/>
      <c r="CUS70" s="119"/>
      <c r="CUT70" s="119"/>
      <c r="CUU70" s="119"/>
      <c r="CUV70" s="119"/>
      <c r="CUW70" s="119"/>
      <c r="CUX70" s="119"/>
      <c r="CUY70" s="119"/>
      <c r="CUZ70" s="119"/>
      <c r="CVA70" s="119"/>
      <c r="CVB70" s="119"/>
      <c r="CVC70" s="119"/>
      <c r="CVD70" s="119"/>
      <c r="CVE70" s="119"/>
      <c r="CVF70" s="119"/>
      <c r="CVG70" s="119"/>
      <c r="CVH70" s="119"/>
      <c r="CVI70" s="119"/>
      <c r="CVJ70" s="119"/>
      <c r="CVK70" s="119"/>
      <c r="CVL70" s="119"/>
      <c r="CVM70" s="119"/>
      <c r="CVN70" s="119"/>
      <c r="CVO70" s="119"/>
      <c r="CVP70" s="119"/>
      <c r="CVQ70" s="119"/>
      <c r="CVR70" s="119"/>
      <c r="CVS70" s="119"/>
      <c r="CVT70" s="119"/>
      <c r="CVU70" s="119"/>
      <c r="CVV70" s="119"/>
      <c r="CVW70" s="119"/>
      <c r="CVX70" s="119"/>
      <c r="CVY70" s="119"/>
      <c r="CVZ70" s="119"/>
      <c r="CWA70" s="119"/>
      <c r="CWB70" s="119"/>
      <c r="CWC70" s="119"/>
      <c r="CWD70" s="119"/>
      <c r="CWE70" s="119"/>
      <c r="CWF70" s="119"/>
      <c r="CWG70" s="119"/>
      <c r="CWH70" s="119"/>
      <c r="CWI70" s="119"/>
      <c r="CWJ70" s="119"/>
      <c r="CWK70" s="119"/>
      <c r="CWL70" s="119"/>
      <c r="CWM70" s="119"/>
      <c r="CWN70" s="119"/>
      <c r="CWO70" s="119"/>
      <c r="CWP70" s="119"/>
      <c r="CWQ70" s="119"/>
      <c r="CWR70" s="119"/>
      <c r="CWS70" s="119"/>
      <c r="CWT70" s="119"/>
      <c r="CWU70" s="119"/>
      <c r="CWV70" s="119"/>
      <c r="CWW70" s="119"/>
      <c r="CWX70" s="119"/>
      <c r="CWY70" s="119"/>
      <c r="CWZ70" s="119"/>
      <c r="CXA70" s="119"/>
      <c r="CXB70" s="119"/>
      <c r="CXC70" s="119"/>
      <c r="CXD70" s="119"/>
      <c r="CXE70" s="119"/>
      <c r="CXF70" s="119"/>
      <c r="CXG70" s="119"/>
      <c r="CXH70" s="119"/>
      <c r="CXI70" s="119"/>
      <c r="CXJ70" s="119"/>
      <c r="CXK70" s="119"/>
      <c r="CXL70" s="119"/>
      <c r="CXM70" s="119"/>
      <c r="CXN70" s="119"/>
      <c r="CXO70" s="119"/>
      <c r="CXP70" s="119"/>
      <c r="CXQ70" s="119"/>
      <c r="CXR70" s="119"/>
      <c r="CXS70" s="119"/>
      <c r="CXT70" s="119"/>
      <c r="CXU70" s="119"/>
      <c r="CXV70" s="119"/>
      <c r="CXW70" s="119"/>
      <c r="CXX70" s="119"/>
      <c r="CXY70" s="119"/>
      <c r="CXZ70" s="119"/>
      <c r="CYA70" s="119"/>
      <c r="CYB70" s="119"/>
      <c r="CYC70" s="119"/>
      <c r="CYD70" s="119"/>
      <c r="CYE70" s="119"/>
      <c r="CYF70" s="119"/>
      <c r="CYG70" s="119"/>
      <c r="CYH70" s="119"/>
      <c r="CYI70" s="119"/>
      <c r="CYJ70" s="119"/>
      <c r="CYK70" s="119"/>
      <c r="CYL70" s="119"/>
      <c r="CYM70" s="119"/>
      <c r="CYN70" s="119"/>
      <c r="CYO70" s="119"/>
      <c r="CYP70" s="119"/>
      <c r="CYQ70" s="119"/>
      <c r="CYR70" s="119"/>
      <c r="CYS70" s="119"/>
      <c r="CYT70" s="119"/>
      <c r="CYU70" s="119"/>
      <c r="CYV70" s="119"/>
      <c r="CYW70" s="119"/>
      <c r="CYX70" s="119"/>
      <c r="CYY70" s="119"/>
      <c r="CYZ70" s="119"/>
      <c r="CZA70" s="119"/>
      <c r="CZB70" s="119"/>
      <c r="CZC70" s="119"/>
      <c r="CZD70" s="119"/>
      <c r="CZE70" s="119"/>
      <c r="CZF70" s="119"/>
      <c r="CZG70" s="119"/>
      <c r="CZH70" s="119"/>
      <c r="CZI70" s="119"/>
      <c r="CZJ70" s="119"/>
      <c r="CZK70" s="119"/>
      <c r="CZL70" s="119"/>
      <c r="CZM70" s="119"/>
      <c r="CZN70" s="119"/>
      <c r="CZO70" s="119"/>
      <c r="CZP70" s="119"/>
      <c r="CZQ70" s="119"/>
      <c r="CZR70" s="119"/>
      <c r="CZS70" s="119"/>
      <c r="CZT70" s="119"/>
      <c r="CZU70" s="119"/>
      <c r="CZV70" s="119"/>
      <c r="CZW70" s="119"/>
      <c r="CZX70" s="119"/>
      <c r="CZY70" s="119"/>
      <c r="CZZ70" s="119"/>
      <c r="DAA70" s="119"/>
      <c r="DAB70" s="119"/>
      <c r="DAC70" s="119"/>
      <c r="DAD70" s="119"/>
      <c r="DAE70" s="119"/>
      <c r="DAF70" s="119"/>
      <c r="DAG70" s="119"/>
      <c r="DAH70" s="119"/>
      <c r="DAI70" s="119"/>
      <c r="DAJ70" s="119"/>
      <c r="DAK70" s="119"/>
      <c r="DAL70" s="119"/>
      <c r="DAM70" s="119"/>
      <c r="DAN70" s="119"/>
      <c r="DAO70" s="119"/>
      <c r="DAP70" s="119"/>
      <c r="DAQ70" s="119"/>
      <c r="DAR70" s="119"/>
      <c r="DAS70" s="119"/>
      <c r="DAT70" s="119"/>
      <c r="DAU70" s="119"/>
      <c r="DAV70" s="119"/>
      <c r="DAW70" s="119"/>
      <c r="DAX70" s="119"/>
      <c r="DAY70" s="119"/>
      <c r="DAZ70" s="119"/>
      <c r="DBA70" s="119"/>
      <c r="DBB70" s="119"/>
      <c r="DBC70" s="119"/>
      <c r="DBD70" s="119"/>
      <c r="DBE70" s="119"/>
      <c r="DBF70" s="119"/>
      <c r="DBG70" s="119"/>
      <c r="DBH70" s="119"/>
      <c r="DBI70" s="119"/>
      <c r="DBJ70" s="119"/>
      <c r="DBK70" s="119"/>
      <c r="DBL70" s="119"/>
      <c r="DBM70" s="119"/>
      <c r="DBN70" s="119"/>
      <c r="DBO70" s="119"/>
      <c r="DBP70" s="119"/>
      <c r="DBQ70" s="119"/>
      <c r="DBR70" s="119"/>
      <c r="DBS70" s="119"/>
      <c r="DBT70" s="119"/>
      <c r="DBU70" s="119"/>
      <c r="DBV70" s="119"/>
      <c r="DBW70" s="119"/>
      <c r="DBX70" s="119"/>
      <c r="DBY70" s="119"/>
      <c r="DBZ70" s="119"/>
      <c r="DCA70" s="119"/>
      <c r="DCB70" s="119"/>
      <c r="DCC70" s="119"/>
      <c r="DCD70" s="119"/>
      <c r="DCE70" s="119"/>
      <c r="DCF70" s="119"/>
      <c r="DCG70" s="119"/>
      <c r="DCH70" s="119"/>
      <c r="DCI70" s="119"/>
      <c r="DCJ70" s="119"/>
      <c r="DCK70" s="119"/>
      <c r="DCL70" s="119"/>
      <c r="DCM70" s="119"/>
      <c r="DCN70" s="119"/>
      <c r="DCO70" s="119"/>
      <c r="DCP70" s="119"/>
      <c r="DCQ70" s="119"/>
      <c r="DCR70" s="119"/>
      <c r="DCS70" s="119"/>
      <c r="DCT70" s="119"/>
      <c r="DCU70" s="119"/>
      <c r="DCV70" s="119"/>
      <c r="DCW70" s="119"/>
      <c r="DCX70" s="119"/>
      <c r="DCY70" s="119"/>
      <c r="DCZ70" s="119"/>
      <c r="DDA70" s="119"/>
      <c r="DDB70" s="119"/>
      <c r="DDC70" s="119"/>
      <c r="DDD70" s="119"/>
      <c r="DDE70" s="119"/>
      <c r="DDF70" s="119"/>
      <c r="DDG70" s="119"/>
      <c r="DDH70" s="119"/>
      <c r="DDI70" s="119"/>
      <c r="DDJ70" s="119"/>
      <c r="DDK70" s="119"/>
      <c r="DDL70" s="119"/>
      <c r="DDM70" s="119"/>
      <c r="DDN70" s="119"/>
      <c r="DDO70" s="119"/>
      <c r="DDP70" s="119"/>
      <c r="DDQ70" s="119"/>
      <c r="DDR70" s="119"/>
      <c r="DDS70" s="119"/>
      <c r="DDT70" s="119"/>
      <c r="DDU70" s="119"/>
      <c r="DDV70" s="119"/>
      <c r="DDW70" s="119"/>
      <c r="DDX70" s="119"/>
      <c r="DDY70" s="119"/>
      <c r="DDZ70" s="119"/>
      <c r="DEA70" s="119"/>
      <c r="DEB70" s="119"/>
      <c r="DEC70" s="119"/>
      <c r="DED70" s="119"/>
      <c r="DEE70" s="119"/>
      <c r="DEF70" s="119"/>
      <c r="DEG70" s="119"/>
      <c r="DEH70" s="119"/>
      <c r="DEI70" s="119"/>
      <c r="DEJ70" s="119"/>
      <c r="DEK70" s="119"/>
      <c r="DEL70" s="119"/>
      <c r="DEM70" s="119"/>
      <c r="DEN70" s="119"/>
      <c r="DEO70" s="119"/>
      <c r="DEP70" s="119"/>
      <c r="DEQ70" s="119"/>
      <c r="DER70" s="119"/>
      <c r="DES70" s="119"/>
      <c r="DET70" s="119"/>
      <c r="DEU70" s="119"/>
      <c r="DEV70" s="119"/>
      <c r="DEW70" s="119"/>
      <c r="DEX70" s="119"/>
      <c r="DEY70" s="119"/>
      <c r="DEZ70" s="119"/>
      <c r="DFA70" s="119"/>
      <c r="DFB70" s="119"/>
      <c r="DFC70" s="119"/>
      <c r="DFD70" s="119"/>
      <c r="DFE70" s="119"/>
      <c r="DFF70" s="119"/>
      <c r="DFG70" s="119"/>
      <c r="DFH70" s="119"/>
      <c r="DFI70" s="119"/>
      <c r="DFJ70" s="119"/>
      <c r="DFK70" s="119"/>
      <c r="DFL70" s="119"/>
      <c r="DFM70" s="119"/>
      <c r="DFN70" s="119"/>
      <c r="DFO70" s="119"/>
      <c r="DFP70" s="119"/>
      <c r="DFQ70" s="119"/>
      <c r="DFR70" s="119"/>
      <c r="DFS70" s="119"/>
      <c r="DFT70" s="119"/>
      <c r="DFU70" s="119"/>
      <c r="DFV70" s="119"/>
      <c r="DFW70" s="119"/>
      <c r="DFX70" s="119"/>
      <c r="DFY70" s="119"/>
      <c r="DFZ70" s="119"/>
      <c r="DGA70" s="119"/>
      <c r="DGB70" s="119"/>
      <c r="DGC70" s="119"/>
      <c r="DGD70" s="119"/>
      <c r="DGE70" s="119"/>
      <c r="DGF70" s="119"/>
      <c r="DGG70" s="119"/>
      <c r="DGH70" s="119"/>
      <c r="DGI70" s="119"/>
      <c r="DGJ70" s="119"/>
      <c r="DGK70" s="119"/>
      <c r="DGL70" s="119"/>
      <c r="DGM70" s="119"/>
      <c r="DGN70" s="119"/>
      <c r="DGO70" s="119"/>
      <c r="DGP70" s="119"/>
      <c r="DGQ70" s="119"/>
      <c r="DGR70" s="119"/>
      <c r="DGS70" s="119"/>
      <c r="DGT70" s="119"/>
      <c r="DGU70" s="119"/>
      <c r="DGV70" s="119"/>
      <c r="DGW70" s="119"/>
      <c r="DGX70" s="119"/>
      <c r="DGY70" s="119"/>
      <c r="DGZ70" s="119"/>
      <c r="DHA70" s="119"/>
      <c r="DHB70" s="119"/>
      <c r="DHC70" s="119"/>
      <c r="DHD70" s="119"/>
      <c r="DHE70" s="119"/>
      <c r="DHF70" s="119"/>
      <c r="DHG70" s="119"/>
      <c r="DHH70" s="119"/>
      <c r="DHI70" s="119"/>
      <c r="DHJ70" s="119"/>
      <c r="DHK70" s="119"/>
      <c r="DHL70" s="119"/>
      <c r="DHM70" s="119"/>
      <c r="DHN70" s="119"/>
      <c r="DHO70" s="119"/>
      <c r="DHP70" s="119"/>
      <c r="DHQ70" s="119"/>
      <c r="DHR70" s="119"/>
      <c r="DHS70" s="119"/>
      <c r="DHT70" s="119"/>
      <c r="DHU70" s="119"/>
      <c r="DHV70" s="119"/>
      <c r="DHW70" s="119"/>
      <c r="DHX70" s="119"/>
      <c r="DHY70" s="119"/>
      <c r="DHZ70" s="119"/>
      <c r="DIA70" s="119"/>
      <c r="DIB70" s="119"/>
      <c r="DIC70" s="119"/>
      <c r="DID70" s="119"/>
      <c r="DIE70" s="119"/>
      <c r="DIF70" s="119"/>
      <c r="DIG70" s="119"/>
      <c r="DIH70" s="119"/>
      <c r="DII70" s="119"/>
      <c r="DIJ70" s="119"/>
      <c r="DIK70" s="119"/>
      <c r="DIL70" s="119"/>
      <c r="DIM70" s="119"/>
      <c r="DIN70" s="119"/>
      <c r="DIO70" s="119"/>
      <c r="DIP70" s="119"/>
      <c r="DIQ70" s="119"/>
      <c r="DIR70" s="119"/>
      <c r="DIS70" s="119"/>
      <c r="DIT70" s="119"/>
      <c r="DIU70" s="119"/>
      <c r="DIV70" s="119"/>
      <c r="DIW70" s="119"/>
      <c r="DIX70" s="119"/>
      <c r="DIY70" s="119"/>
      <c r="DIZ70" s="119"/>
      <c r="DJA70" s="119"/>
      <c r="DJB70" s="119"/>
      <c r="DJC70" s="119"/>
      <c r="DJD70" s="119"/>
      <c r="DJE70" s="119"/>
      <c r="DJF70" s="119"/>
      <c r="DJG70" s="119"/>
      <c r="DJH70" s="119"/>
      <c r="DJI70" s="119"/>
      <c r="DJJ70" s="119"/>
      <c r="DJK70" s="119"/>
      <c r="DJL70" s="119"/>
      <c r="DJM70" s="119"/>
      <c r="DJN70" s="119"/>
      <c r="DJO70" s="119"/>
      <c r="DJP70" s="119"/>
      <c r="DJQ70" s="119"/>
      <c r="DJR70" s="119"/>
      <c r="DJS70" s="119"/>
      <c r="DJT70" s="119"/>
      <c r="DJU70" s="119"/>
      <c r="DJV70" s="119"/>
      <c r="DJW70" s="119"/>
      <c r="DJX70" s="119"/>
      <c r="DJY70" s="119"/>
      <c r="DJZ70" s="119"/>
      <c r="DKA70" s="119"/>
      <c r="DKB70" s="119"/>
      <c r="DKC70" s="119"/>
      <c r="DKD70" s="119"/>
      <c r="DKE70" s="119"/>
      <c r="DKF70" s="119"/>
      <c r="DKG70" s="119"/>
      <c r="DKH70" s="119"/>
      <c r="DKI70" s="119"/>
      <c r="DKJ70" s="119"/>
      <c r="DKK70" s="119"/>
      <c r="DKL70" s="119"/>
      <c r="DKM70" s="119"/>
      <c r="DKN70" s="119"/>
      <c r="DKO70" s="119"/>
      <c r="DKP70" s="119"/>
      <c r="DKQ70" s="119"/>
      <c r="DKR70" s="119"/>
      <c r="DKS70" s="119"/>
      <c r="DKT70" s="119"/>
      <c r="DKU70" s="119"/>
      <c r="DKV70" s="119"/>
      <c r="DKW70" s="119"/>
      <c r="DKX70" s="119"/>
      <c r="DKY70" s="119"/>
      <c r="DKZ70" s="119"/>
      <c r="DLA70" s="119"/>
      <c r="DLB70" s="119"/>
      <c r="DLC70" s="119"/>
      <c r="DLD70" s="119"/>
      <c r="DLE70" s="119"/>
      <c r="DLF70" s="119"/>
      <c r="DLG70" s="119"/>
      <c r="DLH70" s="119"/>
      <c r="DLI70" s="119"/>
      <c r="DLJ70" s="119"/>
      <c r="DLK70" s="119"/>
      <c r="DLL70" s="119"/>
      <c r="DLM70" s="119"/>
      <c r="DLN70" s="119"/>
      <c r="DLO70" s="119"/>
      <c r="DLP70" s="119"/>
      <c r="DLQ70" s="119"/>
      <c r="DLR70" s="119"/>
      <c r="DLS70" s="119"/>
      <c r="DLT70" s="119"/>
      <c r="DLU70" s="119"/>
      <c r="DLV70" s="119"/>
      <c r="DLW70" s="119"/>
      <c r="DLX70" s="119"/>
      <c r="DLY70" s="119"/>
      <c r="DLZ70" s="119"/>
      <c r="DMA70" s="119"/>
      <c r="DMB70" s="119"/>
      <c r="DMC70" s="119"/>
      <c r="DMD70" s="119"/>
      <c r="DME70" s="119"/>
      <c r="DMF70" s="119"/>
      <c r="DMG70" s="119"/>
      <c r="DMH70" s="119"/>
      <c r="DMI70" s="119"/>
      <c r="DMJ70" s="119"/>
      <c r="DMK70" s="119"/>
      <c r="DML70" s="119"/>
      <c r="DMM70" s="119"/>
      <c r="DMN70" s="119"/>
      <c r="DMO70" s="119"/>
      <c r="DMP70" s="119"/>
      <c r="DMQ70" s="119"/>
      <c r="DMR70" s="119"/>
      <c r="DMS70" s="119"/>
      <c r="DMT70" s="119"/>
      <c r="DMU70" s="119"/>
      <c r="DMV70" s="119"/>
      <c r="DMW70" s="119"/>
      <c r="DMX70" s="119"/>
      <c r="DMY70" s="119"/>
      <c r="DMZ70" s="119"/>
      <c r="DNA70" s="119"/>
      <c r="DNB70" s="119"/>
      <c r="DNC70" s="119"/>
      <c r="DND70" s="119"/>
      <c r="DNE70" s="119"/>
      <c r="DNF70" s="119"/>
      <c r="DNG70" s="119"/>
      <c r="DNH70" s="119"/>
      <c r="DNI70" s="119"/>
      <c r="DNJ70" s="119"/>
      <c r="DNK70" s="119"/>
      <c r="DNL70" s="119"/>
      <c r="DNM70" s="119"/>
      <c r="DNN70" s="119"/>
      <c r="DNO70" s="119"/>
      <c r="DNP70" s="119"/>
      <c r="DNQ70" s="119"/>
      <c r="DNR70" s="119"/>
      <c r="DNS70" s="119"/>
      <c r="DNT70" s="119"/>
      <c r="DNU70" s="119"/>
      <c r="DNV70" s="119"/>
      <c r="DNW70" s="119"/>
      <c r="DNX70" s="119"/>
      <c r="DNY70" s="119"/>
      <c r="DNZ70" s="119"/>
      <c r="DOA70" s="119"/>
      <c r="DOB70" s="119"/>
      <c r="DOC70" s="119"/>
      <c r="DOD70" s="119"/>
      <c r="DOE70" s="119"/>
      <c r="DOF70" s="119"/>
      <c r="DOG70" s="119"/>
      <c r="DOH70" s="119"/>
      <c r="DOI70" s="119"/>
      <c r="DOJ70" s="119"/>
      <c r="DOK70" s="119"/>
      <c r="DOL70" s="119"/>
      <c r="DOM70" s="119"/>
      <c r="DON70" s="119"/>
      <c r="DOO70" s="119"/>
      <c r="DOP70" s="119"/>
      <c r="DOQ70" s="119"/>
      <c r="DOR70" s="119"/>
      <c r="DOS70" s="119"/>
      <c r="DOT70" s="119"/>
      <c r="DOU70" s="119"/>
      <c r="DOV70" s="119"/>
      <c r="DOW70" s="119"/>
      <c r="DOX70" s="119"/>
      <c r="DOY70" s="119"/>
      <c r="DOZ70" s="119"/>
      <c r="DPA70" s="119"/>
      <c r="DPB70" s="119"/>
      <c r="DPC70" s="119"/>
      <c r="DPD70" s="119"/>
      <c r="DPE70" s="119"/>
      <c r="DPF70" s="119"/>
      <c r="DPG70" s="119"/>
      <c r="DPH70" s="119"/>
      <c r="DPI70" s="119"/>
      <c r="DPJ70" s="119"/>
      <c r="DPK70" s="119"/>
      <c r="DPL70" s="119"/>
      <c r="DPM70" s="119"/>
      <c r="DPN70" s="119"/>
      <c r="DPO70" s="119"/>
      <c r="DPP70" s="119"/>
      <c r="DPQ70" s="119"/>
      <c r="DPR70" s="119"/>
      <c r="DPS70" s="119"/>
      <c r="DPT70" s="119"/>
      <c r="DPU70" s="119"/>
      <c r="DPV70" s="119"/>
      <c r="DPW70" s="119"/>
      <c r="DPX70" s="119"/>
      <c r="DPY70" s="119"/>
      <c r="DPZ70" s="119"/>
      <c r="DQA70" s="119"/>
      <c r="DQB70" s="119"/>
      <c r="DQC70" s="119"/>
      <c r="DQD70" s="119"/>
      <c r="DQE70" s="119"/>
      <c r="DQF70" s="119"/>
      <c r="DQG70" s="119"/>
      <c r="DQH70" s="119"/>
      <c r="DQI70" s="119"/>
      <c r="DQJ70" s="119"/>
      <c r="DQK70" s="119"/>
      <c r="DQL70" s="119"/>
      <c r="DQM70" s="119"/>
      <c r="DQN70" s="119"/>
      <c r="DQO70" s="119"/>
      <c r="DQP70" s="119"/>
      <c r="DQQ70" s="119"/>
      <c r="DQR70" s="119"/>
      <c r="DQS70" s="119"/>
      <c r="DQT70" s="119"/>
      <c r="DQU70" s="119"/>
      <c r="DQV70" s="119"/>
      <c r="DQW70" s="119"/>
      <c r="DQX70" s="119"/>
      <c r="DQY70" s="119"/>
      <c r="DQZ70" s="119"/>
      <c r="DRA70" s="119"/>
      <c r="DRB70" s="119"/>
      <c r="DRC70" s="119"/>
      <c r="DRD70" s="119"/>
      <c r="DRE70" s="119"/>
      <c r="DRF70" s="119"/>
      <c r="DRG70" s="119"/>
      <c r="DRH70" s="119"/>
      <c r="DRI70" s="119"/>
      <c r="DRJ70" s="119"/>
      <c r="DRK70" s="119"/>
      <c r="DRL70" s="119"/>
      <c r="DRM70" s="119"/>
      <c r="DRN70" s="119"/>
      <c r="DRO70" s="119"/>
      <c r="DRP70" s="119"/>
      <c r="DRQ70" s="119"/>
      <c r="DRR70" s="119"/>
      <c r="DRS70" s="119"/>
      <c r="DRT70" s="119"/>
      <c r="DRU70" s="119"/>
      <c r="DRV70" s="119"/>
      <c r="DRW70" s="119"/>
      <c r="DRX70" s="119"/>
      <c r="DRY70" s="119"/>
      <c r="DRZ70" s="119"/>
      <c r="DSA70" s="119"/>
      <c r="DSB70" s="119"/>
      <c r="DSC70" s="119"/>
      <c r="DSD70" s="119"/>
      <c r="DSE70" s="119"/>
      <c r="DSF70" s="119"/>
      <c r="DSG70" s="119"/>
      <c r="DSH70" s="119"/>
      <c r="DSI70" s="119"/>
      <c r="DSJ70" s="119"/>
      <c r="DSK70" s="119"/>
      <c r="DSL70" s="119"/>
      <c r="DSM70" s="119"/>
      <c r="DSN70" s="119"/>
      <c r="DSO70" s="119"/>
      <c r="DSP70" s="119"/>
      <c r="DSQ70" s="119"/>
      <c r="DSR70" s="119"/>
      <c r="DSS70" s="119"/>
      <c r="DST70" s="119"/>
      <c r="DSU70" s="119"/>
      <c r="DSV70" s="119"/>
      <c r="DSW70" s="119"/>
      <c r="DSX70" s="119"/>
      <c r="DSY70" s="119"/>
      <c r="DSZ70" s="119"/>
      <c r="DTA70" s="119"/>
      <c r="DTB70" s="119"/>
      <c r="DTC70" s="119"/>
      <c r="DTD70" s="119"/>
      <c r="DTE70" s="119"/>
      <c r="DTF70" s="119"/>
      <c r="DTG70" s="119"/>
      <c r="DTH70" s="119"/>
      <c r="DTI70" s="119"/>
      <c r="DTJ70" s="119"/>
      <c r="DTK70" s="119"/>
      <c r="DTL70" s="119"/>
      <c r="DTM70" s="119"/>
      <c r="DTN70" s="119"/>
      <c r="DTO70" s="119"/>
      <c r="DTP70" s="119"/>
      <c r="DTQ70" s="119"/>
      <c r="DTR70" s="119"/>
      <c r="DTS70" s="119"/>
      <c r="DTT70" s="119"/>
      <c r="DTU70" s="119"/>
      <c r="DTV70" s="119"/>
      <c r="DTW70" s="119"/>
      <c r="DTX70" s="119"/>
      <c r="DTY70" s="119"/>
      <c r="DTZ70" s="119"/>
      <c r="DUA70" s="119"/>
      <c r="DUB70" s="119"/>
      <c r="DUC70" s="119"/>
      <c r="DUD70" s="119"/>
      <c r="DUE70" s="119"/>
      <c r="DUF70" s="119"/>
      <c r="DUG70" s="119"/>
      <c r="DUH70" s="119"/>
      <c r="DUI70" s="119"/>
      <c r="DUJ70" s="119"/>
      <c r="DUK70" s="119"/>
      <c r="DUL70" s="119"/>
      <c r="DUM70" s="119"/>
      <c r="DUN70" s="119"/>
      <c r="DUO70" s="119"/>
      <c r="DUP70" s="119"/>
      <c r="DUQ70" s="119"/>
      <c r="DUR70" s="119"/>
      <c r="DUS70" s="119"/>
      <c r="DUT70" s="119"/>
      <c r="DUU70" s="119"/>
      <c r="DUV70" s="119"/>
      <c r="DUW70" s="119"/>
      <c r="DUX70" s="119"/>
      <c r="DUY70" s="119"/>
      <c r="DUZ70" s="119"/>
      <c r="DVA70" s="119"/>
      <c r="DVB70" s="119"/>
      <c r="DVC70" s="119"/>
      <c r="DVD70" s="119"/>
      <c r="DVE70" s="119"/>
      <c r="DVF70" s="119"/>
      <c r="DVG70" s="119"/>
      <c r="DVH70" s="119"/>
      <c r="DVI70" s="119"/>
      <c r="DVJ70" s="119"/>
      <c r="DVK70" s="119"/>
      <c r="DVL70" s="119"/>
      <c r="DVM70" s="119"/>
      <c r="DVN70" s="119"/>
      <c r="DVO70" s="119"/>
      <c r="DVP70" s="119"/>
      <c r="DVQ70" s="119"/>
      <c r="DVR70" s="119"/>
      <c r="DVS70" s="119"/>
      <c r="DVT70" s="119"/>
      <c r="DVU70" s="119"/>
      <c r="DVV70" s="119"/>
      <c r="DVW70" s="119"/>
      <c r="DVX70" s="119"/>
      <c r="DVY70" s="119"/>
      <c r="DVZ70" s="119"/>
      <c r="DWA70" s="119"/>
      <c r="DWB70" s="119"/>
      <c r="DWC70" s="119"/>
      <c r="DWD70" s="119"/>
      <c r="DWE70" s="119"/>
      <c r="DWF70" s="119"/>
      <c r="DWG70" s="119"/>
      <c r="DWH70" s="119"/>
      <c r="DWI70" s="119"/>
      <c r="DWJ70" s="119"/>
      <c r="DWK70" s="119"/>
      <c r="DWL70" s="119"/>
      <c r="DWM70" s="119"/>
      <c r="DWN70" s="119"/>
      <c r="DWO70" s="119"/>
      <c r="DWP70" s="119"/>
      <c r="DWQ70" s="119"/>
      <c r="DWR70" s="119"/>
      <c r="DWS70" s="119"/>
      <c r="DWT70" s="119"/>
      <c r="DWU70" s="119"/>
      <c r="DWV70" s="119"/>
      <c r="DWW70" s="119"/>
      <c r="DWX70" s="119"/>
      <c r="DWY70" s="119"/>
      <c r="DWZ70" s="119"/>
      <c r="DXA70" s="119"/>
      <c r="DXB70" s="119"/>
      <c r="DXC70" s="119"/>
      <c r="DXD70" s="119"/>
      <c r="DXE70" s="119"/>
      <c r="DXF70" s="119"/>
      <c r="DXG70" s="119"/>
      <c r="DXH70" s="119"/>
      <c r="DXI70" s="119"/>
      <c r="DXJ70" s="119"/>
      <c r="DXK70" s="119"/>
      <c r="DXL70" s="119"/>
      <c r="DXM70" s="119"/>
      <c r="DXN70" s="119"/>
      <c r="DXO70" s="119"/>
      <c r="DXP70" s="119"/>
      <c r="DXQ70" s="119"/>
      <c r="DXR70" s="119"/>
      <c r="DXS70" s="119"/>
      <c r="DXT70" s="119"/>
      <c r="DXU70" s="119"/>
      <c r="DXV70" s="119"/>
      <c r="DXW70" s="119"/>
      <c r="DXX70" s="119"/>
      <c r="DXY70" s="119"/>
      <c r="DXZ70" s="119"/>
      <c r="DYA70" s="119"/>
      <c r="DYB70" s="119"/>
      <c r="DYC70" s="119"/>
      <c r="DYD70" s="119"/>
      <c r="DYE70" s="119"/>
      <c r="DYF70" s="119"/>
      <c r="DYG70" s="119"/>
      <c r="DYH70" s="119"/>
      <c r="DYI70" s="119"/>
      <c r="DYJ70" s="119"/>
      <c r="DYK70" s="119"/>
      <c r="DYL70" s="119"/>
      <c r="DYM70" s="119"/>
      <c r="DYN70" s="119"/>
      <c r="DYO70" s="119"/>
      <c r="DYP70" s="119"/>
      <c r="DYQ70" s="119"/>
      <c r="DYR70" s="119"/>
      <c r="DYS70" s="119"/>
      <c r="DYT70" s="119"/>
      <c r="DYU70" s="119"/>
      <c r="DYV70" s="119"/>
      <c r="DYW70" s="119"/>
      <c r="DYX70" s="119"/>
      <c r="DYY70" s="119"/>
      <c r="DYZ70" s="119"/>
      <c r="DZA70" s="119"/>
      <c r="DZB70" s="119"/>
      <c r="DZC70" s="119"/>
      <c r="DZD70" s="119"/>
      <c r="DZE70" s="119"/>
      <c r="DZF70" s="119"/>
      <c r="DZG70" s="119"/>
      <c r="DZH70" s="119"/>
      <c r="DZI70" s="119"/>
      <c r="DZJ70" s="119"/>
      <c r="DZK70" s="119"/>
      <c r="DZL70" s="119"/>
      <c r="DZM70" s="119"/>
      <c r="DZN70" s="119"/>
      <c r="DZO70" s="119"/>
      <c r="DZP70" s="119"/>
      <c r="DZQ70" s="119"/>
      <c r="DZR70" s="119"/>
      <c r="DZS70" s="119"/>
      <c r="DZT70" s="119"/>
      <c r="DZU70" s="119"/>
      <c r="DZV70" s="119"/>
      <c r="DZW70" s="119"/>
      <c r="DZX70" s="119"/>
      <c r="DZY70" s="119"/>
      <c r="DZZ70" s="119"/>
      <c r="EAA70" s="119"/>
      <c r="EAB70" s="119"/>
      <c r="EAC70" s="119"/>
      <c r="EAD70" s="119"/>
      <c r="EAE70" s="119"/>
      <c r="EAF70" s="119"/>
      <c r="EAG70" s="119"/>
      <c r="EAH70" s="119"/>
      <c r="EAI70" s="119"/>
      <c r="EAJ70" s="119"/>
      <c r="EAK70" s="119"/>
      <c r="EAL70" s="119"/>
      <c r="EAM70" s="119"/>
      <c r="EAN70" s="119"/>
      <c r="EAO70" s="119"/>
      <c r="EAP70" s="119"/>
      <c r="EAQ70" s="119"/>
      <c r="EAR70" s="119"/>
      <c r="EAS70" s="119"/>
      <c r="EAT70" s="119"/>
      <c r="EAU70" s="119"/>
      <c r="EAV70" s="119"/>
      <c r="EAW70" s="119"/>
      <c r="EAX70" s="119"/>
      <c r="EAY70" s="119"/>
      <c r="EAZ70" s="119"/>
      <c r="EBA70" s="119"/>
      <c r="EBB70" s="119"/>
      <c r="EBC70" s="119"/>
      <c r="EBD70" s="119"/>
      <c r="EBE70" s="119"/>
      <c r="EBF70" s="119"/>
      <c r="EBG70" s="119"/>
      <c r="EBH70" s="119"/>
      <c r="EBI70" s="119"/>
      <c r="EBJ70" s="119"/>
      <c r="EBK70" s="119"/>
      <c r="EBL70" s="119"/>
      <c r="EBM70" s="119"/>
      <c r="EBN70" s="119"/>
      <c r="EBO70" s="119"/>
      <c r="EBP70" s="119"/>
      <c r="EBQ70" s="119"/>
      <c r="EBR70" s="119"/>
      <c r="EBS70" s="119"/>
      <c r="EBT70" s="119"/>
      <c r="EBU70" s="119"/>
      <c r="EBV70" s="119"/>
      <c r="EBW70" s="119"/>
      <c r="EBX70" s="119"/>
      <c r="EBY70" s="119"/>
      <c r="EBZ70" s="119"/>
      <c r="ECA70" s="119"/>
      <c r="ECB70" s="119"/>
      <c r="ECC70" s="119"/>
      <c r="ECD70" s="119"/>
      <c r="ECE70" s="119"/>
      <c r="ECF70" s="119"/>
      <c r="ECG70" s="119"/>
      <c r="ECH70" s="119"/>
      <c r="ECI70" s="119"/>
      <c r="ECJ70" s="119"/>
      <c r="ECK70" s="119"/>
      <c r="ECL70" s="119"/>
      <c r="ECM70" s="119"/>
      <c r="ECN70" s="119"/>
      <c r="ECO70" s="119"/>
      <c r="ECP70" s="119"/>
      <c r="ECQ70" s="119"/>
      <c r="ECR70" s="119"/>
      <c r="ECS70" s="119"/>
      <c r="ECT70" s="119"/>
      <c r="ECU70" s="119"/>
      <c r="ECV70" s="119"/>
      <c r="ECW70" s="119"/>
      <c r="ECX70" s="119"/>
      <c r="ECY70" s="119"/>
      <c r="ECZ70" s="119"/>
      <c r="EDA70" s="119"/>
      <c r="EDB70" s="119"/>
      <c r="EDC70" s="119"/>
      <c r="EDD70" s="119"/>
      <c r="EDE70" s="119"/>
      <c r="EDF70" s="119"/>
      <c r="EDG70" s="119"/>
      <c r="EDH70" s="119"/>
      <c r="EDI70" s="119"/>
      <c r="EDJ70" s="119"/>
      <c r="EDK70" s="119"/>
      <c r="EDL70" s="119"/>
      <c r="EDM70" s="119"/>
      <c r="EDN70" s="119"/>
      <c r="EDO70" s="119"/>
      <c r="EDP70" s="119"/>
      <c r="EDQ70" s="119"/>
      <c r="EDR70" s="119"/>
      <c r="EDS70" s="119"/>
      <c r="EDT70" s="119"/>
      <c r="EDU70" s="119"/>
      <c r="EDV70" s="119"/>
      <c r="EDW70" s="119"/>
      <c r="EDX70" s="119"/>
      <c r="EDY70" s="119"/>
      <c r="EDZ70" s="119"/>
      <c r="EEA70" s="119"/>
      <c r="EEB70" s="119"/>
      <c r="EEC70" s="119"/>
      <c r="EED70" s="119"/>
      <c r="EEE70" s="119"/>
      <c r="EEF70" s="119"/>
      <c r="EEG70" s="119"/>
      <c r="EEH70" s="119"/>
      <c r="EEI70" s="119"/>
      <c r="EEJ70" s="119"/>
      <c r="EEK70" s="119"/>
      <c r="EEL70" s="119"/>
      <c r="EEM70" s="119"/>
      <c r="EEN70" s="119"/>
      <c r="EEO70" s="119"/>
      <c r="EEP70" s="119"/>
      <c r="EEQ70" s="119"/>
      <c r="EER70" s="119"/>
      <c r="EES70" s="119"/>
      <c r="EET70" s="119"/>
      <c r="EEU70" s="119"/>
      <c r="EEV70" s="119"/>
      <c r="EEW70" s="119"/>
      <c r="EEX70" s="119"/>
      <c r="EEY70" s="119"/>
      <c r="EEZ70" s="119"/>
      <c r="EFA70" s="119"/>
      <c r="EFB70" s="119"/>
      <c r="EFC70" s="119"/>
      <c r="EFD70" s="119"/>
      <c r="EFE70" s="119"/>
      <c r="EFF70" s="119"/>
      <c r="EFG70" s="119"/>
      <c r="EFH70" s="119"/>
      <c r="EFI70" s="119"/>
      <c r="EFJ70" s="119"/>
      <c r="EFK70" s="119"/>
      <c r="EFL70" s="119"/>
      <c r="EFM70" s="119"/>
      <c r="EFN70" s="119"/>
      <c r="EFO70" s="119"/>
      <c r="EFP70" s="119"/>
      <c r="EFQ70" s="119"/>
      <c r="EFR70" s="119"/>
      <c r="EFS70" s="119"/>
      <c r="EFT70" s="119"/>
      <c r="EFU70" s="119"/>
      <c r="EFV70" s="119"/>
      <c r="EFW70" s="119"/>
      <c r="EFX70" s="119"/>
      <c r="EFY70" s="119"/>
      <c r="EFZ70" s="119"/>
      <c r="EGA70" s="119"/>
      <c r="EGB70" s="119"/>
      <c r="EGC70" s="119"/>
      <c r="EGD70" s="119"/>
      <c r="EGE70" s="119"/>
      <c r="EGF70" s="119"/>
      <c r="EGG70" s="119"/>
      <c r="EGH70" s="119"/>
      <c r="EGI70" s="119"/>
      <c r="EGJ70" s="119"/>
      <c r="EGK70" s="119"/>
      <c r="EGL70" s="119"/>
      <c r="EGM70" s="119"/>
      <c r="EGN70" s="119"/>
      <c r="EGO70" s="119"/>
      <c r="EGP70" s="119"/>
      <c r="EGQ70" s="119"/>
      <c r="EGR70" s="119"/>
      <c r="EGS70" s="119"/>
      <c r="EGT70" s="119"/>
      <c r="EGU70" s="119"/>
      <c r="EGV70" s="119"/>
      <c r="EGW70" s="119"/>
      <c r="EGX70" s="119"/>
      <c r="EGY70" s="119"/>
      <c r="EGZ70" s="119"/>
      <c r="EHA70" s="119"/>
      <c r="EHB70" s="119"/>
      <c r="EHC70" s="119"/>
      <c r="EHD70" s="119"/>
      <c r="EHE70" s="119"/>
      <c r="EHF70" s="119"/>
      <c r="EHG70" s="119"/>
      <c r="EHH70" s="119"/>
      <c r="EHI70" s="119"/>
      <c r="EHJ70" s="119"/>
      <c r="EHK70" s="119"/>
      <c r="EHL70" s="119"/>
      <c r="EHM70" s="119"/>
      <c r="EHN70" s="119"/>
      <c r="EHO70" s="119"/>
      <c r="EHP70" s="119"/>
      <c r="EHQ70" s="119"/>
      <c r="EHR70" s="119"/>
      <c r="EHS70" s="119"/>
      <c r="EHT70" s="119"/>
      <c r="EHU70" s="119"/>
      <c r="EHV70" s="119"/>
      <c r="EHW70" s="119"/>
      <c r="EHX70" s="119"/>
      <c r="EHY70" s="119"/>
      <c r="EHZ70" s="119"/>
      <c r="EIA70" s="119"/>
      <c r="EIB70" s="119"/>
      <c r="EIC70" s="119"/>
      <c r="EID70" s="119"/>
      <c r="EIE70" s="119"/>
      <c r="EIF70" s="119"/>
      <c r="EIG70" s="119"/>
      <c r="EIH70" s="119"/>
      <c r="EII70" s="119"/>
      <c r="EIJ70" s="119"/>
      <c r="EIK70" s="119"/>
      <c r="EIL70" s="119"/>
      <c r="EIM70" s="119"/>
      <c r="EIN70" s="119"/>
      <c r="EIO70" s="119"/>
      <c r="EIP70" s="119"/>
      <c r="EIQ70" s="119"/>
      <c r="EIR70" s="119"/>
      <c r="EIS70" s="119"/>
      <c r="EIT70" s="119"/>
      <c r="EIU70" s="119"/>
      <c r="EIV70" s="119"/>
      <c r="EIW70" s="119"/>
      <c r="EIX70" s="119"/>
      <c r="EIY70" s="119"/>
      <c r="EIZ70" s="119"/>
      <c r="EJA70" s="119"/>
      <c r="EJB70" s="119"/>
      <c r="EJC70" s="119"/>
      <c r="EJD70" s="119"/>
      <c r="EJE70" s="119"/>
      <c r="EJF70" s="119"/>
      <c r="EJG70" s="119"/>
      <c r="EJH70" s="119"/>
      <c r="EJI70" s="119"/>
      <c r="EJJ70" s="119"/>
      <c r="EJK70" s="119"/>
      <c r="EJL70" s="119"/>
      <c r="EJM70" s="119"/>
      <c r="EJN70" s="119"/>
      <c r="EJO70" s="119"/>
      <c r="EJP70" s="119"/>
      <c r="EJQ70" s="119"/>
      <c r="EJR70" s="119"/>
      <c r="EJS70" s="119"/>
      <c r="EJT70" s="119"/>
      <c r="EJU70" s="119"/>
      <c r="EJV70" s="119"/>
      <c r="EJW70" s="119"/>
      <c r="EJX70" s="119"/>
      <c r="EJY70" s="119"/>
      <c r="EJZ70" s="119"/>
      <c r="EKA70" s="119"/>
      <c r="EKB70" s="119"/>
      <c r="EKC70" s="119"/>
      <c r="EKD70" s="119"/>
      <c r="EKE70" s="119"/>
      <c r="EKF70" s="119"/>
      <c r="EKG70" s="119"/>
      <c r="EKH70" s="119"/>
      <c r="EKI70" s="119"/>
      <c r="EKJ70" s="119"/>
      <c r="EKK70" s="119"/>
      <c r="EKL70" s="119"/>
      <c r="EKM70" s="119"/>
      <c r="EKN70" s="119"/>
      <c r="EKO70" s="119"/>
      <c r="EKP70" s="119"/>
      <c r="EKQ70" s="119"/>
      <c r="EKR70" s="119"/>
      <c r="EKS70" s="119"/>
      <c r="EKT70" s="119"/>
      <c r="EKU70" s="119"/>
      <c r="EKV70" s="119"/>
      <c r="EKW70" s="119"/>
      <c r="EKX70" s="119"/>
      <c r="EKY70" s="119"/>
      <c r="EKZ70" s="119"/>
      <c r="ELA70" s="119"/>
      <c r="ELB70" s="119"/>
      <c r="ELC70" s="119"/>
      <c r="ELD70" s="119"/>
      <c r="ELE70" s="119"/>
      <c r="ELF70" s="119"/>
      <c r="ELG70" s="119"/>
      <c r="ELH70" s="119"/>
      <c r="ELI70" s="119"/>
      <c r="ELJ70" s="119"/>
      <c r="ELK70" s="119"/>
      <c r="ELL70" s="119"/>
      <c r="ELM70" s="119"/>
      <c r="ELN70" s="119"/>
      <c r="ELO70" s="119"/>
      <c r="ELP70" s="119"/>
      <c r="ELQ70" s="119"/>
      <c r="ELR70" s="119"/>
      <c r="ELS70" s="119"/>
      <c r="ELT70" s="119"/>
      <c r="ELU70" s="119"/>
      <c r="ELV70" s="119"/>
      <c r="ELW70" s="119"/>
      <c r="ELX70" s="119"/>
      <c r="ELY70" s="119"/>
      <c r="ELZ70" s="119"/>
      <c r="EMA70" s="119"/>
      <c r="EMB70" s="119"/>
      <c r="EMC70" s="119"/>
      <c r="EMD70" s="119"/>
      <c r="EME70" s="119"/>
      <c r="EMF70" s="119"/>
      <c r="EMG70" s="119"/>
      <c r="EMH70" s="119"/>
      <c r="EMI70" s="119"/>
      <c r="EMJ70" s="119"/>
      <c r="EMK70" s="119"/>
      <c r="EML70" s="119"/>
      <c r="EMM70" s="119"/>
      <c r="EMN70" s="119"/>
      <c r="EMO70" s="119"/>
      <c r="EMP70" s="119"/>
      <c r="EMQ70" s="119"/>
      <c r="EMR70" s="119"/>
      <c r="EMS70" s="119"/>
      <c r="EMT70" s="119"/>
      <c r="EMU70" s="119"/>
      <c r="EMV70" s="119"/>
      <c r="EMW70" s="119"/>
      <c r="EMX70" s="119"/>
      <c r="EMY70" s="119"/>
      <c r="EMZ70" s="119"/>
      <c r="ENA70" s="119"/>
      <c r="ENB70" s="119"/>
      <c r="ENC70" s="119"/>
      <c r="END70" s="119"/>
      <c r="ENE70" s="119"/>
      <c r="ENF70" s="119"/>
      <c r="ENG70" s="119"/>
      <c r="ENH70" s="119"/>
      <c r="ENI70" s="119"/>
      <c r="ENJ70" s="119"/>
      <c r="ENK70" s="119"/>
      <c r="ENL70" s="119"/>
      <c r="ENM70" s="119"/>
      <c r="ENN70" s="119"/>
      <c r="ENO70" s="119"/>
      <c r="ENP70" s="119"/>
      <c r="ENQ70" s="119"/>
      <c r="ENR70" s="119"/>
      <c r="ENS70" s="119"/>
      <c r="ENT70" s="119"/>
      <c r="ENU70" s="119"/>
      <c r="ENV70" s="119"/>
      <c r="ENW70" s="119"/>
      <c r="ENX70" s="119"/>
      <c r="ENY70" s="119"/>
      <c r="ENZ70" s="119"/>
      <c r="EOA70" s="119"/>
      <c r="EOB70" s="119"/>
      <c r="EOC70" s="119"/>
      <c r="EOD70" s="119"/>
      <c r="EOE70" s="119"/>
      <c r="EOF70" s="119"/>
      <c r="EOG70" s="119"/>
      <c r="EOH70" s="119"/>
      <c r="EOI70" s="119"/>
      <c r="EOJ70" s="119"/>
      <c r="EOK70" s="119"/>
      <c r="EOL70" s="119"/>
      <c r="EOM70" s="119"/>
      <c r="EON70" s="119"/>
      <c r="EOO70" s="119"/>
      <c r="EOP70" s="119"/>
      <c r="EOQ70" s="119"/>
      <c r="EOR70" s="119"/>
      <c r="EOS70" s="119"/>
      <c r="EOT70" s="119"/>
      <c r="EOU70" s="119"/>
      <c r="EOV70" s="119"/>
      <c r="EOW70" s="119"/>
      <c r="EOX70" s="119"/>
      <c r="EOY70" s="119"/>
      <c r="EOZ70" s="119"/>
      <c r="EPA70" s="119"/>
      <c r="EPB70" s="119"/>
      <c r="EPC70" s="119"/>
      <c r="EPD70" s="119"/>
      <c r="EPE70" s="119"/>
      <c r="EPF70" s="119"/>
      <c r="EPG70" s="119"/>
      <c r="EPH70" s="119"/>
      <c r="EPI70" s="119"/>
      <c r="EPJ70" s="119"/>
      <c r="EPK70" s="119"/>
      <c r="EPL70" s="119"/>
      <c r="EPM70" s="119"/>
      <c r="EPN70" s="119"/>
      <c r="EPO70" s="119"/>
      <c r="EPP70" s="119"/>
      <c r="EPQ70" s="119"/>
      <c r="EPR70" s="119"/>
      <c r="EPS70" s="119"/>
      <c r="EPT70" s="119"/>
      <c r="EPU70" s="119"/>
      <c r="EPV70" s="119"/>
      <c r="EPW70" s="119"/>
      <c r="EPX70" s="119"/>
      <c r="EPY70" s="119"/>
      <c r="EPZ70" s="119"/>
      <c r="EQA70" s="119"/>
      <c r="EQB70" s="119"/>
      <c r="EQC70" s="119"/>
      <c r="EQD70" s="119"/>
      <c r="EQE70" s="119"/>
      <c r="EQF70" s="119"/>
      <c r="EQG70" s="119"/>
      <c r="EQH70" s="119"/>
      <c r="EQI70" s="119"/>
      <c r="EQJ70" s="119"/>
      <c r="EQK70" s="119"/>
      <c r="EQL70" s="119"/>
      <c r="EQM70" s="119"/>
      <c r="EQN70" s="119"/>
      <c r="EQO70" s="119"/>
      <c r="EQP70" s="119"/>
      <c r="EQQ70" s="119"/>
      <c r="EQR70" s="119"/>
      <c r="EQS70" s="119"/>
      <c r="EQT70" s="119"/>
      <c r="EQU70" s="119"/>
      <c r="EQV70" s="119"/>
      <c r="EQW70" s="119"/>
      <c r="EQX70" s="119"/>
      <c r="EQY70" s="119"/>
      <c r="EQZ70" s="119"/>
      <c r="ERA70" s="119"/>
      <c r="ERB70" s="119"/>
      <c r="ERC70" s="119"/>
      <c r="ERD70" s="119"/>
      <c r="ERE70" s="119"/>
      <c r="ERF70" s="119"/>
      <c r="ERG70" s="119"/>
      <c r="ERH70" s="119"/>
      <c r="ERI70" s="119"/>
      <c r="ERJ70" s="119"/>
      <c r="ERK70" s="119"/>
      <c r="ERL70" s="119"/>
      <c r="ERM70" s="119"/>
      <c r="ERN70" s="119"/>
      <c r="ERO70" s="119"/>
      <c r="ERP70" s="119"/>
      <c r="ERQ70" s="119"/>
      <c r="ERR70" s="119"/>
      <c r="ERS70" s="119"/>
      <c r="ERT70" s="119"/>
      <c r="ERU70" s="119"/>
      <c r="ERV70" s="119"/>
      <c r="ERW70" s="119"/>
      <c r="ERX70" s="119"/>
      <c r="ERY70" s="119"/>
      <c r="ERZ70" s="119"/>
      <c r="ESA70" s="119"/>
      <c r="ESB70" s="119"/>
      <c r="ESC70" s="119"/>
      <c r="ESD70" s="119"/>
      <c r="ESE70" s="119"/>
      <c r="ESF70" s="119"/>
      <c r="ESG70" s="119"/>
      <c r="ESH70" s="119"/>
      <c r="ESI70" s="119"/>
      <c r="ESJ70" s="119"/>
      <c r="ESK70" s="119"/>
      <c r="ESL70" s="119"/>
      <c r="ESM70" s="119"/>
      <c r="ESN70" s="119"/>
      <c r="ESO70" s="119"/>
      <c r="ESP70" s="119"/>
      <c r="ESQ70" s="119"/>
      <c r="ESR70" s="119"/>
      <c r="ESS70" s="119"/>
      <c r="EST70" s="119"/>
      <c r="ESU70" s="119"/>
      <c r="ESV70" s="119"/>
      <c r="ESW70" s="119"/>
      <c r="ESX70" s="119"/>
      <c r="ESY70" s="119"/>
      <c r="ESZ70" s="119"/>
      <c r="ETA70" s="119"/>
      <c r="ETB70" s="119"/>
      <c r="ETC70" s="119"/>
      <c r="ETD70" s="119"/>
      <c r="ETE70" s="119"/>
      <c r="ETF70" s="119"/>
      <c r="ETG70" s="119"/>
      <c r="ETH70" s="119"/>
      <c r="ETI70" s="119"/>
      <c r="ETJ70" s="119"/>
      <c r="ETK70" s="119"/>
      <c r="ETL70" s="119"/>
      <c r="ETM70" s="119"/>
      <c r="ETN70" s="119"/>
      <c r="ETO70" s="119"/>
      <c r="ETP70" s="119"/>
      <c r="ETQ70" s="119"/>
      <c r="ETR70" s="119"/>
      <c r="ETS70" s="119"/>
      <c r="ETT70" s="119"/>
      <c r="ETU70" s="119"/>
      <c r="ETV70" s="119"/>
      <c r="ETW70" s="119"/>
      <c r="ETX70" s="119"/>
      <c r="ETY70" s="119"/>
      <c r="ETZ70" s="119"/>
      <c r="EUA70" s="119"/>
      <c r="EUB70" s="119"/>
      <c r="EUC70" s="119"/>
      <c r="EUD70" s="119"/>
      <c r="EUE70" s="119"/>
      <c r="EUF70" s="119"/>
      <c r="EUG70" s="119"/>
      <c r="EUH70" s="119"/>
      <c r="EUI70" s="119"/>
      <c r="EUJ70" s="119"/>
      <c r="EUK70" s="119"/>
      <c r="EUL70" s="119"/>
      <c r="EUM70" s="119"/>
      <c r="EUN70" s="119"/>
      <c r="EUO70" s="119"/>
      <c r="EUP70" s="119"/>
      <c r="EUQ70" s="119"/>
      <c r="EUR70" s="119"/>
      <c r="EUS70" s="119"/>
      <c r="EUT70" s="119"/>
      <c r="EUU70" s="119"/>
      <c r="EUV70" s="119"/>
      <c r="EUW70" s="119"/>
      <c r="EUX70" s="119"/>
      <c r="EUY70" s="119"/>
      <c r="EUZ70" s="119"/>
      <c r="EVA70" s="119"/>
      <c r="EVB70" s="119"/>
      <c r="EVC70" s="119"/>
      <c r="EVD70" s="119"/>
      <c r="EVE70" s="119"/>
      <c r="EVF70" s="119"/>
      <c r="EVG70" s="119"/>
      <c r="EVH70" s="119"/>
      <c r="EVI70" s="119"/>
      <c r="EVJ70" s="119"/>
      <c r="EVK70" s="119"/>
      <c r="EVL70" s="119"/>
      <c r="EVM70" s="119"/>
      <c r="EVN70" s="119"/>
      <c r="EVO70" s="119"/>
      <c r="EVP70" s="119"/>
      <c r="EVQ70" s="119"/>
      <c r="EVR70" s="119"/>
      <c r="EVS70" s="119"/>
      <c r="EVT70" s="119"/>
      <c r="EVU70" s="119"/>
      <c r="EVV70" s="119"/>
      <c r="EVW70" s="119"/>
      <c r="EVX70" s="119"/>
      <c r="EVY70" s="119"/>
      <c r="EVZ70" s="119"/>
      <c r="EWA70" s="119"/>
      <c r="EWB70" s="119"/>
      <c r="EWC70" s="119"/>
      <c r="EWD70" s="119"/>
      <c r="EWE70" s="119"/>
      <c r="EWF70" s="119"/>
      <c r="EWG70" s="119"/>
      <c r="EWH70" s="119"/>
      <c r="EWI70" s="119"/>
      <c r="EWJ70" s="119"/>
      <c r="EWK70" s="119"/>
      <c r="EWL70" s="119"/>
      <c r="EWM70" s="119"/>
      <c r="EWN70" s="119"/>
      <c r="EWO70" s="119"/>
      <c r="EWP70" s="119"/>
      <c r="EWQ70" s="119"/>
      <c r="EWR70" s="119"/>
      <c r="EWS70" s="119"/>
      <c r="EWT70" s="119"/>
      <c r="EWU70" s="119"/>
      <c r="EWV70" s="119"/>
      <c r="EWW70" s="119"/>
      <c r="EWX70" s="119"/>
      <c r="EWY70" s="119"/>
      <c r="EWZ70" s="119"/>
      <c r="EXA70" s="119"/>
      <c r="EXB70" s="119"/>
      <c r="EXC70" s="119"/>
      <c r="EXD70" s="119"/>
      <c r="EXE70" s="119"/>
      <c r="EXF70" s="119"/>
      <c r="EXG70" s="119"/>
      <c r="EXH70" s="119"/>
      <c r="EXI70" s="119"/>
      <c r="EXJ70" s="119"/>
      <c r="EXK70" s="119"/>
      <c r="EXL70" s="119"/>
      <c r="EXM70" s="119"/>
      <c r="EXN70" s="119"/>
      <c r="EXO70" s="119"/>
      <c r="EXP70" s="119"/>
      <c r="EXQ70" s="119"/>
      <c r="EXR70" s="119"/>
      <c r="EXS70" s="119"/>
      <c r="EXT70" s="119"/>
      <c r="EXU70" s="119"/>
      <c r="EXV70" s="119"/>
      <c r="EXW70" s="119"/>
      <c r="EXX70" s="119"/>
      <c r="EXY70" s="119"/>
      <c r="EXZ70" s="119"/>
      <c r="EYA70" s="119"/>
      <c r="EYB70" s="119"/>
      <c r="EYC70" s="119"/>
      <c r="EYD70" s="119"/>
      <c r="EYE70" s="119"/>
      <c r="EYF70" s="119"/>
      <c r="EYG70" s="119"/>
      <c r="EYH70" s="119"/>
      <c r="EYI70" s="119"/>
      <c r="EYJ70" s="119"/>
      <c r="EYK70" s="119"/>
      <c r="EYL70" s="119"/>
      <c r="EYM70" s="119"/>
      <c r="EYN70" s="119"/>
      <c r="EYO70" s="119"/>
      <c r="EYP70" s="119"/>
      <c r="EYQ70" s="119"/>
      <c r="EYR70" s="119"/>
      <c r="EYS70" s="119"/>
      <c r="EYT70" s="119"/>
      <c r="EYU70" s="119"/>
      <c r="EYV70" s="119"/>
      <c r="EYW70" s="119"/>
      <c r="EYX70" s="119"/>
      <c r="EYY70" s="119"/>
      <c r="EYZ70" s="119"/>
      <c r="EZA70" s="119"/>
      <c r="EZB70" s="119"/>
      <c r="EZC70" s="119"/>
      <c r="EZD70" s="119"/>
      <c r="EZE70" s="119"/>
      <c r="EZF70" s="119"/>
      <c r="EZG70" s="119"/>
      <c r="EZH70" s="119"/>
      <c r="EZI70" s="119"/>
      <c r="EZJ70" s="119"/>
      <c r="EZK70" s="119"/>
      <c r="EZL70" s="119"/>
      <c r="EZM70" s="119"/>
      <c r="EZN70" s="119"/>
      <c r="EZO70" s="119"/>
      <c r="EZP70" s="119"/>
      <c r="EZQ70" s="119"/>
      <c r="EZR70" s="119"/>
      <c r="EZS70" s="119"/>
      <c r="EZT70" s="119"/>
      <c r="EZU70" s="119"/>
      <c r="EZV70" s="119"/>
      <c r="EZW70" s="119"/>
      <c r="EZX70" s="119"/>
      <c r="EZY70" s="119"/>
      <c r="EZZ70" s="119"/>
      <c r="FAA70" s="119"/>
      <c r="FAB70" s="119"/>
      <c r="FAC70" s="119"/>
      <c r="FAD70" s="119"/>
      <c r="FAE70" s="119"/>
      <c r="FAF70" s="119"/>
      <c r="FAG70" s="119"/>
      <c r="FAH70" s="119"/>
      <c r="FAI70" s="119"/>
      <c r="FAJ70" s="119"/>
      <c r="FAK70" s="119"/>
      <c r="FAL70" s="119"/>
      <c r="FAM70" s="119"/>
      <c r="FAN70" s="119"/>
      <c r="FAO70" s="119"/>
      <c r="FAP70" s="119"/>
      <c r="FAQ70" s="119"/>
      <c r="FAR70" s="119"/>
      <c r="FAS70" s="119"/>
      <c r="FAT70" s="119"/>
      <c r="FAU70" s="119"/>
      <c r="FAV70" s="119"/>
      <c r="FAW70" s="119"/>
      <c r="FAX70" s="119"/>
      <c r="FAY70" s="119"/>
      <c r="FAZ70" s="119"/>
      <c r="FBA70" s="119"/>
      <c r="FBB70" s="119"/>
      <c r="FBC70" s="119"/>
      <c r="FBD70" s="119"/>
      <c r="FBE70" s="119"/>
      <c r="FBF70" s="119"/>
      <c r="FBG70" s="119"/>
      <c r="FBH70" s="119"/>
      <c r="FBI70" s="119"/>
      <c r="FBJ70" s="119"/>
      <c r="FBK70" s="119"/>
      <c r="FBL70" s="119"/>
      <c r="FBM70" s="119"/>
      <c r="FBN70" s="119"/>
      <c r="FBO70" s="119"/>
      <c r="FBP70" s="119"/>
      <c r="FBQ70" s="119"/>
      <c r="FBR70" s="119"/>
      <c r="FBS70" s="119"/>
      <c r="FBT70" s="119"/>
      <c r="FBU70" s="119"/>
      <c r="FBV70" s="119"/>
      <c r="FBW70" s="119"/>
      <c r="FBX70" s="119"/>
      <c r="FBY70" s="119"/>
      <c r="FBZ70" s="119"/>
      <c r="FCA70" s="119"/>
      <c r="FCB70" s="119"/>
      <c r="FCC70" s="119"/>
      <c r="FCD70" s="119"/>
      <c r="FCE70" s="119"/>
      <c r="FCF70" s="119"/>
      <c r="FCG70" s="119"/>
      <c r="FCH70" s="119"/>
      <c r="FCI70" s="119"/>
      <c r="FCJ70" s="119"/>
      <c r="FCK70" s="119"/>
      <c r="FCL70" s="119"/>
      <c r="FCM70" s="119"/>
      <c r="FCN70" s="119"/>
      <c r="FCO70" s="119"/>
      <c r="FCP70" s="119"/>
      <c r="FCQ70" s="119"/>
      <c r="FCR70" s="119"/>
      <c r="FCS70" s="119"/>
      <c r="FCT70" s="119"/>
      <c r="FCU70" s="119"/>
      <c r="FCV70" s="119"/>
      <c r="FCW70" s="119"/>
      <c r="FCX70" s="119"/>
      <c r="FCY70" s="119"/>
      <c r="FCZ70" s="119"/>
      <c r="FDA70" s="119"/>
      <c r="FDB70" s="119"/>
      <c r="FDC70" s="119"/>
      <c r="FDD70" s="119"/>
      <c r="FDE70" s="119"/>
      <c r="FDF70" s="119"/>
      <c r="FDG70" s="119"/>
      <c r="FDH70" s="119"/>
      <c r="FDI70" s="119"/>
      <c r="FDJ70" s="119"/>
      <c r="FDK70" s="119"/>
      <c r="FDL70" s="119"/>
      <c r="FDM70" s="119"/>
      <c r="FDN70" s="119"/>
      <c r="FDO70" s="119"/>
      <c r="FDP70" s="119"/>
      <c r="FDQ70" s="119"/>
      <c r="FDR70" s="119"/>
      <c r="FDS70" s="119"/>
      <c r="FDT70" s="119"/>
      <c r="FDU70" s="119"/>
      <c r="FDV70" s="119"/>
      <c r="FDW70" s="119"/>
      <c r="FDX70" s="119"/>
      <c r="FDY70" s="119"/>
      <c r="FDZ70" s="119"/>
      <c r="FEA70" s="119"/>
      <c r="FEB70" s="119"/>
      <c r="FEC70" s="119"/>
      <c r="FED70" s="119"/>
      <c r="FEE70" s="119"/>
      <c r="FEF70" s="119"/>
      <c r="FEG70" s="119"/>
      <c r="FEH70" s="119"/>
      <c r="FEI70" s="119"/>
      <c r="FEJ70" s="119"/>
      <c r="FEK70" s="119"/>
      <c r="FEL70" s="119"/>
      <c r="FEM70" s="119"/>
      <c r="FEN70" s="119"/>
      <c r="FEO70" s="119"/>
      <c r="FEP70" s="119"/>
      <c r="FEQ70" s="119"/>
      <c r="FER70" s="119"/>
      <c r="FES70" s="119"/>
      <c r="FET70" s="119"/>
      <c r="FEU70" s="119"/>
      <c r="FEV70" s="119"/>
      <c r="FEW70" s="119"/>
      <c r="FEX70" s="119"/>
      <c r="FEY70" s="119"/>
      <c r="FEZ70" s="119"/>
      <c r="FFA70" s="119"/>
      <c r="FFB70" s="119"/>
      <c r="FFC70" s="119"/>
      <c r="FFD70" s="119"/>
      <c r="FFE70" s="119"/>
      <c r="FFF70" s="119"/>
      <c r="FFG70" s="119"/>
      <c r="FFH70" s="119"/>
      <c r="FFI70" s="119"/>
      <c r="FFJ70" s="119"/>
      <c r="FFK70" s="119"/>
      <c r="FFL70" s="119"/>
      <c r="FFM70" s="119"/>
      <c r="FFN70" s="119"/>
      <c r="FFO70" s="119"/>
      <c r="FFP70" s="119"/>
      <c r="FFQ70" s="119"/>
      <c r="FFR70" s="119"/>
      <c r="FFS70" s="119"/>
      <c r="FFT70" s="119"/>
      <c r="FFU70" s="119"/>
      <c r="FFV70" s="119"/>
      <c r="FFW70" s="119"/>
      <c r="FFX70" s="119"/>
      <c r="FFY70" s="119"/>
      <c r="FFZ70" s="119"/>
      <c r="FGA70" s="119"/>
      <c r="FGB70" s="119"/>
      <c r="FGC70" s="119"/>
      <c r="FGD70" s="119"/>
      <c r="FGE70" s="119"/>
      <c r="FGF70" s="119"/>
      <c r="FGG70" s="119"/>
      <c r="FGH70" s="119"/>
      <c r="FGI70" s="119"/>
      <c r="FGJ70" s="119"/>
      <c r="FGK70" s="119"/>
      <c r="FGL70" s="119"/>
      <c r="FGM70" s="119"/>
      <c r="FGN70" s="119"/>
      <c r="FGO70" s="119"/>
      <c r="FGP70" s="119"/>
      <c r="FGQ70" s="119"/>
      <c r="FGR70" s="119"/>
      <c r="FGS70" s="119"/>
      <c r="FGT70" s="119"/>
      <c r="FGU70" s="119"/>
      <c r="FGV70" s="119"/>
      <c r="FGW70" s="119"/>
      <c r="FGX70" s="119"/>
      <c r="FGY70" s="119"/>
      <c r="FGZ70" s="119"/>
      <c r="FHA70" s="119"/>
      <c r="FHB70" s="119"/>
      <c r="FHC70" s="119"/>
      <c r="FHD70" s="119"/>
      <c r="FHE70" s="119"/>
      <c r="FHF70" s="119"/>
      <c r="FHG70" s="119"/>
      <c r="FHH70" s="119"/>
      <c r="FHI70" s="119"/>
      <c r="FHJ70" s="119"/>
      <c r="FHK70" s="119"/>
      <c r="FHL70" s="119"/>
      <c r="FHM70" s="119"/>
      <c r="FHN70" s="119"/>
      <c r="FHO70" s="119"/>
      <c r="FHP70" s="119"/>
      <c r="FHQ70" s="119"/>
      <c r="FHR70" s="119"/>
      <c r="FHS70" s="119"/>
      <c r="FHT70" s="119"/>
      <c r="FHU70" s="119"/>
      <c r="FHV70" s="119"/>
      <c r="FHW70" s="119"/>
      <c r="FHX70" s="119"/>
      <c r="FHY70" s="119"/>
      <c r="FHZ70" s="119"/>
      <c r="FIA70" s="119"/>
      <c r="FIB70" s="119"/>
      <c r="FIC70" s="119"/>
      <c r="FID70" s="119"/>
      <c r="FIE70" s="119"/>
      <c r="FIF70" s="119"/>
      <c r="FIG70" s="119"/>
      <c r="FIH70" s="119"/>
      <c r="FII70" s="119"/>
      <c r="FIJ70" s="119"/>
      <c r="FIK70" s="119"/>
      <c r="FIL70" s="119"/>
      <c r="FIM70" s="119"/>
      <c r="FIN70" s="119"/>
      <c r="FIO70" s="119"/>
      <c r="FIP70" s="119"/>
      <c r="FIQ70" s="119"/>
      <c r="FIR70" s="119"/>
      <c r="FIS70" s="119"/>
      <c r="FIT70" s="119"/>
      <c r="FIU70" s="119"/>
      <c r="FIV70" s="119"/>
      <c r="FIW70" s="119"/>
      <c r="FIX70" s="119"/>
      <c r="FIY70" s="119"/>
      <c r="FIZ70" s="119"/>
      <c r="FJA70" s="119"/>
      <c r="FJB70" s="119"/>
      <c r="FJC70" s="119"/>
      <c r="FJD70" s="119"/>
      <c r="FJE70" s="119"/>
      <c r="FJF70" s="119"/>
      <c r="FJG70" s="119"/>
      <c r="FJH70" s="119"/>
      <c r="FJI70" s="119"/>
      <c r="FJJ70" s="119"/>
      <c r="FJK70" s="119"/>
      <c r="FJL70" s="119"/>
      <c r="FJM70" s="119"/>
      <c r="FJN70" s="119"/>
      <c r="FJO70" s="119"/>
      <c r="FJP70" s="119"/>
      <c r="FJQ70" s="119"/>
      <c r="FJR70" s="119"/>
      <c r="FJS70" s="119"/>
      <c r="FJT70" s="119"/>
      <c r="FJU70" s="119"/>
      <c r="FJV70" s="119"/>
      <c r="FJW70" s="119"/>
      <c r="FJX70" s="119"/>
      <c r="FJY70" s="119"/>
      <c r="FJZ70" s="119"/>
      <c r="FKA70" s="119"/>
      <c r="FKB70" s="119"/>
      <c r="FKC70" s="119"/>
      <c r="FKD70" s="119"/>
      <c r="FKE70" s="119"/>
      <c r="FKF70" s="119"/>
      <c r="FKG70" s="119"/>
      <c r="FKH70" s="119"/>
      <c r="FKI70" s="119"/>
      <c r="FKJ70" s="119"/>
      <c r="FKK70" s="119"/>
      <c r="FKL70" s="119"/>
      <c r="FKM70" s="119"/>
      <c r="FKN70" s="119"/>
      <c r="FKO70" s="119"/>
      <c r="FKP70" s="119"/>
      <c r="FKQ70" s="119"/>
      <c r="FKR70" s="119"/>
      <c r="FKS70" s="119"/>
      <c r="FKT70" s="119"/>
      <c r="FKU70" s="119"/>
      <c r="FKV70" s="119"/>
      <c r="FKW70" s="119"/>
      <c r="FKX70" s="119"/>
      <c r="FKY70" s="119"/>
      <c r="FKZ70" s="119"/>
      <c r="FLA70" s="119"/>
      <c r="FLB70" s="119"/>
      <c r="FLC70" s="119"/>
      <c r="FLD70" s="119"/>
      <c r="FLE70" s="119"/>
      <c r="FLF70" s="119"/>
      <c r="FLG70" s="119"/>
      <c r="FLH70" s="119"/>
      <c r="FLI70" s="119"/>
      <c r="FLJ70" s="119"/>
      <c r="FLK70" s="119"/>
      <c r="FLL70" s="119"/>
      <c r="FLM70" s="119"/>
      <c r="FLN70" s="119"/>
      <c r="FLO70" s="119"/>
      <c r="FLP70" s="119"/>
      <c r="FLQ70" s="119"/>
      <c r="FLR70" s="119"/>
      <c r="FLS70" s="119"/>
      <c r="FLT70" s="119"/>
      <c r="FLU70" s="119"/>
      <c r="FLV70" s="119"/>
      <c r="FLW70" s="119"/>
      <c r="FLX70" s="119"/>
      <c r="FLY70" s="119"/>
      <c r="FLZ70" s="119"/>
      <c r="FMA70" s="119"/>
      <c r="FMB70" s="119"/>
      <c r="FMC70" s="119"/>
      <c r="FMD70" s="119"/>
      <c r="FME70" s="119"/>
      <c r="FMF70" s="119"/>
      <c r="FMG70" s="119"/>
      <c r="FMH70" s="119"/>
      <c r="FMI70" s="119"/>
      <c r="FMJ70" s="119"/>
      <c r="FMK70" s="119"/>
      <c r="FML70" s="119"/>
      <c r="FMM70" s="119"/>
      <c r="FMN70" s="119"/>
      <c r="FMO70" s="119"/>
      <c r="FMP70" s="119"/>
      <c r="FMQ70" s="119"/>
      <c r="FMR70" s="119"/>
      <c r="FMS70" s="119"/>
      <c r="FMT70" s="119"/>
      <c r="FMU70" s="119"/>
      <c r="FMV70" s="119"/>
      <c r="FMW70" s="119"/>
      <c r="FMX70" s="119"/>
      <c r="FMY70" s="119"/>
      <c r="FMZ70" s="119"/>
      <c r="FNA70" s="119"/>
      <c r="FNB70" s="119"/>
      <c r="FNC70" s="119"/>
      <c r="FND70" s="119"/>
      <c r="FNE70" s="119"/>
      <c r="FNF70" s="119"/>
      <c r="FNG70" s="119"/>
      <c r="FNH70" s="119"/>
      <c r="FNI70" s="119"/>
      <c r="FNJ70" s="119"/>
      <c r="FNK70" s="119"/>
      <c r="FNL70" s="119"/>
      <c r="FNM70" s="119"/>
      <c r="FNN70" s="119"/>
      <c r="FNO70" s="119"/>
      <c r="FNP70" s="119"/>
      <c r="FNQ70" s="119"/>
      <c r="FNR70" s="119"/>
      <c r="FNS70" s="119"/>
      <c r="FNT70" s="119"/>
      <c r="FNU70" s="119"/>
      <c r="FNV70" s="119"/>
      <c r="FNW70" s="119"/>
      <c r="FNX70" s="119"/>
      <c r="FNY70" s="119"/>
      <c r="FNZ70" s="119"/>
      <c r="FOA70" s="119"/>
      <c r="FOB70" s="119"/>
      <c r="FOC70" s="119"/>
      <c r="FOD70" s="119"/>
      <c r="FOE70" s="119"/>
      <c r="FOF70" s="119"/>
      <c r="FOG70" s="119"/>
      <c r="FOH70" s="119"/>
      <c r="FOI70" s="119"/>
      <c r="FOJ70" s="119"/>
      <c r="FOK70" s="119"/>
      <c r="FOL70" s="119"/>
      <c r="FOM70" s="119"/>
      <c r="FON70" s="119"/>
      <c r="FOO70" s="119"/>
      <c r="FOP70" s="119"/>
      <c r="FOQ70" s="119"/>
      <c r="FOR70" s="119"/>
      <c r="FOS70" s="119"/>
      <c r="FOT70" s="119"/>
      <c r="FOU70" s="119"/>
      <c r="FOV70" s="119"/>
      <c r="FOW70" s="119"/>
      <c r="FOX70" s="119"/>
      <c r="FOY70" s="119"/>
      <c r="FOZ70" s="119"/>
      <c r="FPA70" s="119"/>
      <c r="FPB70" s="119"/>
      <c r="FPC70" s="119"/>
      <c r="FPD70" s="119"/>
      <c r="FPE70" s="119"/>
      <c r="FPF70" s="119"/>
      <c r="FPG70" s="119"/>
      <c r="FPH70" s="119"/>
      <c r="FPI70" s="119"/>
      <c r="FPJ70" s="119"/>
      <c r="FPK70" s="119"/>
      <c r="FPL70" s="119"/>
      <c r="FPM70" s="119"/>
      <c r="FPN70" s="119"/>
      <c r="FPO70" s="119"/>
      <c r="FPP70" s="119"/>
      <c r="FPQ70" s="119"/>
      <c r="FPR70" s="119"/>
      <c r="FPS70" s="119"/>
      <c r="FPT70" s="119"/>
      <c r="FPU70" s="119"/>
      <c r="FPV70" s="119"/>
      <c r="FPW70" s="119"/>
      <c r="FPX70" s="119"/>
      <c r="FPY70" s="119"/>
      <c r="FPZ70" s="119"/>
      <c r="FQA70" s="119"/>
      <c r="FQB70" s="119"/>
      <c r="FQC70" s="119"/>
      <c r="FQD70" s="119"/>
      <c r="FQE70" s="119"/>
      <c r="FQF70" s="119"/>
      <c r="FQG70" s="119"/>
      <c r="FQH70" s="119"/>
      <c r="FQI70" s="119"/>
      <c r="FQJ70" s="119"/>
      <c r="FQK70" s="119"/>
      <c r="FQL70" s="119"/>
      <c r="FQM70" s="119"/>
      <c r="FQN70" s="119"/>
      <c r="FQO70" s="119"/>
      <c r="FQP70" s="119"/>
      <c r="FQQ70" s="119"/>
      <c r="FQR70" s="119"/>
      <c r="FQS70" s="119"/>
      <c r="FQT70" s="119"/>
      <c r="FQU70" s="119"/>
      <c r="FQV70" s="119"/>
      <c r="FQW70" s="119"/>
      <c r="FQX70" s="119"/>
      <c r="FQY70" s="119"/>
      <c r="FQZ70" s="119"/>
      <c r="FRA70" s="119"/>
      <c r="FRB70" s="119"/>
      <c r="FRC70" s="119"/>
      <c r="FRD70" s="119"/>
      <c r="FRE70" s="119"/>
      <c r="FRF70" s="119"/>
      <c r="FRG70" s="119"/>
      <c r="FRH70" s="119"/>
      <c r="FRI70" s="119"/>
      <c r="FRJ70" s="119"/>
      <c r="FRK70" s="119"/>
      <c r="FRL70" s="119"/>
      <c r="FRM70" s="119"/>
      <c r="FRN70" s="119"/>
      <c r="FRO70" s="119"/>
      <c r="FRP70" s="119"/>
      <c r="FRQ70" s="119"/>
      <c r="FRR70" s="119"/>
      <c r="FRS70" s="119"/>
      <c r="FRT70" s="119"/>
      <c r="FRU70" s="119"/>
      <c r="FRV70" s="119"/>
      <c r="FRW70" s="119"/>
      <c r="FRX70" s="119"/>
      <c r="FRY70" s="119"/>
      <c r="FRZ70" s="119"/>
      <c r="FSA70" s="119"/>
      <c r="FSB70" s="119"/>
      <c r="FSC70" s="119"/>
      <c r="FSD70" s="119"/>
      <c r="FSE70" s="119"/>
      <c r="FSF70" s="119"/>
      <c r="FSG70" s="119"/>
      <c r="FSH70" s="119"/>
      <c r="FSI70" s="119"/>
      <c r="FSJ70" s="119"/>
      <c r="FSK70" s="119"/>
      <c r="FSL70" s="119"/>
      <c r="FSM70" s="119"/>
      <c r="FSN70" s="119"/>
      <c r="FSO70" s="119"/>
      <c r="FSP70" s="119"/>
      <c r="FSQ70" s="119"/>
      <c r="FSR70" s="119"/>
      <c r="FSS70" s="119"/>
      <c r="FST70" s="119"/>
      <c r="FSU70" s="119"/>
      <c r="FSV70" s="119"/>
      <c r="FSW70" s="119"/>
      <c r="FSX70" s="119"/>
      <c r="FSY70" s="119"/>
      <c r="FSZ70" s="119"/>
      <c r="FTA70" s="119"/>
      <c r="FTB70" s="119"/>
      <c r="FTC70" s="119"/>
      <c r="FTD70" s="119"/>
      <c r="FTE70" s="119"/>
      <c r="FTF70" s="119"/>
      <c r="FTG70" s="119"/>
      <c r="FTH70" s="119"/>
      <c r="FTI70" s="119"/>
      <c r="FTJ70" s="119"/>
      <c r="FTK70" s="119"/>
      <c r="FTL70" s="119"/>
      <c r="FTM70" s="119"/>
      <c r="FTN70" s="119"/>
      <c r="FTO70" s="119"/>
      <c r="FTP70" s="119"/>
      <c r="FTQ70" s="119"/>
      <c r="FTR70" s="119"/>
      <c r="FTS70" s="119"/>
      <c r="FTT70" s="119"/>
      <c r="FTU70" s="119"/>
      <c r="FTV70" s="119"/>
      <c r="FTW70" s="119"/>
      <c r="FTX70" s="119"/>
      <c r="FTY70" s="119"/>
      <c r="FTZ70" s="119"/>
      <c r="FUA70" s="119"/>
      <c r="FUB70" s="119"/>
      <c r="FUC70" s="119"/>
      <c r="FUD70" s="119"/>
      <c r="FUE70" s="119"/>
      <c r="FUF70" s="119"/>
      <c r="FUG70" s="119"/>
      <c r="FUH70" s="119"/>
      <c r="FUI70" s="119"/>
      <c r="FUJ70" s="119"/>
      <c r="FUK70" s="119"/>
      <c r="FUL70" s="119"/>
      <c r="FUM70" s="119"/>
      <c r="FUN70" s="119"/>
      <c r="FUO70" s="119"/>
      <c r="FUP70" s="119"/>
      <c r="FUQ70" s="119"/>
      <c r="FUR70" s="119"/>
      <c r="FUS70" s="119"/>
      <c r="FUT70" s="119"/>
      <c r="FUU70" s="119"/>
      <c r="FUV70" s="119"/>
      <c r="FUW70" s="119"/>
      <c r="FUX70" s="119"/>
      <c r="FUY70" s="119"/>
      <c r="FUZ70" s="119"/>
      <c r="FVA70" s="119"/>
      <c r="FVB70" s="119"/>
      <c r="FVC70" s="119"/>
      <c r="FVD70" s="119"/>
      <c r="FVE70" s="119"/>
      <c r="FVF70" s="119"/>
      <c r="FVG70" s="119"/>
      <c r="FVH70" s="119"/>
      <c r="FVI70" s="119"/>
      <c r="FVJ70" s="119"/>
      <c r="FVK70" s="119"/>
      <c r="FVL70" s="119"/>
      <c r="FVM70" s="119"/>
      <c r="FVN70" s="119"/>
      <c r="FVO70" s="119"/>
      <c r="FVP70" s="119"/>
      <c r="FVQ70" s="119"/>
      <c r="FVR70" s="119"/>
      <c r="FVS70" s="119"/>
      <c r="FVT70" s="119"/>
      <c r="FVU70" s="119"/>
      <c r="FVV70" s="119"/>
      <c r="FVW70" s="119"/>
      <c r="FVX70" s="119"/>
      <c r="FVY70" s="119"/>
      <c r="FVZ70" s="119"/>
      <c r="FWA70" s="119"/>
      <c r="FWB70" s="119"/>
      <c r="FWC70" s="119"/>
      <c r="FWD70" s="119"/>
      <c r="FWE70" s="119"/>
      <c r="FWF70" s="119"/>
      <c r="FWG70" s="119"/>
      <c r="FWH70" s="119"/>
      <c r="FWI70" s="119"/>
      <c r="FWJ70" s="119"/>
      <c r="FWK70" s="119"/>
      <c r="FWL70" s="119"/>
      <c r="FWM70" s="119"/>
      <c r="FWN70" s="119"/>
      <c r="FWO70" s="119"/>
      <c r="FWP70" s="119"/>
      <c r="FWQ70" s="119"/>
      <c r="FWR70" s="119"/>
      <c r="FWS70" s="119"/>
      <c r="FWT70" s="119"/>
      <c r="FWU70" s="119"/>
      <c r="FWV70" s="119"/>
      <c r="FWW70" s="119"/>
      <c r="FWX70" s="119"/>
      <c r="FWY70" s="119"/>
      <c r="FWZ70" s="119"/>
      <c r="FXA70" s="119"/>
      <c r="FXB70" s="119"/>
      <c r="FXC70" s="119"/>
      <c r="FXD70" s="119"/>
      <c r="FXE70" s="119"/>
      <c r="FXF70" s="119"/>
      <c r="FXG70" s="119"/>
      <c r="FXH70" s="119"/>
      <c r="FXI70" s="119"/>
      <c r="FXJ70" s="119"/>
      <c r="FXK70" s="119"/>
      <c r="FXL70" s="119"/>
      <c r="FXM70" s="119"/>
      <c r="FXN70" s="119"/>
      <c r="FXO70" s="119"/>
      <c r="FXP70" s="119"/>
      <c r="FXQ70" s="119"/>
      <c r="FXR70" s="119"/>
      <c r="FXS70" s="119"/>
      <c r="FXT70" s="119"/>
      <c r="FXU70" s="119"/>
      <c r="FXV70" s="119"/>
      <c r="FXW70" s="119"/>
      <c r="FXX70" s="119"/>
      <c r="FXY70" s="119"/>
      <c r="FXZ70" s="119"/>
      <c r="FYA70" s="119"/>
      <c r="FYB70" s="119"/>
      <c r="FYC70" s="119"/>
      <c r="FYD70" s="119"/>
      <c r="FYE70" s="119"/>
      <c r="FYF70" s="119"/>
      <c r="FYG70" s="119"/>
      <c r="FYH70" s="119"/>
      <c r="FYI70" s="119"/>
      <c r="FYJ70" s="119"/>
      <c r="FYK70" s="119"/>
      <c r="FYL70" s="119"/>
      <c r="FYM70" s="119"/>
      <c r="FYN70" s="119"/>
      <c r="FYO70" s="119"/>
      <c r="FYP70" s="119"/>
      <c r="FYQ70" s="119"/>
      <c r="FYR70" s="119"/>
      <c r="FYS70" s="119"/>
      <c r="FYT70" s="119"/>
      <c r="FYU70" s="119"/>
      <c r="FYV70" s="119"/>
      <c r="FYW70" s="119"/>
      <c r="FYX70" s="119"/>
      <c r="FYY70" s="119"/>
      <c r="FYZ70" s="119"/>
      <c r="FZA70" s="119"/>
      <c r="FZB70" s="119"/>
      <c r="FZC70" s="119"/>
      <c r="FZD70" s="119"/>
      <c r="FZE70" s="119"/>
      <c r="FZF70" s="119"/>
      <c r="FZG70" s="119"/>
      <c r="FZH70" s="119"/>
      <c r="FZI70" s="119"/>
      <c r="FZJ70" s="119"/>
      <c r="FZK70" s="119"/>
      <c r="FZL70" s="119"/>
      <c r="FZM70" s="119"/>
      <c r="FZN70" s="119"/>
      <c r="FZO70" s="119"/>
      <c r="FZP70" s="119"/>
      <c r="FZQ70" s="119"/>
      <c r="FZR70" s="119"/>
      <c r="FZS70" s="119"/>
      <c r="FZT70" s="119"/>
      <c r="FZU70" s="119"/>
      <c r="FZV70" s="119"/>
      <c r="FZW70" s="119"/>
      <c r="FZX70" s="119"/>
      <c r="FZY70" s="119"/>
      <c r="FZZ70" s="119"/>
      <c r="GAA70" s="119"/>
      <c r="GAB70" s="119"/>
      <c r="GAC70" s="119"/>
      <c r="GAD70" s="119"/>
      <c r="GAE70" s="119"/>
      <c r="GAF70" s="119"/>
      <c r="GAG70" s="119"/>
      <c r="GAH70" s="119"/>
      <c r="GAI70" s="119"/>
      <c r="GAJ70" s="119"/>
      <c r="GAK70" s="119"/>
      <c r="GAL70" s="119"/>
      <c r="GAM70" s="119"/>
      <c r="GAN70" s="119"/>
      <c r="GAO70" s="119"/>
      <c r="GAP70" s="119"/>
      <c r="GAQ70" s="119"/>
      <c r="GAR70" s="119"/>
      <c r="GAS70" s="119"/>
      <c r="GAT70" s="119"/>
      <c r="GAU70" s="119"/>
      <c r="GAV70" s="119"/>
      <c r="GAW70" s="119"/>
      <c r="GAX70" s="119"/>
      <c r="GAY70" s="119"/>
      <c r="GAZ70" s="119"/>
      <c r="GBA70" s="119"/>
      <c r="GBB70" s="119"/>
      <c r="GBC70" s="119"/>
      <c r="GBD70" s="119"/>
      <c r="GBE70" s="119"/>
      <c r="GBF70" s="119"/>
      <c r="GBG70" s="119"/>
      <c r="GBH70" s="119"/>
      <c r="GBI70" s="119"/>
      <c r="GBJ70" s="119"/>
      <c r="GBK70" s="119"/>
      <c r="GBL70" s="119"/>
      <c r="GBM70" s="119"/>
      <c r="GBN70" s="119"/>
      <c r="GBO70" s="119"/>
      <c r="GBP70" s="119"/>
      <c r="GBQ70" s="119"/>
      <c r="GBR70" s="119"/>
      <c r="GBS70" s="119"/>
      <c r="GBT70" s="119"/>
      <c r="GBU70" s="119"/>
      <c r="GBV70" s="119"/>
      <c r="GBW70" s="119"/>
      <c r="GBX70" s="119"/>
      <c r="GBY70" s="119"/>
      <c r="GBZ70" s="119"/>
      <c r="GCA70" s="119"/>
      <c r="GCB70" s="119"/>
      <c r="GCC70" s="119"/>
      <c r="GCD70" s="119"/>
      <c r="GCE70" s="119"/>
      <c r="GCF70" s="119"/>
      <c r="GCG70" s="119"/>
      <c r="GCH70" s="119"/>
      <c r="GCI70" s="119"/>
      <c r="GCJ70" s="119"/>
      <c r="GCK70" s="119"/>
      <c r="GCL70" s="119"/>
      <c r="GCM70" s="119"/>
      <c r="GCN70" s="119"/>
      <c r="GCO70" s="119"/>
      <c r="GCP70" s="119"/>
      <c r="GCQ70" s="119"/>
      <c r="GCR70" s="119"/>
      <c r="GCS70" s="119"/>
      <c r="GCT70" s="119"/>
      <c r="GCU70" s="119"/>
      <c r="GCV70" s="119"/>
      <c r="GCW70" s="119"/>
      <c r="GCX70" s="119"/>
      <c r="GCY70" s="119"/>
      <c r="GCZ70" s="119"/>
      <c r="GDA70" s="119"/>
      <c r="GDB70" s="119"/>
      <c r="GDC70" s="119"/>
      <c r="GDD70" s="119"/>
      <c r="GDE70" s="119"/>
      <c r="GDF70" s="119"/>
      <c r="GDG70" s="119"/>
      <c r="GDH70" s="119"/>
      <c r="GDI70" s="119"/>
      <c r="GDJ70" s="119"/>
      <c r="GDK70" s="119"/>
      <c r="GDL70" s="119"/>
      <c r="GDM70" s="119"/>
      <c r="GDN70" s="119"/>
      <c r="GDO70" s="119"/>
      <c r="GDP70" s="119"/>
      <c r="GDQ70" s="119"/>
      <c r="GDR70" s="119"/>
      <c r="GDS70" s="119"/>
      <c r="GDT70" s="119"/>
      <c r="GDU70" s="119"/>
      <c r="GDV70" s="119"/>
      <c r="GDW70" s="119"/>
      <c r="GDX70" s="119"/>
      <c r="GDY70" s="119"/>
      <c r="GDZ70" s="119"/>
      <c r="GEA70" s="119"/>
      <c r="GEB70" s="119"/>
      <c r="GEC70" s="119"/>
      <c r="GED70" s="119"/>
      <c r="GEE70" s="119"/>
      <c r="GEF70" s="119"/>
      <c r="GEG70" s="119"/>
      <c r="GEH70" s="119"/>
      <c r="GEI70" s="119"/>
      <c r="GEJ70" s="119"/>
      <c r="GEK70" s="119"/>
      <c r="GEL70" s="119"/>
      <c r="GEM70" s="119"/>
      <c r="GEN70" s="119"/>
      <c r="GEO70" s="119"/>
      <c r="GEP70" s="119"/>
      <c r="GEQ70" s="119"/>
      <c r="GER70" s="119"/>
      <c r="GES70" s="119"/>
      <c r="GET70" s="119"/>
      <c r="GEU70" s="119"/>
      <c r="GEV70" s="119"/>
      <c r="GEW70" s="119"/>
      <c r="GEX70" s="119"/>
      <c r="GEY70" s="119"/>
      <c r="GEZ70" s="119"/>
      <c r="GFA70" s="119"/>
      <c r="GFB70" s="119"/>
      <c r="GFC70" s="119"/>
      <c r="GFD70" s="119"/>
      <c r="GFE70" s="119"/>
      <c r="GFF70" s="119"/>
      <c r="GFG70" s="119"/>
      <c r="GFH70" s="119"/>
      <c r="GFI70" s="119"/>
      <c r="GFJ70" s="119"/>
      <c r="GFK70" s="119"/>
      <c r="GFL70" s="119"/>
      <c r="GFM70" s="119"/>
      <c r="GFN70" s="119"/>
      <c r="GFO70" s="119"/>
      <c r="GFP70" s="119"/>
      <c r="GFQ70" s="119"/>
      <c r="GFR70" s="119"/>
      <c r="GFS70" s="119"/>
      <c r="GFT70" s="119"/>
      <c r="GFU70" s="119"/>
      <c r="GFV70" s="119"/>
      <c r="GFW70" s="119"/>
      <c r="GFX70" s="119"/>
      <c r="GFY70" s="119"/>
      <c r="GFZ70" s="119"/>
      <c r="GGA70" s="119"/>
      <c r="GGB70" s="119"/>
      <c r="GGC70" s="119"/>
      <c r="GGD70" s="119"/>
      <c r="GGE70" s="119"/>
      <c r="GGF70" s="119"/>
      <c r="GGG70" s="119"/>
      <c r="GGH70" s="119"/>
      <c r="GGI70" s="119"/>
      <c r="GGJ70" s="119"/>
      <c r="GGK70" s="119"/>
      <c r="GGL70" s="119"/>
      <c r="GGM70" s="119"/>
      <c r="GGN70" s="119"/>
      <c r="GGO70" s="119"/>
      <c r="GGP70" s="119"/>
      <c r="GGQ70" s="119"/>
      <c r="GGR70" s="119"/>
      <c r="GGS70" s="119"/>
      <c r="GGT70" s="119"/>
      <c r="GGU70" s="119"/>
      <c r="GGV70" s="119"/>
      <c r="GGW70" s="119"/>
      <c r="GGX70" s="119"/>
      <c r="GGY70" s="119"/>
      <c r="GGZ70" s="119"/>
      <c r="GHA70" s="119"/>
      <c r="GHB70" s="119"/>
      <c r="GHC70" s="119"/>
      <c r="GHD70" s="119"/>
      <c r="GHE70" s="119"/>
      <c r="GHF70" s="119"/>
      <c r="GHG70" s="119"/>
      <c r="GHH70" s="119"/>
      <c r="GHI70" s="119"/>
      <c r="GHJ70" s="119"/>
      <c r="GHK70" s="119"/>
      <c r="GHL70" s="119"/>
      <c r="GHM70" s="119"/>
      <c r="GHN70" s="119"/>
      <c r="GHO70" s="119"/>
      <c r="GHP70" s="119"/>
      <c r="GHQ70" s="119"/>
      <c r="GHR70" s="119"/>
      <c r="GHS70" s="119"/>
      <c r="GHT70" s="119"/>
      <c r="GHU70" s="119"/>
      <c r="GHV70" s="119"/>
      <c r="GHW70" s="119"/>
      <c r="GHX70" s="119"/>
      <c r="GHY70" s="119"/>
      <c r="GHZ70" s="119"/>
      <c r="GIA70" s="119"/>
      <c r="GIB70" s="119"/>
      <c r="GIC70" s="119"/>
      <c r="GID70" s="119"/>
      <c r="GIE70" s="119"/>
      <c r="GIF70" s="119"/>
      <c r="GIG70" s="119"/>
      <c r="GIH70" s="119"/>
      <c r="GII70" s="119"/>
      <c r="GIJ70" s="119"/>
      <c r="GIK70" s="119"/>
      <c r="GIL70" s="119"/>
      <c r="GIM70" s="119"/>
      <c r="GIN70" s="119"/>
      <c r="GIO70" s="119"/>
      <c r="GIP70" s="119"/>
      <c r="GIQ70" s="119"/>
      <c r="GIR70" s="119"/>
      <c r="GIS70" s="119"/>
      <c r="GIT70" s="119"/>
      <c r="GIU70" s="119"/>
      <c r="GIV70" s="119"/>
      <c r="GIW70" s="119"/>
      <c r="GIX70" s="119"/>
      <c r="GIY70" s="119"/>
      <c r="GIZ70" s="119"/>
      <c r="GJA70" s="119"/>
      <c r="GJB70" s="119"/>
      <c r="GJC70" s="119"/>
      <c r="GJD70" s="119"/>
      <c r="GJE70" s="119"/>
      <c r="GJF70" s="119"/>
      <c r="GJG70" s="119"/>
      <c r="GJH70" s="119"/>
      <c r="GJI70" s="119"/>
      <c r="GJJ70" s="119"/>
      <c r="GJK70" s="119"/>
      <c r="GJL70" s="119"/>
      <c r="GJM70" s="119"/>
      <c r="GJN70" s="119"/>
      <c r="GJO70" s="119"/>
      <c r="GJP70" s="119"/>
      <c r="GJQ70" s="119"/>
      <c r="GJR70" s="119"/>
      <c r="GJS70" s="119"/>
      <c r="GJT70" s="119"/>
      <c r="GJU70" s="119"/>
      <c r="GJV70" s="119"/>
      <c r="GJW70" s="119"/>
      <c r="GJX70" s="119"/>
      <c r="GJY70" s="119"/>
      <c r="GJZ70" s="119"/>
      <c r="GKA70" s="119"/>
      <c r="GKB70" s="119"/>
      <c r="GKC70" s="119"/>
      <c r="GKD70" s="119"/>
      <c r="GKE70" s="119"/>
      <c r="GKF70" s="119"/>
      <c r="GKG70" s="119"/>
      <c r="GKH70" s="119"/>
      <c r="GKI70" s="119"/>
      <c r="GKJ70" s="119"/>
      <c r="GKK70" s="119"/>
      <c r="GKL70" s="119"/>
      <c r="GKM70" s="119"/>
      <c r="GKN70" s="119"/>
      <c r="GKO70" s="119"/>
      <c r="GKP70" s="119"/>
      <c r="GKQ70" s="119"/>
      <c r="GKR70" s="119"/>
      <c r="GKS70" s="119"/>
      <c r="GKT70" s="119"/>
      <c r="GKU70" s="119"/>
      <c r="GKV70" s="119"/>
      <c r="GKW70" s="119"/>
      <c r="GKX70" s="119"/>
      <c r="GKY70" s="119"/>
      <c r="GKZ70" s="119"/>
      <c r="GLA70" s="119"/>
      <c r="GLB70" s="119"/>
      <c r="GLC70" s="119"/>
      <c r="GLD70" s="119"/>
      <c r="GLE70" s="119"/>
      <c r="GLF70" s="119"/>
      <c r="GLG70" s="119"/>
      <c r="GLH70" s="119"/>
      <c r="GLI70" s="119"/>
      <c r="GLJ70" s="119"/>
      <c r="GLK70" s="119"/>
      <c r="GLL70" s="119"/>
      <c r="GLM70" s="119"/>
      <c r="GLN70" s="119"/>
      <c r="GLO70" s="119"/>
      <c r="GLP70" s="119"/>
      <c r="GLQ70" s="119"/>
      <c r="GLR70" s="119"/>
      <c r="GLS70" s="119"/>
      <c r="GLT70" s="119"/>
      <c r="GLU70" s="119"/>
      <c r="GLV70" s="119"/>
      <c r="GLW70" s="119"/>
      <c r="GLX70" s="119"/>
      <c r="GLY70" s="119"/>
      <c r="GLZ70" s="119"/>
      <c r="GMA70" s="119"/>
      <c r="GMB70" s="119"/>
      <c r="GMC70" s="119"/>
      <c r="GMD70" s="119"/>
      <c r="GME70" s="119"/>
      <c r="GMF70" s="119"/>
      <c r="GMG70" s="119"/>
      <c r="GMH70" s="119"/>
      <c r="GMI70" s="119"/>
      <c r="GMJ70" s="119"/>
      <c r="GMK70" s="119"/>
      <c r="GML70" s="119"/>
      <c r="GMM70" s="119"/>
      <c r="GMN70" s="119"/>
      <c r="GMO70" s="119"/>
      <c r="GMP70" s="119"/>
      <c r="GMQ70" s="119"/>
      <c r="GMR70" s="119"/>
      <c r="GMS70" s="119"/>
      <c r="GMT70" s="119"/>
      <c r="GMU70" s="119"/>
      <c r="GMV70" s="119"/>
      <c r="GMW70" s="119"/>
      <c r="GMX70" s="119"/>
      <c r="GMY70" s="119"/>
      <c r="GMZ70" s="119"/>
      <c r="GNA70" s="119"/>
      <c r="GNB70" s="119"/>
      <c r="GNC70" s="119"/>
      <c r="GND70" s="119"/>
      <c r="GNE70" s="119"/>
      <c r="GNF70" s="119"/>
      <c r="GNG70" s="119"/>
      <c r="GNH70" s="119"/>
      <c r="GNI70" s="119"/>
      <c r="GNJ70" s="119"/>
      <c r="GNK70" s="119"/>
      <c r="GNL70" s="119"/>
      <c r="GNM70" s="119"/>
      <c r="GNN70" s="119"/>
      <c r="GNO70" s="119"/>
      <c r="GNP70" s="119"/>
      <c r="GNQ70" s="119"/>
      <c r="GNR70" s="119"/>
      <c r="GNS70" s="119"/>
      <c r="GNT70" s="119"/>
      <c r="GNU70" s="119"/>
      <c r="GNV70" s="119"/>
      <c r="GNW70" s="119"/>
      <c r="GNX70" s="119"/>
      <c r="GNY70" s="119"/>
      <c r="GNZ70" s="119"/>
      <c r="GOA70" s="119"/>
      <c r="GOB70" s="119"/>
      <c r="GOC70" s="119"/>
      <c r="GOD70" s="119"/>
      <c r="GOE70" s="119"/>
      <c r="GOF70" s="119"/>
      <c r="GOG70" s="119"/>
      <c r="GOH70" s="119"/>
      <c r="GOI70" s="119"/>
      <c r="GOJ70" s="119"/>
      <c r="GOK70" s="119"/>
      <c r="GOL70" s="119"/>
      <c r="GOM70" s="119"/>
      <c r="GON70" s="119"/>
      <c r="GOO70" s="119"/>
      <c r="GOP70" s="119"/>
      <c r="GOQ70" s="119"/>
      <c r="GOR70" s="119"/>
      <c r="GOS70" s="119"/>
      <c r="GOT70" s="119"/>
      <c r="GOU70" s="119"/>
      <c r="GOV70" s="119"/>
      <c r="GOW70" s="119"/>
      <c r="GOX70" s="119"/>
      <c r="GOY70" s="119"/>
      <c r="GOZ70" s="119"/>
      <c r="GPA70" s="119"/>
      <c r="GPB70" s="119"/>
      <c r="GPC70" s="119"/>
      <c r="GPD70" s="119"/>
      <c r="GPE70" s="119"/>
      <c r="GPF70" s="119"/>
      <c r="GPG70" s="119"/>
      <c r="GPH70" s="119"/>
      <c r="GPI70" s="119"/>
      <c r="GPJ70" s="119"/>
      <c r="GPK70" s="119"/>
      <c r="GPL70" s="119"/>
      <c r="GPM70" s="119"/>
      <c r="GPN70" s="119"/>
      <c r="GPO70" s="119"/>
      <c r="GPP70" s="119"/>
      <c r="GPQ70" s="119"/>
      <c r="GPR70" s="119"/>
      <c r="GPS70" s="119"/>
      <c r="GPT70" s="119"/>
      <c r="GPU70" s="119"/>
      <c r="GPV70" s="119"/>
      <c r="GPW70" s="119"/>
      <c r="GPX70" s="119"/>
      <c r="GPY70" s="119"/>
      <c r="GPZ70" s="119"/>
      <c r="GQA70" s="119"/>
      <c r="GQB70" s="119"/>
      <c r="GQC70" s="119"/>
      <c r="GQD70" s="119"/>
      <c r="GQE70" s="119"/>
      <c r="GQF70" s="119"/>
      <c r="GQG70" s="119"/>
      <c r="GQH70" s="119"/>
      <c r="GQI70" s="119"/>
      <c r="GQJ70" s="119"/>
      <c r="GQK70" s="119"/>
      <c r="GQL70" s="119"/>
      <c r="GQM70" s="119"/>
      <c r="GQN70" s="119"/>
      <c r="GQO70" s="119"/>
      <c r="GQP70" s="119"/>
      <c r="GQQ70" s="119"/>
      <c r="GQR70" s="119"/>
      <c r="GQS70" s="119"/>
      <c r="GQT70" s="119"/>
      <c r="GQU70" s="119"/>
      <c r="GQV70" s="119"/>
      <c r="GQW70" s="119"/>
      <c r="GQX70" s="119"/>
      <c r="GQY70" s="119"/>
      <c r="GQZ70" s="119"/>
      <c r="GRA70" s="119"/>
      <c r="GRB70" s="119"/>
      <c r="GRC70" s="119"/>
      <c r="GRD70" s="119"/>
      <c r="GRE70" s="119"/>
      <c r="GRF70" s="119"/>
      <c r="GRG70" s="119"/>
      <c r="GRH70" s="119"/>
      <c r="GRI70" s="119"/>
      <c r="GRJ70" s="119"/>
      <c r="GRK70" s="119"/>
      <c r="GRL70" s="119"/>
      <c r="GRM70" s="119"/>
      <c r="GRN70" s="119"/>
      <c r="GRO70" s="119"/>
      <c r="GRP70" s="119"/>
      <c r="GRQ70" s="119"/>
      <c r="GRR70" s="119"/>
      <c r="GRS70" s="119"/>
      <c r="GRT70" s="119"/>
      <c r="GRU70" s="119"/>
      <c r="GRV70" s="119"/>
      <c r="GRW70" s="119"/>
      <c r="GRX70" s="119"/>
      <c r="GRY70" s="119"/>
      <c r="GRZ70" s="119"/>
      <c r="GSA70" s="119"/>
      <c r="GSB70" s="119"/>
      <c r="GSC70" s="119"/>
      <c r="GSD70" s="119"/>
      <c r="GSE70" s="119"/>
      <c r="GSF70" s="119"/>
      <c r="GSG70" s="119"/>
      <c r="GSH70" s="119"/>
      <c r="GSI70" s="119"/>
      <c r="GSJ70" s="119"/>
      <c r="GSK70" s="119"/>
      <c r="GSL70" s="119"/>
      <c r="GSM70" s="119"/>
      <c r="GSN70" s="119"/>
      <c r="GSO70" s="119"/>
      <c r="GSP70" s="119"/>
      <c r="GSQ70" s="119"/>
      <c r="GSR70" s="119"/>
      <c r="GSS70" s="119"/>
      <c r="GST70" s="119"/>
      <c r="GSU70" s="119"/>
      <c r="GSV70" s="119"/>
      <c r="GSW70" s="119"/>
      <c r="GSX70" s="119"/>
      <c r="GSY70" s="119"/>
      <c r="GSZ70" s="119"/>
      <c r="GTA70" s="119"/>
      <c r="GTB70" s="119"/>
      <c r="GTC70" s="119"/>
      <c r="GTD70" s="119"/>
      <c r="GTE70" s="119"/>
      <c r="GTF70" s="119"/>
      <c r="GTG70" s="119"/>
      <c r="GTH70" s="119"/>
      <c r="GTI70" s="119"/>
      <c r="GTJ70" s="119"/>
      <c r="GTK70" s="119"/>
      <c r="GTL70" s="119"/>
      <c r="GTM70" s="119"/>
      <c r="GTN70" s="119"/>
      <c r="GTO70" s="119"/>
      <c r="GTP70" s="119"/>
      <c r="GTQ70" s="119"/>
      <c r="GTR70" s="119"/>
      <c r="GTS70" s="119"/>
      <c r="GTT70" s="119"/>
      <c r="GTU70" s="119"/>
      <c r="GTV70" s="119"/>
      <c r="GTW70" s="119"/>
      <c r="GTX70" s="119"/>
      <c r="GTY70" s="119"/>
      <c r="GTZ70" s="119"/>
      <c r="GUA70" s="119"/>
      <c r="GUB70" s="119"/>
      <c r="GUC70" s="119"/>
      <c r="GUD70" s="119"/>
      <c r="GUE70" s="119"/>
      <c r="GUF70" s="119"/>
      <c r="GUG70" s="119"/>
      <c r="GUH70" s="119"/>
      <c r="GUI70" s="119"/>
      <c r="GUJ70" s="119"/>
      <c r="GUK70" s="119"/>
      <c r="GUL70" s="119"/>
      <c r="GUM70" s="119"/>
      <c r="GUN70" s="119"/>
      <c r="GUO70" s="119"/>
      <c r="GUP70" s="119"/>
      <c r="GUQ70" s="119"/>
      <c r="GUR70" s="119"/>
      <c r="GUS70" s="119"/>
      <c r="GUT70" s="119"/>
      <c r="GUU70" s="119"/>
      <c r="GUV70" s="119"/>
      <c r="GUW70" s="119"/>
      <c r="GUX70" s="119"/>
      <c r="GUY70" s="119"/>
      <c r="GUZ70" s="119"/>
      <c r="GVA70" s="119"/>
      <c r="GVB70" s="119"/>
      <c r="GVC70" s="119"/>
      <c r="GVD70" s="119"/>
      <c r="GVE70" s="119"/>
      <c r="GVF70" s="119"/>
      <c r="GVG70" s="119"/>
      <c r="GVH70" s="119"/>
      <c r="GVI70" s="119"/>
      <c r="GVJ70" s="119"/>
      <c r="GVK70" s="119"/>
      <c r="GVL70" s="119"/>
      <c r="GVM70" s="119"/>
      <c r="GVN70" s="119"/>
      <c r="GVO70" s="119"/>
      <c r="GVP70" s="119"/>
      <c r="GVQ70" s="119"/>
      <c r="GVR70" s="119"/>
      <c r="GVS70" s="119"/>
      <c r="GVT70" s="119"/>
      <c r="GVU70" s="119"/>
      <c r="GVV70" s="119"/>
      <c r="GVW70" s="119"/>
      <c r="GVX70" s="119"/>
      <c r="GVY70" s="119"/>
      <c r="GVZ70" s="119"/>
      <c r="GWA70" s="119"/>
      <c r="GWB70" s="119"/>
      <c r="GWC70" s="119"/>
      <c r="GWD70" s="119"/>
      <c r="GWE70" s="119"/>
      <c r="GWF70" s="119"/>
      <c r="GWG70" s="119"/>
      <c r="GWH70" s="119"/>
      <c r="GWI70" s="119"/>
      <c r="GWJ70" s="119"/>
      <c r="GWK70" s="119"/>
      <c r="GWL70" s="119"/>
      <c r="GWM70" s="119"/>
      <c r="GWN70" s="119"/>
      <c r="GWO70" s="119"/>
      <c r="GWP70" s="119"/>
      <c r="GWQ70" s="119"/>
      <c r="GWR70" s="119"/>
      <c r="GWS70" s="119"/>
      <c r="GWT70" s="119"/>
      <c r="GWU70" s="119"/>
      <c r="GWV70" s="119"/>
      <c r="GWW70" s="119"/>
      <c r="GWX70" s="119"/>
      <c r="GWY70" s="119"/>
      <c r="GWZ70" s="119"/>
      <c r="GXA70" s="119"/>
      <c r="GXB70" s="119"/>
      <c r="GXC70" s="119"/>
      <c r="GXD70" s="119"/>
      <c r="GXE70" s="119"/>
      <c r="GXF70" s="119"/>
      <c r="GXG70" s="119"/>
      <c r="GXH70" s="119"/>
      <c r="GXI70" s="119"/>
      <c r="GXJ70" s="119"/>
      <c r="GXK70" s="119"/>
      <c r="GXL70" s="119"/>
      <c r="GXM70" s="119"/>
      <c r="GXN70" s="119"/>
      <c r="GXO70" s="119"/>
      <c r="GXP70" s="119"/>
      <c r="GXQ70" s="119"/>
      <c r="GXR70" s="119"/>
      <c r="GXS70" s="119"/>
      <c r="GXT70" s="119"/>
      <c r="GXU70" s="119"/>
      <c r="GXV70" s="119"/>
      <c r="GXW70" s="119"/>
      <c r="GXX70" s="119"/>
      <c r="GXY70" s="119"/>
      <c r="GXZ70" s="119"/>
      <c r="GYA70" s="119"/>
      <c r="GYB70" s="119"/>
      <c r="GYC70" s="119"/>
      <c r="GYD70" s="119"/>
      <c r="GYE70" s="119"/>
      <c r="GYF70" s="119"/>
      <c r="GYG70" s="119"/>
      <c r="GYH70" s="119"/>
      <c r="GYI70" s="119"/>
      <c r="GYJ70" s="119"/>
      <c r="GYK70" s="119"/>
      <c r="GYL70" s="119"/>
      <c r="GYM70" s="119"/>
      <c r="GYN70" s="119"/>
      <c r="GYO70" s="119"/>
      <c r="GYP70" s="119"/>
      <c r="GYQ70" s="119"/>
      <c r="GYR70" s="119"/>
      <c r="GYS70" s="119"/>
      <c r="GYT70" s="119"/>
      <c r="GYU70" s="119"/>
      <c r="GYV70" s="119"/>
      <c r="GYW70" s="119"/>
      <c r="GYX70" s="119"/>
      <c r="GYY70" s="119"/>
      <c r="GYZ70" s="119"/>
      <c r="GZA70" s="119"/>
      <c r="GZB70" s="119"/>
      <c r="GZC70" s="119"/>
      <c r="GZD70" s="119"/>
      <c r="GZE70" s="119"/>
      <c r="GZF70" s="119"/>
      <c r="GZG70" s="119"/>
      <c r="GZH70" s="119"/>
      <c r="GZI70" s="119"/>
      <c r="GZJ70" s="119"/>
      <c r="GZK70" s="119"/>
      <c r="GZL70" s="119"/>
      <c r="GZM70" s="119"/>
      <c r="GZN70" s="119"/>
      <c r="GZO70" s="119"/>
      <c r="GZP70" s="119"/>
      <c r="GZQ70" s="119"/>
      <c r="GZR70" s="119"/>
      <c r="GZS70" s="119"/>
      <c r="GZT70" s="119"/>
      <c r="GZU70" s="119"/>
      <c r="GZV70" s="119"/>
      <c r="GZW70" s="119"/>
      <c r="GZX70" s="119"/>
      <c r="GZY70" s="119"/>
      <c r="GZZ70" s="119"/>
      <c r="HAA70" s="119"/>
      <c r="HAB70" s="119"/>
      <c r="HAC70" s="119"/>
      <c r="HAD70" s="119"/>
      <c r="HAE70" s="119"/>
      <c r="HAF70" s="119"/>
      <c r="HAG70" s="119"/>
      <c r="HAH70" s="119"/>
      <c r="HAI70" s="119"/>
      <c r="HAJ70" s="119"/>
      <c r="HAK70" s="119"/>
      <c r="HAL70" s="119"/>
      <c r="HAM70" s="119"/>
      <c r="HAN70" s="119"/>
      <c r="HAO70" s="119"/>
      <c r="HAP70" s="119"/>
      <c r="HAQ70" s="119"/>
      <c r="HAR70" s="119"/>
      <c r="HAS70" s="119"/>
      <c r="HAT70" s="119"/>
      <c r="HAU70" s="119"/>
      <c r="HAV70" s="119"/>
      <c r="HAW70" s="119"/>
      <c r="HAX70" s="119"/>
      <c r="HAY70" s="119"/>
      <c r="HAZ70" s="119"/>
      <c r="HBA70" s="119"/>
      <c r="HBB70" s="119"/>
      <c r="HBC70" s="119"/>
      <c r="HBD70" s="119"/>
      <c r="HBE70" s="119"/>
      <c r="HBF70" s="119"/>
      <c r="HBG70" s="119"/>
      <c r="HBH70" s="119"/>
      <c r="HBI70" s="119"/>
      <c r="HBJ70" s="119"/>
      <c r="HBK70" s="119"/>
      <c r="HBL70" s="119"/>
      <c r="HBM70" s="119"/>
      <c r="HBN70" s="119"/>
      <c r="HBO70" s="119"/>
      <c r="HBP70" s="119"/>
      <c r="HBQ70" s="119"/>
      <c r="HBR70" s="119"/>
      <c r="HBS70" s="119"/>
      <c r="HBT70" s="119"/>
      <c r="HBU70" s="119"/>
      <c r="HBV70" s="119"/>
      <c r="HBW70" s="119"/>
      <c r="HBX70" s="119"/>
      <c r="HBY70" s="119"/>
      <c r="HBZ70" s="119"/>
      <c r="HCA70" s="119"/>
      <c r="HCB70" s="119"/>
      <c r="HCC70" s="119"/>
      <c r="HCD70" s="119"/>
      <c r="HCE70" s="119"/>
      <c r="HCF70" s="119"/>
      <c r="HCG70" s="119"/>
      <c r="HCH70" s="119"/>
      <c r="HCI70" s="119"/>
      <c r="HCJ70" s="119"/>
      <c r="HCK70" s="119"/>
      <c r="HCL70" s="119"/>
      <c r="HCM70" s="119"/>
      <c r="HCN70" s="119"/>
      <c r="HCO70" s="119"/>
      <c r="HCP70" s="119"/>
      <c r="HCQ70" s="119"/>
      <c r="HCR70" s="119"/>
      <c r="HCS70" s="119"/>
      <c r="HCT70" s="119"/>
      <c r="HCU70" s="119"/>
      <c r="HCV70" s="119"/>
      <c r="HCW70" s="119"/>
      <c r="HCX70" s="119"/>
      <c r="HCY70" s="119"/>
      <c r="HCZ70" s="119"/>
      <c r="HDA70" s="119"/>
      <c r="HDB70" s="119"/>
      <c r="HDC70" s="119"/>
      <c r="HDD70" s="119"/>
      <c r="HDE70" s="119"/>
      <c r="HDF70" s="119"/>
      <c r="HDG70" s="119"/>
      <c r="HDH70" s="119"/>
      <c r="HDI70" s="119"/>
      <c r="HDJ70" s="119"/>
      <c r="HDK70" s="119"/>
      <c r="HDL70" s="119"/>
      <c r="HDM70" s="119"/>
      <c r="HDN70" s="119"/>
      <c r="HDO70" s="119"/>
      <c r="HDP70" s="119"/>
      <c r="HDQ70" s="119"/>
      <c r="HDR70" s="119"/>
      <c r="HDS70" s="119"/>
      <c r="HDT70" s="119"/>
      <c r="HDU70" s="119"/>
      <c r="HDV70" s="119"/>
      <c r="HDW70" s="119"/>
      <c r="HDX70" s="119"/>
      <c r="HDY70" s="119"/>
      <c r="HDZ70" s="119"/>
      <c r="HEA70" s="119"/>
      <c r="HEB70" s="119"/>
      <c r="HEC70" s="119"/>
      <c r="HED70" s="119"/>
      <c r="HEE70" s="119"/>
      <c r="HEF70" s="119"/>
      <c r="HEG70" s="119"/>
      <c r="HEH70" s="119"/>
      <c r="HEI70" s="119"/>
      <c r="HEJ70" s="119"/>
      <c r="HEK70" s="119"/>
      <c r="HEL70" s="119"/>
      <c r="HEM70" s="119"/>
      <c r="HEN70" s="119"/>
      <c r="HEO70" s="119"/>
      <c r="HEP70" s="119"/>
      <c r="HEQ70" s="119"/>
      <c r="HER70" s="119"/>
      <c r="HES70" s="119"/>
      <c r="HET70" s="119"/>
      <c r="HEU70" s="119"/>
      <c r="HEV70" s="119"/>
      <c r="HEW70" s="119"/>
      <c r="HEX70" s="119"/>
      <c r="HEY70" s="119"/>
      <c r="HEZ70" s="119"/>
      <c r="HFA70" s="119"/>
      <c r="HFB70" s="119"/>
      <c r="HFC70" s="119"/>
      <c r="HFD70" s="119"/>
      <c r="HFE70" s="119"/>
      <c r="HFF70" s="119"/>
      <c r="HFG70" s="119"/>
      <c r="HFH70" s="119"/>
      <c r="HFI70" s="119"/>
      <c r="HFJ70" s="119"/>
      <c r="HFK70" s="119"/>
      <c r="HFL70" s="119"/>
      <c r="HFM70" s="119"/>
      <c r="HFN70" s="119"/>
      <c r="HFO70" s="119"/>
      <c r="HFP70" s="119"/>
      <c r="HFQ70" s="119"/>
      <c r="HFR70" s="119"/>
      <c r="HFS70" s="119"/>
      <c r="HFT70" s="119"/>
      <c r="HFU70" s="119"/>
      <c r="HFV70" s="119"/>
      <c r="HFW70" s="119"/>
      <c r="HFX70" s="119"/>
      <c r="HFY70" s="119"/>
      <c r="HFZ70" s="119"/>
      <c r="HGA70" s="119"/>
      <c r="HGB70" s="119"/>
      <c r="HGC70" s="119"/>
      <c r="HGD70" s="119"/>
      <c r="HGE70" s="119"/>
      <c r="HGF70" s="119"/>
      <c r="HGG70" s="119"/>
      <c r="HGH70" s="119"/>
      <c r="HGI70" s="119"/>
      <c r="HGJ70" s="119"/>
      <c r="HGK70" s="119"/>
      <c r="HGL70" s="119"/>
      <c r="HGM70" s="119"/>
      <c r="HGN70" s="119"/>
      <c r="HGO70" s="119"/>
      <c r="HGP70" s="119"/>
      <c r="HGQ70" s="119"/>
      <c r="HGR70" s="119"/>
      <c r="HGS70" s="119"/>
      <c r="HGT70" s="119"/>
      <c r="HGU70" s="119"/>
      <c r="HGV70" s="119"/>
      <c r="HGW70" s="119"/>
      <c r="HGX70" s="119"/>
      <c r="HGY70" s="119"/>
      <c r="HGZ70" s="119"/>
      <c r="HHA70" s="119"/>
      <c r="HHB70" s="119"/>
      <c r="HHC70" s="119"/>
      <c r="HHD70" s="119"/>
      <c r="HHE70" s="119"/>
      <c r="HHF70" s="119"/>
      <c r="HHG70" s="119"/>
      <c r="HHH70" s="119"/>
      <c r="HHI70" s="119"/>
      <c r="HHJ70" s="119"/>
      <c r="HHK70" s="119"/>
      <c r="HHL70" s="119"/>
      <c r="HHM70" s="119"/>
      <c r="HHN70" s="119"/>
      <c r="HHO70" s="119"/>
      <c r="HHP70" s="119"/>
      <c r="HHQ70" s="119"/>
      <c r="HHR70" s="119"/>
      <c r="HHS70" s="119"/>
      <c r="HHT70" s="119"/>
      <c r="HHU70" s="119"/>
      <c r="HHV70" s="119"/>
      <c r="HHW70" s="119"/>
      <c r="HHX70" s="119"/>
      <c r="HHY70" s="119"/>
      <c r="HHZ70" s="119"/>
      <c r="HIA70" s="119"/>
      <c r="HIB70" s="119"/>
      <c r="HIC70" s="119"/>
      <c r="HID70" s="119"/>
      <c r="HIE70" s="119"/>
      <c r="HIF70" s="119"/>
      <c r="HIG70" s="119"/>
      <c r="HIH70" s="119"/>
      <c r="HII70" s="119"/>
      <c r="HIJ70" s="119"/>
      <c r="HIK70" s="119"/>
      <c r="HIL70" s="119"/>
      <c r="HIM70" s="119"/>
      <c r="HIN70" s="119"/>
      <c r="HIO70" s="119"/>
      <c r="HIP70" s="119"/>
      <c r="HIQ70" s="119"/>
      <c r="HIR70" s="119"/>
      <c r="HIS70" s="119"/>
      <c r="HIT70" s="119"/>
      <c r="HIU70" s="119"/>
      <c r="HIV70" s="119"/>
      <c r="HIW70" s="119"/>
      <c r="HIX70" s="119"/>
      <c r="HIY70" s="119"/>
      <c r="HIZ70" s="119"/>
      <c r="HJA70" s="119"/>
      <c r="HJB70" s="119"/>
      <c r="HJC70" s="119"/>
      <c r="HJD70" s="119"/>
      <c r="HJE70" s="119"/>
      <c r="HJF70" s="119"/>
      <c r="HJG70" s="119"/>
      <c r="HJH70" s="119"/>
      <c r="HJI70" s="119"/>
      <c r="HJJ70" s="119"/>
      <c r="HJK70" s="119"/>
      <c r="HJL70" s="119"/>
      <c r="HJM70" s="119"/>
      <c r="HJN70" s="119"/>
      <c r="HJO70" s="119"/>
      <c r="HJP70" s="119"/>
      <c r="HJQ70" s="119"/>
      <c r="HJR70" s="119"/>
      <c r="HJS70" s="119"/>
      <c r="HJT70" s="119"/>
      <c r="HJU70" s="119"/>
      <c r="HJV70" s="119"/>
      <c r="HJW70" s="119"/>
      <c r="HJX70" s="119"/>
      <c r="HJY70" s="119"/>
      <c r="HJZ70" s="119"/>
      <c r="HKA70" s="119"/>
      <c r="HKB70" s="119"/>
      <c r="HKC70" s="119"/>
      <c r="HKD70" s="119"/>
      <c r="HKE70" s="119"/>
      <c r="HKF70" s="119"/>
      <c r="HKG70" s="119"/>
      <c r="HKH70" s="119"/>
      <c r="HKI70" s="119"/>
      <c r="HKJ70" s="119"/>
      <c r="HKK70" s="119"/>
      <c r="HKL70" s="119"/>
      <c r="HKM70" s="119"/>
      <c r="HKN70" s="119"/>
      <c r="HKO70" s="119"/>
      <c r="HKP70" s="119"/>
      <c r="HKQ70" s="119"/>
      <c r="HKR70" s="119"/>
      <c r="HKS70" s="119"/>
      <c r="HKT70" s="119"/>
      <c r="HKU70" s="119"/>
      <c r="HKV70" s="119"/>
      <c r="HKW70" s="119"/>
      <c r="HKX70" s="119"/>
      <c r="HKY70" s="119"/>
      <c r="HKZ70" s="119"/>
      <c r="HLA70" s="119"/>
      <c r="HLB70" s="119"/>
      <c r="HLC70" s="119"/>
      <c r="HLD70" s="119"/>
      <c r="HLE70" s="119"/>
      <c r="HLF70" s="119"/>
      <c r="HLG70" s="119"/>
      <c r="HLH70" s="119"/>
      <c r="HLI70" s="119"/>
      <c r="HLJ70" s="119"/>
      <c r="HLK70" s="119"/>
      <c r="HLL70" s="119"/>
      <c r="HLM70" s="119"/>
      <c r="HLN70" s="119"/>
      <c r="HLO70" s="119"/>
      <c r="HLP70" s="119"/>
      <c r="HLQ70" s="119"/>
      <c r="HLR70" s="119"/>
      <c r="HLS70" s="119"/>
      <c r="HLT70" s="119"/>
      <c r="HLU70" s="119"/>
      <c r="HLV70" s="119"/>
      <c r="HLW70" s="119"/>
      <c r="HLX70" s="119"/>
      <c r="HLY70" s="119"/>
      <c r="HLZ70" s="119"/>
      <c r="HMA70" s="119"/>
      <c r="HMB70" s="119"/>
      <c r="HMC70" s="119"/>
      <c r="HMD70" s="119"/>
      <c r="HME70" s="119"/>
      <c r="HMF70" s="119"/>
      <c r="HMG70" s="119"/>
      <c r="HMH70" s="119"/>
      <c r="HMI70" s="119"/>
      <c r="HMJ70" s="119"/>
      <c r="HMK70" s="119"/>
      <c r="HML70" s="119"/>
      <c r="HMM70" s="119"/>
      <c r="HMN70" s="119"/>
      <c r="HMO70" s="119"/>
      <c r="HMP70" s="119"/>
      <c r="HMQ70" s="119"/>
      <c r="HMR70" s="119"/>
      <c r="HMS70" s="119"/>
      <c r="HMT70" s="119"/>
      <c r="HMU70" s="119"/>
      <c r="HMV70" s="119"/>
      <c r="HMW70" s="119"/>
      <c r="HMX70" s="119"/>
      <c r="HMY70" s="119"/>
      <c r="HMZ70" s="119"/>
      <c r="HNA70" s="119"/>
      <c r="HNB70" s="119"/>
      <c r="HNC70" s="119"/>
      <c r="HND70" s="119"/>
      <c r="HNE70" s="119"/>
      <c r="HNF70" s="119"/>
      <c r="HNG70" s="119"/>
      <c r="HNH70" s="119"/>
      <c r="HNI70" s="119"/>
      <c r="HNJ70" s="119"/>
      <c r="HNK70" s="119"/>
      <c r="HNL70" s="119"/>
      <c r="HNM70" s="119"/>
      <c r="HNN70" s="119"/>
      <c r="HNO70" s="119"/>
      <c r="HNP70" s="119"/>
      <c r="HNQ70" s="119"/>
      <c r="HNR70" s="119"/>
      <c r="HNS70" s="119"/>
      <c r="HNT70" s="119"/>
      <c r="HNU70" s="119"/>
      <c r="HNV70" s="119"/>
      <c r="HNW70" s="119"/>
      <c r="HNX70" s="119"/>
      <c r="HNY70" s="119"/>
      <c r="HNZ70" s="119"/>
      <c r="HOA70" s="119"/>
      <c r="HOB70" s="119"/>
      <c r="HOC70" s="119"/>
      <c r="HOD70" s="119"/>
      <c r="HOE70" s="119"/>
      <c r="HOF70" s="119"/>
      <c r="HOG70" s="119"/>
      <c r="HOH70" s="119"/>
      <c r="HOI70" s="119"/>
      <c r="HOJ70" s="119"/>
      <c r="HOK70" s="119"/>
      <c r="HOL70" s="119"/>
      <c r="HOM70" s="119"/>
      <c r="HON70" s="119"/>
      <c r="HOO70" s="119"/>
      <c r="HOP70" s="119"/>
      <c r="HOQ70" s="119"/>
      <c r="HOR70" s="119"/>
      <c r="HOS70" s="119"/>
      <c r="HOT70" s="119"/>
      <c r="HOU70" s="119"/>
      <c r="HOV70" s="119"/>
      <c r="HOW70" s="119"/>
      <c r="HOX70" s="119"/>
      <c r="HOY70" s="119"/>
      <c r="HOZ70" s="119"/>
      <c r="HPA70" s="119"/>
      <c r="HPB70" s="119"/>
      <c r="HPC70" s="119"/>
      <c r="HPD70" s="119"/>
      <c r="HPE70" s="119"/>
      <c r="HPF70" s="119"/>
      <c r="HPG70" s="119"/>
      <c r="HPH70" s="119"/>
      <c r="HPI70" s="119"/>
      <c r="HPJ70" s="119"/>
      <c r="HPK70" s="119"/>
      <c r="HPL70" s="119"/>
      <c r="HPM70" s="119"/>
      <c r="HPN70" s="119"/>
      <c r="HPO70" s="119"/>
      <c r="HPP70" s="119"/>
      <c r="HPQ70" s="119"/>
      <c r="HPR70" s="119"/>
      <c r="HPS70" s="119"/>
      <c r="HPT70" s="119"/>
      <c r="HPU70" s="119"/>
      <c r="HPV70" s="119"/>
      <c r="HPW70" s="119"/>
      <c r="HPX70" s="119"/>
      <c r="HPY70" s="119"/>
      <c r="HPZ70" s="119"/>
      <c r="HQA70" s="119"/>
      <c r="HQB70" s="119"/>
      <c r="HQC70" s="119"/>
      <c r="HQD70" s="119"/>
      <c r="HQE70" s="119"/>
      <c r="HQF70" s="119"/>
      <c r="HQG70" s="119"/>
      <c r="HQH70" s="119"/>
      <c r="HQI70" s="119"/>
      <c r="HQJ70" s="119"/>
      <c r="HQK70" s="119"/>
      <c r="HQL70" s="119"/>
      <c r="HQM70" s="119"/>
      <c r="HQN70" s="119"/>
      <c r="HQO70" s="119"/>
      <c r="HQP70" s="119"/>
      <c r="HQQ70" s="119"/>
      <c r="HQR70" s="119"/>
      <c r="HQS70" s="119"/>
      <c r="HQT70" s="119"/>
      <c r="HQU70" s="119"/>
      <c r="HQV70" s="119"/>
      <c r="HQW70" s="119"/>
      <c r="HQX70" s="119"/>
      <c r="HQY70" s="119"/>
      <c r="HQZ70" s="119"/>
      <c r="HRA70" s="119"/>
      <c r="HRB70" s="119"/>
      <c r="HRC70" s="119"/>
      <c r="HRD70" s="119"/>
      <c r="HRE70" s="119"/>
      <c r="HRF70" s="119"/>
      <c r="HRG70" s="119"/>
      <c r="HRH70" s="119"/>
      <c r="HRI70" s="119"/>
      <c r="HRJ70" s="119"/>
      <c r="HRK70" s="119"/>
      <c r="HRL70" s="119"/>
      <c r="HRM70" s="119"/>
      <c r="HRN70" s="119"/>
      <c r="HRO70" s="119"/>
      <c r="HRP70" s="119"/>
      <c r="HRQ70" s="119"/>
      <c r="HRR70" s="119"/>
      <c r="HRS70" s="119"/>
      <c r="HRT70" s="119"/>
      <c r="HRU70" s="119"/>
      <c r="HRV70" s="119"/>
      <c r="HRW70" s="119"/>
      <c r="HRX70" s="119"/>
      <c r="HRY70" s="119"/>
      <c r="HRZ70" s="119"/>
      <c r="HSA70" s="119"/>
      <c r="HSB70" s="119"/>
      <c r="HSC70" s="119"/>
      <c r="HSD70" s="119"/>
      <c r="HSE70" s="119"/>
      <c r="HSF70" s="119"/>
      <c r="HSG70" s="119"/>
      <c r="HSH70" s="119"/>
      <c r="HSI70" s="119"/>
      <c r="HSJ70" s="119"/>
      <c r="HSK70" s="119"/>
      <c r="HSL70" s="119"/>
      <c r="HSM70" s="119"/>
      <c r="HSN70" s="119"/>
      <c r="HSO70" s="119"/>
      <c r="HSP70" s="119"/>
      <c r="HSQ70" s="119"/>
      <c r="HSR70" s="119"/>
      <c r="HSS70" s="119"/>
      <c r="HST70" s="119"/>
      <c r="HSU70" s="119"/>
      <c r="HSV70" s="119"/>
      <c r="HSW70" s="119"/>
      <c r="HSX70" s="119"/>
      <c r="HSY70" s="119"/>
      <c r="HSZ70" s="119"/>
      <c r="HTA70" s="119"/>
      <c r="HTB70" s="119"/>
      <c r="HTC70" s="119"/>
      <c r="HTD70" s="119"/>
      <c r="HTE70" s="119"/>
      <c r="HTF70" s="119"/>
      <c r="HTG70" s="119"/>
      <c r="HTH70" s="119"/>
      <c r="HTI70" s="119"/>
      <c r="HTJ70" s="119"/>
      <c r="HTK70" s="119"/>
      <c r="HTL70" s="119"/>
      <c r="HTM70" s="119"/>
      <c r="HTN70" s="119"/>
      <c r="HTO70" s="119"/>
      <c r="HTP70" s="119"/>
      <c r="HTQ70" s="119"/>
      <c r="HTR70" s="119"/>
      <c r="HTS70" s="119"/>
      <c r="HTT70" s="119"/>
      <c r="HTU70" s="119"/>
      <c r="HTV70" s="119"/>
      <c r="HTW70" s="119"/>
      <c r="HTX70" s="119"/>
      <c r="HTY70" s="119"/>
      <c r="HTZ70" s="119"/>
      <c r="HUA70" s="119"/>
      <c r="HUB70" s="119"/>
      <c r="HUC70" s="119"/>
      <c r="HUD70" s="119"/>
      <c r="HUE70" s="119"/>
      <c r="HUF70" s="119"/>
      <c r="HUG70" s="119"/>
      <c r="HUH70" s="119"/>
      <c r="HUI70" s="119"/>
      <c r="HUJ70" s="119"/>
      <c r="HUK70" s="119"/>
      <c r="HUL70" s="119"/>
      <c r="HUM70" s="119"/>
      <c r="HUN70" s="119"/>
      <c r="HUO70" s="119"/>
      <c r="HUP70" s="119"/>
      <c r="HUQ70" s="119"/>
      <c r="HUR70" s="119"/>
      <c r="HUS70" s="119"/>
      <c r="HUT70" s="119"/>
      <c r="HUU70" s="119"/>
      <c r="HUV70" s="119"/>
      <c r="HUW70" s="119"/>
      <c r="HUX70" s="119"/>
      <c r="HUY70" s="119"/>
      <c r="HUZ70" s="119"/>
      <c r="HVA70" s="119"/>
      <c r="HVB70" s="119"/>
      <c r="HVC70" s="119"/>
      <c r="HVD70" s="119"/>
      <c r="HVE70" s="119"/>
      <c r="HVF70" s="119"/>
      <c r="HVG70" s="119"/>
      <c r="HVH70" s="119"/>
      <c r="HVI70" s="119"/>
      <c r="HVJ70" s="119"/>
      <c r="HVK70" s="119"/>
      <c r="HVL70" s="119"/>
      <c r="HVM70" s="119"/>
      <c r="HVN70" s="119"/>
      <c r="HVO70" s="119"/>
      <c r="HVP70" s="119"/>
      <c r="HVQ70" s="119"/>
      <c r="HVR70" s="119"/>
      <c r="HVS70" s="119"/>
      <c r="HVT70" s="119"/>
      <c r="HVU70" s="119"/>
      <c r="HVV70" s="119"/>
      <c r="HVW70" s="119"/>
      <c r="HVX70" s="119"/>
      <c r="HVY70" s="119"/>
      <c r="HVZ70" s="119"/>
      <c r="HWA70" s="119"/>
      <c r="HWB70" s="119"/>
      <c r="HWC70" s="119"/>
      <c r="HWD70" s="119"/>
      <c r="HWE70" s="119"/>
      <c r="HWF70" s="119"/>
      <c r="HWG70" s="119"/>
      <c r="HWH70" s="119"/>
      <c r="HWI70" s="119"/>
      <c r="HWJ70" s="119"/>
      <c r="HWK70" s="119"/>
      <c r="HWL70" s="119"/>
      <c r="HWM70" s="119"/>
      <c r="HWN70" s="119"/>
      <c r="HWO70" s="119"/>
      <c r="HWP70" s="119"/>
      <c r="HWQ70" s="119"/>
      <c r="HWR70" s="119"/>
      <c r="HWS70" s="119"/>
      <c r="HWT70" s="119"/>
      <c r="HWU70" s="119"/>
      <c r="HWV70" s="119"/>
      <c r="HWW70" s="119"/>
      <c r="HWX70" s="119"/>
      <c r="HWY70" s="119"/>
      <c r="HWZ70" s="119"/>
      <c r="HXA70" s="119"/>
      <c r="HXB70" s="119"/>
      <c r="HXC70" s="119"/>
      <c r="HXD70" s="119"/>
      <c r="HXE70" s="119"/>
      <c r="HXF70" s="119"/>
      <c r="HXG70" s="119"/>
      <c r="HXH70" s="119"/>
      <c r="HXI70" s="119"/>
      <c r="HXJ70" s="119"/>
      <c r="HXK70" s="119"/>
      <c r="HXL70" s="119"/>
      <c r="HXM70" s="119"/>
      <c r="HXN70" s="119"/>
      <c r="HXO70" s="119"/>
      <c r="HXP70" s="119"/>
      <c r="HXQ70" s="119"/>
      <c r="HXR70" s="119"/>
      <c r="HXS70" s="119"/>
      <c r="HXT70" s="119"/>
      <c r="HXU70" s="119"/>
      <c r="HXV70" s="119"/>
      <c r="HXW70" s="119"/>
      <c r="HXX70" s="119"/>
      <c r="HXY70" s="119"/>
      <c r="HXZ70" s="119"/>
      <c r="HYA70" s="119"/>
      <c r="HYB70" s="119"/>
      <c r="HYC70" s="119"/>
      <c r="HYD70" s="119"/>
      <c r="HYE70" s="119"/>
      <c r="HYF70" s="119"/>
      <c r="HYG70" s="119"/>
      <c r="HYH70" s="119"/>
      <c r="HYI70" s="119"/>
      <c r="HYJ70" s="119"/>
      <c r="HYK70" s="119"/>
      <c r="HYL70" s="119"/>
      <c r="HYM70" s="119"/>
      <c r="HYN70" s="119"/>
      <c r="HYO70" s="119"/>
      <c r="HYP70" s="119"/>
      <c r="HYQ70" s="119"/>
      <c r="HYR70" s="119"/>
      <c r="HYS70" s="119"/>
      <c r="HYT70" s="119"/>
      <c r="HYU70" s="119"/>
      <c r="HYV70" s="119"/>
      <c r="HYW70" s="119"/>
      <c r="HYX70" s="119"/>
      <c r="HYY70" s="119"/>
      <c r="HYZ70" s="119"/>
      <c r="HZA70" s="119"/>
      <c r="HZB70" s="119"/>
      <c r="HZC70" s="119"/>
      <c r="HZD70" s="119"/>
      <c r="HZE70" s="119"/>
      <c r="HZF70" s="119"/>
      <c r="HZG70" s="119"/>
      <c r="HZH70" s="119"/>
      <c r="HZI70" s="119"/>
      <c r="HZJ70" s="119"/>
      <c r="HZK70" s="119"/>
      <c r="HZL70" s="119"/>
      <c r="HZM70" s="119"/>
      <c r="HZN70" s="119"/>
      <c r="HZO70" s="119"/>
      <c r="HZP70" s="119"/>
      <c r="HZQ70" s="119"/>
      <c r="HZR70" s="119"/>
      <c r="HZS70" s="119"/>
      <c r="HZT70" s="119"/>
      <c r="HZU70" s="119"/>
      <c r="HZV70" s="119"/>
      <c r="HZW70" s="119"/>
      <c r="HZX70" s="119"/>
      <c r="HZY70" s="119"/>
      <c r="HZZ70" s="119"/>
      <c r="IAA70" s="119"/>
      <c r="IAB70" s="119"/>
      <c r="IAC70" s="119"/>
      <c r="IAD70" s="119"/>
      <c r="IAE70" s="119"/>
      <c r="IAF70" s="119"/>
      <c r="IAG70" s="119"/>
      <c r="IAH70" s="119"/>
      <c r="IAI70" s="119"/>
      <c r="IAJ70" s="119"/>
      <c r="IAK70" s="119"/>
      <c r="IAL70" s="119"/>
      <c r="IAM70" s="119"/>
      <c r="IAN70" s="119"/>
      <c r="IAO70" s="119"/>
      <c r="IAP70" s="119"/>
      <c r="IAQ70" s="119"/>
      <c r="IAR70" s="119"/>
      <c r="IAS70" s="119"/>
      <c r="IAT70" s="119"/>
      <c r="IAU70" s="119"/>
      <c r="IAV70" s="119"/>
      <c r="IAW70" s="119"/>
      <c r="IAX70" s="119"/>
      <c r="IAY70" s="119"/>
      <c r="IAZ70" s="119"/>
      <c r="IBA70" s="119"/>
      <c r="IBB70" s="119"/>
      <c r="IBC70" s="119"/>
      <c r="IBD70" s="119"/>
      <c r="IBE70" s="119"/>
      <c r="IBF70" s="119"/>
      <c r="IBG70" s="119"/>
      <c r="IBH70" s="119"/>
      <c r="IBI70" s="119"/>
      <c r="IBJ70" s="119"/>
      <c r="IBK70" s="119"/>
      <c r="IBL70" s="119"/>
      <c r="IBM70" s="119"/>
      <c r="IBN70" s="119"/>
      <c r="IBO70" s="119"/>
      <c r="IBP70" s="119"/>
      <c r="IBQ70" s="119"/>
      <c r="IBR70" s="119"/>
      <c r="IBS70" s="119"/>
      <c r="IBT70" s="119"/>
      <c r="IBU70" s="119"/>
      <c r="IBV70" s="119"/>
      <c r="IBW70" s="119"/>
      <c r="IBX70" s="119"/>
      <c r="IBY70" s="119"/>
      <c r="IBZ70" s="119"/>
      <c r="ICA70" s="119"/>
      <c r="ICB70" s="119"/>
      <c r="ICC70" s="119"/>
      <c r="ICD70" s="119"/>
      <c r="ICE70" s="119"/>
      <c r="ICF70" s="119"/>
      <c r="ICG70" s="119"/>
      <c r="ICH70" s="119"/>
      <c r="ICI70" s="119"/>
      <c r="ICJ70" s="119"/>
      <c r="ICK70" s="119"/>
      <c r="ICL70" s="119"/>
      <c r="ICM70" s="119"/>
      <c r="ICN70" s="119"/>
      <c r="ICO70" s="119"/>
      <c r="ICP70" s="119"/>
      <c r="ICQ70" s="119"/>
      <c r="ICR70" s="119"/>
      <c r="ICS70" s="119"/>
      <c r="ICT70" s="119"/>
      <c r="ICU70" s="119"/>
      <c r="ICV70" s="119"/>
      <c r="ICW70" s="119"/>
      <c r="ICX70" s="119"/>
      <c r="ICY70" s="119"/>
      <c r="ICZ70" s="119"/>
      <c r="IDA70" s="119"/>
      <c r="IDB70" s="119"/>
      <c r="IDC70" s="119"/>
      <c r="IDD70" s="119"/>
      <c r="IDE70" s="119"/>
      <c r="IDF70" s="119"/>
      <c r="IDG70" s="119"/>
      <c r="IDH70" s="119"/>
      <c r="IDI70" s="119"/>
      <c r="IDJ70" s="119"/>
      <c r="IDK70" s="119"/>
      <c r="IDL70" s="119"/>
      <c r="IDM70" s="119"/>
      <c r="IDN70" s="119"/>
      <c r="IDO70" s="119"/>
      <c r="IDP70" s="119"/>
      <c r="IDQ70" s="119"/>
      <c r="IDR70" s="119"/>
      <c r="IDS70" s="119"/>
      <c r="IDT70" s="119"/>
      <c r="IDU70" s="119"/>
      <c r="IDV70" s="119"/>
      <c r="IDW70" s="119"/>
      <c r="IDX70" s="119"/>
      <c r="IDY70" s="119"/>
      <c r="IDZ70" s="119"/>
      <c r="IEA70" s="119"/>
      <c r="IEB70" s="119"/>
      <c r="IEC70" s="119"/>
      <c r="IED70" s="119"/>
      <c r="IEE70" s="119"/>
      <c r="IEF70" s="119"/>
      <c r="IEG70" s="119"/>
      <c r="IEH70" s="119"/>
      <c r="IEI70" s="119"/>
      <c r="IEJ70" s="119"/>
      <c r="IEK70" s="119"/>
      <c r="IEL70" s="119"/>
      <c r="IEM70" s="119"/>
      <c r="IEN70" s="119"/>
      <c r="IEO70" s="119"/>
      <c r="IEP70" s="119"/>
      <c r="IEQ70" s="119"/>
      <c r="IER70" s="119"/>
      <c r="IES70" s="119"/>
      <c r="IET70" s="119"/>
      <c r="IEU70" s="119"/>
      <c r="IEV70" s="119"/>
      <c r="IEW70" s="119"/>
      <c r="IEX70" s="119"/>
      <c r="IEY70" s="119"/>
      <c r="IEZ70" s="119"/>
      <c r="IFA70" s="119"/>
      <c r="IFB70" s="119"/>
      <c r="IFC70" s="119"/>
      <c r="IFD70" s="119"/>
      <c r="IFE70" s="119"/>
      <c r="IFF70" s="119"/>
      <c r="IFG70" s="119"/>
      <c r="IFH70" s="119"/>
      <c r="IFI70" s="119"/>
      <c r="IFJ70" s="119"/>
      <c r="IFK70" s="119"/>
      <c r="IFL70" s="119"/>
      <c r="IFM70" s="119"/>
      <c r="IFN70" s="119"/>
      <c r="IFO70" s="119"/>
      <c r="IFP70" s="119"/>
      <c r="IFQ70" s="119"/>
      <c r="IFR70" s="119"/>
      <c r="IFS70" s="119"/>
      <c r="IFT70" s="119"/>
      <c r="IFU70" s="119"/>
      <c r="IFV70" s="119"/>
      <c r="IFW70" s="119"/>
      <c r="IFX70" s="119"/>
      <c r="IFY70" s="119"/>
      <c r="IFZ70" s="119"/>
      <c r="IGA70" s="119"/>
      <c r="IGB70" s="119"/>
      <c r="IGC70" s="119"/>
      <c r="IGD70" s="119"/>
      <c r="IGE70" s="119"/>
      <c r="IGF70" s="119"/>
      <c r="IGG70" s="119"/>
      <c r="IGH70" s="119"/>
      <c r="IGI70" s="119"/>
      <c r="IGJ70" s="119"/>
      <c r="IGK70" s="119"/>
      <c r="IGL70" s="119"/>
      <c r="IGM70" s="119"/>
      <c r="IGN70" s="119"/>
      <c r="IGO70" s="119"/>
      <c r="IGP70" s="119"/>
      <c r="IGQ70" s="119"/>
      <c r="IGR70" s="119"/>
      <c r="IGS70" s="119"/>
      <c r="IGT70" s="119"/>
      <c r="IGU70" s="119"/>
      <c r="IGV70" s="119"/>
      <c r="IGW70" s="119"/>
      <c r="IGX70" s="119"/>
      <c r="IGY70" s="119"/>
      <c r="IGZ70" s="119"/>
      <c r="IHA70" s="119"/>
      <c r="IHB70" s="119"/>
      <c r="IHC70" s="119"/>
      <c r="IHD70" s="119"/>
      <c r="IHE70" s="119"/>
      <c r="IHF70" s="119"/>
      <c r="IHG70" s="119"/>
      <c r="IHH70" s="119"/>
      <c r="IHI70" s="119"/>
      <c r="IHJ70" s="119"/>
      <c r="IHK70" s="119"/>
      <c r="IHL70" s="119"/>
      <c r="IHM70" s="119"/>
      <c r="IHN70" s="119"/>
      <c r="IHO70" s="119"/>
      <c r="IHP70" s="119"/>
      <c r="IHQ70" s="119"/>
      <c r="IHR70" s="119"/>
      <c r="IHS70" s="119"/>
      <c r="IHT70" s="119"/>
      <c r="IHU70" s="119"/>
      <c r="IHV70" s="119"/>
      <c r="IHW70" s="119"/>
      <c r="IHX70" s="119"/>
      <c r="IHY70" s="119"/>
      <c r="IHZ70" s="119"/>
      <c r="IIA70" s="119"/>
      <c r="IIB70" s="119"/>
      <c r="IIC70" s="119"/>
      <c r="IID70" s="119"/>
      <c r="IIE70" s="119"/>
      <c r="IIF70" s="119"/>
      <c r="IIG70" s="119"/>
      <c r="IIH70" s="119"/>
      <c r="III70" s="119"/>
      <c r="IIJ70" s="119"/>
      <c r="IIK70" s="119"/>
      <c r="IIL70" s="119"/>
      <c r="IIM70" s="119"/>
      <c r="IIN70" s="119"/>
      <c r="IIO70" s="119"/>
      <c r="IIP70" s="119"/>
      <c r="IIQ70" s="119"/>
      <c r="IIR70" s="119"/>
      <c r="IIS70" s="119"/>
      <c r="IIT70" s="119"/>
      <c r="IIU70" s="119"/>
      <c r="IIV70" s="119"/>
      <c r="IIW70" s="119"/>
      <c r="IIX70" s="119"/>
      <c r="IIY70" s="119"/>
      <c r="IIZ70" s="119"/>
      <c r="IJA70" s="119"/>
      <c r="IJB70" s="119"/>
      <c r="IJC70" s="119"/>
      <c r="IJD70" s="119"/>
      <c r="IJE70" s="119"/>
      <c r="IJF70" s="119"/>
      <c r="IJG70" s="119"/>
      <c r="IJH70" s="119"/>
      <c r="IJI70" s="119"/>
      <c r="IJJ70" s="119"/>
      <c r="IJK70" s="119"/>
      <c r="IJL70" s="119"/>
      <c r="IJM70" s="119"/>
      <c r="IJN70" s="119"/>
      <c r="IJO70" s="119"/>
      <c r="IJP70" s="119"/>
      <c r="IJQ70" s="119"/>
      <c r="IJR70" s="119"/>
      <c r="IJS70" s="119"/>
      <c r="IJT70" s="119"/>
      <c r="IJU70" s="119"/>
      <c r="IJV70" s="119"/>
      <c r="IJW70" s="119"/>
      <c r="IJX70" s="119"/>
      <c r="IJY70" s="119"/>
      <c r="IJZ70" s="119"/>
      <c r="IKA70" s="119"/>
      <c r="IKB70" s="119"/>
      <c r="IKC70" s="119"/>
      <c r="IKD70" s="119"/>
      <c r="IKE70" s="119"/>
      <c r="IKF70" s="119"/>
      <c r="IKG70" s="119"/>
      <c r="IKH70" s="119"/>
      <c r="IKI70" s="119"/>
      <c r="IKJ70" s="119"/>
      <c r="IKK70" s="119"/>
      <c r="IKL70" s="119"/>
      <c r="IKM70" s="119"/>
      <c r="IKN70" s="119"/>
      <c r="IKO70" s="119"/>
      <c r="IKP70" s="119"/>
      <c r="IKQ70" s="119"/>
      <c r="IKR70" s="119"/>
      <c r="IKS70" s="119"/>
      <c r="IKT70" s="119"/>
      <c r="IKU70" s="119"/>
      <c r="IKV70" s="119"/>
      <c r="IKW70" s="119"/>
      <c r="IKX70" s="119"/>
      <c r="IKY70" s="119"/>
      <c r="IKZ70" s="119"/>
      <c r="ILA70" s="119"/>
      <c r="ILB70" s="119"/>
      <c r="ILC70" s="119"/>
      <c r="ILD70" s="119"/>
      <c r="ILE70" s="119"/>
      <c r="ILF70" s="119"/>
      <c r="ILG70" s="119"/>
      <c r="ILH70" s="119"/>
      <c r="ILI70" s="119"/>
      <c r="ILJ70" s="119"/>
      <c r="ILK70" s="119"/>
      <c r="ILL70" s="119"/>
      <c r="ILM70" s="119"/>
      <c r="ILN70" s="119"/>
      <c r="ILO70" s="119"/>
      <c r="ILP70" s="119"/>
      <c r="ILQ70" s="119"/>
      <c r="ILR70" s="119"/>
      <c r="ILS70" s="119"/>
      <c r="ILT70" s="119"/>
      <c r="ILU70" s="119"/>
      <c r="ILV70" s="119"/>
      <c r="ILW70" s="119"/>
      <c r="ILX70" s="119"/>
      <c r="ILY70" s="119"/>
      <c r="ILZ70" s="119"/>
      <c r="IMA70" s="119"/>
      <c r="IMB70" s="119"/>
      <c r="IMC70" s="119"/>
      <c r="IMD70" s="119"/>
      <c r="IME70" s="119"/>
      <c r="IMF70" s="119"/>
      <c r="IMG70" s="119"/>
      <c r="IMH70" s="119"/>
      <c r="IMI70" s="119"/>
      <c r="IMJ70" s="119"/>
      <c r="IMK70" s="119"/>
      <c r="IML70" s="119"/>
      <c r="IMM70" s="119"/>
      <c r="IMN70" s="119"/>
      <c r="IMO70" s="119"/>
      <c r="IMP70" s="119"/>
      <c r="IMQ70" s="119"/>
      <c r="IMR70" s="119"/>
      <c r="IMS70" s="119"/>
      <c r="IMT70" s="119"/>
      <c r="IMU70" s="119"/>
      <c r="IMV70" s="119"/>
      <c r="IMW70" s="119"/>
      <c r="IMX70" s="119"/>
      <c r="IMY70" s="119"/>
      <c r="IMZ70" s="119"/>
      <c r="INA70" s="119"/>
      <c r="INB70" s="119"/>
      <c r="INC70" s="119"/>
      <c r="IND70" s="119"/>
      <c r="INE70" s="119"/>
      <c r="INF70" s="119"/>
      <c r="ING70" s="119"/>
      <c r="INH70" s="119"/>
      <c r="INI70" s="119"/>
      <c r="INJ70" s="119"/>
      <c r="INK70" s="119"/>
      <c r="INL70" s="119"/>
      <c r="INM70" s="119"/>
      <c r="INN70" s="119"/>
      <c r="INO70" s="119"/>
      <c r="INP70" s="119"/>
      <c r="INQ70" s="119"/>
      <c r="INR70" s="119"/>
      <c r="INS70" s="119"/>
      <c r="INT70" s="119"/>
      <c r="INU70" s="119"/>
      <c r="INV70" s="119"/>
      <c r="INW70" s="119"/>
      <c r="INX70" s="119"/>
      <c r="INY70" s="119"/>
      <c r="INZ70" s="119"/>
      <c r="IOA70" s="119"/>
      <c r="IOB70" s="119"/>
      <c r="IOC70" s="119"/>
      <c r="IOD70" s="119"/>
      <c r="IOE70" s="119"/>
      <c r="IOF70" s="119"/>
      <c r="IOG70" s="119"/>
      <c r="IOH70" s="119"/>
      <c r="IOI70" s="119"/>
      <c r="IOJ70" s="119"/>
      <c r="IOK70" s="119"/>
      <c r="IOL70" s="119"/>
      <c r="IOM70" s="119"/>
      <c r="ION70" s="119"/>
      <c r="IOO70" s="119"/>
      <c r="IOP70" s="119"/>
      <c r="IOQ70" s="119"/>
      <c r="IOR70" s="119"/>
      <c r="IOS70" s="119"/>
      <c r="IOT70" s="119"/>
      <c r="IOU70" s="119"/>
      <c r="IOV70" s="119"/>
      <c r="IOW70" s="119"/>
      <c r="IOX70" s="119"/>
      <c r="IOY70" s="119"/>
      <c r="IOZ70" s="119"/>
      <c r="IPA70" s="119"/>
      <c r="IPB70" s="119"/>
      <c r="IPC70" s="119"/>
      <c r="IPD70" s="119"/>
      <c r="IPE70" s="119"/>
      <c r="IPF70" s="119"/>
      <c r="IPG70" s="119"/>
      <c r="IPH70" s="119"/>
      <c r="IPI70" s="119"/>
      <c r="IPJ70" s="119"/>
      <c r="IPK70" s="119"/>
      <c r="IPL70" s="119"/>
      <c r="IPM70" s="119"/>
      <c r="IPN70" s="119"/>
      <c r="IPO70" s="119"/>
      <c r="IPP70" s="119"/>
      <c r="IPQ70" s="119"/>
      <c r="IPR70" s="119"/>
      <c r="IPS70" s="119"/>
      <c r="IPT70" s="119"/>
      <c r="IPU70" s="119"/>
      <c r="IPV70" s="119"/>
      <c r="IPW70" s="119"/>
      <c r="IPX70" s="119"/>
      <c r="IPY70" s="119"/>
      <c r="IPZ70" s="119"/>
      <c r="IQA70" s="119"/>
      <c r="IQB70" s="119"/>
      <c r="IQC70" s="119"/>
      <c r="IQD70" s="119"/>
      <c r="IQE70" s="119"/>
      <c r="IQF70" s="119"/>
      <c r="IQG70" s="119"/>
      <c r="IQH70" s="119"/>
      <c r="IQI70" s="119"/>
      <c r="IQJ70" s="119"/>
      <c r="IQK70" s="119"/>
      <c r="IQL70" s="119"/>
      <c r="IQM70" s="119"/>
      <c r="IQN70" s="119"/>
      <c r="IQO70" s="119"/>
      <c r="IQP70" s="119"/>
      <c r="IQQ70" s="119"/>
      <c r="IQR70" s="119"/>
      <c r="IQS70" s="119"/>
      <c r="IQT70" s="119"/>
      <c r="IQU70" s="119"/>
      <c r="IQV70" s="119"/>
      <c r="IQW70" s="119"/>
      <c r="IQX70" s="119"/>
      <c r="IQY70" s="119"/>
      <c r="IQZ70" s="119"/>
      <c r="IRA70" s="119"/>
      <c r="IRB70" s="119"/>
      <c r="IRC70" s="119"/>
      <c r="IRD70" s="119"/>
      <c r="IRE70" s="119"/>
      <c r="IRF70" s="119"/>
      <c r="IRG70" s="119"/>
      <c r="IRH70" s="119"/>
      <c r="IRI70" s="119"/>
      <c r="IRJ70" s="119"/>
      <c r="IRK70" s="119"/>
      <c r="IRL70" s="119"/>
      <c r="IRM70" s="119"/>
      <c r="IRN70" s="119"/>
      <c r="IRO70" s="119"/>
      <c r="IRP70" s="119"/>
      <c r="IRQ70" s="119"/>
      <c r="IRR70" s="119"/>
      <c r="IRS70" s="119"/>
      <c r="IRT70" s="119"/>
      <c r="IRU70" s="119"/>
      <c r="IRV70" s="119"/>
      <c r="IRW70" s="119"/>
      <c r="IRX70" s="119"/>
      <c r="IRY70" s="119"/>
      <c r="IRZ70" s="119"/>
      <c r="ISA70" s="119"/>
      <c r="ISB70" s="119"/>
      <c r="ISC70" s="119"/>
      <c r="ISD70" s="119"/>
      <c r="ISE70" s="119"/>
      <c r="ISF70" s="119"/>
      <c r="ISG70" s="119"/>
      <c r="ISH70" s="119"/>
      <c r="ISI70" s="119"/>
      <c r="ISJ70" s="119"/>
      <c r="ISK70" s="119"/>
      <c r="ISL70" s="119"/>
      <c r="ISM70" s="119"/>
      <c r="ISN70" s="119"/>
      <c r="ISO70" s="119"/>
      <c r="ISP70" s="119"/>
      <c r="ISQ70" s="119"/>
      <c r="ISR70" s="119"/>
      <c r="ISS70" s="119"/>
      <c r="IST70" s="119"/>
      <c r="ISU70" s="119"/>
      <c r="ISV70" s="119"/>
      <c r="ISW70" s="119"/>
      <c r="ISX70" s="119"/>
      <c r="ISY70" s="119"/>
      <c r="ISZ70" s="119"/>
      <c r="ITA70" s="119"/>
      <c r="ITB70" s="119"/>
      <c r="ITC70" s="119"/>
      <c r="ITD70" s="119"/>
      <c r="ITE70" s="119"/>
      <c r="ITF70" s="119"/>
      <c r="ITG70" s="119"/>
      <c r="ITH70" s="119"/>
      <c r="ITI70" s="119"/>
      <c r="ITJ70" s="119"/>
      <c r="ITK70" s="119"/>
      <c r="ITL70" s="119"/>
      <c r="ITM70" s="119"/>
      <c r="ITN70" s="119"/>
      <c r="ITO70" s="119"/>
      <c r="ITP70" s="119"/>
      <c r="ITQ70" s="119"/>
      <c r="ITR70" s="119"/>
      <c r="ITS70" s="119"/>
      <c r="ITT70" s="119"/>
      <c r="ITU70" s="119"/>
      <c r="ITV70" s="119"/>
      <c r="ITW70" s="119"/>
      <c r="ITX70" s="119"/>
      <c r="ITY70" s="119"/>
      <c r="ITZ70" s="119"/>
      <c r="IUA70" s="119"/>
      <c r="IUB70" s="119"/>
      <c r="IUC70" s="119"/>
      <c r="IUD70" s="119"/>
      <c r="IUE70" s="119"/>
      <c r="IUF70" s="119"/>
      <c r="IUG70" s="119"/>
      <c r="IUH70" s="119"/>
      <c r="IUI70" s="119"/>
      <c r="IUJ70" s="119"/>
      <c r="IUK70" s="119"/>
      <c r="IUL70" s="119"/>
      <c r="IUM70" s="119"/>
      <c r="IUN70" s="119"/>
      <c r="IUO70" s="119"/>
      <c r="IUP70" s="119"/>
      <c r="IUQ70" s="119"/>
      <c r="IUR70" s="119"/>
      <c r="IUS70" s="119"/>
      <c r="IUT70" s="119"/>
      <c r="IUU70" s="119"/>
      <c r="IUV70" s="119"/>
      <c r="IUW70" s="119"/>
      <c r="IUX70" s="119"/>
      <c r="IUY70" s="119"/>
      <c r="IUZ70" s="119"/>
      <c r="IVA70" s="119"/>
      <c r="IVB70" s="119"/>
      <c r="IVC70" s="119"/>
      <c r="IVD70" s="119"/>
      <c r="IVE70" s="119"/>
      <c r="IVF70" s="119"/>
      <c r="IVG70" s="119"/>
      <c r="IVH70" s="119"/>
      <c r="IVI70" s="119"/>
      <c r="IVJ70" s="119"/>
      <c r="IVK70" s="119"/>
      <c r="IVL70" s="119"/>
      <c r="IVM70" s="119"/>
      <c r="IVN70" s="119"/>
      <c r="IVO70" s="119"/>
      <c r="IVP70" s="119"/>
      <c r="IVQ70" s="119"/>
      <c r="IVR70" s="119"/>
      <c r="IVS70" s="119"/>
      <c r="IVT70" s="119"/>
      <c r="IVU70" s="119"/>
      <c r="IVV70" s="119"/>
      <c r="IVW70" s="119"/>
      <c r="IVX70" s="119"/>
      <c r="IVY70" s="119"/>
      <c r="IVZ70" s="119"/>
      <c r="IWA70" s="119"/>
      <c r="IWB70" s="119"/>
      <c r="IWC70" s="119"/>
      <c r="IWD70" s="119"/>
      <c r="IWE70" s="119"/>
      <c r="IWF70" s="119"/>
      <c r="IWG70" s="119"/>
      <c r="IWH70" s="119"/>
      <c r="IWI70" s="119"/>
      <c r="IWJ70" s="119"/>
      <c r="IWK70" s="119"/>
      <c r="IWL70" s="119"/>
      <c r="IWM70" s="119"/>
      <c r="IWN70" s="119"/>
      <c r="IWO70" s="119"/>
      <c r="IWP70" s="119"/>
      <c r="IWQ70" s="119"/>
      <c r="IWR70" s="119"/>
      <c r="IWS70" s="119"/>
      <c r="IWT70" s="119"/>
      <c r="IWU70" s="119"/>
      <c r="IWV70" s="119"/>
      <c r="IWW70" s="119"/>
      <c r="IWX70" s="119"/>
      <c r="IWY70" s="119"/>
      <c r="IWZ70" s="119"/>
      <c r="IXA70" s="119"/>
      <c r="IXB70" s="119"/>
      <c r="IXC70" s="119"/>
      <c r="IXD70" s="119"/>
      <c r="IXE70" s="119"/>
      <c r="IXF70" s="119"/>
      <c r="IXG70" s="119"/>
      <c r="IXH70" s="119"/>
      <c r="IXI70" s="119"/>
      <c r="IXJ70" s="119"/>
      <c r="IXK70" s="119"/>
      <c r="IXL70" s="119"/>
      <c r="IXM70" s="119"/>
      <c r="IXN70" s="119"/>
      <c r="IXO70" s="119"/>
      <c r="IXP70" s="119"/>
      <c r="IXQ70" s="119"/>
      <c r="IXR70" s="119"/>
      <c r="IXS70" s="119"/>
      <c r="IXT70" s="119"/>
      <c r="IXU70" s="119"/>
      <c r="IXV70" s="119"/>
      <c r="IXW70" s="119"/>
      <c r="IXX70" s="119"/>
      <c r="IXY70" s="119"/>
      <c r="IXZ70" s="119"/>
      <c r="IYA70" s="119"/>
      <c r="IYB70" s="119"/>
      <c r="IYC70" s="119"/>
      <c r="IYD70" s="119"/>
      <c r="IYE70" s="119"/>
      <c r="IYF70" s="119"/>
      <c r="IYG70" s="119"/>
      <c r="IYH70" s="119"/>
      <c r="IYI70" s="119"/>
      <c r="IYJ70" s="119"/>
      <c r="IYK70" s="119"/>
      <c r="IYL70" s="119"/>
      <c r="IYM70" s="119"/>
      <c r="IYN70" s="119"/>
      <c r="IYO70" s="119"/>
      <c r="IYP70" s="119"/>
      <c r="IYQ70" s="119"/>
      <c r="IYR70" s="119"/>
      <c r="IYS70" s="119"/>
      <c r="IYT70" s="119"/>
      <c r="IYU70" s="119"/>
      <c r="IYV70" s="119"/>
      <c r="IYW70" s="119"/>
      <c r="IYX70" s="119"/>
      <c r="IYY70" s="119"/>
      <c r="IYZ70" s="119"/>
      <c r="IZA70" s="119"/>
      <c r="IZB70" s="119"/>
      <c r="IZC70" s="119"/>
      <c r="IZD70" s="119"/>
      <c r="IZE70" s="119"/>
      <c r="IZF70" s="119"/>
      <c r="IZG70" s="119"/>
      <c r="IZH70" s="119"/>
      <c r="IZI70" s="119"/>
      <c r="IZJ70" s="119"/>
      <c r="IZK70" s="119"/>
      <c r="IZL70" s="119"/>
      <c r="IZM70" s="119"/>
      <c r="IZN70" s="119"/>
      <c r="IZO70" s="119"/>
      <c r="IZP70" s="119"/>
      <c r="IZQ70" s="119"/>
      <c r="IZR70" s="119"/>
      <c r="IZS70" s="119"/>
      <c r="IZT70" s="119"/>
      <c r="IZU70" s="119"/>
      <c r="IZV70" s="119"/>
      <c r="IZW70" s="119"/>
      <c r="IZX70" s="119"/>
      <c r="IZY70" s="119"/>
      <c r="IZZ70" s="119"/>
      <c r="JAA70" s="119"/>
      <c r="JAB70" s="119"/>
      <c r="JAC70" s="119"/>
      <c r="JAD70" s="119"/>
      <c r="JAE70" s="119"/>
      <c r="JAF70" s="119"/>
      <c r="JAG70" s="119"/>
      <c r="JAH70" s="119"/>
      <c r="JAI70" s="119"/>
      <c r="JAJ70" s="119"/>
      <c r="JAK70" s="119"/>
      <c r="JAL70" s="119"/>
      <c r="JAM70" s="119"/>
      <c r="JAN70" s="119"/>
      <c r="JAO70" s="119"/>
      <c r="JAP70" s="119"/>
      <c r="JAQ70" s="119"/>
      <c r="JAR70" s="119"/>
      <c r="JAS70" s="119"/>
      <c r="JAT70" s="119"/>
      <c r="JAU70" s="119"/>
      <c r="JAV70" s="119"/>
      <c r="JAW70" s="119"/>
      <c r="JAX70" s="119"/>
      <c r="JAY70" s="119"/>
      <c r="JAZ70" s="119"/>
      <c r="JBA70" s="119"/>
      <c r="JBB70" s="119"/>
      <c r="JBC70" s="119"/>
      <c r="JBD70" s="119"/>
      <c r="JBE70" s="119"/>
      <c r="JBF70" s="119"/>
      <c r="JBG70" s="119"/>
      <c r="JBH70" s="119"/>
      <c r="JBI70" s="119"/>
      <c r="JBJ70" s="119"/>
      <c r="JBK70" s="119"/>
      <c r="JBL70" s="119"/>
      <c r="JBM70" s="119"/>
      <c r="JBN70" s="119"/>
      <c r="JBO70" s="119"/>
      <c r="JBP70" s="119"/>
      <c r="JBQ70" s="119"/>
      <c r="JBR70" s="119"/>
      <c r="JBS70" s="119"/>
      <c r="JBT70" s="119"/>
      <c r="JBU70" s="119"/>
      <c r="JBV70" s="119"/>
      <c r="JBW70" s="119"/>
      <c r="JBX70" s="119"/>
      <c r="JBY70" s="119"/>
      <c r="JBZ70" s="119"/>
      <c r="JCA70" s="119"/>
      <c r="JCB70" s="119"/>
      <c r="JCC70" s="119"/>
      <c r="JCD70" s="119"/>
      <c r="JCE70" s="119"/>
      <c r="JCF70" s="119"/>
      <c r="JCG70" s="119"/>
      <c r="JCH70" s="119"/>
      <c r="JCI70" s="119"/>
      <c r="JCJ70" s="119"/>
      <c r="JCK70" s="119"/>
      <c r="JCL70" s="119"/>
      <c r="JCM70" s="119"/>
      <c r="JCN70" s="119"/>
      <c r="JCO70" s="119"/>
      <c r="JCP70" s="119"/>
      <c r="JCQ70" s="119"/>
      <c r="JCR70" s="119"/>
      <c r="JCS70" s="119"/>
      <c r="JCT70" s="119"/>
      <c r="JCU70" s="119"/>
      <c r="JCV70" s="119"/>
      <c r="JCW70" s="119"/>
      <c r="JCX70" s="119"/>
      <c r="JCY70" s="119"/>
      <c r="JCZ70" s="119"/>
      <c r="JDA70" s="119"/>
      <c r="JDB70" s="119"/>
      <c r="JDC70" s="119"/>
      <c r="JDD70" s="119"/>
      <c r="JDE70" s="119"/>
      <c r="JDF70" s="119"/>
      <c r="JDG70" s="119"/>
      <c r="JDH70" s="119"/>
      <c r="JDI70" s="119"/>
      <c r="JDJ70" s="119"/>
      <c r="JDK70" s="119"/>
      <c r="JDL70" s="119"/>
      <c r="JDM70" s="119"/>
      <c r="JDN70" s="119"/>
      <c r="JDO70" s="119"/>
      <c r="JDP70" s="119"/>
      <c r="JDQ70" s="119"/>
      <c r="JDR70" s="119"/>
      <c r="JDS70" s="119"/>
      <c r="JDT70" s="119"/>
      <c r="JDU70" s="119"/>
      <c r="JDV70" s="119"/>
      <c r="JDW70" s="119"/>
      <c r="JDX70" s="119"/>
      <c r="JDY70" s="119"/>
      <c r="JDZ70" s="119"/>
      <c r="JEA70" s="119"/>
      <c r="JEB70" s="119"/>
      <c r="JEC70" s="119"/>
      <c r="JED70" s="119"/>
      <c r="JEE70" s="119"/>
      <c r="JEF70" s="119"/>
      <c r="JEG70" s="119"/>
      <c r="JEH70" s="119"/>
      <c r="JEI70" s="119"/>
      <c r="JEJ70" s="119"/>
      <c r="JEK70" s="119"/>
      <c r="JEL70" s="119"/>
      <c r="JEM70" s="119"/>
      <c r="JEN70" s="119"/>
      <c r="JEO70" s="119"/>
      <c r="JEP70" s="119"/>
      <c r="JEQ70" s="119"/>
      <c r="JER70" s="119"/>
      <c r="JES70" s="119"/>
      <c r="JET70" s="119"/>
      <c r="JEU70" s="119"/>
      <c r="JEV70" s="119"/>
      <c r="JEW70" s="119"/>
      <c r="JEX70" s="119"/>
      <c r="JEY70" s="119"/>
      <c r="JEZ70" s="119"/>
      <c r="JFA70" s="119"/>
      <c r="JFB70" s="119"/>
      <c r="JFC70" s="119"/>
      <c r="JFD70" s="119"/>
      <c r="JFE70" s="119"/>
      <c r="JFF70" s="119"/>
      <c r="JFG70" s="119"/>
      <c r="JFH70" s="119"/>
      <c r="JFI70" s="119"/>
      <c r="JFJ70" s="119"/>
      <c r="JFK70" s="119"/>
      <c r="JFL70" s="119"/>
      <c r="JFM70" s="119"/>
      <c r="JFN70" s="119"/>
      <c r="JFO70" s="119"/>
      <c r="JFP70" s="119"/>
      <c r="JFQ70" s="119"/>
      <c r="JFR70" s="119"/>
      <c r="JFS70" s="119"/>
      <c r="JFT70" s="119"/>
      <c r="JFU70" s="119"/>
      <c r="JFV70" s="119"/>
      <c r="JFW70" s="119"/>
      <c r="JFX70" s="119"/>
      <c r="JFY70" s="119"/>
      <c r="JFZ70" s="119"/>
      <c r="JGA70" s="119"/>
      <c r="JGB70" s="119"/>
      <c r="JGC70" s="119"/>
      <c r="JGD70" s="119"/>
      <c r="JGE70" s="119"/>
      <c r="JGF70" s="119"/>
      <c r="JGG70" s="119"/>
      <c r="JGH70" s="119"/>
      <c r="JGI70" s="119"/>
      <c r="JGJ70" s="119"/>
      <c r="JGK70" s="119"/>
      <c r="JGL70" s="119"/>
      <c r="JGM70" s="119"/>
      <c r="JGN70" s="119"/>
      <c r="JGO70" s="119"/>
      <c r="JGP70" s="119"/>
      <c r="JGQ70" s="119"/>
      <c r="JGR70" s="119"/>
      <c r="JGS70" s="119"/>
      <c r="JGT70" s="119"/>
      <c r="JGU70" s="119"/>
      <c r="JGV70" s="119"/>
      <c r="JGW70" s="119"/>
      <c r="JGX70" s="119"/>
      <c r="JGY70" s="119"/>
      <c r="JGZ70" s="119"/>
      <c r="JHA70" s="119"/>
      <c r="JHB70" s="119"/>
      <c r="JHC70" s="119"/>
      <c r="JHD70" s="119"/>
      <c r="JHE70" s="119"/>
      <c r="JHF70" s="119"/>
      <c r="JHG70" s="119"/>
      <c r="JHH70" s="119"/>
      <c r="JHI70" s="119"/>
      <c r="JHJ70" s="119"/>
      <c r="JHK70" s="119"/>
      <c r="JHL70" s="119"/>
      <c r="JHM70" s="119"/>
      <c r="JHN70" s="119"/>
      <c r="JHO70" s="119"/>
      <c r="JHP70" s="119"/>
      <c r="JHQ70" s="119"/>
      <c r="JHR70" s="119"/>
      <c r="JHS70" s="119"/>
      <c r="JHT70" s="119"/>
      <c r="JHU70" s="119"/>
      <c r="JHV70" s="119"/>
      <c r="JHW70" s="119"/>
      <c r="JHX70" s="119"/>
      <c r="JHY70" s="119"/>
      <c r="JHZ70" s="119"/>
      <c r="JIA70" s="119"/>
      <c r="JIB70" s="119"/>
      <c r="JIC70" s="119"/>
      <c r="JID70" s="119"/>
      <c r="JIE70" s="119"/>
      <c r="JIF70" s="119"/>
      <c r="JIG70" s="119"/>
      <c r="JIH70" s="119"/>
      <c r="JII70" s="119"/>
      <c r="JIJ70" s="119"/>
      <c r="JIK70" s="119"/>
      <c r="JIL70" s="119"/>
      <c r="JIM70" s="119"/>
      <c r="JIN70" s="119"/>
      <c r="JIO70" s="119"/>
      <c r="JIP70" s="119"/>
      <c r="JIQ70" s="119"/>
      <c r="JIR70" s="119"/>
      <c r="JIS70" s="119"/>
      <c r="JIT70" s="119"/>
      <c r="JIU70" s="119"/>
      <c r="JIV70" s="119"/>
      <c r="JIW70" s="119"/>
      <c r="JIX70" s="119"/>
      <c r="JIY70" s="119"/>
      <c r="JIZ70" s="119"/>
      <c r="JJA70" s="119"/>
      <c r="JJB70" s="119"/>
      <c r="JJC70" s="119"/>
      <c r="JJD70" s="119"/>
      <c r="JJE70" s="119"/>
      <c r="JJF70" s="119"/>
      <c r="JJG70" s="119"/>
      <c r="JJH70" s="119"/>
      <c r="JJI70" s="119"/>
      <c r="JJJ70" s="119"/>
      <c r="JJK70" s="119"/>
      <c r="JJL70" s="119"/>
      <c r="JJM70" s="119"/>
      <c r="JJN70" s="119"/>
      <c r="JJO70" s="119"/>
      <c r="JJP70" s="119"/>
      <c r="JJQ70" s="119"/>
      <c r="JJR70" s="119"/>
      <c r="JJS70" s="119"/>
      <c r="JJT70" s="119"/>
      <c r="JJU70" s="119"/>
      <c r="JJV70" s="119"/>
      <c r="JJW70" s="119"/>
      <c r="JJX70" s="119"/>
      <c r="JJY70" s="119"/>
      <c r="JJZ70" s="119"/>
      <c r="JKA70" s="119"/>
      <c r="JKB70" s="119"/>
      <c r="JKC70" s="119"/>
      <c r="JKD70" s="119"/>
      <c r="JKE70" s="119"/>
      <c r="JKF70" s="119"/>
      <c r="JKG70" s="119"/>
      <c r="JKH70" s="119"/>
      <c r="JKI70" s="119"/>
      <c r="JKJ70" s="119"/>
      <c r="JKK70" s="119"/>
      <c r="JKL70" s="119"/>
      <c r="JKM70" s="119"/>
      <c r="JKN70" s="119"/>
      <c r="JKO70" s="119"/>
      <c r="JKP70" s="119"/>
      <c r="JKQ70" s="119"/>
      <c r="JKR70" s="119"/>
      <c r="JKS70" s="119"/>
      <c r="JKT70" s="119"/>
      <c r="JKU70" s="119"/>
      <c r="JKV70" s="119"/>
      <c r="JKW70" s="119"/>
      <c r="JKX70" s="119"/>
      <c r="JKY70" s="119"/>
      <c r="JKZ70" s="119"/>
      <c r="JLA70" s="119"/>
      <c r="JLB70" s="119"/>
      <c r="JLC70" s="119"/>
      <c r="JLD70" s="119"/>
      <c r="JLE70" s="119"/>
      <c r="JLF70" s="119"/>
      <c r="JLG70" s="119"/>
      <c r="JLH70" s="119"/>
      <c r="JLI70" s="119"/>
      <c r="JLJ70" s="119"/>
      <c r="JLK70" s="119"/>
      <c r="JLL70" s="119"/>
      <c r="JLM70" s="119"/>
      <c r="JLN70" s="119"/>
      <c r="JLO70" s="119"/>
      <c r="JLP70" s="119"/>
      <c r="JLQ70" s="119"/>
      <c r="JLR70" s="119"/>
      <c r="JLS70" s="119"/>
      <c r="JLT70" s="119"/>
      <c r="JLU70" s="119"/>
      <c r="JLV70" s="119"/>
      <c r="JLW70" s="119"/>
      <c r="JLX70" s="119"/>
      <c r="JLY70" s="119"/>
      <c r="JLZ70" s="119"/>
      <c r="JMA70" s="119"/>
      <c r="JMB70" s="119"/>
      <c r="JMC70" s="119"/>
      <c r="JMD70" s="119"/>
      <c r="JME70" s="119"/>
      <c r="JMF70" s="119"/>
      <c r="JMG70" s="119"/>
      <c r="JMH70" s="119"/>
      <c r="JMI70" s="119"/>
      <c r="JMJ70" s="119"/>
      <c r="JMK70" s="119"/>
      <c r="JML70" s="119"/>
      <c r="JMM70" s="119"/>
      <c r="JMN70" s="119"/>
      <c r="JMO70" s="119"/>
      <c r="JMP70" s="119"/>
      <c r="JMQ70" s="119"/>
      <c r="JMR70" s="119"/>
      <c r="JMS70" s="119"/>
      <c r="JMT70" s="119"/>
      <c r="JMU70" s="119"/>
      <c r="JMV70" s="119"/>
      <c r="JMW70" s="119"/>
      <c r="JMX70" s="119"/>
      <c r="JMY70" s="119"/>
      <c r="JMZ70" s="119"/>
      <c r="JNA70" s="119"/>
      <c r="JNB70" s="119"/>
      <c r="JNC70" s="119"/>
      <c r="JND70" s="119"/>
      <c r="JNE70" s="119"/>
      <c r="JNF70" s="119"/>
      <c r="JNG70" s="119"/>
      <c r="JNH70" s="119"/>
      <c r="JNI70" s="119"/>
      <c r="JNJ70" s="119"/>
      <c r="JNK70" s="119"/>
      <c r="JNL70" s="119"/>
      <c r="JNM70" s="119"/>
      <c r="JNN70" s="119"/>
      <c r="JNO70" s="119"/>
      <c r="JNP70" s="119"/>
      <c r="JNQ70" s="119"/>
      <c r="JNR70" s="119"/>
      <c r="JNS70" s="119"/>
      <c r="JNT70" s="119"/>
      <c r="JNU70" s="119"/>
      <c r="JNV70" s="119"/>
      <c r="JNW70" s="119"/>
      <c r="JNX70" s="119"/>
      <c r="JNY70" s="119"/>
      <c r="JNZ70" s="119"/>
      <c r="JOA70" s="119"/>
      <c r="JOB70" s="119"/>
      <c r="JOC70" s="119"/>
      <c r="JOD70" s="119"/>
      <c r="JOE70" s="119"/>
      <c r="JOF70" s="119"/>
      <c r="JOG70" s="119"/>
      <c r="JOH70" s="119"/>
      <c r="JOI70" s="119"/>
      <c r="JOJ70" s="119"/>
      <c r="JOK70" s="119"/>
      <c r="JOL70" s="119"/>
      <c r="JOM70" s="119"/>
      <c r="JON70" s="119"/>
      <c r="JOO70" s="119"/>
      <c r="JOP70" s="119"/>
      <c r="JOQ70" s="119"/>
      <c r="JOR70" s="119"/>
      <c r="JOS70" s="119"/>
      <c r="JOT70" s="119"/>
      <c r="JOU70" s="119"/>
      <c r="JOV70" s="119"/>
      <c r="JOW70" s="119"/>
      <c r="JOX70" s="119"/>
      <c r="JOY70" s="119"/>
      <c r="JOZ70" s="119"/>
      <c r="JPA70" s="119"/>
      <c r="JPB70" s="119"/>
      <c r="JPC70" s="119"/>
      <c r="JPD70" s="119"/>
      <c r="JPE70" s="119"/>
      <c r="JPF70" s="119"/>
      <c r="JPG70" s="119"/>
      <c r="JPH70" s="119"/>
      <c r="JPI70" s="119"/>
      <c r="JPJ70" s="119"/>
      <c r="JPK70" s="119"/>
      <c r="JPL70" s="119"/>
      <c r="JPM70" s="119"/>
      <c r="JPN70" s="119"/>
      <c r="JPO70" s="119"/>
      <c r="JPP70" s="119"/>
      <c r="JPQ70" s="119"/>
      <c r="JPR70" s="119"/>
      <c r="JPS70" s="119"/>
      <c r="JPT70" s="119"/>
      <c r="JPU70" s="119"/>
      <c r="JPV70" s="119"/>
      <c r="JPW70" s="119"/>
      <c r="JPX70" s="119"/>
      <c r="JPY70" s="119"/>
      <c r="JPZ70" s="119"/>
      <c r="JQA70" s="119"/>
      <c r="JQB70" s="119"/>
      <c r="JQC70" s="119"/>
      <c r="JQD70" s="119"/>
      <c r="JQE70" s="119"/>
      <c r="JQF70" s="119"/>
      <c r="JQG70" s="119"/>
      <c r="JQH70" s="119"/>
      <c r="JQI70" s="119"/>
      <c r="JQJ70" s="119"/>
      <c r="JQK70" s="119"/>
      <c r="JQL70" s="119"/>
      <c r="JQM70" s="119"/>
      <c r="JQN70" s="119"/>
      <c r="JQO70" s="119"/>
      <c r="JQP70" s="119"/>
      <c r="JQQ70" s="119"/>
      <c r="JQR70" s="119"/>
      <c r="JQS70" s="119"/>
      <c r="JQT70" s="119"/>
      <c r="JQU70" s="119"/>
      <c r="JQV70" s="119"/>
      <c r="JQW70" s="119"/>
      <c r="JQX70" s="119"/>
      <c r="JQY70" s="119"/>
      <c r="JQZ70" s="119"/>
      <c r="JRA70" s="119"/>
      <c r="JRB70" s="119"/>
      <c r="JRC70" s="119"/>
      <c r="JRD70" s="119"/>
      <c r="JRE70" s="119"/>
      <c r="JRF70" s="119"/>
      <c r="JRG70" s="119"/>
      <c r="JRH70" s="119"/>
      <c r="JRI70" s="119"/>
      <c r="JRJ70" s="119"/>
      <c r="JRK70" s="119"/>
      <c r="JRL70" s="119"/>
      <c r="JRM70" s="119"/>
      <c r="JRN70" s="119"/>
      <c r="JRO70" s="119"/>
      <c r="JRP70" s="119"/>
      <c r="JRQ70" s="119"/>
      <c r="JRR70" s="119"/>
      <c r="JRS70" s="119"/>
      <c r="JRT70" s="119"/>
      <c r="JRU70" s="119"/>
      <c r="JRV70" s="119"/>
      <c r="JRW70" s="119"/>
      <c r="JRX70" s="119"/>
      <c r="JRY70" s="119"/>
      <c r="JRZ70" s="119"/>
      <c r="JSA70" s="119"/>
      <c r="JSB70" s="119"/>
      <c r="JSC70" s="119"/>
      <c r="JSD70" s="119"/>
      <c r="JSE70" s="119"/>
      <c r="JSF70" s="119"/>
      <c r="JSG70" s="119"/>
      <c r="JSH70" s="119"/>
      <c r="JSI70" s="119"/>
      <c r="JSJ70" s="119"/>
      <c r="JSK70" s="119"/>
      <c r="JSL70" s="119"/>
      <c r="JSM70" s="119"/>
      <c r="JSN70" s="119"/>
      <c r="JSO70" s="119"/>
      <c r="JSP70" s="119"/>
      <c r="JSQ70" s="119"/>
      <c r="JSR70" s="119"/>
      <c r="JSS70" s="119"/>
      <c r="JST70" s="119"/>
      <c r="JSU70" s="119"/>
      <c r="JSV70" s="119"/>
      <c r="JSW70" s="119"/>
      <c r="JSX70" s="119"/>
      <c r="JSY70" s="119"/>
      <c r="JSZ70" s="119"/>
      <c r="JTA70" s="119"/>
      <c r="JTB70" s="119"/>
      <c r="JTC70" s="119"/>
      <c r="JTD70" s="119"/>
      <c r="JTE70" s="119"/>
      <c r="JTF70" s="119"/>
      <c r="JTG70" s="119"/>
      <c r="JTH70" s="119"/>
      <c r="JTI70" s="119"/>
      <c r="JTJ70" s="119"/>
      <c r="JTK70" s="119"/>
      <c r="JTL70" s="119"/>
      <c r="JTM70" s="119"/>
      <c r="JTN70" s="119"/>
      <c r="JTO70" s="119"/>
      <c r="JTP70" s="119"/>
      <c r="JTQ70" s="119"/>
      <c r="JTR70" s="119"/>
      <c r="JTS70" s="119"/>
      <c r="JTT70" s="119"/>
      <c r="JTU70" s="119"/>
      <c r="JTV70" s="119"/>
      <c r="JTW70" s="119"/>
      <c r="JTX70" s="119"/>
      <c r="JTY70" s="119"/>
      <c r="JTZ70" s="119"/>
      <c r="JUA70" s="119"/>
      <c r="JUB70" s="119"/>
      <c r="JUC70" s="119"/>
      <c r="JUD70" s="119"/>
      <c r="JUE70" s="119"/>
      <c r="JUF70" s="119"/>
      <c r="JUG70" s="119"/>
      <c r="JUH70" s="119"/>
      <c r="JUI70" s="119"/>
      <c r="JUJ70" s="119"/>
      <c r="JUK70" s="119"/>
      <c r="JUL70" s="119"/>
      <c r="JUM70" s="119"/>
      <c r="JUN70" s="119"/>
      <c r="JUO70" s="119"/>
      <c r="JUP70" s="119"/>
      <c r="JUQ70" s="119"/>
      <c r="JUR70" s="119"/>
      <c r="JUS70" s="119"/>
      <c r="JUT70" s="119"/>
      <c r="JUU70" s="119"/>
      <c r="JUV70" s="119"/>
      <c r="JUW70" s="119"/>
      <c r="JUX70" s="119"/>
      <c r="JUY70" s="119"/>
      <c r="JUZ70" s="119"/>
      <c r="JVA70" s="119"/>
      <c r="JVB70" s="119"/>
      <c r="JVC70" s="119"/>
      <c r="JVD70" s="119"/>
      <c r="JVE70" s="119"/>
      <c r="JVF70" s="119"/>
      <c r="JVG70" s="119"/>
      <c r="JVH70" s="119"/>
      <c r="JVI70" s="119"/>
      <c r="JVJ70" s="119"/>
      <c r="JVK70" s="119"/>
      <c r="JVL70" s="119"/>
      <c r="JVM70" s="119"/>
      <c r="JVN70" s="119"/>
      <c r="JVO70" s="119"/>
      <c r="JVP70" s="119"/>
      <c r="JVQ70" s="119"/>
      <c r="JVR70" s="119"/>
      <c r="JVS70" s="119"/>
      <c r="JVT70" s="119"/>
      <c r="JVU70" s="119"/>
      <c r="JVV70" s="119"/>
      <c r="JVW70" s="119"/>
      <c r="JVX70" s="119"/>
      <c r="JVY70" s="119"/>
      <c r="JVZ70" s="119"/>
      <c r="JWA70" s="119"/>
      <c r="JWB70" s="119"/>
      <c r="JWC70" s="119"/>
      <c r="JWD70" s="119"/>
      <c r="JWE70" s="119"/>
      <c r="JWF70" s="119"/>
      <c r="JWG70" s="119"/>
      <c r="JWH70" s="119"/>
      <c r="JWI70" s="119"/>
      <c r="JWJ70" s="119"/>
      <c r="JWK70" s="119"/>
      <c r="JWL70" s="119"/>
      <c r="JWM70" s="119"/>
      <c r="JWN70" s="119"/>
      <c r="JWO70" s="119"/>
      <c r="JWP70" s="119"/>
      <c r="JWQ70" s="119"/>
      <c r="JWR70" s="119"/>
      <c r="JWS70" s="119"/>
      <c r="JWT70" s="119"/>
      <c r="JWU70" s="119"/>
      <c r="JWV70" s="119"/>
      <c r="JWW70" s="119"/>
      <c r="JWX70" s="119"/>
      <c r="JWY70" s="119"/>
      <c r="JWZ70" s="119"/>
      <c r="JXA70" s="119"/>
      <c r="JXB70" s="119"/>
      <c r="JXC70" s="119"/>
      <c r="JXD70" s="119"/>
      <c r="JXE70" s="119"/>
      <c r="JXF70" s="119"/>
      <c r="JXG70" s="119"/>
      <c r="JXH70" s="119"/>
      <c r="JXI70" s="119"/>
      <c r="JXJ70" s="119"/>
      <c r="JXK70" s="119"/>
      <c r="JXL70" s="119"/>
      <c r="JXM70" s="119"/>
      <c r="JXN70" s="119"/>
      <c r="JXO70" s="119"/>
      <c r="JXP70" s="119"/>
      <c r="JXQ70" s="119"/>
      <c r="JXR70" s="119"/>
      <c r="JXS70" s="119"/>
      <c r="JXT70" s="119"/>
      <c r="JXU70" s="119"/>
      <c r="JXV70" s="119"/>
      <c r="JXW70" s="119"/>
      <c r="JXX70" s="119"/>
      <c r="JXY70" s="119"/>
      <c r="JXZ70" s="119"/>
      <c r="JYA70" s="119"/>
      <c r="JYB70" s="119"/>
      <c r="JYC70" s="119"/>
      <c r="JYD70" s="119"/>
      <c r="JYE70" s="119"/>
      <c r="JYF70" s="119"/>
      <c r="JYG70" s="119"/>
      <c r="JYH70" s="119"/>
      <c r="JYI70" s="119"/>
      <c r="JYJ70" s="119"/>
      <c r="JYK70" s="119"/>
      <c r="JYL70" s="119"/>
      <c r="JYM70" s="119"/>
      <c r="JYN70" s="119"/>
      <c r="JYO70" s="119"/>
      <c r="JYP70" s="119"/>
      <c r="JYQ70" s="119"/>
      <c r="JYR70" s="119"/>
      <c r="JYS70" s="119"/>
      <c r="JYT70" s="119"/>
      <c r="JYU70" s="119"/>
      <c r="JYV70" s="119"/>
      <c r="JYW70" s="119"/>
      <c r="JYX70" s="119"/>
      <c r="JYY70" s="119"/>
      <c r="JYZ70" s="119"/>
      <c r="JZA70" s="119"/>
      <c r="JZB70" s="119"/>
      <c r="JZC70" s="119"/>
      <c r="JZD70" s="119"/>
      <c r="JZE70" s="119"/>
      <c r="JZF70" s="119"/>
      <c r="JZG70" s="119"/>
      <c r="JZH70" s="119"/>
      <c r="JZI70" s="119"/>
      <c r="JZJ70" s="119"/>
      <c r="JZK70" s="119"/>
      <c r="JZL70" s="119"/>
      <c r="JZM70" s="119"/>
      <c r="JZN70" s="119"/>
      <c r="JZO70" s="119"/>
      <c r="JZP70" s="119"/>
      <c r="JZQ70" s="119"/>
      <c r="JZR70" s="119"/>
      <c r="JZS70" s="119"/>
      <c r="JZT70" s="119"/>
      <c r="JZU70" s="119"/>
      <c r="JZV70" s="119"/>
      <c r="JZW70" s="119"/>
      <c r="JZX70" s="119"/>
      <c r="JZY70" s="119"/>
      <c r="JZZ70" s="119"/>
      <c r="KAA70" s="119"/>
      <c r="KAB70" s="119"/>
      <c r="KAC70" s="119"/>
      <c r="KAD70" s="119"/>
      <c r="KAE70" s="119"/>
      <c r="KAF70" s="119"/>
      <c r="KAG70" s="119"/>
      <c r="KAH70" s="119"/>
      <c r="KAI70" s="119"/>
      <c r="KAJ70" s="119"/>
      <c r="KAK70" s="119"/>
      <c r="KAL70" s="119"/>
      <c r="KAM70" s="119"/>
      <c r="KAN70" s="119"/>
      <c r="KAO70" s="119"/>
      <c r="KAP70" s="119"/>
      <c r="KAQ70" s="119"/>
      <c r="KAR70" s="119"/>
      <c r="KAS70" s="119"/>
      <c r="KAT70" s="119"/>
      <c r="KAU70" s="119"/>
      <c r="KAV70" s="119"/>
      <c r="KAW70" s="119"/>
      <c r="KAX70" s="119"/>
      <c r="KAY70" s="119"/>
      <c r="KAZ70" s="119"/>
      <c r="KBA70" s="119"/>
      <c r="KBB70" s="119"/>
      <c r="KBC70" s="119"/>
      <c r="KBD70" s="119"/>
      <c r="KBE70" s="119"/>
      <c r="KBF70" s="119"/>
      <c r="KBG70" s="119"/>
      <c r="KBH70" s="119"/>
      <c r="KBI70" s="119"/>
      <c r="KBJ70" s="119"/>
      <c r="KBK70" s="119"/>
      <c r="KBL70" s="119"/>
      <c r="KBM70" s="119"/>
      <c r="KBN70" s="119"/>
      <c r="KBO70" s="119"/>
      <c r="KBP70" s="119"/>
      <c r="KBQ70" s="119"/>
      <c r="KBR70" s="119"/>
      <c r="KBS70" s="119"/>
      <c r="KBT70" s="119"/>
      <c r="KBU70" s="119"/>
      <c r="KBV70" s="119"/>
      <c r="KBW70" s="119"/>
      <c r="KBX70" s="119"/>
      <c r="KBY70" s="119"/>
      <c r="KBZ70" s="119"/>
      <c r="KCA70" s="119"/>
      <c r="KCB70" s="119"/>
      <c r="KCC70" s="119"/>
      <c r="KCD70" s="119"/>
      <c r="KCE70" s="119"/>
      <c r="KCF70" s="119"/>
      <c r="KCG70" s="119"/>
      <c r="KCH70" s="119"/>
      <c r="KCI70" s="119"/>
      <c r="KCJ70" s="119"/>
      <c r="KCK70" s="119"/>
      <c r="KCL70" s="119"/>
      <c r="KCM70" s="119"/>
      <c r="KCN70" s="119"/>
      <c r="KCO70" s="119"/>
      <c r="KCP70" s="119"/>
      <c r="KCQ70" s="119"/>
      <c r="KCR70" s="119"/>
      <c r="KCS70" s="119"/>
      <c r="KCT70" s="119"/>
      <c r="KCU70" s="119"/>
      <c r="KCV70" s="119"/>
      <c r="KCW70" s="119"/>
      <c r="KCX70" s="119"/>
      <c r="KCY70" s="119"/>
      <c r="KCZ70" s="119"/>
      <c r="KDA70" s="119"/>
      <c r="KDB70" s="119"/>
      <c r="KDC70" s="119"/>
      <c r="KDD70" s="119"/>
      <c r="KDE70" s="119"/>
      <c r="KDF70" s="119"/>
      <c r="KDG70" s="119"/>
      <c r="KDH70" s="119"/>
      <c r="KDI70" s="119"/>
      <c r="KDJ70" s="119"/>
      <c r="KDK70" s="119"/>
      <c r="KDL70" s="119"/>
      <c r="KDM70" s="119"/>
      <c r="KDN70" s="119"/>
      <c r="KDO70" s="119"/>
      <c r="KDP70" s="119"/>
      <c r="KDQ70" s="119"/>
      <c r="KDR70" s="119"/>
      <c r="KDS70" s="119"/>
      <c r="KDT70" s="119"/>
      <c r="KDU70" s="119"/>
      <c r="KDV70" s="119"/>
      <c r="KDW70" s="119"/>
      <c r="KDX70" s="119"/>
      <c r="KDY70" s="119"/>
      <c r="KDZ70" s="119"/>
      <c r="KEA70" s="119"/>
      <c r="KEB70" s="119"/>
      <c r="KEC70" s="119"/>
      <c r="KED70" s="119"/>
      <c r="KEE70" s="119"/>
      <c r="KEF70" s="119"/>
      <c r="KEG70" s="119"/>
      <c r="KEH70" s="119"/>
      <c r="KEI70" s="119"/>
      <c r="KEJ70" s="119"/>
      <c r="KEK70" s="119"/>
      <c r="KEL70" s="119"/>
      <c r="KEM70" s="119"/>
      <c r="KEN70" s="119"/>
      <c r="KEO70" s="119"/>
      <c r="KEP70" s="119"/>
      <c r="KEQ70" s="119"/>
      <c r="KER70" s="119"/>
      <c r="KES70" s="119"/>
      <c r="KET70" s="119"/>
      <c r="KEU70" s="119"/>
      <c r="KEV70" s="119"/>
      <c r="KEW70" s="119"/>
      <c r="KEX70" s="119"/>
      <c r="KEY70" s="119"/>
      <c r="KEZ70" s="119"/>
      <c r="KFA70" s="119"/>
      <c r="KFB70" s="119"/>
      <c r="KFC70" s="119"/>
      <c r="KFD70" s="119"/>
      <c r="KFE70" s="119"/>
      <c r="KFF70" s="119"/>
      <c r="KFG70" s="119"/>
      <c r="KFH70" s="119"/>
      <c r="KFI70" s="119"/>
      <c r="KFJ70" s="119"/>
      <c r="KFK70" s="119"/>
      <c r="KFL70" s="119"/>
      <c r="KFM70" s="119"/>
      <c r="KFN70" s="119"/>
      <c r="KFO70" s="119"/>
      <c r="KFP70" s="119"/>
      <c r="KFQ70" s="119"/>
      <c r="KFR70" s="119"/>
      <c r="KFS70" s="119"/>
      <c r="KFT70" s="119"/>
      <c r="KFU70" s="119"/>
      <c r="KFV70" s="119"/>
      <c r="KFW70" s="119"/>
      <c r="KFX70" s="119"/>
      <c r="KFY70" s="119"/>
      <c r="KFZ70" s="119"/>
      <c r="KGA70" s="119"/>
      <c r="KGB70" s="119"/>
      <c r="KGC70" s="119"/>
      <c r="KGD70" s="119"/>
      <c r="KGE70" s="119"/>
      <c r="KGF70" s="119"/>
      <c r="KGG70" s="119"/>
      <c r="KGH70" s="119"/>
      <c r="KGI70" s="119"/>
      <c r="KGJ70" s="119"/>
      <c r="KGK70" s="119"/>
      <c r="KGL70" s="119"/>
      <c r="KGM70" s="119"/>
      <c r="KGN70" s="119"/>
      <c r="KGO70" s="119"/>
      <c r="KGP70" s="119"/>
      <c r="KGQ70" s="119"/>
      <c r="KGR70" s="119"/>
      <c r="KGS70" s="119"/>
      <c r="KGT70" s="119"/>
      <c r="KGU70" s="119"/>
      <c r="KGV70" s="119"/>
      <c r="KGW70" s="119"/>
      <c r="KGX70" s="119"/>
      <c r="KGY70" s="119"/>
      <c r="KGZ70" s="119"/>
      <c r="KHA70" s="119"/>
      <c r="KHB70" s="119"/>
      <c r="KHC70" s="119"/>
      <c r="KHD70" s="119"/>
      <c r="KHE70" s="119"/>
      <c r="KHF70" s="119"/>
      <c r="KHG70" s="119"/>
      <c r="KHH70" s="119"/>
      <c r="KHI70" s="119"/>
      <c r="KHJ70" s="119"/>
      <c r="KHK70" s="119"/>
      <c r="KHL70" s="119"/>
      <c r="KHM70" s="119"/>
      <c r="KHN70" s="119"/>
      <c r="KHO70" s="119"/>
      <c r="KHP70" s="119"/>
      <c r="KHQ70" s="119"/>
      <c r="KHR70" s="119"/>
      <c r="KHS70" s="119"/>
      <c r="KHT70" s="119"/>
      <c r="KHU70" s="119"/>
      <c r="KHV70" s="119"/>
      <c r="KHW70" s="119"/>
      <c r="KHX70" s="119"/>
      <c r="KHY70" s="119"/>
      <c r="KHZ70" s="119"/>
      <c r="KIA70" s="119"/>
      <c r="KIB70" s="119"/>
      <c r="KIC70" s="119"/>
      <c r="KID70" s="119"/>
      <c r="KIE70" s="119"/>
      <c r="KIF70" s="119"/>
      <c r="KIG70" s="119"/>
      <c r="KIH70" s="119"/>
      <c r="KII70" s="119"/>
      <c r="KIJ70" s="119"/>
      <c r="KIK70" s="119"/>
      <c r="KIL70" s="119"/>
      <c r="KIM70" s="119"/>
      <c r="KIN70" s="119"/>
      <c r="KIO70" s="119"/>
      <c r="KIP70" s="119"/>
      <c r="KIQ70" s="119"/>
      <c r="KIR70" s="119"/>
      <c r="KIS70" s="119"/>
      <c r="KIT70" s="119"/>
      <c r="KIU70" s="119"/>
      <c r="KIV70" s="119"/>
      <c r="KIW70" s="119"/>
      <c r="KIX70" s="119"/>
      <c r="KIY70" s="119"/>
      <c r="KIZ70" s="119"/>
      <c r="KJA70" s="119"/>
      <c r="KJB70" s="119"/>
      <c r="KJC70" s="119"/>
      <c r="KJD70" s="119"/>
      <c r="KJE70" s="119"/>
      <c r="KJF70" s="119"/>
      <c r="KJG70" s="119"/>
      <c r="KJH70" s="119"/>
      <c r="KJI70" s="119"/>
      <c r="KJJ70" s="119"/>
      <c r="KJK70" s="119"/>
      <c r="KJL70" s="119"/>
      <c r="KJM70" s="119"/>
      <c r="KJN70" s="119"/>
      <c r="KJO70" s="119"/>
      <c r="KJP70" s="119"/>
      <c r="KJQ70" s="119"/>
      <c r="KJR70" s="119"/>
      <c r="KJS70" s="119"/>
      <c r="KJT70" s="119"/>
      <c r="KJU70" s="119"/>
      <c r="KJV70" s="119"/>
      <c r="KJW70" s="119"/>
      <c r="KJX70" s="119"/>
      <c r="KJY70" s="119"/>
      <c r="KJZ70" s="119"/>
      <c r="KKA70" s="119"/>
      <c r="KKB70" s="119"/>
      <c r="KKC70" s="119"/>
      <c r="KKD70" s="119"/>
      <c r="KKE70" s="119"/>
      <c r="KKF70" s="119"/>
      <c r="KKG70" s="119"/>
      <c r="KKH70" s="119"/>
      <c r="KKI70" s="119"/>
      <c r="KKJ70" s="119"/>
      <c r="KKK70" s="119"/>
      <c r="KKL70" s="119"/>
      <c r="KKM70" s="119"/>
      <c r="KKN70" s="119"/>
      <c r="KKO70" s="119"/>
      <c r="KKP70" s="119"/>
      <c r="KKQ70" s="119"/>
      <c r="KKR70" s="119"/>
      <c r="KKS70" s="119"/>
      <c r="KKT70" s="119"/>
      <c r="KKU70" s="119"/>
      <c r="KKV70" s="119"/>
      <c r="KKW70" s="119"/>
      <c r="KKX70" s="119"/>
      <c r="KKY70" s="119"/>
      <c r="KKZ70" s="119"/>
      <c r="KLA70" s="119"/>
      <c r="KLB70" s="119"/>
      <c r="KLC70" s="119"/>
      <c r="KLD70" s="119"/>
      <c r="KLE70" s="119"/>
      <c r="KLF70" s="119"/>
      <c r="KLG70" s="119"/>
      <c r="KLH70" s="119"/>
      <c r="KLI70" s="119"/>
      <c r="KLJ70" s="119"/>
      <c r="KLK70" s="119"/>
      <c r="KLL70" s="119"/>
      <c r="KLM70" s="119"/>
      <c r="KLN70" s="119"/>
      <c r="KLO70" s="119"/>
      <c r="KLP70" s="119"/>
      <c r="KLQ70" s="119"/>
      <c r="KLR70" s="119"/>
      <c r="KLS70" s="119"/>
      <c r="KLT70" s="119"/>
      <c r="KLU70" s="119"/>
      <c r="KLV70" s="119"/>
      <c r="KLW70" s="119"/>
      <c r="KLX70" s="119"/>
      <c r="KLY70" s="119"/>
      <c r="KLZ70" s="119"/>
      <c r="KMA70" s="119"/>
      <c r="KMB70" s="119"/>
      <c r="KMC70" s="119"/>
      <c r="KMD70" s="119"/>
      <c r="KME70" s="119"/>
      <c r="KMF70" s="119"/>
      <c r="KMG70" s="119"/>
      <c r="KMH70" s="119"/>
      <c r="KMI70" s="119"/>
      <c r="KMJ70" s="119"/>
      <c r="KMK70" s="119"/>
      <c r="KML70" s="119"/>
      <c r="KMM70" s="119"/>
      <c r="KMN70" s="119"/>
      <c r="KMO70" s="119"/>
      <c r="KMP70" s="119"/>
      <c r="KMQ70" s="119"/>
      <c r="KMR70" s="119"/>
      <c r="KMS70" s="119"/>
      <c r="KMT70" s="119"/>
      <c r="KMU70" s="119"/>
      <c r="KMV70" s="119"/>
      <c r="KMW70" s="119"/>
      <c r="KMX70" s="119"/>
      <c r="KMY70" s="119"/>
      <c r="KMZ70" s="119"/>
      <c r="KNA70" s="119"/>
      <c r="KNB70" s="119"/>
      <c r="KNC70" s="119"/>
      <c r="KND70" s="119"/>
      <c r="KNE70" s="119"/>
      <c r="KNF70" s="119"/>
      <c r="KNG70" s="119"/>
      <c r="KNH70" s="119"/>
      <c r="KNI70" s="119"/>
      <c r="KNJ70" s="119"/>
      <c r="KNK70" s="119"/>
      <c r="KNL70" s="119"/>
      <c r="KNM70" s="119"/>
      <c r="KNN70" s="119"/>
      <c r="KNO70" s="119"/>
      <c r="KNP70" s="119"/>
      <c r="KNQ70" s="119"/>
      <c r="KNR70" s="119"/>
      <c r="KNS70" s="119"/>
      <c r="KNT70" s="119"/>
      <c r="KNU70" s="119"/>
      <c r="KNV70" s="119"/>
      <c r="KNW70" s="119"/>
      <c r="KNX70" s="119"/>
      <c r="KNY70" s="119"/>
      <c r="KNZ70" s="119"/>
      <c r="KOA70" s="119"/>
      <c r="KOB70" s="119"/>
      <c r="KOC70" s="119"/>
      <c r="KOD70" s="119"/>
      <c r="KOE70" s="119"/>
      <c r="KOF70" s="119"/>
      <c r="KOG70" s="119"/>
      <c r="KOH70" s="119"/>
      <c r="KOI70" s="119"/>
      <c r="KOJ70" s="119"/>
      <c r="KOK70" s="119"/>
      <c r="KOL70" s="119"/>
      <c r="KOM70" s="119"/>
      <c r="KON70" s="119"/>
      <c r="KOO70" s="119"/>
      <c r="KOP70" s="119"/>
      <c r="KOQ70" s="119"/>
      <c r="KOR70" s="119"/>
      <c r="KOS70" s="119"/>
      <c r="KOT70" s="119"/>
      <c r="KOU70" s="119"/>
      <c r="KOV70" s="119"/>
      <c r="KOW70" s="119"/>
      <c r="KOX70" s="119"/>
      <c r="KOY70" s="119"/>
      <c r="KOZ70" s="119"/>
      <c r="KPA70" s="119"/>
      <c r="KPB70" s="119"/>
      <c r="KPC70" s="119"/>
      <c r="KPD70" s="119"/>
      <c r="KPE70" s="119"/>
      <c r="KPF70" s="119"/>
      <c r="KPG70" s="119"/>
      <c r="KPH70" s="119"/>
      <c r="KPI70" s="119"/>
      <c r="KPJ70" s="119"/>
      <c r="KPK70" s="119"/>
      <c r="KPL70" s="119"/>
      <c r="KPM70" s="119"/>
      <c r="KPN70" s="119"/>
      <c r="KPO70" s="119"/>
      <c r="KPP70" s="119"/>
      <c r="KPQ70" s="119"/>
      <c r="KPR70" s="119"/>
      <c r="KPS70" s="119"/>
      <c r="KPT70" s="119"/>
      <c r="KPU70" s="119"/>
      <c r="KPV70" s="119"/>
      <c r="KPW70" s="119"/>
      <c r="KPX70" s="119"/>
      <c r="KPY70" s="119"/>
      <c r="KPZ70" s="119"/>
      <c r="KQA70" s="119"/>
      <c r="KQB70" s="119"/>
      <c r="KQC70" s="119"/>
      <c r="KQD70" s="119"/>
      <c r="KQE70" s="119"/>
      <c r="KQF70" s="119"/>
      <c r="KQG70" s="119"/>
      <c r="KQH70" s="119"/>
      <c r="KQI70" s="119"/>
      <c r="KQJ70" s="119"/>
      <c r="KQK70" s="119"/>
      <c r="KQL70" s="119"/>
      <c r="KQM70" s="119"/>
      <c r="KQN70" s="119"/>
      <c r="KQO70" s="119"/>
      <c r="KQP70" s="119"/>
      <c r="KQQ70" s="119"/>
      <c r="KQR70" s="119"/>
      <c r="KQS70" s="119"/>
      <c r="KQT70" s="119"/>
      <c r="KQU70" s="119"/>
      <c r="KQV70" s="119"/>
      <c r="KQW70" s="119"/>
      <c r="KQX70" s="119"/>
      <c r="KQY70" s="119"/>
      <c r="KQZ70" s="119"/>
      <c r="KRA70" s="119"/>
      <c r="KRB70" s="119"/>
      <c r="KRC70" s="119"/>
      <c r="KRD70" s="119"/>
      <c r="KRE70" s="119"/>
      <c r="KRF70" s="119"/>
      <c r="KRG70" s="119"/>
      <c r="KRH70" s="119"/>
      <c r="KRI70" s="119"/>
      <c r="KRJ70" s="119"/>
      <c r="KRK70" s="119"/>
      <c r="KRL70" s="119"/>
      <c r="KRM70" s="119"/>
      <c r="KRN70" s="119"/>
      <c r="KRO70" s="119"/>
      <c r="KRP70" s="119"/>
      <c r="KRQ70" s="119"/>
      <c r="KRR70" s="119"/>
      <c r="KRS70" s="119"/>
      <c r="KRT70" s="119"/>
      <c r="KRU70" s="119"/>
      <c r="KRV70" s="119"/>
      <c r="KRW70" s="119"/>
      <c r="KRX70" s="119"/>
      <c r="KRY70" s="119"/>
      <c r="KRZ70" s="119"/>
      <c r="KSA70" s="119"/>
      <c r="KSB70" s="119"/>
      <c r="KSC70" s="119"/>
      <c r="KSD70" s="119"/>
      <c r="KSE70" s="119"/>
      <c r="KSF70" s="119"/>
      <c r="KSG70" s="119"/>
      <c r="KSH70" s="119"/>
      <c r="KSI70" s="119"/>
      <c r="KSJ70" s="119"/>
      <c r="KSK70" s="119"/>
      <c r="KSL70" s="119"/>
      <c r="KSM70" s="119"/>
      <c r="KSN70" s="119"/>
      <c r="KSO70" s="119"/>
      <c r="KSP70" s="119"/>
      <c r="KSQ70" s="119"/>
      <c r="KSR70" s="119"/>
      <c r="KSS70" s="119"/>
      <c r="KST70" s="119"/>
      <c r="KSU70" s="119"/>
      <c r="KSV70" s="119"/>
      <c r="KSW70" s="119"/>
      <c r="KSX70" s="119"/>
      <c r="KSY70" s="119"/>
      <c r="KSZ70" s="119"/>
      <c r="KTA70" s="119"/>
      <c r="KTB70" s="119"/>
      <c r="KTC70" s="119"/>
      <c r="KTD70" s="119"/>
      <c r="KTE70" s="119"/>
      <c r="KTF70" s="119"/>
      <c r="KTG70" s="119"/>
      <c r="KTH70" s="119"/>
      <c r="KTI70" s="119"/>
      <c r="KTJ70" s="119"/>
      <c r="KTK70" s="119"/>
      <c r="KTL70" s="119"/>
      <c r="KTM70" s="119"/>
      <c r="KTN70" s="119"/>
      <c r="KTO70" s="119"/>
      <c r="KTP70" s="119"/>
      <c r="KTQ70" s="119"/>
      <c r="KTR70" s="119"/>
      <c r="KTS70" s="119"/>
      <c r="KTT70" s="119"/>
      <c r="KTU70" s="119"/>
      <c r="KTV70" s="119"/>
      <c r="KTW70" s="119"/>
      <c r="KTX70" s="119"/>
      <c r="KTY70" s="119"/>
      <c r="KTZ70" s="119"/>
      <c r="KUA70" s="119"/>
      <c r="KUB70" s="119"/>
      <c r="KUC70" s="119"/>
      <c r="KUD70" s="119"/>
      <c r="KUE70" s="119"/>
      <c r="KUF70" s="119"/>
      <c r="KUG70" s="119"/>
      <c r="KUH70" s="119"/>
      <c r="KUI70" s="119"/>
      <c r="KUJ70" s="119"/>
      <c r="KUK70" s="119"/>
      <c r="KUL70" s="119"/>
      <c r="KUM70" s="119"/>
      <c r="KUN70" s="119"/>
      <c r="KUO70" s="119"/>
      <c r="KUP70" s="119"/>
      <c r="KUQ70" s="119"/>
      <c r="KUR70" s="119"/>
      <c r="KUS70" s="119"/>
      <c r="KUT70" s="119"/>
      <c r="KUU70" s="119"/>
      <c r="KUV70" s="119"/>
      <c r="KUW70" s="119"/>
      <c r="KUX70" s="119"/>
      <c r="KUY70" s="119"/>
      <c r="KUZ70" s="119"/>
      <c r="KVA70" s="119"/>
      <c r="KVB70" s="119"/>
      <c r="KVC70" s="119"/>
      <c r="KVD70" s="119"/>
      <c r="KVE70" s="119"/>
      <c r="KVF70" s="119"/>
      <c r="KVG70" s="119"/>
      <c r="KVH70" s="119"/>
      <c r="KVI70" s="119"/>
      <c r="KVJ70" s="119"/>
      <c r="KVK70" s="119"/>
      <c r="KVL70" s="119"/>
      <c r="KVM70" s="119"/>
      <c r="KVN70" s="119"/>
      <c r="KVO70" s="119"/>
      <c r="KVP70" s="119"/>
      <c r="KVQ70" s="119"/>
      <c r="KVR70" s="119"/>
      <c r="KVS70" s="119"/>
      <c r="KVT70" s="119"/>
      <c r="KVU70" s="119"/>
      <c r="KVV70" s="119"/>
      <c r="KVW70" s="119"/>
      <c r="KVX70" s="119"/>
      <c r="KVY70" s="119"/>
      <c r="KVZ70" s="119"/>
      <c r="KWA70" s="119"/>
      <c r="KWB70" s="119"/>
      <c r="KWC70" s="119"/>
      <c r="KWD70" s="119"/>
      <c r="KWE70" s="119"/>
      <c r="KWF70" s="119"/>
      <c r="KWG70" s="119"/>
      <c r="KWH70" s="119"/>
      <c r="KWI70" s="119"/>
      <c r="KWJ70" s="119"/>
      <c r="KWK70" s="119"/>
      <c r="KWL70" s="119"/>
      <c r="KWM70" s="119"/>
      <c r="KWN70" s="119"/>
      <c r="KWO70" s="119"/>
      <c r="KWP70" s="119"/>
      <c r="KWQ70" s="119"/>
      <c r="KWR70" s="119"/>
      <c r="KWS70" s="119"/>
      <c r="KWT70" s="119"/>
      <c r="KWU70" s="119"/>
      <c r="KWV70" s="119"/>
      <c r="KWW70" s="119"/>
      <c r="KWX70" s="119"/>
      <c r="KWY70" s="119"/>
      <c r="KWZ70" s="119"/>
      <c r="KXA70" s="119"/>
      <c r="KXB70" s="119"/>
      <c r="KXC70" s="119"/>
      <c r="KXD70" s="119"/>
      <c r="KXE70" s="119"/>
      <c r="KXF70" s="119"/>
      <c r="KXG70" s="119"/>
      <c r="KXH70" s="119"/>
      <c r="KXI70" s="119"/>
      <c r="KXJ70" s="119"/>
      <c r="KXK70" s="119"/>
      <c r="KXL70" s="119"/>
      <c r="KXM70" s="119"/>
      <c r="KXN70" s="119"/>
      <c r="KXO70" s="119"/>
      <c r="KXP70" s="119"/>
      <c r="KXQ70" s="119"/>
      <c r="KXR70" s="119"/>
      <c r="KXS70" s="119"/>
      <c r="KXT70" s="119"/>
      <c r="KXU70" s="119"/>
      <c r="KXV70" s="119"/>
      <c r="KXW70" s="119"/>
      <c r="KXX70" s="119"/>
      <c r="KXY70" s="119"/>
      <c r="KXZ70" s="119"/>
      <c r="KYA70" s="119"/>
      <c r="KYB70" s="119"/>
      <c r="KYC70" s="119"/>
      <c r="KYD70" s="119"/>
      <c r="KYE70" s="119"/>
      <c r="KYF70" s="119"/>
      <c r="KYG70" s="119"/>
      <c r="KYH70" s="119"/>
      <c r="KYI70" s="119"/>
      <c r="KYJ70" s="119"/>
      <c r="KYK70" s="119"/>
      <c r="KYL70" s="119"/>
      <c r="KYM70" s="119"/>
      <c r="KYN70" s="119"/>
      <c r="KYO70" s="119"/>
      <c r="KYP70" s="119"/>
      <c r="KYQ70" s="119"/>
      <c r="KYR70" s="119"/>
      <c r="KYS70" s="119"/>
      <c r="KYT70" s="119"/>
      <c r="KYU70" s="119"/>
      <c r="KYV70" s="119"/>
      <c r="KYW70" s="119"/>
      <c r="KYX70" s="119"/>
      <c r="KYY70" s="119"/>
      <c r="KYZ70" s="119"/>
      <c r="KZA70" s="119"/>
      <c r="KZB70" s="119"/>
      <c r="KZC70" s="119"/>
      <c r="KZD70" s="119"/>
      <c r="KZE70" s="119"/>
      <c r="KZF70" s="119"/>
      <c r="KZG70" s="119"/>
      <c r="KZH70" s="119"/>
      <c r="KZI70" s="119"/>
      <c r="KZJ70" s="119"/>
      <c r="KZK70" s="119"/>
      <c r="KZL70" s="119"/>
      <c r="KZM70" s="119"/>
      <c r="KZN70" s="119"/>
      <c r="KZO70" s="119"/>
      <c r="KZP70" s="119"/>
      <c r="KZQ70" s="119"/>
      <c r="KZR70" s="119"/>
      <c r="KZS70" s="119"/>
      <c r="KZT70" s="119"/>
      <c r="KZU70" s="119"/>
      <c r="KZV70" s="119"/>
      <c r="KZW70" s="119"/>
      <c r="KZX70" s="119"/>
      <c r="KZY70" s="119"/>
      <c r="KZZ70" s="119"/>
      <c r="LAA70" s="119"/>
      <c r="LAB70" s="119"/>
      <c r="LAC70" s="119"/>
      <c r="LAD70" s="119"/>
      <c r="LAE70" s="119"/>
      <c r="LAF70" s="119"/>
      <c r="LAG70" s="119"/>
      <c r="LAH70" s="119"/>
      <c r="LAI70" s="119"/>
      <c r="LAJ70" s="119"/>
      <c r="LAK70" s="119"/>
      <c r="LAL70" s="119"/>
      <c r="LAM70" s="119"/>
      <c r="LAN70" s="119"/>
      <c r="LAO70" s="119"/>
      <c r="LAP70" s="119"/>
      <c r="LAQ70" s="119"/>
      <c r="LAR70" s="119"/>
      <c r="LAS70" s="119"/>
      <c r="LAT70" s="119"/>
      <c r="LAU70" s="119"/>
      <c r="LAV70" s="119"/>
      <c r="LAW70" s="119"/>
      <c r="LAX70" s="119"/>
      <c r="LAY70" s="119"/>
      <c r="LAZ70" s="119"/>
      <c r="LBA70" s="119"/>
      <c r="LBB70" s="119"/>
      <c r="LBC70" s="119"/>
      <c r="LBD70" s="119"/>
      <c r="LBE70" s="119"/>
      <c r="LBF70" s="119"/>
      <c r="LBG70" s="119"/>
      <c r="LBH70" s="119"/>
      <c r="LBI70" s="119"/>
      <c r="LBJ70" s="119"/>
      <c r="LBK70" s="119"/>
      <c r="LBL70" s="119"/>
      <c r="LBM70" s="119"/>
      <c r="LBN70" s="119"/>
      <c r="LBO70" s="119"/>
      <c r="LBP70" s="119"/>
      <c r="LBQ70" s="119"/>
      <c r="LBR70" s="119"/>
      <c r="LBS70" s="119"/>
      <c r="LBT70" s="119"/>
      <c r="LBU70" s="119"/>
      <c r="LBV70" s="119"/>
      <c r="LBW70" s="119"/>
      <c r="LBX70" s="119"/>
      <c r="LBY70" s="119"/>
      <c r="LBZ70" s="119"/>
      <c r="LCA70" s="119"/>
      <c r="LCB70" s="119"/>
      <c r="LCC70" s="119"/>
      <c r="LCD70" s="119"/>
      <c r="LCE70" s="119"/>
      <c r="LCF70" s="119"/>
      <c r="LCG70" s="119"/>
      <c r="LCH70" s="119"/>
      <c r="LCI70" s="119"/>
      <c r="LCJ70" s="119"/>
      <c r="LCK70" s="119"/>
      <c r="LCL70" s="119"/>
      <c r="LCM70" s="119"/>
      <c r="LCN70" s="119"/>
      <c r="LCO70" s="119"/>
      <c r="LCP70" s="119"/>
      <c r="LCQ70" s="119"/>
      <c r="LCR70" s="119"/>
      <c r="LCS70" s="119"/>
      <c r="LCT70" s="119"/>
      <c r="LCU70" s="119"/>
      <c r="LCV70" s="119"/>
      <c r="LCW70" s="119"/>
      <c r="LCX70" s="119"/>
      <c r="LCY70" s="119"/>
      <c r="LCZ70" s="119"/>
      <c r="LDA70" s="119"/>
      <c r="LDB70" s="119"/>
      <c r="LDC70" s="119"/>
      <c r="LDD70" s="119"/>
      <c r="LDE70" s="119"/>
      <c r="LDF70" s="119"/>
      <c r="LDG70" s="119"/>
      <c r="LDH70" s="119"/>
      <c r="LDI70" s="119"/>
      <c r="LDJ70" s="119"/>
      <c r="LDK70" s="119"/>
      <c r="LDL70" s="119"/>
      <c r="LDM70" s="119"/>
      <c r="LDN70" s="119"/>
      <c r="LDO70" s="119"/>
      <c r="LDP70" s="119"/>
      <c r="LDQ70" s="119"/>
      <c r="LDR70" s="119"/>
      <c r="LDS70" s="119"/>
      <c r="LDT70" s="119"/>
      <c r="LDU70" s="119"/>
      <c r="LDV70" s="119"/>
      <c r="LDW70" s="119"/>
      <c r="LDX70" s="119"/>
      <c r="LDY70" s="119"/>
      <c r="LDZ70" s="119"/>
      <c r="LEA70" s="119"/>
      <c r="LEB70" s="119"/>
      <c r="LEC70" s="119"/>
      <c r="LED70" s="119"/>
      <c r="LEE70" s="119"/>
      <c r="LEF70" s="119"/>
      <c r="LEG70" s="119"/>
      <c r="LEH70" s="119"/>
      <c r="LEI70" s="119"/>
      <c r="LEJ70" s="119"/>
      <c r="LEK70" s="119"/>
      <c r="LEL70" s="119"/>
      <c r="LEM70" s="119"/>
      <c r="LEN70" s="119"/>
      <c r="LEO70" s="119"/>
      <c r="LEP70" s="119"/>
      <c r="LEQ70" s="119"/>
      <c r="LER70" s="119"/>
      <c r="LES70" s="119"/>
      <c r="LET70" s="119"/>
      <c r="LEU70" s="119"/>
      <c r="LEV70" s="119"/>
      <c r="LEW70" s="119"/>
      <c r="LEX70" s="119"/>
      <c r="LEY70" s="119"/>
      <c r="LEZ70" s="119"/>
      <c r="LFA70" s="119"/>
      <c r="LFB70" s="119"/>
      <c r="LFC70" s="119"/>
      <c r="LFD70" s="119"/>
      <c r="LFE70" s="119"/>
      <c r="LFF70" s="119"/>
      <c r="LFG70" s="119"/>
      <c r="LFH70" s="119"/>
      <c r="LFI70" s="119"/>
      <c r="LFJ70" s="119"/>
      <c r="LFK70" s="119"/>
      <c r="LFL70" s="119"/>
      <c r="LFM70" s="119"/>
      <c r="LFN70" s="119"/>
      <c r="LFO70" s="119"/>
      <c r="LFP70" s="119"/>
      <c r="LFQ70" s="119"/>
      <c r="LFR70" s="119"/>
      <c r="LFS70" s="119"/>
      <c r="LFT70" s="119"/>
      <c r="LFU70" s="119"/>
      <c r="LFV70" s="119"/>
      <c r="LFW70" s="119"/>
      <c r="LFX70" s="119"/>
      <c r="LFY70" s="119"/>
      <c r="LFZ70" s="119"/>
      <c r="LGA70" s="119"/>
      <c r="LGB70" s="119"/>
      <c r="LGC70" s="119"/>
      <c r="LGD70" s="119"/>
      <c r="LGE70" s="119"/>
      <c r="LGF70" s="119"/>
      <c r="LGG70" s="119"/>
      <c r="LGH70" s="119"/>
      <c r="LGI70" s="119"/>
      <c r="LGJ70" s="119"/>
      <c r="LGK70" s="119"/>
      <c r="LGL70" s="119"/>
      <c r="LGM70" s="119"/>
      <c r="LGN70" s="119"/>
      <c r="LGO70" s="119"/>
      <c r="LGP70" s="119"/>
      <c r="LGQ70" s="119"/>
      <c r="LGR70" s="119"/>
      <c r="LGS70" s="119"/>
      <c r="LGT70" s="119"/>
      <c r="LGU70" s="119"/>
      <c r="LGV70" s="119"/>
      <c r="LGW70" s="119"/>
      <c r="LGX70" s="119"/>
      <c r="LGY70" s="119"/>
      <c r="LGZ70" s="119"/>
      <c r="LHA70" s="119"/>
      <c r="LHB70" s="119"/>
      <c r="LHC70" s="119"/>
      <c r="LHD70" s="119"/>
      <c r="LHE70" s="119"/>
      <c r="LHF70" s="119"/>
      <c r="LHG70" s="119"/>
      <c r="LHH70" s="119"/>
      <c r="LHI70" s="119"/>
      <c r="LHJ70" s="119"/>
      <c r="LHK70" s="119"/>
      <c r="LHL70" s="119"/>
      <c r="LHM70" s="119"/>
      <c r="LHN70" s="119"/>
      <c r="LHO70" s="119"/>
      <c r="LHP70" s="119"/>
      <c r="LHQ70" s="119"/>
      <c r="LHR70" s="119"/>
      <c r="LHS70" s="119"/>
      <c r="LHT70" s="119"/>
      <c r="LHU70" s="119"/>
      <c r="LHV70" s="119"/>
      <c r="LHW70" s="119"/>
      <c r="LHX70" s="119"/>
      <c r="LHY70" s="119"/>
      <c r="LHZ70" s="119"/>
      <c r="LIA70" s="119"/>
      <c r="LIB70" s="119"/>
      <c r="LIC70" s="119"/>
      <c r="LID70" s="119"/>
      <c r="LIE70" s="119"/>
      <c r="LIF70" s="119"/>
      <c r="LIG70" s="119"/>
      <c r="LIH70" s="119"/>
      <c r="LII70" s="119"/>
      <c r="LIJ70" s="119"/>
      <c r="LIK70" s="119"/>
      <c r="LIL70" s="119"/>
      <c r="LIM70" s="119"/>
      <c r="LIN70" s="119"/>
      <c r="LIO70" s="119"/>
      <c r="LIP70" s="119"/>
      <c r="LIQ70" s="119"/>
      <c r="LIR70" s="119"/>
      <c r="LIS70" s="119"/>
      <c r="LIT70" s="119"/>
      <c r="LIU70" s="119"/>
      <c r="LIV70" s="119"/>
      <c r="LIW70" s="119"/>
      <c r="LIX70" s="119"/>
      <c r="LIY70" s="119"/>
      <c r="LIZ70" s="119"/>
      <c r="LJA70" s="119"/>
      <c r="LJB70" s="119"/>
      <c r="LJC70" s="119"/>
      <c r="LJD70" s="119"/>
      <c r="LJE70" s="119"/>
      <c r="LJF70" s="119"/>
      <c r="LJG70" s="119"/>
      <c r="LJH70" s="119"/>
      <c r="LJI70" s="119"/>
      <c r="LJJ70" s="119"/>
      <c r="LJK70" s="119"/>
      <c r="LJL70" s="119"/>
      <c r="LJM70" s="119"/>
      <c r="LJN70" s="119"/>
      <c r="LJO70" s="119"/>
      <c r="LJP70" s="119"/>
      <c r="LJQ70" s="119"/>
      <c r="LJR70" s="119"/>
      <c r="LJS70" s="119"/>
      <c r="LJT70" s="119"/>
      <c r="LJU70" s="119"/>
      <c r="LJV70" s="119"/>
      <c r="LJW70" s="119"/>
      <c r="LJX70" s="119"/>
      <c r="LJY70" s="119"/>
      <c r="LJZ70" s="119"/>
      <c r="LKA70" s="119"/>
      <c r="LKB70" s="119"/>
      <c r="LKC70" s="119"/>
      <c r="LKD70" s="119"/>
      <c r="LKE70" s="119"/>
      <c r="LKF70" s="119"/>
      <c r="LKG70" s="119"/>
      <c r="LKH70" s="119"/>
      <c r="LKI70" s="119"/>
      <c r="LKJ70" s="119"/>
      <c r="LKK70" s="119"/>
      <c r="LKL70" s="119"/>
      <c r="LKM70" s="119"/>
      <c r="LKN70" s="119"/>
      <c r="LKO70" s="119"/>
      <c r="LKP70" s="119"/>
      <c r="LKQ70" s="119"/>
      <c r="LKR70" s="119"/>
      <c r="LKS70" s="119"/>
      <c r="LKT70" s="119"/>
      <c r="LKU70" s="119"/>
      <c r="LKV70" s="119"/>
      <c r="LKW70" s="119"/>
      <c r="LKX70" s="119"/>
      <c r="LKY70" s="119"/>
      <c r="LKZ70" s="119"/>
      <c r="LLA70" s="119"/>
      <c r="LLB70" s="119"/>
      <c r="LLC70" s="119"/>
      <c r="LLD70" s="119"/>
      <c r="LLE70" s="119"/>
      <c r="LLF70" s="119"/>
      <c r="LLG70" s="119"/>
      <c r="LLH70" s="119"/>
      <c r="LLI70" s="119"/>
      <c r="LLJ70" s="119"/>
      <c r="LLK70" s="119"/>
      <c r="LLL70" s="119"/>
      <c r="LLM70" s="119"/>
      <c r="LLN70" s="119"/>
      <c r="LLO70" s="119"/>
      <c r="LLP70" s="119"/>
      <c r="LLQ70" s="119"/>
      <c r="LLR70" s="119"/>
      <c r="LLS70" s="119"/>
      <c r="LLT70" s="119"/>
      <c r="LLU70" s="119"/>
      <c r="LLV70" s="119"/>
      <c r="LLW70" s="119"/>
      <c r="LLX70" s="119"/>
      <c r="LLY70" s="119"/>
      <c r="LLZ70" s="119"/>
      <c r="LMA70" s="119"/>
      <c r="LMB70" s="119"/>
      <c r="LMC70" s="119"/>
      <c r="LMD70" s="119"/>
      <c r="LME70" s="119"/>
      <c r="LMF70" s="119"/>
      <c r="LMG70" s="119"/>
      <c r="LMH70" s="119"/>
      <c r="LMI70" s="119"/>
      <c r="LMJ70" s="119"/>
      <c r="LMK70" s="119"/>
      <c r="LML70" s="119"/>
      <c r="LMM70" s="119"/>
      <c r="LMN70" s="119"/>
      <c r="LMO70" s="119"/>
      <c r="LMP70" s="119"/>
      <c r="LMQ70" s="119"/>
      <c r="LMR70" s="119"/>
      <c r="LMS70" s="119"/>
      <c r="LMT70" s="119"/>
      <c r="LMU70" s="119"/>
      <c r="LMV70" s="119"/>
      <c r="LMW70" s="119"/>
      <c r="LMX70" s="119"/>
      <c r="LMY70" s="119"/>
      <c r="LMZ70" s="119"/>
      <c r="LNA70" s="119"/>
      <c r="LNB70" s="119"/>
      <c r="LNC70" s="119"/>
      <c r="LND70" s="119"/>
      <c r="LNE70" s="119"/>
      <c r="LNF70" s="119"/>
      <c r="LNG70" s="119"/>
      <c r="LNH70" s="119"/>
      <c r="LNI70" s="119"/>
      <c r="LNJ70" s="119"/>
      <c r="LNK70" s="119"/>
      <c r="LNL70" s="119"/>
      <c r="LNM70" s="119"/>
      <c r="LNN70" s="119"/>
      <c r="LNO70" s="119"/>
      <c r="LNP70" s="119"/>
      <c r="LNQ70" s="119"/>
      <c r="LNR70" s="119"/>
      <c r="LNS70" s="119"/>
      <c r="LNT70" s="119"/>
      <c r="LNU70" s="119"/>
      <c r="LNV70" s="119"/>
      <c r="LNW70" s="119"/>
      <c r="LNX70" s="119"/>
      <c r="LNY70" s="119"/>
      <c r="LNZ70" s="119"/>
      <c r="LOA70" s="119"/>
      <c r="LOB70" s="119"/>
      <c r="LOC70" s="119"/>
      <c r="LOD70" s="119"/>
      <c r="LOE70" s="119"/>
      <c r="LOF70" s="119"/>
      <c r="LOG70" s="119"/>
      <c r="LOH70" s="119"/>
      <c r="LOI70" s="119"/>
      <c r="LOJ70" s="119"/>
      <c r="LOK70" s="119"/>
      <c r="LOL70" s="119"/>
      <c r="LOM70" s="119"/>
      <c r="LON70" s="119"/>
      <c r="LOO70" s="119"/>
      <c r="LOP70" s="119"/>
      <c r="LOQ70" s="119"/>
      <c r="LOR70" s="119"/>
      <c r="LOS70" s="119"/>
      <c r="LOT70" s="119"/>
      <c r="LOU70" s="119"/>
      <c r="LOV70" s="119"/>
      <c r="LOW70" s="119"/>
      <c r="LOX70" s="119"/>
      <c r="LOY70" s="119"/>
      <c r="LOZ70" s="119"/>
      <c r="LPA70" s="119"/>
      <c r="LPB70" s="119"/>
      <c r="LPC70" s="119"/>
      <c r="LPD70" s="119"/>
      <c r="LPE70" s="119"/>
      <c r="LPF70" s="119"/>
      <c r="LPG70" s="119"/>
      <c r="LPH70" s="119"/>
      <c r="LPI70" s="119"/>
      <c r="LPJ70" s="119"/>
      <c r="LPK70" s="119"/>
      <c r="LPL70" s="119"/>
      <c r="LPM70" s="119"/>
      <c r="LPN70" s="119"/>
      <c r="LPO70" s="119"/>
      <c r="LPP70" s="119"/>
      <c r="LPQ70" s="119"/>
      <c r="LPR70" s="119"/>
      <c r="LPS70" s="119"/>
      <c r="LPT70" s="119"/>
      <c r="LPU70" s="119"/>
      <c r="LPV70" s="119"/>
      <c r="LPW70" s="119"/>
      <c r="LPX70" s="119"/>
      <c r="LPY70" s="119"/>
      <c r="LPZ70" s="119"/>
      <c r="LQA70" s="119"/>
      <c r="LQB70" s="119"/>
      <c r="LQC70" s="119"/>
      <c r="LQD70" s="119"/>
      <c r="LQE70" s="119"/>
      <c r="LQF70" s="119"/>
      <c r="LQG70" s="119"/>
      <c r="LQH70" s="119"/>
      <c r="LQI70" s="119"/>
      <c r="LQJ70" s="119"/>
      <c r="LQK70" s="119"/>
      <c r="LQL70" s="119"/>
      <c r="LQM70" s="119"/>
      <c r="LQN70" s="119"/>
      <c r="LQO70" s="119"/>
      <c r="LQP70" s="119"/>
      <c r="LQQ70" s="119"/>
      <c r="LQR70" s="119"/>
      <c r="LQS70" s="119"/>
      <c r="LQT70" s="119"/>
      <c r="LQU70" s="119"/>
      <c r="LQV70" s="119"/>
      <c r="LQW70" s="119"/>
      <c r="LQX70" s="119"/>
      <c r="LQY70" s="119"/>
      <c r="LQZ70" s="119"/>
      <c r="LRA70" s="119"/>
      <c r="LRB70" s="119"/>
      <c r="LRC70" s="119"/>
      <c r="LRD70" s="119"/>
      <c r="LRE70" s="119"/>
      <c r="LRF70" s="119"/>
      <c r="LRG70" s="119"/>
      <c r="LRH70" s="119"/>
      <c r="LRI70" s="119"/>
      <c r="LRJ70" s="119"/>
      <c r="LRK70" s="119"/>
      <c r="LRL70" s="119"/>
      <c r="LRM70" s="119"/>
      <c r="LRN70" s="119"/>
      <c r="LRO70" s="119"/>
      <c r="LRP70" s="119"/>
      <c r="LRQ70" s="119"/>
      <c r="LRR70" s="119"/>
      <c r="LRS70" s="119"/>
      <c r="LRT70" s="119"/>
      <c r="LRU70" s="119"/>
      <c r="LRV70" s="119"/>
      <c r="LRW70" s="119"/>
      <c r="LRX70" s="119"/>
      <c r="LRY70" s="119"/>
      <c r="LRZ70" s="119"/>
      <c r="LSA70" s="119"/>
      <c r="LSB70" s="119"/>
      <c r="LSC70" s="119"/>
      <c r="LSD70" s="119"/>
      <c r="LSE70" s="119"/>
      <c r="LSF70" s="119"/>
      <c r="LSG70" s="119"/>
      <c r="LSH70" s="119"/>
      <c r="LSI70" s="119"/>
      <c r="LSJ70" s="119"/>
      <c r="LSK70" s="119"/>
      <c r="LSL70" s="119"/>
      <c r="LSM70" s="119"/>
      <c r="LSN70" s="119"/>
      <c r="LSO70" s="119"/>
      <c r="LSP70" s="119"/>
      <c r="LSQ70" s="119"/>
      <c r="LSR70" s="119"/>
      <c r="LSS70" s="119"/>
      <c r="LST70" s="119"/>
      <c r="LSU70" s="119"/>
      <c r="LSV70" s="119"/>
      <c r="LSW70" s="119"/>
      <c r="LSX70" s="119"/>
      <c r="LSY70" s="119"/>
      <c r="LSZ70" s="119"/>
      <c r="LTA70" s="119"/>
      <c r="LTB70" s="119"/>
      <c r="LTC70" s="119"/>
      <c r="LTD70" s="119"/>
      <c r="LTE70" s="119"/>
      <c r="LTF70" s="119"/>
      <c r="LTG70" s="119"/>
      <c r="LTH70" s="119"/>
      <c r="LTI70" s="119"/>
      <c r="LTJ70" s="119"/>
      <c r="LTK70" s="119"/>
      <c r="LTL70" s="119"/>
      <c r="LTM70" s="119"/>
      <c r="LTN70" s="119"/>
      <c r="LTO70" s="119"/>
      <c r="LTP70" s="119"/>
      <c r="LTQ70" s="119"/>
      <c r="LTR70" s="119"/>
      <c r="LTS70" s="119"/>
      <c r="LTT70" s="119"/>
      <c r="LTU70" s="119"/>
      <c r="LTV70" s="119"/>
      <c r="LTW70" s="119"/>
      <c r="LTX70" s="119"/>
      <c r="LTY70" s="119"/>
      <c r="LTZ70" s="119"/>
      <c r="LUA70" s="119"/>
      <c r="LUB70" s="119"/>
      <c r="LUC70" s="119"/>
      <c r="LUD70" s="119"/>
      <c r="LUE70" s="119"/>
      <c r="LUF70" s="119"/>
      <c r="LUG70" s="119"/>
      <c r="LUH70" s="119"/>
      <c r="LUI70" s="119"/>
      <c r="LUJ70" s="119"/>
      <c r="LUK70" s="119"/>
      <c r="LUL70" s="119"/>
      <c r="LUM70" s="119"/>
      <c r="LUN70" s="119"/>
      <c r="LUO70" s="119"/>
      <c r="LUP70" s="119"/>
      <c r="LUQ70" s="119"/>
      <c r="LUR70" s="119"/>
      <c r="LUS70" s="119"/>
      <c r="LUT70" s="119"/>
      <c r="LUU70" s="119"/>
      <c r="LUV70" s="119"/>
      <c r="LUW70" s="119"/>
      <c r="LUX70" s="119"/>
      <c r="LUY70" s="119"/>
      <c r="LUZ70" s="119"/>
      <c r="LVA70" s="119"/>
      <c r="LVB70" s="119"/>
      <c r="LVC70" s="119"/>
      <c r="LVD70" s="119"/>
      <c r="LVE70" s="119"/>
      <c r="LVF70" s="119"/>
      <c r="LVG70" s="119"/>
      <c r="LVH70" s="119"/>
      <c r="LVI70" s="119"/>
      <c r="LVJ70" s="119"/>
      <c r="LVK70" s="119"/>
      <c r="LVL70" s="119"/>
      <c r="LVM70" s="119"/>
      <c r="LVN70" s="119"/>
      <c r="LVO70" s="119"/>
      <c r="LVP70" s="119"/>
      <c r="LVQ70" s="119"/>
      <c r="LVR70" s="119"/>
      <c r="LVS70" s="119"/>
      <c r="LVT70" s="119"/>
      <c r="LVU70" s="119"/>
      <c r="LVV70" s="119"/>
      <c r="LVW70" s="119"/>
      <c r="LVX70" s="119"/>
      <c r="LVY70" s="119"/>
      <c r="LVZ70" s="119"/>
      <c r="LWA70" s="119"/>
      <c r="LWB70" s="119"/>
      <c r="LWC70" s="119"/>
      <c r="LWD70" s="119"/>
      <c r="LWE70" s="119"/>
      <c r="LWF70" s="119"/>
      <c r="LWG70" s="119"/>
      <c r="LWH70" s="119"/>
      <c r="LWI70" s="119"/>
      <c r="LWJ70" s="119"/>
      <c r="LWK70" s="119"/>
      <c r="LWL70" s="119"/>
      <c r="LWM70" s="119"/>
      <c r="LWN70" s="119"/>
      <c r="LWO70" s="119"/>
      <c r="LWP70" s="119"/>
      <c r="LWQ70" s="119"/>
      <c r="LWR70" s="119"/>
      <c r="LWS70" s="119"/>
      <c r="LWT70" s="119"/>
      <c r="LWU70" s="119"/>
      <c r="LWV70" s="119"/>
      <c r="LWW70" s="119"/>
      <c r="LWX70" s="119"/>
      <c r="LWY70" s="119"/>
      <c r="LWZ70" s="119"/>
      <c r="LXA70" s="119"/>
      <c r="LXB70" s="119"/>
      <c r="LXC70" s="119"/>
      <c r="LXD70" s="119"/>
      <c r="LXE70" s="119"/>
      <c r="LXF70" s="119"/>
      <c r="LXG70" s="119"/>
      <c r="LXH70" s="119"/>
      <c r="LXI70" s="119"/>
      <c r="LXJ70" s="119"/>
      <c r="LXK70" s="119"/>
      <c r="LXL70" s="119"/>
      <c r="LXM70" s="119"/>
      <c r="LXN70" s="119"/>
      <c r="LXO70" s="119"/>
      <c r="LXP70" s="119"/>
      <c r="LXQ70" s="119"/>
      <c r="LXR70" s="119"/>
      <c r="LXS70" s="119"/>
      <c r="LXT70" s="119"/>
      <c r="LXU70" s="119"/>
      <c r="LXV70" s="119"/>
      <c r="LXW70" s="119"/>
      <c r="LXX70" s="119"/>
      <c r="LXY70" s="119"/>
      <c r="LXZ70" s="119"/>
      <c r="LYA70" s="119"/>
      <c r="LYB70" s="119"/>
      <c r="LYC70" s="119"/>
      <c r="LYD70" s="119"/>
      <c r="LYE70" s="119"/>
      <c r="LYF70" s="119"/>
      <c r="LYG70" s="119"/>
      <c r="LYH70" s="119"/>
      <c r="LYI70" s="119"/>
      <c r="LYJ70" s="119"/>
      <c r="LYK70" s="119"/>
      <c r="LYL70" s="119"/>
      <c r="LYM70" s="119"/>
      <c r="LYN70" s="119"/>
      <c r="LYO70" s="119"/>
      <c r="LYP70" s="119"/>
      <c r="LYQ70" s="119"/>
      <c r="LYR70" s="119"/>
      <c r="LYS70" s="119"/>
      <c r="LYT70" s="119"/>
      <c r="LYU70" s="119"/>
      <c r="LYV70" s="119"/>
      <c r="LYW70" s="119"/>
      <c r="LYX70" s="119"/>
      <c r="LYY70" s="119"/>
      <c r="LYZ70" s="119"/>
      <c r="LZA70" s="119"/>
      <c r="LZB70" s="119"/>
      <c r="LZC70" s="119"/>
      <c r="LZD70" s="119"/>
      <c r="LZE70" s="119"/>
      <c r="LZF70" s="119"/>
      <c r="LZG70" s="119"/>
      <c r="LZH70" s="119"/>
      <c r="LZI70" s="119"/>
      <c r="LZJ70" s="119"/>
      <c r="LZK70" s="119"/>
      <c r="LZL70" s="119"/>
      <c r="LZM70" s="119"/>
      <c r="LZN70" s="119"/>
      <c r="LZO70" s="119"/>
      <c r="LZP70" s="119"/>
      <c r="LZQ70" s="119"/>
      <c r="LZR70" s="119"/>
      <c r="LZS70" s="119"/>
      <c r="LZT70" s="119"/>
      <c r="LZU70" s="119"/>
      <c r="LZV70" s="119"/>
      <c r="LZW70" s="119"/>
      <c r="LZX70" s="119"/>
      <c r="LZY70" s="119"/>
      <c r="LZZ70" s="119"/>
      <c r="MAA70" s="119"/>
      <c r="MAB70" s="119"/>
      <c r="MAC70" s="119"/>
      <c r="MAD70" s="119"/>
      <c r="MAE70" s="119"/>
      <c r="MAF70" s="119"/>
      <c r="MAG70" s="119"/>
      <c r="MAH70" s="119"/>
      <c r="MAI70" s="119"/>
      <c r="MAJ70" s="119"/>
      <c r="MAK70" s="119"/>
      <c r="MAL70" s="119"/>
      <c r="MAM70" s="119"/>
      <c r="MAN70" s="119"/>
      <c r="MAO70" s="119"/>
      <c r="MAP70" s="119"/>
      <c r="MAQ70" s="119"/>
      <c r="MAR70" s="119"/>
      <c r="MAS70" s="119"/>
      <c r="MAT70" s="119"/>
      <c r="MAU70" s="119"/>
      <c r="MAV70" s="119"/>
      <c r="MAW70" s="119"/>
      <c r="MAX70" s="119"/>
      <c r="MAY70" s="119"/>
      <c r="MAZ70" s="119"/>
      <c r="MBA70" s="119"/>
      <c r="MBB70" s="119"/>
      <c r="MBC70" s="119"/>
      <c r="MBD70" s="119"/>
      <c r="MBE70" s="119"/>
      <c r="MBF70" s="119"/>
      <c r="MBG70" s="119"/>
      <c r="MBH70" s="119"/>
      <c r="MBI70" s="119"/>
      <c r="MBJ70" s="119"/>
      <c r="MBK70" s="119"/>
      <c r="MBL70" s="119"/>
      <c r="MBM70" s="119"/>
      <c r="MBN70" s="119"/>
      <c r="MBO70" s="119"/>
      <c r="MBP70" s="119"/>
      <c r="MBQ70" s="119"/>
      <c r="MBR70" s="119"/>
      <c r="MBS70" s="119"/>
      <c r="MBT70" s="119"/>
      <c r="MBU70" s="119"/>
      <c r="MBV70" s="119"/>
      <c r="MBW70" s="119"/>
      <c r="MBX70" s="119"/>
      <c r="MBY70" s="119"/>
      <c r="MBZ70" s="119"/>
      <c r="MCA70" s="119"/>
      <c r="MCB70" s="119"/>
      <c r="MCC70" s="119"/>
      <c r="MCD70" s="119"/>
      <c r="MCE70" s="119"/>
      <c r="MCF70" s="119"/>
      <c r="MCG70" s="119"/>
      <c r="MCH70" s="119"/>
      <c r="MCI70" s="119"/>
      <c r="MCJ70" s="119"/>
      <c r="MCK70" s="119"/>
      <c r="MCL70" s="119"/>
      <c r="MCM70" s="119"/>
      <c r="MCN70" s="119"/>
      <c r="MCO70" s="119"/>
      <c r="MCP70" s="119"/>
      <c r="MCQ70" s="119"/>
      <c r="MCR70" s="119"/>
      <c r="MCS70" s="119"/>
      <c r="MCT70" s="119"/>
      <c r="MCU70" s="119"/>
      <c r="MCV70" s="119"/>
      <c r="MCW70" s="119"/>
      <c r="MCX70" s="119"/>
      <c r="MCY70" s="119"/>
      <c r="MCZ70" s="119"/>
      <c r="MDA70" s="119"/>
      <c r="MDB70" s="119"/>
      <c r="MDC70" s="119"/>
      <c r="MDD70" s="119"/>
      <c r="MDE70" s="119"/>
      <c r="MDF70" s="119"/>
      <c r="MDG70" s="119"/>
      <c r="MDH70" s="119"/>
      <c r="MDI70" s="119"/>
      <c r="MDJ70" s="119"/>
      <c r="MDK70" s="119"/>
      <c r="MDL70" s="119"/>
      <c r="MDM70" s="119"/>
      <c r="MDN70" s="119"/>
      <c r="MDO70" s="119"/>
      <c r="MDP70" s="119"/>
      <c r="MDQ70" s="119"/>
      <c r="MDR70" s="119"/>
      <c r="MDS70" s="119"/>
      <c r="MDT70" s="119"/>
      <c r="MDU70" s="119"/>
      <c r="MDV70" s="119"/>
      <c r="MDW70" s="119"/>
      <c r="MDX70" s="119"/>
      <c r="MDY70" s="119"/>
      <c r="MDZ70" s="119"/>
      <c r="MEA70" s="119"/>
      <c r="MEB70" s="119"/>
      <c r="MEC70" s="119"/>
      <c r="MED70" s="119"/>
      <c r="MEE70" s="119"/>
      <c r="MEF70" s="119"/>
      <c r="MEG70" s="119"/>
      <c r="MEH70" s="119"/>
      <c r="MEI70" s="119"/>
      <c r="MEJ70" s="119"/>
      <c r="MEK70" s="119"/>
      <c r="MEL70" s="119"/>
      <c r="MEM70" s="119"/>
      <c r="MEN70" s="119"/>
      <c r="MEO70" s="119"/>
      <c r="MEP70" s="119"/>
      <c r="MEQ70" s="119"/>
      <c r="MER70" s="119"/>
      <c r="MES70" s="119"/>
      <c r="MET70" s="119"/>
      <c r="MEU70" s="119"/>
      <c r="MEV70" s="119"/>
      <c r="MEW70" s="119"/>
      <c r="MEX70" s="119"/>
      <c r="MEY70" s="119"/>
      <c r="MEZ70" s="119"/>
      <c r="MFA70" s="119"/>
      <c r="MFB70" s="119"/>
      <c r="MFC70" s="119"/>
      <c r="MFD70" s="119"/>
      <c r="MFE70" s="119"/>
      <c r="MFF70" s="119"/>
      <c r="MFG70" s="119"/>
      <c r="MFH70" s="119"/>
      <c r="MFI70" s="119"/>
      <c r="MFJ70" s="119"/>
      <c r="MFK70" s="119"/>
      <c r="MFL70" s="119"/>
      <c r="MFM70" s="119"/>
      <c r="MFN70" s="119"/>
      <c r="MFO70" s="119"/>
      <c r="MFP70" s="119"/>
      <c r="MFQ70" s="119"/>
      <c r="MFR70" s="119"/>
      <c r="MFS70" s="119"/>
      <c r="MFT70" s="119"/>
      <c r="MFU70" s="119"/>
      <c r="MFV70" s="119"/>
      <c r="MFW70" s="119"/>
      <c r="MFX70" s="119"/>
      <c r="MFY70" s="119"/>
      <c r="MFZ70" s="119"/>
      <c r="MGA70" s="119"/>
      <c r="MGB70" s="119"/>
      <c r="MGC70" s="119"/>
      <c r="MGD70" s="119"/>
      <c r="MGE70" s="119"/>
      <c r="MGF70" s="119"/>
      <c r="MGG70" s="119"/>
      <c r="MGH70" s="119"/>
      <c r="MGI70" s="119"/>
      <c r="MGJ70" s="119"/>
      <c r="MGK70" s="119"/>
      <c r="MGL70" s="119"/>
      <c r="MGM70" s="119"/>
      <c r="MGN70" s="119"/>
      <c r="MGO70" s="119"/>
      <c r="MGP70" s="119"/>
      <c r="MGQ70" s="119"/>
      <c r="MGR70" s="119"/>
      <c r="MGS70" s="119"/>
      <c r="MGT70" s="119"/>
      <c r="MGU70" s="119"/>
      <c r="MGV70" s="119"/>
      <c r="MGW70" s="119"/>
      <c r="MGX70" s="119"/>
      <c r="MGY70" s="119"/>
      <c r="MGZ70" s="119"/>
      <c r="MHA70" s="119"/>
      <c r="MHB70" s="119"/>
      <c r="MHC70" s="119"/>
      <c r="MHD70" s="119"/>
      <c r="MHE70" s="119"/>
      <c r="MHF70" s="119"/>
      <c r="MHG70" s="119"/>
      <c r="MHH70" s="119"/>
      <c r="MHI70" s="119"/>
      <c r="MHJ70" s="119"/>
      <c r="MHK70" s="119"/>
      <c r="MHL70" s="119"/>
      <c r="MHM70" s="119"/>
      <c r="MHN70" s="119"/>
      <c r="MHO70" s="119"/>
      <c r="MHP70" s="119"/>
      <c r="MHQ70" s="119"/>
      <c r="MHR70" s="119"/>
      <c r="MHS70" s="119"/>
      <c r="MHT70" s="119"/>
      <c r="MHU70" s="119"/>
      <c r="MHV70" s="119"/>
      <c r="MHW70" s="119"/>
      <c r="MHX70" s="119"/>
      <c r="MHY70" s="119"/>
      <c r="MHZ70" s="119"/>
      <c r="MIA70" s="119"/>
      <c r="MIB70" s="119"/>
      <c r="MIC70" s="119"/>
      <c r="MID70" s="119"/>
      <c r="MIE70" s="119"/>
      <c r="MIF70" s="119"/>
      <c r="MIG70" s="119"/>
      <c r="MIH70" s="119"/>
      <c r="MII70" s="119"/>
      <c r="MIJ70" s="119"/>
      <c r="MIK70" s="119"/>
      <c r="MIL70" s="119"/>
      <c r="MIM70" s="119"/>
      <c r="MIN70" s="119"/>
      <c r="MIO70" s="119"/>
      <c r="MIP70" s="119"/>
      <c r="MIQ70" s="119"/>
      <c r="MIR70" s="119"/>
      <c r="MIS70" s="119"/>
      <c r="MIT70" s="119"/>
      <c r="MIU70" s="119"/>
      <c r="MIV70" s="119"/>
      <c r="MIW70" s="119"/>
      <c r="MIX70" s="119"/>
      <c r="MIY70" s="119"/>
      <c r="MIZ70" s="119"/>
      <c r="MJA70" s="119"/>
      <c r="MJB70" s="119"/>
      <c r="MJC70" s="119"/>
      <c r="MJD70" s="119"/>
      <c r="MJE70" s="119"/>
      <c r="MJF70" s="119"/>
      <c r="MJG70" s="119"/>
      <c r="MJH70" s="119"/>
      <c r="MJI70" s="119"/>
      <c r="MJJ70" s="119"/>
      <c r="MJK70" s="119"/>
      <c r="MJL70" s="119"/>
      <c r="MJM70" s="119"/>
      <c r="MJN70" s="119"/>
      <c r="MJO70" s="119"/>
      <c r="MJP70" s="119"/>
      <c r="MJQ70" s="119"/>
      <c r="MJR70" s="119"/>
      <c r="MJS70" s="119"/>
      <c r="MJT70" s="119"/>
      <c r="MJU70" s="119"/>
      <c r="MJV70" s="119"/>
      <c r="MJW70" s="119"/>
      <c r="MJX70" s="119"/>
      <c r="MJY70" s="119"/>
      <c r="MJZ70" s="119"/>
      <c r="MKA70" s="119"/>
      <c r="MKB70" s="119"/>
      <c r="MKC70" s="119"/>
      <c r="MKD70" s="119"/>
      <c r="MKE70" s="119"/>
      <c r="MKF70" s="119"/>
      <c r="MKG70" s="119"/>
      <c r="MKH70" s="119"/>
      <c r="MKI70" s="119"/>
      <c r="MKJ70" s="119"/>
      <c r="MKK70" s="119"/>
      <c r="MKL70" s="119"/>
      <c r="MKM70" s="119"/>
      <c r="MKN70" s="119"/>
      <c r="MKO70" s="119"/>
      <c r="MKP70" s="119"/>
      <c r="MKQ70" s="119"/>
      <c r="MKR70" s="119"/>
      <c r="MKS70" s="119"/>
      <c r="MKT70" s="119"/>
      <c r="MKU70" s="119"/>
      <c r="MKV70" s="119"/>
      <c r="MKW70" s="119"/>
      <c r="MKX70" s="119"/>
      <c r="MKY70" s="119"/>
      <c r="MKZ70" s="119"/>
      <c r="MLA70" s="119"/>
      <c r="MLB70" s="119"/>
      <c r="MLC70" s="119"/>
      <c r="MLD70" s="119"/>
      <c r="MLE70" s="119"/>
      <c r="MLF70" s="119"/>
      <c r="MLG70" s="119"/>
      <c r="MLH70" s="119"/>
      <c r="MLI70" s="119"/>
      <c r="MLJ70" s="119"/>
      <c r="MLK70" s="119"/>
      <c r="MLL70" s="119"/>
      <c r="MLM70" s="119"/>
      <c r="MLN70" s="119"/>
      <c r="MLO70" s="119"/>
      <c r="MLP70" s="119"/>
      <c r="MLQ70" s="119"/>
      <c r="MLR70" s="119"/>
      <c r="MLS70" s="119"/>
      <c r="MLT70" s="119"/>
      <c r="MLU70" s="119"/>
      <c r="MLV70" s="119"/>
      <c r="MLW70" s="119"/>
      <c r="MLX70" s="119"/>
      <c r="MLY70" s="119"/>
      <c r="MLZ70" s="119"/>
      <c r="MMA70" s="119"/>
      <c r="MMB70" s="119"/>
      <c r="MMC70" s="119"/>
      <c r="MMD70" s="119"/>
      <c r="MME70" s="119"/>
      <c r="MMF70" s="119"/>
      <c r="MMG70" s="119"/>
      <c r="MMH70" s="119"/>
      <c r="MMI70" s="119"/>
      <c r="MMJ70" s="119"/>
      <c r="MMK70" s="119"/>
      <c r="MML70" s="119"/>
      <c r="MMM70" s="119"/>
      <c r="MMN70" s="119"/>
      <c r="MMO70" s="119"/>
      <c r="MMP70" s="119"/>
      <c r="MMQ70" s="119"/>
      <c r="MMR70" s="119"/>
      <c r="MMS70" s="119"/>
      <c r="MMT70" s="119"/>
      <c r="MMU70" s="119"/>
      <c r="MMV70" s="119"/>
      <c r="MMW70" s="119"/>
      <c r="MMX70" s="119"/>
      <c r="MMY70" s="119"/>
      <c r="MMZ70" s="119"/>
      <c r="MNA70" s="119"/>
      <c r="MNB70" s="119"/>
      <c r="MNC70" s="119"/>
      <c r="MND70" s="119"/>
      <c r="MNE70" s="119"/>
      <c r="MNF70" s="119"/>
      <c r="MNG70" s="119"/>
      <c r="MNH70" s="119"/>
      <c r="MNI70" s="119"/>
      <c r="MNJ70" s="119"/>
      <c r="MNK70" s="119"/>
      <c r="MNL70" s="119"/>
      <c r="MNM70" s="119"/>
      <c r="MNN70" s="119"/>
      <c r="MNO70" s="119"/>
      <c r="MNP70" s="119"/>
      <c r="MNQ70" s="119"/>
      <c r="MNR70" s="119"/>
      <c r="MNS70" s="119"/>
      <c r="MNT70" s="119"/>
      <c r="MNU70" s="119"/>
      <c r="MNV70" s="119"/>
      <c r="MNW70" s="119"/>
      <c r="MNX70" s="119"/>
      <c r="MNY70" s="119"/>
      <c r="MNZ70" s="119"/>
      <c r="MOA70" s="119"/>
      <c r="MOB70" s="119"/>
      <c r="MOC70" s="119"/>
      <c r="MOD70" s="119"/>
      <c r="MOE70" s="119"/>
      <c r="MOF70" s="119"/>
      <c r="MOG70" s="119"/>
      <c r="MOH70" s="119"/>
      <c r="MOI70" s="119"/>
      <c r="MOJ70" s="119"/>
      <c r="MOK70" s="119"/>
      <c r="MOL70" s="119"/>
      <c r="MOM70" s="119"/>
      <c r="MON70" s="119"/>
      <c r="MOO70" s="119"/>
      <c r="MOP70" s="119"/>
      <c r="MOQ70" s="119"/>
      <c r="MOR70" s="119"/>
      <c r="MOS70" s="119"/>
      <c r="MOT70" s="119"/>
      <c r="MOU70" s="119"/>
      <c r="MOV70" s="119"/>
      <c r="MOW70" s="119"/>
      <c r="MOX70" s="119"/>
      <c r="MOY70" s="119"/>
      <c r="MOZ70" s="119"/>
      <c r="MPA70" s="119"/>
      <c r="MPB70" s="119"/>
      <c r="MPC70" s="119"/>
      <c r="MPD70" s="119"/>
      <c r="MPE70" s="119"/>
      <c r="MPF70" s="119"/>
      <c r="MPG70" s="119"/>
      <c r="MPH70" s="119"/>
      <c r="MPI70" s="119"/>
      <c r="MPJ70" s="119"/>
      <c r="MPK70" s="119"/>
      <c r="MPL70" s="119"/>
      <c r="MPM70" s="119"/>
      <c r="MPN70" s="119"/>
      <c r="MPO70" s="119"/>
      <c r="MPP70" s="119"/>
      <c r="MPQ70" s="119"/>
      <c r="MPR70" s="119"/>
      <c r="MPS70" s="119"/>
      <c r="MPT70" s="119"/>
      <c r="MPU70" s="119"/>
      <c r="MPV70" s="119"/>
      <c r="MPW70" s="119"/>
      <c r="MPX70" s="119"/>
      <c r="MPY70" s="119"/>
      <c r="MPZ70" s="119"/>
      <c r="MQA70" s="119"/>
      <c r="MQB70" s="119"/>
      <c r="MQC70" s="119"/>
      <c r="MQD70" s="119"/>
      <c r="MQE70" s="119"/>
      <c r="MQF70" s="119"/>
      <c r="MQG70" s="119"/>
      <c r="MQH70" s="119"/>
      <c r="MQI70" s="119"/>
      <c r="MQJ70" s="119"/>
      <c r="MQK70" s="119"/>
      <c r="MQL70" s="119"/>
      <c r="MQM70" s="119"/>
      <c r="MQN70" s="119"/>
      <c r="MQO70" s="119"/>
      <c r="MQP70" s="119"/>
      <c r="MQQ70" s="119"/>
      <c r="MQR70" s="119"/>
      <c r="MQS70" s="119"/>
      <c r="MQT70" s="119"/>
      <c r="MQU70" s="119"/>
      <c r="MQV70" s="119"/>
      <c r="MQW70" s="119"/>
      <c r="MQX70" s="119"/>
      <c r="MQY70" s="119"/>
      <c r="MQZ70" s="119"/>
      <c r="MRA70" s="119"/>
      <c r="MRB70" s="119"/>
      <c r="MRC70" s="119"/>
      <c r="MRD70" s="119"/>
      <c r="MRE70" s="119"/>
      <c r="MRF70" s="119"/>
      <c r="MRG70" s="119"/>
      <c r="MRH70" s="119"/>
      <c r="MRI70" s="119"/>
      <c r="MRJ70" s="119"/>
      <c r="MRK70" s="119"/>
      <c r="MRL70" s="119"/>
      <c r="MRM70" s="119"/>
      <c r="MRN70" s="119"/>
      <c r="MRO70" s="119"/>
      <c r="MRP70" s="119"/>
      <c r="MRQ70" s="119"/>
      <c r="MRR70" s="119"/>
      <c r="MRS70" s="119"/>
      <c r="MRT70" s="119"/>
      <c r="MRU70" s="119"/>
      <c r="MRV70" s="119"/>
      <c r="MRW70" s="119"/>
      <c r="MRX70" s="119"/>
      <c r="MRY70" s="119"/>
      <c r="MRZ70" s="119"/>
      <c r="MSA70" s="119"/>
      <c r="MSB70" s="119"/>
      <c r="MSC70" s="119"/>
      <c r="MSD70" s="119"/>
      <c r="MSE70" s="119"/>
      <c r="MSF70" s="119"/>
      <c r="MSG70" s="119"/>
      <c r="MSH70" s="119"/>
      <c r="MSI70" s="119"/>
      <c r="MSJ70" s="119"/>
      <c r="MSK70" s="119"/>
      <c r="MSL70" s="119"/>
      <c r="MSM70" s="119"/>
      <c r="MSN70" s="119"/>
      <c r="MSO70" s="119"/>
      <c r="MSP70" s="119"/>
      <c r="MSQ70" s="119"/>
      <c r="MSR70" s="119"/>
      <c r="MSS70" s="119"/>
      <c r="MST70" s="119"/>
      <c r="MSU70" s="119"/>
      <c r="MSV70" s="119"/>
      <c r="MSW70" s="119"/>
      <c r="MSX70" s="119"/>
      <c r="MSY70" s="119"/>
      <c r="MSZ70" s="119"/>
      <c r="MTA70" s="119"/>
      <c r="MTB70" s="119"/>
      <c r="MTC70" s="119"/>
      <c r="MTD70" s="119"/>
      <c r="MTE70" s="119"/>
      <c r="MTF70" s="119"/>
      <c r="MTG70" s="119"/>
      <c r="MTH70" s="119"/>
      <c r="MTI70" s="119"/>
      <c r="MTJ70" s="119"/>
      <c r="MTK70" s="119"/>
      <c r="MTL70" s="119"/>
      <c r="MTM70" s="119"/>
      <c r="MTN70" s="119"/>
      <c r="MTO70" s="119"/>
      <c r="MTP70" s="119"/>
      <c r="MTQ70" s="119"/>
      <c r="MTR70" s="119"/>
      <c r="MTS70" s="119"/>
      <c r="MTT70" s="119"/>
      <c r="MTU70" s="119"/>
      <c r="MTV70" s="119"/>
      <c r="MTW70" s="119"/>
      <c r="MTX70" s="119"/>
      <c r="MTY70" s="119"/>
      <c r="MTZ70" s="119"/>
      <c r="MUA70" s="119"/>
      <c r="MUB70" s="119"/>
      <c r="MUC70" s="119"/>
      <c r="MUD70" s="119"/>
      <c r="MUE70" s="119"/>
      <c r="MUF70" s="119"/>
      <c r="MUG70" s="119"/>
      <c r="MUH70" s="119"/>
      <c r="MUI70" s="119"/>
      <c r="MUJ70" s="119"/>
      <c r="MUK70" s="119"/>
      <c r="MUL70" s="119"/>
      <c r="MUM70" s="119"/>
      <c r="MUN70" s="119"/>
      <c r="MUO70" s="119"/>
      <c r="MUP70" s="119"/>
      <c r="MUQ70" s="119"/>
      <c r="MUR70" s="119"/>
      <c r="MUS70" s="119"/>
      <c r="MUT70" s="119"/>
      <c r="MUU70" s="119"/>
      <c r="MUV70" s="119"/>
      <c r="MUW70" s="119"/>
      <c r="MUX70" s="119"/>
      <c r="MUY70" s="119"/>
      <c r="MUZ70" s="119"/>
      <c r="MVA70" s="119"/>
      <c r="MVB70" s="119"/>
      <c r="MVC70" s="119"/>
      <c r="MVD70" s="119"/>
      <c r="MVE70" s="119"/>
      <c r="MVF70" s="119"/>
      <c r="MVG70" s="119"/>
      <c r="MVH70" s="119"/>
      <c r="MVI70" s="119"/>
      <c r="MVJ70" s="119"/>
      <c r="MVK70" s="119"/>
      <c r="MVL70" s="119"/>
      <c r="MVM70" s="119"/>
      <c r="MVN70" s="119"/>
      <c r="MVO70" s="119"/>
      <c r="MVP70" s="119"/>
      <c r="MVQ70" s="119"/>
      <c r="MVR70" s="119"/>
      <c r="MVS70" s="119"/>
      <c r="MVT70" s="119"/>
      <c r="MVU70" s="119"/>
      <c r="MVV70" s="119"/>
      <c r="MVW70" s="119"/>
      <c r="MVX70" s="119"/>
      <c r="MVY70" s="119"/>
      <c r="MVZ70" s="119"/>
      <c r="MWA70" s="119"/>
      <c r="MWB70" s="119"/>
      <c r="MWC70" s="119"/>
      <c r="MWD70" s="119"/>
      <c r="MWE70" s="119"/>
      <c r="MWF70" s="119"/>
      <c r="MWG70" s="119"/>
      <c r="MWH70" s="119"/>
      <c r="MWI70" s="119"/>
      <c r="MWJ70" s="119"/>
      <c r="MWK70" s="119"/>
      <c r="MWL70" s="119"/>
      <c r="MWM70" s="119"/>
      <c r="MWN70" s="119"/>
      <c r="MWO70" s="119"/>
      <c r="MWP70" s="119"/>
      <c r="MWQ70" s="119"/>
      <c r="MWR70" s="119"/>
      <c r="MWS70" s="119"/>
      <c r="MWT70" s="119"/>
      <c r="MWU70" s="119"/>
      <c r="MWV70" s="119"/>
      <c r="MWW70" s="119"/>
      <c r="MWX70" s="119"/>
      <c r="MWY70" s="119"/>
      <c r="MWZ70" s="119"/>
      <c r="MXA70" s="119"/>
      <c r="MXB70" s="119"/>
      <c r="MXC70" s="119"/>
      <c r="MXD70" s="119"/>
      <c r="MXE70" s="119"/>
      <c r="MXF70" s="119"/>
      <c r="MXG70" s="119"/>
      <c r="MXH70" s="119"/>
      <c r="MXI70" s="119"/>
      <c r="MXJ70" s="119"/>
      <c r="MXK70" s="119"/>
      <c r="MXL70" s="119"/>
      <c r="MXM70" s="119"/>
      <c r="MXN70" s="119"/>
      <c r="MXO70" s="119"/>
      <c r="MXP70" s="119"/>
      <c r="MXQ70" s="119"/>
      <c r="MXR70" s="119"/>
      <c r="MXS70" s="119"/>
      <c r="MXT70" s="119"/>
      <c r="MXU70" s="119"/>
      <c r="MXV70" s="119"/>
      <c r="MXW70" s="119"/>
      <c r="MXX70" s="119"/>
      <c r="MXY70" s="119"/>
      <c r="MXZ70" s="119"/>
      <c r="MYA70" s="119"/>
      <c r="MYB70" s="119"/>
      <c r="MYC70" s="119"/>
      <c r="MYD70" s="119"/>
      <c r="MYE70" s="119"/>
      <c r="MYF70" s="119"/>
      <c r="MYG70" s="119"/>
      <c r="MYH70" s="119"/>
      <c r="MYI70" s="119"/>
      <c r="MYJ70" s="119"/>
      <c r="MYK70" s="119"/>
      <c r="MYL70" s="119"/>
      <c r="MYM70" s="119"/>
      <c r="MYN70" s="119"/>
      <c r="MYO70" s="119"/>
      <c r="MYP70" s="119"/>
      <c r="MYQ70" s="119"/>
      <c r="MYR70" s="119"/>
      <c r="MYS70" s="119"/>
      <c r="MYT70" s="119"/>
      <c r="MYU70" s="119"/>
      <c r="MYV70" s="119"/>
      <c r="MYW70" s="119"/>
      <c r="MYX70" s="119"/>
      <c r="MYY70" s="119"/>
      <c r="MYZ70" s="119"/>
      <c r="MZA70" s="119"/>
      <c r="MZB70" s="119"/>
      <c r="MZC70" s="119"/>
      <c r="MZD70" s="119"/>
      <c r="MZE70" s="119"/>
      <c r="MZF70" s="119"/>
      <c r="MZG70" s="119"/>
      <c r="MZH70" s="119"/>
      <c r="MZI70" s="119"/>
      <c r="MZJ70" s="119"/>
      <c r="MZK70" s="119"/>
      <c r="MZL70" s="119"/>
      <c r="MZM70" s="119"/>
      <c r="MZN70" s="119"/>
      <c r="MZO70" s="119"/>
      <c r="MZP70" s="119"/>
      <c r="MZQ70" s="119"/>
      <c r="MZR70" s="119"/>
      <c r="MZS70" s="119"/>
      <c r="MZT70" s="119"/>
      <c r="MZU70" s="119"/>
      <c r="MZV70" s="119"/>
      <c r="MZW70" s="119"/>
      <c r="MZX70" s="119"/>
      <c r="MZY70" s="119"/>
      <c r="MZZ70" s="119"/>
      <c r="NAA70" s="119"/>
      <c r="NAB70" s="119"/>
      <c r="NAC70" s="119"/>
      <c r="NAD70" s="119"/>
      <c r="NAE70" s="119"/>
      <c r="NAF70" s="119"/>
      <c r="NAG70" s="119"/>
      <c r="NAH70" s="119"/>
      <c r="NAI70" s="119"/>
      <c r="NAJ70" s="119"/>
      <c r="NAK70" s="119"/>
      <c r="NAL70" s="119"/>
      <c r="NAM70" s="119"/>
      <c r="NAN70" s="119"/>
      <c r="NAO70" s="119"/>
      <c r="NAP70" s="119"/>
      <c r="NAQ70" s="119"/>
      <c r="NAR70" s="119"/>
      <c r="NAS70" s="119"/>
      <c r="NAT70" s="119"/>
      <c r="NAU70" s="119"/>
      <c r="NAV70" s="119"/>
      <c r="NAW70" s="119"/>
      <c r="NAX70" s="119"/>
      <c r="NAY70" s="119"/>
      <c r="NAZ70" s="119"/>
      <c r="NBA70" s="119"/>
      <c r="NBB70" s="119"/>
      <c r="NBC70" s="119"/>
      <c r="NBD70" s="119"/>
      <c r="NBE70" s="119"/>
      <c r="NBF70" s="119"/>
      <c r="NBG70" s="119"/>
      <c r="NBH70" s="119"/>
      <c r="NBI70" s="119"/>
      <c r="NBJ70" s="119"/>
      <c r="NBK70" s="119"/>
      <c r="NBL70" s="119"/>
      <c r="NBM70" s="119"/>
      <c r="NBN70" s="119"/>
      <c r="NBO70" s="119"/>
      <c r="NBP70" s="119"/>
      <c r="NBQ70" s="119"/>
      <c r="NBR70" s="119"/>
      <c r="NBS70" s="119"/>
      <c r="NBT70" s="119"/>
      <c r="NBU70" s="119"/>
      <c r="NBV70" s="119"/>
      <c r="NBW70" s="119"/>
      <c r="NBX70" s="119"/>
      <c r="NBY70" s="119"/>
      <c r="NBZ70" s="119"/>
      <c r="NCA70" s="119"/>
      <c r="NCB70" s="119"/>
      <c r="NCC70" s="119"/>
      <c r="NCD70" s="119"/>
      <c r="NCE70" s="119"/>
      <c r="NCF70" s="119"/>
      <c r="NCG70" s="119"/>
      <c r="NCH70" s="119"/>
      <c r="NCI70" s="119"/>
      <c r="NCJ70" s="119"/>
      <c r="NCK70" s="119"/>
      <c r="NCL70" s="119"/>
      <c r="NCM70" s="119"/>
      <c r="NCN70" s="119"/>
      <c r="NCO70" s="119"/>
      <c r="NCP70" s="119"/>
      <c r="NCQ70" s="119"/>
      <c r="NCR70" s="119"/>
      <c r="NCS70" s="119"/>
      <c r="NCT70" s="119"/>
      <c r="NCU70" s="119"/>
      <c r="NCV70" s="119"/>
      <c r="NCW70" s="119"/>
      <c r="NCX70" s="119"/>
      <c r="NCY70" s="119"/>
      <c r="NCZ70" s="119"/>
      <c r="NDA70" s="119"/>
      <c r="NDB70" s="119"/>
      <c r="NDC70" s="119"/>
      <c r="NDD70" s="119"/>
      <c r="NDE70" s="119"/>
      <c r="NDF70" s="119"/>
      <c r="NDG70" s="119"/>
      <c r="NDH70" s="119"/>
      <c r="NDI70" s="119"/>
      <c r="NDJ70" s="119"/>
      <c r="NDK70" s="119"/>
      <c r="NDL70" s="119"/>
      <c r="NDM70" s="119"/>
      <c r="NDN70" s="119"/>
      <c r="NDO70" s="119"/>
      <c r="NDP70" s="119"/>
      <c r="NDQ70" s="119"/>
      <c r="NDR70" s="119"/>
      <c r="NDS70" s="119"/>
      <c r="NDT70" s="119"/>
      <c r="NDU70" s="119"/>
      <c r="NDV70" s="119"/>
      <c r="NDW70" s="119"/>
      <c r="NDX70" s="119"/>
      <c r="NDY70" s="119"/>
      <c r="NDZ70" s="119"/>
      <c r="NEA70" s="119"/>
      <c r="NEB70" s="119"/>
      <c r="NEC70" s="119"/>
      <c r="NED70" s="119"/>
      <c r="NEE70" s="119"/>
      <c r="NEF70" s="119"/>
      <c r="NEG70" s="119"/>
      <c r="NEH70" s="119"/>
      <c r="NEI70" s="119"/>
      <c r="NEJ70" s="119"/>
      <c r="NEK70" s="119"/>
      <c r="NEL70" s="119"/>
      <c r="NEM70" s="119"/>
      <c r="NEN70" s="119"/>
      <c r="NEO70" s="119"/>
      <c r="NEP70" s="119"/>
      <c r="NEQ70" s="119"/>
      <c r="NER70" s="119"/>
      <c r="NES70" s="119"/>
      <c r="NET70" s="119"/>
      <c r="NEU70" s="119"/>
      <c r="NEV70" s="119"/>
      <c r="NEW70" s="119"/>
      <c r="NEX70" s="119"/>
      <c r="NEY70" s="119"/>
      <c r="NEZ70" s="119"/>
      <c r="NFA70" s="119"/>
      <c r="NFB70" s="119"/>
      <c r="NFC70" s="119"/>
      <c r="NFD70" s="119"/>
      <c r="NFE70" s="119"/>
      <c r="NFF70" s="119"/>
      <c r="NFG70" s="119"/>
      <c r="NFH70" s="119"/>
      <c r="NFI70" s="119"/>
      <c r="NFJ70" s="119"/>
      <c r="NFK70" s="119"/>
      <c r="NFL70" s="119"/>
      <c r="NFM70" s="119"/>
      <c r="NFN70" s="119"/>
      <c r="NFO70" s="119"/>
      <c r="NFP70" s="119"/>
      <c r="NFQ70" s="119"/>
      <c r="NFR70" s="119"/>
      <c r="NFS70" s="119"/>
      <c r="NFT70" s="119"/>
      <c r="NFU70" s="119"/>
      <c r="NFV70" s="119"/>
      <c r="NFW70" s="119"/>
      <c r="NFX70" s="119"/>
      <c r="NFY70" s="119"/>
      <c r="NFZ70" s="119"/>
      <c r="NGA70" s="119"/>
      <c r="NGB70" s="119"/>
      <c r="NGC70" s="119"/>
      <c r="NGD70" s="119"/>
      <c r="NGE70" s="119"/>
      <c r="NGF70" s="119"/>
      <c r="NGG70" s="119"/>
      <c r="NGH70" s="119"/>
      <c r="NGI70" s="119"/>
      <c r="NGJ70" s="119"/>
      <c r="NGK70" s="119"/>
      <c r="NGL70" s="119"/>
      <c r="NGM70" s="119"/>
      <c r="NGN70" s="119"/>
      <c r="NGO70" s="119"/>
      <c r="NGP70" s="119"/>
      <c r="NGQ70" s="119"/>
      <c r="NGR70" s="119"/>
      <c r="NGS70" s="119"/>
      <c r="NGT70" s="119"/>
      <c r="NGU70" s="119"/>
      <c r="NGV70" s="119"/>
      <c r="NGW70" s="119"/>
      <c r="NGX70" s="119"/>
      <c r="NGY70" s="119"/>
      <c r="NGZ70" s="119"/>
      <c r="NHA70" s="119"/>
      <c r="NHB70" s="119"/>
      <c r="NHC70" s="119"/>
      <c r="NHD70" s="119"/>
      <c r="NHE70" s="119"/>
      <c r="NHF70" s="119"/>
      <c r="NHG70" s="119"/>
      <c r="NHH70" s="119"/>
      <c r="NHI70" s="119"/>
      <c r="NHJ70" s="119"/>
      <c r="NHK70" s="119"/>
      <c r="NHL70" s="119"/>
      <c r="NHM70" s="119"/>
      <c r="NHN70" s="119"/>
      <c r="NHO70" s="119"/>
      <c r="NHP70" s="119"/>
      <c r="NHQ70" s="119"/>
      <c r="NHR70" s="119"/>
      <c r="NHS70" s="119"/>
      <c r="NHT70" s="119"/>
      <c r="NHU70" s="119"/>
      <c r="NHV70" s="119"/>
      <c r="NHW70" s="119"/>
      <c r="NHX70" s="119"/>
      <c r="NHY70" s="119"/>
      <c r="NHZ70" s="119"/>
      <c r="NIA70" s="119"/>
      <c r="NIB70" s="119"/>
      <c r="NIC70" s="119"/>
      <c r="NID70" s="119"/>
      <c r="NIE70" s="119"/>
      <c r="NIF70" s="119"/>
      <c r="NIG70" s="119"/>
      <c r="NIH70" s="119"/>
      <c r="NII70" s="119"/>
      <c r="NIJ70" s="119"/>
      <c r="NIK70" s="119"/>
      <c r="NIL70" s="119"/>
      <c r="NIM70" s="119"/>
      <c r="NIN70" s="119"/>
      <c r="NIO70" s="119"/>
      <c r="NIP70" s="119"/>
      <c r="NIQ70" s="119"/>
      <c r="NIR70" s="119"/>
      <c r="NIS70" s="119"/>
      <c r="NIT70" s="119"/>
      <c r="NIU70" s="119"/>
      <c r="NIV70" s="119"/>
      <c r="NIW70" s="119"/>
      <c r="NIX70" s="119"/>
      <c r="NIY70" s="119"/>
      <c r="NIZ70" s="119"/>
      <c r="NJA70" s="119"/>
      <c r="NJB70" s="119"/>
      <c r="NJC70" s="119"/>
      <c r="NJD70" s="119"/>
      <c r="NJE70" s="119"/>
      <c r="NJF70" s="119"/>
      <c r="NJG70" s="119"/>
      <c r="NJH70" s="119"/>
      <c r="NJI70" s="119"/>
      <c r="NJJ70" s="119"/>
      <c r="NJK70" s="119"/>
      <c r="NJL70" s="119"/>
      <c r="NJM70" s="119"/>
      <c r="NJN70" s="119"/>
      <c r="NJO70" s="119"/>
      <c r="NJP70" s="119"/>
      <c r="NJQ70" s="119"/>
      <c r="NJR70" s="119"/>
      <c r="NJS70" s="119"/>
      <c r="NJT70" s="119"/>
      <c r="NJU70" s="119"/>
      <c r="NJV70" s="119"/>
      <c r="NJW70" s="119"/>
      <c r="NJX70" s="119"/>
      <c r="NJY70" s="119"/>
      <c r="NJZ70" s="119"/>
      <c r="NKA70" s="119"/>
      <c r="NKB70" s="119"/>
      <c r="NKC70" s="119"/>
      <c r="NKD70" s="119"/>
      <c r="NKE70" s="119"/>
      <c r="NKF70" s="119"/>
      <c r="NKG70" s="119"/>
      <c r="NKH70" s="119"/>
      <c r="NKI70" s="119"/>
      <c r="NKJ70" s="119"/>
      <c r="NKK70" s="119"/>
      <c r="NKL70" s="119"/>
      <c r="NKM70" s="119"/>
      <c r="NKN70" s="119"/>
      <c r="NKO70" s="119"/>
      <c r="NKP70" s="119"/>
      <c r="NKQ70" s="119"/>
      <c r="NKR70" s="119"/>
      <c r="NKS70" s="119"/>
      <c r="NKT70" s="119"/>
      <c r="NKU70" s="119"/>
      <c r="NKV70" s="119"/>
      <c r="NKW70" s="119"/>
      <c r="NKX70" s="119"/>
      <c r="NKY70" s="119"/>
      <c r="NKZ70" s="119"/>
      <c r="NLA70" s="119"/>
      <c r="NLB70" s="119"/>
      <c r="NLC70" s="119"/>
      <c r="NLD70" s="119"/>
      <c r="NLE70" s="119"/>
      <c r="NLF70" s="119"/>
      <c r="NLG70" s="119"/>
      <c r="NLH70" s="119"/>
      <c r="NLI70" s="119"/>
      <c r="NLJ70" s="119"/>
      <c r="NLK70" s="119"/>
      <c r="NLL70" s="119"/>
      <c r="NLM70" s="119"/>
      <c r="NLN70" s="119"/>
      <c r="NLO70" s="119"/>
      <c r="NLP70" s="119"/>
      <c r="NLQ70" s="119"/>
      <c r="NLR70" s="119"/>
      <c r="NLS70" s="119"/>
      <c r="NLT70" s="119"/>
      <c r="NLU70" s="119"/>
      <c r="NLV70" s="119"/>
      <c r="NLW70" s="119"/>
      <c r="NLX70" s="119"/>
      <c r="NLY70" s="119"/>
      <c r="NLZ70" s="119"/>
      <c r="NMA70" s="119"/>
      <c r="NMB70" s="119"/>
      <c r="NMC70" s="119"/>
      <c r="NMD70" s="119"/>
      <c r="NME70" s="119"/>
      <c r="NMF70" s="119"/>
      <c r="NMG70" s="119"/>
      <c r="NMH70" s="119"/>
      <c r="NMI70" s="119"/>
      <c r="NMJ70" s="119"/>
      <c r="NMK70" s="119"/>
      <c r="NML70" s="119"/>
      <c r="NMM70" s="119"/>
      <c r="NMN70" s="119"/>
      <c r="NMO70" s="119"/>
      <c r="NMP70" s="119"/>
      <c r="NMQ70" s="119"/>
      <c r="NMR70" s="119"/>
      <c r="NMS70" s="119"/>
      <c r="NMT70" s="119"/>
      <c r="NMU70" s="119"/>
      <c r="NMV70" s="119"/>
      <c r="NMW70" s="119"/>
      <c r="NMX70" s="119"/>
      <c r="NMY70" s="119"/>
      <c r="NMZ70" s="119"/>
      <c r="NNA70" s="119"/>
      <c r="NNB70" s="119"/>
      <c r="NNC70" s="119"/>
      <c r="NND70" s="119"/>
      <c r="NNE70" s="119"/>
      <c r="NNF70" s="119"/>
      <c r="NNG70" s="119"/>
      <c r="NNH70" s="119"/>
      <c r="NNI70" s="119"/>
      <c r="NNJ70" s="119"/>
      <c r="NNK70" s="119"/>
      <c r="NNL70" s="119"/>
      <c r="NNM70" s="119"/>
      <c r="NNN70" s="119"/>
      <c r="NNO70" s="119"/>
      <c r="NNP70" s="119"/>
      <c r="NNQ70" s="119"/>
      <c r="NNR70" s="119"/>
      <c r="NNS70" s="119"/>
      <c r="NNT70" s="119"/>
      <c r="NNU70" s="119"/>
      <c r="NNV70" s="119"/>
      <c r="NNW70" s="119"/>
      <c r="NNX70" s="119"/>
      <c r="NNY70" s="119"/>
      <c r="NNZ70" s="119"/>
      <c r="NOA70" s="119"/>
      <c r="NOB70" s="119"/>
      <c r="NOC70" s="119"/>
      <c r="NOD70" s="119"/>
      <c r="NOE70" s="119"/>
      <c r="NOF70" s="119"/>
      <c r="NOG70" s="119"/>
      <c r="NOH70" s="119"/>
      <c r="NOI70" s="119"/>
      <c r="NOJ70" s="119"/>
      <c r="NOK70" s="119"/>
      <c r="NOL70" s="119"/>
      <c r="NOM70" s="119"/>
      <c r="NON70" s="119"/>
      <c r="NOO70" s="119"/>
      <c r="NOP70" s="119"/>
      <c r="NOQ70" s="119"/>
      <c r="NOR70" s="119"/>
      <c r="NOS70" s="119"/>
      <c r="NOT70" s="119"/>
      <c r="NOU70" s="119"/>
      <c r="NOV70" s="119"/>
      <c r="NOW70" s="119"/>
      <c r="NOX70" s="119"/>
      <c r="NOY70" s="119"/>
      <c r="NOZ70" s="119"/>
      <c r="NPA70" s="119"/>
      <c r="NPB70" s="119"/>
      <c r="NPC70" s="119"/>
      <c r="NPD70" s="119"/>
      <c r="NPE70" s="119"/>
      <c r="NPF70" s="119"/>
      <c r="NPG70" s="119"/>
      <c r="NPH70" s="119"/>
      <c r="NPI70" s="119"/>
      <c r="NPJ70" s="119"/>
      <c r="NPK70" s="119"/>
      <c r="NPL70" s="119"/>
      <c r="NPM70" s="119"/>
      <c r="NPN70" s="119"/>
      <c r="NPO70" s="119"/>
      <c r="NPP70" s="119"/>
      <c r="NPQ70" s="119"/>
      <c r="NPR70" s="119"/>
      <c r="NPS70" s="119"/>
      <c r="NPT70" s="119"/>
      <c r="NPU70" s="119"/>
      <c r="NPV70" s="119"/>
      <c r="NPW70" s="119"/>
      <c r="NPX70" s="119"/>
      <c r="NPY70" s="119"/>
      <c r="NPZ70" s="119"/>
      <c r="NQA70" s="119"/>
      <c r="NQB70" s="119"/>
      <c r="NQC70" s="119"/>
      <c r="NQD70" s="119"/>
      <c r="NQE70" s="119"/>
      <c r="NQF70" s="119"/>
      <c r="NQG70" s="119"/>
      <c r="NQH70" s="119"/>
      <c r="NQI70" s="119"/>
      <c r="NQJ70" s="119"/>
      <c r="NQK70" s="119"/>
      <c r="NQL70" s="119"/>
      <c r="NQM70" s="119"/>
      <c r="NQN70" s="119"/>
      <c r="NQO70" s="119"/>
      <c r="NQP70" s="119"/>
      <c r="NQQ70" s="119"/>
      <c r="NQR70" s="119"/>
      <c r="NQS70" s="119"/>
      <c r="NQT70" s="119"/>
      <c r="NQU70" s="119"/>
      <c r="NQV70" s="119"/>
      <c r="NQW70" s="119"/>
      <c r="NQX70" s="119"/>
      <c r="NQY70" s="119"/>
      <c r="NQZ70" s="119"/>
      <c r="NRA70" s="119"/>
      <c r="NRB70" s="119"/>
      <c r="NRC70" s="119"/>
      <c r="NRD70" s="119"/>
      <c r="NRE70" s="119"/>
      <c r="NRF70" s="119"/>
      <c r="NRG70" s="119"/>
      <c r="NRH70" s="119"/>
      <c r="NRI70" s="119"/>
      <c r="NRJ70" s="119"/>
      <c r="NRK70" s="119"/>
      <c r="NRL70" s="119"/>
      <c r="NRM70" s="119"/>
      <c r="NRN70" s="119"/>
      <c r="NRO70" s="119"/>
      <c r="NRP70" s="119"/>
      <c r="NRQ70" s="119"/>
      <c r="NRR70" s="119"/>
      <c r="NRS70" s="119"/>
      <c r="NRT70" s="119"/>
      <c r="NRU70" s="119"/>
      <c r="NRV70" s="119"/>
      <c r="NRW70" s="119"/>
      <c r="NRX70" s="119"/>
      <c r="NRY70" s="119"/>
      <c r="NRZ70" s="119"/>
      <c r="NSA70" s="119"/>
      <c r="NSB70" s="119"/>
      <c r="NSC70" s="119"/>
      <c r="NSD70" s="119"/>
      <c r="NSE70" s="119"/>
      <c r="NSF70" s="119"/>
      <c r="NSG70" s="119"/>
      <c r="NSH70" s="119"/>
      <c r="NSI70" s="119"/>
      <c r="NSJ70" s="119"/>
      <c r="NSK70" s="119"/>
      <c r="NSL70" s="119"/>
      <c r="NSM70" s="119"/>
      <c r="NSN70" s="119"/>
      <c r="NSO70" s="119"/>
      <c r="NSP70" s="119"/>
      <c r="NSQ70" s="119"/>
      <c r="NSR70" s="119"/>
      <c r="NSS70" s="119"/>
      <c r="NST70" s="119"/>
      <c r="NSU70" s="119"/>
      <c r="NSV70" s="119"/>
      <c r="NSW70" s="119"/>
      <c r="NSX70" s="119"/>
      <c r="NSY70" s="119"/>
      <c r="NSZ70" s="119"/>
      <c r="NTA70" s="119"/>
      <c r="NTB70" s="119"/>
      <c r="NTC70" s="119"/>
      <c r="NTD70" s="119"/>
      <c r="NTE70" s="119"/>
      <c r="NTF70" s="119"/>
      <c r="NTG70" s="119"/>
      <c r="NTH70" s="119"/>
      <c r="NTI70" s="119"/>
      <c r="NTJ70" s="119"/>
      <c r="NTK70" s="119"/>
      <c r="NTL70" s="119"/>
      <c r="NTM70" s="119"/>
      <c r="NTN70" s="119"/>
      <c r="NTO70" s="119"/>
      <c r="NTP70" s="119"/>
      <c r="NTQ70" s="119"/>
      <c r="NTR70" s="119"/>
      <c r="NTS70" s="119"/>
      <c r="NTT70" s="119"/>
      <c r="NTU70" s="119"/>
      <c r="NTV70" s="119"/>
      <c r="NTW70" s="119"/>
      <c r="NTX70" s="119"/>
      <c r="NTY70" s="119"/>
      <c r="NTZ70" s="119"/>
      <c r="NUA70" s="119"/>
      <c r="NUB70" s="119"/>
      <c r="NUC70" s="119"/>
      <c r="NUD70" s="119"/>
      <c r="NUE70" s="119"/>
      <c r="NUF70" s="119"/>
      <c r="NUG70" s="119"/>
      <c r="NUH70" s="119"/>
      <c r="NUI70" s="119"/>
      <c r="NUJ70" s="119"/>
      <c r="NUK70" s="119"/>
      <c r="NUL70" s="119"/>
      <c r="NUM70" s="119"/>
      <c r="NUN70" s="119"/>
      <c r="NUO70" s="119"/>
      <c r="NUP70" s="119"/>
      <c r="NUQ70" s="119"/>
      <c r="NUR70" s="119"/>
      <c r="NUS70" s="119"/>
      <c r="NUT70" s="119"/>
      <c r="NUU70" s="119"/>
      <c r="NUV70" s="119"/>
      <c r="NUW70" s="119"/>
      <c r="NUX70" s="119"/>
      <c r="NUY70" s="119"/>
      <c r="NUZ70" s="119"/>
      <c r="NVA70" s="119"/>
      <c r="NVB70" s="119"/>
      <c r="NVC70" s="119"/>
      <c r="NVD70" s="119"/>
      <c r="NVE70" s="119"/>
      <c r="NVF70" s="119"/>
      <c r="NVG70" s="119"/>
      <c r="NVH70" s="119"/>
      <c r="NVI70" s="119"/>
      <c r="NVJ70" s="119"/>
      <c r="NVK70" s="119"/>
      <c r="NVL70" s="119"/>
      <c r="NVM70" s="119"/>
      <c r="NVN70" s="119"/>
      <c r="NVO70" s="119"/>
      <c r="NVP70" s="119"/>
      <c r="NVQ70" s="119"/>
      <c r="NVR70" s="119"/>
      <c r="NVS70" s="119"/>
      <c r="NVT70" s="119"/>
      <c r="NVU70" s="119"/>
      <c r="NVV70" s="119"/>
      <c r="NVW70" s="119"/>
      <c r="NVX70" s="119"/>
      <c r="NVY70" s="119"/>
      <c r="NVZ70" s="119"/>
      <c r="NWA70" s="119"/>
      <c r="NWB70" s="119"/>
      <c r="NWC70" s="119"/>
      <c r="NWD70" s="119"/>
      <c r="NWE70" s="119"/>
      <c r="NWF70" s="119"/>
      <c r="NWG70" s="119"/>
      <c r="NWH70" s="119"/>
      <c r="NWI70" s="119"/>
      <c r="NWJ70" s="119"/>
      <c r="NWK70" s="119"/>
      <c r="NWL70" s="119"/>
      <c r="NWM70" s="119"/>
      <c r="NWN70" s="119"/>
      <c r="NWO70" s="119"/>
      <c r="NWP70" s="119"/>
      <c r="NWQ70" s="119"/>
      <c r="NWR70" s="119"/>
      <c r="NWS70" s="119"/>
      <c r="NWT70" s="119"/>
      <c r="NWU70" s="119"/>
      <c r="NWV70" s="119"/>
      <c r="NWW70" s="119"/>
      <c r="NWX70" s="119"/>
      <c r="NWY70" s="119"/>
      <c r="NWZ70" s="119"/>
      <c r="NXA70" s="119"/>
      <c r="NXB70" s="119"/>
      <c r="NXC70" s="119"/>
      <c r="NXD70" s="119"/>
      <c r="NXE70" s="119"/>
      <c r="NXF70" s="119"/>
      <c r="NXG70" s="119"/>
      <c r="NXH70" s="119"/>
      <c r="NXI70" s="119"/>
      <c r="NXJ70" s="119"/>
      <c r="NXK70" s="119"/>
      <c r="NXL70" s="119"/>
      <c r="NXM70" s="119"/>
      <c r="NXN70" s="119"/>
      <c r="NXO70" s="119"/>
      <c r="NXP70" s="119"/>
      <c r="NXQ70" s="119"/>
      <c r="NXR70" s="119"/>
      <c r="NXS70" s="119"/>
      <c r="NXT70" s="119"/>
      <c r="NXU70" s="119"/>
      <c r="NXV70" s="119"/>
      <c r="NXW70" s="119"/>
      <c r="NXX70" s="119"/>
      <c r="NXY70" s="119"/>
      <c r="NXZ70" s="119"/>
      <c r="NYA70" s="119"/>
      <c r="NYB70" s="119"/>
      <c r="NYC70" s="119"/>
      <c r="NYD70" s="119"/>
      <c r="NYE70" s="119"/>
      <c r="NYF70" s="119"/>
      <c r="NYG70" s="119"/>
      <c r="NYH70" s="119"/>
      <c r="NYI70" s="119"/>
      <c r="NYJ70" s="119"/>
      <c r="NYK70" s="119"/>
      <c r="NYL70" s="119"/>
      <c r="NYM70" s="119"/>
      <c r="NYN70" s="119"/>
      <c r="NYO70" s="119"/>
      <c r="NYP70" s="119"/>
      <c r="NYQ70" s="119"/>
      <c r="NYR70" s="119"/>
      <c r="NYS70" s="119"/>
      <c r="NYT70" s="119"/>
      <c r="NYU70" s="119"/>
      <c r="NYV70" s="119"/>
      <c r="NYW70" s="119"/>
      <c r="NYX70" s="119"/>
      <c r="NYY70" s="119"/>
      <c r="NYZ70" s="119"/>
      <c r="NZA70" s="119"/>
      <c r="NZB70" s="119"/>
      <c r="NZC70" s="119"/>
      <c r="NZD70" s="119"/>
      <c r="NZE70" s="119"/>
      <c r="NZF70" s="119"/>
      <c r="NZG70" s="119"/>
      <c r="NZH70" s="119"/>
      <c r="NZI70" s="119"/>
      <c r="NZJ70" s="119"/>
      <c r="NZK70" s="119"/>
      <c r="NZL70" s="119"/>
      <c r="NZM70" s="119"/>
      <c r="NZN70" s="119"/>
      <c r="NZO70" s="119"/>
      <c r="NZP70" s="119"/>
      <c r="NZQ70" s="119"/>
      <c r="NZR70" s="119"/>
      <c r="NZS70" s="119"/>
      <c r="NZT70" s="119"/>
      <c r="NZU70" s="119"/>
      <c r="NZV70" s="119"/>
      <c r="NZW70" s="119"/>
      <c r="NZX70" s="119"/>
      <c r="NZY70" s="119"/>
      <c r="NZZ70" s="119"/>
      <c r="OAA70" s="119"/>
      <c r="OAB70" s="119"/>
      <c r="OAC70" s="119"/>
      <c r="OAD70" s="119"/>
      <c r="OAE70" s="119"/>
      <c r="OAF70" s="119"/>
      <c r="OAG70" s="119"/>
      <c r="OAH70" s="119"/>
      <c r="OAI70" s="119"/>
      <c r="OAJ70" s="119"/>
      <c r="OAK70" s="119"/>
      <c r="OAL70" s="119"/>
      <c r="OAM70" s="119"/>
      <c r="OAN70" s="119"/>
      <c r="OAO70" s="119"/>
      <c r="OAP70" s="119"/>
      <c r="OAQ70" s="119"/>
      <c r="OAR70" s="119"/>
      <c r="OAS70" s="119"/>
      <c r="OAT70" s="119"/>
      <c r="OAU70" s="119"/>
      <c r="OAV70" s="119"/>
      <c r="OAW70" s="119"/>
      <c r="OAX70" s="119"/>
      <c r="OAY70" s="119"/>
      <c r="OAZ70" s="119"/>
      <c r="OBA70" s="119"/>
      <c r="OBB70" s="119"/>
      <c r="OBC70" s="119"/>
      <c r="OBD70" s="119"/>
      <c r="OBE70" s="119"/>
      <c r="OBF70" s="119"/>
      <c r="OBG70" s="119"/>
      <c r="OBH70" s="119"/>
      <c r="OBI70" s="119"/>
      <c r="OBJ70" s="119"/>
      <c r="OBK70" s="119"/>
      <c r="OBL70" s="119"/>
      <c r="OBM70" s="119"/>
      <c r="OBN70" s="119"/>
      <c r="OBO70" s="119"/>
      <c r="OBP70" s="119"/>
      <c r="OBQ70" s="119"/>
      <c r="OBR70" s="119"/>
      <c r="OBS70" s="119"/>
      <c r="OBT70" s="119"/>
      <c r="OBU70" s="119"/>
      <c r="OBV70" s="119"/>
      <c r="OBW70" s="119"/>
      <c r="OBX70" s="119"/>
      <c r="OBY70" s="119"/>
      <c r="OBZ70" s="119"/>
      <c r="OCA70" s="119"/>
      <c r="OCB70" s="119"/>
      <c r="OCC70" s="119"/>
      <c r="OCD70" s="119"/>
      <c r="OCE70" s="119"/>
      <c r="OCF70" s="119"/>
      <c r="OCG70" s="119"/>
      <c r="OCH70" s="119"/>
      <c r="OCI70" s="119"/>
      <c r="OCJ70" s="119"/>
      <c r="OCK70" s="119"/>
      <c r="OCL70" s="119"/>
      <c r="OCM70" s="119"/>
      <c r="OCN70" s="119"/>
      <c r="OCO70" s="119"/>
      <c r="OCP70" s="119"/>
      <c r="OCQ70" s="119"/>
      <c r="OCR70" s="119"/>
      <c r="OCS70" s="119"/>
      <c r="OCT70" s="119"/>
      <c r="OCU70" s="119"/>
      <c r="OCV70" s="119"/>
      <c r="OCW70" s="119"/>
      <c r="OCX70" s="119"/>
      <c r="OCY70" s="119"/>
      <c r="OCZ70" s="119"/>
      <c r="ODA70" s="119"/>
      <c r="ODB70" s="119"/>
      <c r="ODC70" s="119"/>
      <c r="ODD70" s="119"/>
      <c r="ODE70" s="119"/>
      <c r="ODF70" s="119"/>
      <c r="ODG70" s="119"/>
      <c r="ODH70" s="119"/>
      <c r="ODI70" s="119"/>
      <c r="ODJ70" s="119"/>
      <c r="ODK70" s="119"/>
      <c r="ODL70" s="119"/>
      <c r="ODM70" s="119"/>
      <c r="ODN70" s="119"/>
      <c r="ODO70" s="119"/>
      <c r="ODP70" s="119"/>
      <c r="ODQ70" s="119"/>
      <c r="ODR70" s="119"/>
      <c r="ODS70" s="119"/>
      <c r="ODT70" s="119"/>
      <c r="ODU70" s="119"/>
      <c r="ODV70" s="119"/>
      <c r="ODW70" s="119"/>
      <c r="ODX70" s="119"/>
      <c r="ODY70" s="119"/>
      <c r="ODZ70" s="119"/>
      <c r="OEA70" s="119"/>
      <c r="OEB70" s="119"/>
      <c r="OEC70" s="119"/>
      <c r="OED70" s="119"/>
      <c r="OEE70" s="119"/>
      <c r="OEF70" s="119"/>
      <c r="OEG70" s="119"/>
      <c r="OEH70" s="119"/>
      <c r="OEI70" s="119"/>
      <c r="OEJ70" s="119"/>
      <c r="OEK70" s="119"/>
      <c r="OEL70" s="119"/>
      <c r="OEM70" s="119"/>
      <c r="OEN70" s="119"/>
      <c r="OEO70" s="119"/>
      <c r="OEP70" s="119"/>
      <c r="OEQ70" s="119"/>
      <c r="OER70" s="119"/>
      <c r="OES70" s="119"/>
      <c r="OET70" s="119"/>
      <c r="OEU70" s="119"/>
      <c r="OEV70" s="119"/>
      <c r="OEW70" s="119"/>
      <c r="OEX70" s="119"/>
      <c r="OEY70" s="119"/>
      <c r="OEZ70" s="119"/>
      <c r="OFA70" s="119"/>
      <c r="OFB70" s="119"/>
      <c r="OFC70" s="119"/>
      <c r="OFD70" s="119"/>
      <c r="OFE70" s="119"/>
      <c r="OFF70" s="119"/>
      <c r="OFG70" s="119"/>
      <c r="OFH70" s="119"/>
      <c r="OFI70" s="119"/>
      <c r="OFJ70" s="119"/>
      <c r="OFK70" s="119"/>
      <c r="OFL70" s="119"/>
      <c r="OFM70" s="119"/>
      <c r="OFN70" s="119"/>
      <c r="OFO70" s="119"/>
      <c r="OFP70" s="119"/>
      <c r="OFQ70" s="119"/>
      <c r="OFR70" s="119"/>
      <c r="OFS70" s="119"/>
      <c r="OFT70" s="119"/>
      <c r="OFU70" s="119"/>
      <c r="OFV70" s="119"/>
      <c r="OFW70" s="119"/>
      <c r="OFX70" s="119"/>
      <c r="OFY70" s="119"/>
      <c r="OFZ70" s="119"/>
      <c r="OGA70" s="119"/>
      <c r="OGB70" s="119"/>
      <c r="OGC70" s="119"/>
      <c r="OGD70" s="119"/>
      <c r="OGE70" s="119"/>
      <c r="OGF70" s="119"/>
      <c r="OGG70" s="119"/>
      <c r="OGH70" s="119"/>
      <c r="OGI70" s="119"/>
      <c r="OGJ70" s="119"/>
      <c r="OGK70" s="119"/>
      <c r="OGL70" s="119"/>
      <c r="OGM70" s="119"/>
      <c r="OGN70" s="119"/>
      <c r="OGO70" s="119"/>
      <c r="OGP70" s="119"/>
      <c r="OGQ70" s="119"/>
      <c r="OGR70" s="119"/>
      <c r="OGS70" s="119"/>
      <c r="OGT70" s="119"/>
      <c r="OGU70" s="119"/>
      <c r="OGV70" s="119"/>
      <c r="OGW70" s="119"/>
      <c r="OGX70" s="119"/>
      <c r="OGY70" s="119"/>
      <c r="OGZ70" s="119"/>
      <c r="OHA70" s="119"/>
      <c r="OHB70" s="119"/>
      <c r="OHC70" s="119"/>
      <c r="OHD70" s="119"/>
      <c r="OHE70" s="119"/>
      <c r="OHF70" s="119"/>
      <c r="OHG70" s="119"/>
      <c r="OHH70" s="119"/>
      <c r="OHI70" s="119"/>
      <c r="OHJ70" s="119"/>
      <c r="OHK70" s="119"/>
      <c r="OHL70" s="119"/>
      <c r="OHM70" s="119"/>
      <c r="OHN70" s="119"/>
      <c r="OHO70" s="119"/>
      <c r="OHP70" s="119"/>
      <c r="OHQ70" s="119"/>
      <c r="OHR70" s="119"/>
      <c r="OHS70" s="119"/>
      <c r="OHT70" s="119"/>
      <c r="OHU70" s="119"/>
      <c r="OHV70" s="119"/>
      <c r="OHW70" s="119"/>
      <c r="OHX70" s="119"/>
      <c r="OHY70" s="119"/>
      <c r="OHZ70" s="119"/>
      <c r="OIA70" s="119"/>
      <c r="OIB70" s="119"/>
      <c r="OIC70" s="119"/>
      <c r="OID70" s="119"/>
      <c r="OIE70" s="119"/>
      <c r="OIF70" s="119"/>
      <c r="OIG70" s="119"/>
      <c r="OIH70" s="119"/>
      <c r="OII70" s="119"/>
      <c r="OIJ70" s="119"/>
      <c r="OIK70" s="119"/>
      <c r="OIL70" s="119"/>
      <c r="OIM70" s="119"/>
      <c r="OIN70" s="119"/>
      <c r="OIO70" s="119"/>
      <c r="OIP70" s="119"/>
      <c r="OIQ70" s="119"/>
      <c r="OIR70" s="119"/>
      <c r="OIS70" s="119"/>
      <c r="OIT70" s="119"/>
      <c r="OIU70" s="119"/>
      <c r="OIV70" s="119"/>
      <c r="OIW70" s="119"/>
      <c r="OIX70" s="119"/>
      <c r="OIY70" s="119"/>
      <c r="OIZ70" s="119"/>
      <c r="OJA70" s="119"/>
      <c r="OJB70" s="119"/>
      <c r="OJC70" s="119"/>
      <c r="OJD70" s="119"/>
      <c r="OJE70" s="119"/>
      <c r="OJF70" s="119"/>
      <c r="OJG70" s="119"/>
      <c r="OJH70" s="119"/>
      <c r="OJI70" s="119"/>
      <c r="OJJ70" s="119"/>
      <c r="OJK70" s="119"/>
      <c r="OJL70" s="119"/>
      <c r="OJM70" s="119"/>
      <c r="OJN70" s="119"/>
      <c r="OJO70" s="119"/>
      <c r="OJP70" s="119"/>
      <c r="OJQ70" s="119"/>
      <c r="OJR70" s="119"/>
      <c r="OJS70" s="119"/>
      <c r="OJT70" s="119"/>
      <c r="OJU70" s="119"/>
      <c r="OJV70" s="119"/>
      <c r="OJW70" s="119"/>
      <c r="OJX70" s="119"/>
      <c r="OJY70" s="119"/>
      <c r="OJZ70" s="119"/>
      <c r="OKA70" s="119"/>
      <c r="OKB70" s="119"/>
      <c r="OKC70" s="119"/>
      <c r="OKD70" s="119"/>
      <c r="OKE70" s="119"/>
      <c r="OKF70" s="119"/>
      <c r="OKG70" s="119"/>
      <c r="OKH70" s="119"/>
      <c r="OKI70" s="119"/>
      <c r="OKJ70" s="119"/>
      <c r="OKK70" s="119"/>
      <c r="OKL70" s="119"/>
      <c r="OKM70" s="119"/>
      <c r="OKN70" s="119"/>
      <c r="OKO70" s="119"/>
      <c r="OKP70" s="119"/>
      <c r="OKQ70" s="119"/>
      <c r="OKR70" s="119"/>
      <c r="OKS70" s="119"/>
      <c r="OKT70" s="119"/>
      <c r="OKU70" s="119"/>
      <c r="OKV70" s="119"/>
      <c r="OKW70" s="119"/>
      <c r="OKX70" s="119"/>
      <c r="OKY70" s="119"/>
      <c r="OKZ70" s="119"/>
      <c r="OLA70" s="119"/>
      <c r="OLB70" s="119"/>
      <c r="OLC70" s="119"/>
      <c r="OLD70" s="119"/>
      <c r="OLE70" s="119"/>
      <c r="OLF70" s="119"/>
      <c r="OLG70" s="119"/>
      <c r="OLH70" s="119"/>
      <c r="OLI70" s="119"/>
      <c r="OLJ70" s="119"/>
      <c r="OLK70" s="119"/>
      <c r="OLL70" s="119"/>
      <c r="OLM70" s="119"/>
      <c r="OLN70" s="119"/>
      <c r="OLO70" s="119"/>
      <c r="OLP70" s="119"/>
      <c r="OLQ70" s="119"/>
      <c r="OLR70" s="119"/>
      <c r="OLS70" s="119"/>
      <c r="OLT70" s="119"/>
      <c r="OLU70" s="119"/>
      <c r="OLV70" s="119"/>
      <c r="OLW70" s="119"/>
      <c r="OLX70" s="119"/>
      <c r="OLY70" s="119"/>
      <c r="OLZ70" s="119"/>
      <c r="OMA70" s="119"/>
      <c r="OMB70" s="119"/>
      <c r="OMC70" s="119"/>
      <c r="OMD70" s="119"/>
      <c r="OME70" s="119"/>
      <c r="OMF70" s="119"/>
      <c r="OMG70" s="119"/>
      <c r="OMH70" s="119"/>
      <c r="OMI70" s="119"/>
      <c r="OMJ70" s="119"/>
      <c r="OMK70" s="119"/>
      <c r="OML70" s="119"/>
      <c r="OMM70" s="119"/>
      <c r="OMN70" s="119"/>
      <c r="OMO70" s="119"/>
      <c r="OMP70" s="119"/>
      <c r="OMQ70" s="119"/>
      <c r="OMR70" s="119"/>
      <c r="OMS70" s="119"/>
      <c r="OMT70" s="119"/>
      <c r="OMU70" s="119"/>
      <c r="OMV70" s="119"/>
      <c r="OMW70" s="119"/>
      <c r="OMX70" s="119"/>
      <c r="OMY70" s="119"/>
      <c r="OMZ70" s="119"/>
      <c r="ONA70" s="119"/>
      <c r="ONB70" s="119"/>
      <c r="ONC70" s="119"/>
      <c r="OND70" s="119"/>
      <c r="ONE70" s="119"/>
      <c r="ONF70" s="119"/>
      <c r="ONG70" s="119"/>
      <c r="ONH70" s="119"/>
      <c r="ONI70" s="119"/>
      <c r="ONJ70" s="119"/>
      <c r="ONK70" s="119"/>
      <c r="ONL70" s="119"/>
      <c r="ONM70" s="119"/>
      <c r="ONN70" s="119"/>
      <c r="ONO70" s="119"/>
      <c r="ONP70" s="119"/>
      <c r="ONQ70" s="119"/>
      <c r="ONR70" s="119"/>
      <c r="ONS70" s="119"/>
      <c r="ONT70" s="119"/>
      <c r="ONU70" s="119"/>
      <c r="ONV70" s="119"/>
      <c r="ONW70" s="119"/>
      <c r="ONX70" s="119"/>
      <c r="ONY70" s="119"/>
      <c r="ONZ70" s="119"/>
      <c r="OOA70" s="119"/>
      <c r="OOB70" s="119"/>
      <c r="OOC70" s="119"/>
      <c r="OOD70" s="119"/>
      <c r="OOE70" s="119"/>
      <c r="OOF70" s="119"/>
      <c r="OOG70" s="119"/>
      <c r="OOH70" s="119"/>
      <c r="OOI70" s="119"/>
      <c r="OOJ70" s="119"/>
      <c r="OOK70" s="119"/>
      <c r="OOL70" s="119"/>
      <c r="OOM70" s="119"/>
      <c r="OON70" s="119"/>
      <c r="OOO70" s="119"/>
      <c r="OOP70" s="119"/>
      <c r="OOQ70" s="119"/>
      <c r="OOR70" s="119"/>
      <c r="OOS70" s="119"/>
      <c r="OOT70" s="119"/>
      <c r="OOU70" s="119"/>
      <c r="OOV70" s="119"/>
      <c r="OOW70" s="119"/>
      <c r="OOX70" s="119"/>
      <c r="OOY70" s="119"/>
      <c r="OOZ70" s="119"/>
      <c r="OPA70" s="119"/>
      <c r="OPB70" s="119"/>
      <c r="OPC70" s="119"/>
      <c r="OPD70" s="119"/>
      <c r="OPE70" s="119"/>
      <c r="OPF70" s="119"/>
      <c r="OPG70" s="119"/>
      <c r="OPH70" s="119"/>
      <c r="OPI70" s="119"/>
      <c r="OPJ70" s="119"/>
      <c r="OPK70" s="119"/>
      <c r="OPL70" s="119"/>
      <c r="OPM70" s="119"/>
      <c r="OPN70" s="119"/>
      <c r="OPO70" s="119"/>
      <c r="OPP70" s="119"/>
      <c r="OPQ70" s="119"/>
      <c r="OPR70" s="119"/>
      <c r="OPS70" s="119"/>
      <c r="OPT70" s="119"/>
      <c r="OPU70" s="119"/>
      <c r="OPV70" s="119"/>
      <c r="OPW70" s="119"/>
      <c r="OPX70" s="119"/>
      <c r="OPY70" s="119"/>
      <c r="OPZ70" s="119"/>
      <c r="OQA70" s="119"/>
      <c r="OQB70" s="119"/>
      <c r="OQC70" s="119"/>
      <c r="OQD70" s="119"/>
      <c r="OQE70" s="119"/>
      <c r="OQF70" s="119"/>
      <c r="OQG70" s="119"/>
      <c r="OQH70" s="119"/>
      <c r="OQI70" s="119"/>
      <c r="OQJ70" s="119"/>
      <c r="OQK70" s="119"/>
      <c r="OQL70" s="119"/>
      <c r="OQM70" s="119"/>
      <c r="OQN70" s="119"/>
      <c r="OQO70" s="119"/>
      <c r="OQP70" s="119"/>
      <c r="OQQ70" s="119"/>
      <c r="OQR70" s="119"/>
      <c r="OQS70" s="119"/>
      <c r="OQT70" s="119"/>
      <c r="OQU70" s="119"/>
      <c r="OQV70" s="119"/>
      <c r="OQW70" s="119"/>
      <c r="OQX70" s="119"/>
      <c r="OQY70" s="119"/>
      <c r="OQZ70" s="119"/>
      <c r="ORA70" s="119"/>
      <c r="ORB70" s="119"/>
      <c r="ORC70" s="119"/>
      <c r="ORD70" s="119"/>
      <c r="ORE70" s="119"/>
      <c r="ORF70" s="119"/>
      <c r="ORG70" s="119"/>
      <c r="ORH70" s="119"/>
      <c r="ORI70" s="119"/>
      <c r="ORJ70" s="119"/>
      <c r="ORK70" s="119"/>
      <c r="ORL70" s="119"/>
      <c r="ORM70" s="119"/>
      <c r="ORN70" s="119"/>
      <c r="ORO70" s="119"/>
      <c r="ORP70" s="119"/>
      <c r="ORQ70" s="119"/>
      <c r="ORR70" s="119"/>
      <c r="ORS70" s="119"/>
      <c r="ORT70" s="119"/>
      <c r="ORU70" s="119"/>
      <c r="ORV70" s="119"/>
      <c r="ORW70" s="119"/>
      <c r="ORX70" s="119"/>
      <c r="ORY70" s="119"/>
      <c r="ORZ70" s="119"/>
      <c r="OSA70" s="119"/>
      <c r="OSB70" s="119"/>
      <c r="OSC70" s="119"/>
      <c r="OSD70" s="119"/>
      <c r="OSE70" s="119"/>
      <c r="OSF70" s="119"/>
      <c r="OSG70" s="119"/>
      <c r="OSH70" s="119"/>
      <c r="OSI70" s="119"/>
      <c r="OSJ70" s="119"/>
      <c r="OSK70" s="119"/>
      <c r="OSL70" s="119"/>
      <c r="OSM70" s="119"/>
      <c r="OSN70" s="119"/>
      <c r="OSO70" s="119"/>
      <c r="OSP70" s="119"/>
      <c r="OSQ70" s="119"/>
      <c r="OSR70" s="119"/>
      <c r="OSS70" s="119"/>
      <c r="OST70" s="119"/>
      <c r="OSU70" s="119"/>
      <c r="OSV70" s="119"/>
      <c r="OSW70" s="119"/>
      <c r="OSX70" s="119"/>
      <c r="OSY70" s="119"/>
      <c r="OSZ70" s="119"/>
      <c r="OTA70" s="119"/>
      <c r="OTB70" s="119"/>
      <c r="OTC70" s="119"/>
      <c r="OTD70" s="119"/>
      <c r="OTE70" s="119"/>
      <c r="OTF70" s="119"/>
      <c r="OTG70" s="119"/>
      <c r="OTH70" s="119"/>
      <c r="OTI70" s="119"/>
      <c r="OTJ70" s="119"/>
      <c r="OTK70" s="119"/>
      <c r="OTL70" s="119"/>
      <c r="OTM70" s="119"/>
      <c r="OTN70" s="119"/>
      <c r="OTO70" s="119"/>
      <c r="OTP70" s="119"/>
      <c r="OTQ70" s="119"/>
      <c r="OTR70" s="119"/>
      <c r="OTS70" s="119"/>
      <c r="OTT70" s="119"/>
      <c r="OTU70" s="119"/>
      <c r="OTV70" s="119"/>
      <c r="OTW70" s="119"/>
      <c r="OTX70" s="119"/>
      <c r="OTY70" s="119"/>
      <c r="OTZ70" s="119"/>
      <c r="OUA70" s="119"/>
      <c r="OUB70" s="119"/>
      <c r="OUC70" s="119"/>
      <c r="OUD70" s="119"/>
      <c r="OUE70" s="119"/>
      <c r="OUF70" s="119"/>
      <c r="OUG70" s="119"/>
      <c r="OUH70" s="119"/>
      <c r="OUI70" s="119"/>
      <c r="OUJ70" s="119"/>
      <c r="OUK70" s="119"/>
      <c r="OUL70" s="119"/>
      <c r="OUM70" s="119"/>
      <c r="OUN70" s="119"/>
      <c r="OUO70" s="119"/>
      <c r="OUP70" s="119"/>
      <c r="OUQ70" s="119"/>
      <c r="OUR70" s="119"/>
      <c r="OUS70" s="119"/>
      <c r="OUT70" s="119"/>
      <c r="OUU70" s="119"/>
      <c r="OUV70" s="119"/>
      <c r="OUW70" s="119"/>
      <c r="OUX70" s="119"/>
      <c r="OUY70" s="119"/>
      <c r="OUZ70" s="119"/>
      <c r="OVA70" s="119"/>
      <c r="OVB70" s="119"/>
      <c r="OVC70" s="119"/>
      <c r="OVD70" s="119"/>
      <c r="OVE70" s="119"/>
      <c r="OVF70" s="119"/>
      <c r="OVG70" s="119"/>
      <c r="OVH70" s="119"/>
      <c r="OVI70" s="119"/>
      <c r="OVJ70" s="119"/>
      <c r="OVK70" s="119"/>
      <c r="OVL70" s="119"/>
      <c r="OVM70" s="119"/>
      <c r="OVN70" s="119"/>
      <c r="OVO70" s="119"/>
      <c r="OVP70" s="119"/>
      <c r="OVQ70" s="119"/>
      <c r="OVR70" s="119"/>
      <c r="OVS70" s="119"/>
      <c r="OVT70" s="119"/>
      <c r="OVU70" s="119"/>
      <c r="OVV70" s="119"/>
      <c r="OVW70" s="119"/>
      <c r="OVX70" s="119"/>
      <c r="OVY70" s="119"/>
      <c r="OVZ70" s="119"/>
      <c r="OWA70" s="119"/>
      <c r="OWB70" s="119"/>
      <c r="OWC70" s="119"/>
      <c r="OWD70" s="119"/>
      <c r="OWE70" s="119"/>
      <c r="OWF70" s="119"/>
      <c r="OWG70" s="119"/>
      <c r="OWH70" s="119"/>
      <c r="OWI70" s="119"/>
      <c r="OWJ70" s="119"/>
      <c r="OWK70" s="119"/>
      <c r="OWL70" s="119"/>
      <c r="OWM70" s="119"/>
      <c r="OWN70" s="119"/>
      <c r="OWO70" s="119"/>
      <c r="OWP70" s="119"/>
      <c r="OWQ70" s="119"/>
      <c r="OWR70" s="119"/>
      <c r="OWS70" s="119"/>
      <c r="OWT70" s="119"/>
      <c r="OWU70" s="119"/>
      <c r="OWV70" s="119"/>
      <c r="OWW70" s="119"/>
      <c r="OWX70" s="119"/>
      <c r="OWY70" s="119"/>
      <c r="OWZ70" s="119"/>
      <c r="OXA70" s="119"/>
      <c r="OXB70" s="119"/>
      <c r="OXC70" s="119"/>
      <c r="OXD70" s="119"/>
      <c r="OXE70" s="119"/>
      <c r="OXF70" s="119"/>
      <c r="OXG70" s="119"/>
      <c r="OXH70" s="119"/>
      <c r="OXI70" s="119"/>
      <c r="OXJ70" s="119"/>
      <c r="OXK70" s="119"/>
      <c r="OXL70" s="119"/>
      <c r="OXM70" s="119"/>
      <c r="OXN70" s="119"/>
      <c r="OXO70" s="119"/>
      <c r="OXP70" s="119"/>
      <c r="OXQ70" s="119"/>
      <c r="OXR70" s="119"/>
      <c r="OXS70" s="119"/>
      <c r="OXT70" s="119"/>
      <c r="OXU70" s="119"/>
      <c r="OXV70" s="119"/>
      <c r="OXW70" s="119"/>
      <c r="OXX70" s="119"/>
      <c r="OXY70" s="119"/>
      <c r="OXZ70" s="119"/>
      <c r="OYA70" s="119"/>
      <c r="OYB70" s="119"/>
      <c r="OYC70" s="119"/>
      <c r="OYD70" s="119"/>
      <c r="OYE70" s="119"/>
      <c r="OYF70" s="119"/>
      <c r="OYG70" s="119"/>
      <c r="OYH70" s="119"/>
      <c r="OYI70" s="119"/>
      <c r="OYJ70" s="119"/>
      <c r="OYK70" s="119"/>
      <c r="OYL70" s="119"/>
      <c r="OYM70" s="119"/>
      <c r="OYN70" s="119"/>
      <c r="OYO70" s="119"/>
      <c r="OYP70" s="119"/>
      <c r="OYQ70" s="119"/>
      <c r="OYR70" s="119"/>
      <c r="OYS70" s="119"/>
      <c r="OYT70" s="119"/>
      <c r="OYU70" s="119"/>
      <c r="OYV70" s="119"/>
      <c r="OYW70" s="119"/>
      <c r="OYX70" s="119"/>
      <c r="OYY70" s="119"/>
      <c r="OYZ70" s="119"/>
      <c r="OZA70" s="119"/>
      <c r="OZB70" s="119"/>
      <c r="OZC70" s="119"/>
      <c r="OZD70" s="119"/>
      <c r="OZE70" s="119"/>
      <c r="OZF70" s="119"/>
      <c r="OZG70" s="119"/>
      <c r="OZH70" s="119"/>
      <c r="OZI70" s="119"/>
      <c r="OZJ70" s="119"/>
      <c r="OZK70" s="119"/>
      <c r="OZL70" s="119"/>
      <c r="OZM70" s="119"/>
      <c r="OZN70" s="119"/>
      <c r="OZO70" s="119"/>
      <c r="OZP70" s="119"/>
      <c r="OZQ70" s="119"/>
      <c r="OZR70" s="119"/>
      <c r="OZS70" s="119"/>
      <c r="OZT70" s="119"/>
      <c r="OZU70" s="119"/>
      <c r="OZV70" s="119"/>
      <c r="OZW70" s="119"/>
      <c r="OZX70" s="119"/>
      <c r="OZY70" s="119"/>
      <c r="OZZ70" s="119"/>
      <c r="PAA70" s="119"/>
      <c r="PAB70" s="119"/>
      <c r="PAC70" s="119"/>
      <c r="PAD70" s="119"/>
      <c r="PAE70" s="119"/>
      <c r="PAF70" s="119"/>
      <c r="PAG70" s="119"/>
      <c r="PAH70" s="119"/>
      <c r="PAI70" s="119"/>
      <c r="PAJ70" s="119"/>
      <c r="PAK70" s="119"/>
      <c r="PAL70" s="119"/>
      <c r="PAM70" s="119"/>
      <c r="PAN70" s="119"/>
      <c r="PAO70" s="119"/>
      <c r="PAP70" s="119"/>
      <c r="PAQ70" s="119"/>
      <c r="PAR70" s="119"/>
      <c r="PAS70" s="119"/>
      <c r="PAT70" s="119"/>
      <c r="PAU70" s="119"/>
      <c r="PAV70" s="119"/>
      <c r="PAW70" s="119"/>
      <c r="PAX70" s="119"/>
      <c r="PAY70" s="119"/>
      <c r="PAZ70" s="119"/>
      <c r="PBA70" s="119"/>
      <c r="PBB70" s="119"/>
      <c r="PBC70" s="119"/>
      <c r="PBD70" s="119"/>
      <c r="PBE70" s="119"/>
      <c r="PBF70" s="119"/>
      <c r="PBG70" s="119"/>
      <c r="PBH70" s="119"/>
      <c r="PBI70" s="119"/>
      <c r="PBJ70" s="119"/>
      <c r="PBK70" s="119"/>
      <c r="PBL70" s="119"/>
      <c r="PBM70" s="119"/>
      <c r="PBN70" s="119"/>
      <c r="PBO70" s="119"/>
      <c r="PBP70" s="119"/>
      <c r="PBQ70" s="119"/>
      <c r="PBR70" s="119"/>
      <c r="PBS70" s="119"/>
      <c r="PBT70" s="119"/>
      <c r="PBU70" s="119"/>
      <c r="PBV70" s="119"/>
      <c r="PBW70" s="119"/>
      <c r="PBX70" s="119"/>
      <c r="PBY70" s="119"/>
      <c r="PBZ70" s="119"/>
      <c r="PCA70" s="119"/>
      <c r="PCB70" s="119"/>
      <c r="PCC70" s="119"/>
      <c r="PCD70" s="119"/>
      <c r="PCE70" s="119"/>
      <c r="PCF70" s="119"/>
      <c r="PCG70" s="119"/>
      <c r="PCH70" s="119"/>
      <c r="PCI70" s="119"/>
      <c r="PCJ70" s="119"/>
      <c r="PCK70" s="119"/>
      <c r="PCL70" s="119"/>
      <c r="PCM70" s="119"/>
      <c r="PCN70" s="119"/>
      <c r="PCO70" s="119"/>
      <c r="PCP70" s="119"/>
      <c r="PCQ70" s="119"/>
      <c r="PCR70" s="119"/>
      <c r="PCS70" s="119"/>
      <c r="PCT70" s="119"/>
      <c r="PCU70" s="119"/>
      <c r="PCV70" s="119"/>
      <c r="PCW70" s="119"/>
      <c r="PCX70" s="119"/>
      <c r="PCY70" s="119"/>
      <c r="PCZ70" s="119"/>
      <c r="PDA70" s="119"/>
      <c r="PDB70" s="119"/>
      <c r="PDC70" s="119"/>
      <c r="PDD70" s="119"/>
      <c r="PDE70" s="119"/>
      <c r="PDF70" s="119"/>
      <c r="PDG70" s="119"/>
      <c r="PDH70" s="119"/>
      <c r="PDI70" s="119"/>
      <c r="PDJ70" s="119"/>
      <c r="PDK70" s="119"/>
      <c r="PDL70" s="119"/>
      <c r="PDM70" s="119"/>
      <c r="PDN70" s="119"/>
      <c r="PDO70" s="119"/>
      <c r="PDP70" s="119"/>
      <c r="PDQ70" s="119"/>
      <c r="PDR70" s="119"/>
      <c r="PDS70" s="119"/>
      <c r="PDT70" s="119"/>
      <c r="PDU70" s="119"/>
      <c r="PDV70" s="119"/>
      <c r="PDW70" s="119"/>
      <c r="PDX70" s="119"/>
      <c r="PDY70" s="119"/>
      <c r="PDZ70" s="119"/>
      <c r="PEA70" s="119"/>
      <c r="PEB70" s="119"/>
      <c r="PEC70" s="119"/>
      <c r="PED70" s="119"/>
      <c r="PEE70" s="119"/>
      <c r="PEF70" s="119"/>
      <c r="PEG70" s="119"/>
      <c r="PEH70" s="119"/>
      <c r="PEI70" s="119"/>
      <c r="PEJ70" s="119"/>
      <c r="PEK70" s="119"/>
      <c r="PEL70" s="119"/>
      <c r="PEM70" s="119"/>
      <c r="PEN70" s="119"/>
      <c r="PEO70" s="119"/>
      <c r="PEP70" s="119"/>
      <c r="PEQ70" s="119"/>
      <c r="PER70" s="119"/>
      <c r="PES70" s="119"/>
      <c r="PET70" s="119"/>
      <c r="PEU70" s="119"/>
      <c r="PEV70" s="119"/>
      <c r="PEW70" s="119"/>
      <c r="PEX70" s="119"/>
      <c r="PEY70" s="119"/>
      <c r="PEZ70" s="119"/>
      <c r="PFA70" s="119"/>
      <c r="PFB70" s="119"/>
      <c r="PFC70" s="119"/>
      <c r="PFD70" s="119"/>
      <c r="PFE70" s="119"/>
      <c r="PFF70" s="119"/>
      <c r="PFG70" s="119"/>
      <c r="PFH70" s="119"/>
      <c r="PFI70" s="119"/>
      <c r="PFJ70" s="119"/>
      <c r="PFK70" s="119"/>
      <c r="PFL70" s="119"/>
      <c r="PFM70" s="119"/>
      <c r="PFN70" s="119"/>
      <c r="PFO70" s="119"/>
      <c r="PFP70" s="119"/>
      <c r="PFQ70" s="119"/>
      <c r="PFR70" s="119"/>
      <c r="PFS70" s="119"/>
      <c r="PFT70" s="119"/>
      <c r="PFU70" s="119"/>
      <c r="PFV70" s="119"/>
      <c r="PFW70" s="119"/>
      <c r="PFX70" s="119"/>
      <c r="PFY70" s="119"/>
      <c r="PFZ70" s="119"/>
      <c r="PGA70" s="119"/>
      <c r="PGB70" s="119"/>
      <c r="PGC70" s="119"/>
      <c r="PGD70" s="119"/>
      <c r="PGE70" s="119"/>
      <c r="PGF70" s="119"/>
      <c r="PGG70" s="119"/>
      <c r="PGH70" s="119"/>
      <c r="PGI70" s="119"/>
      <c r="PGJ70" s="119"/>
      <c r="PGK70" s="119"/>
      <c r="PGL70" s="119"/>
      <c r="PGM70" s="119"/>
      <c r="PGN70" s="119"/>
      <c r="PGO70" s="119"/>
      <c r="PGP70" s="119"/>
      <c r="PGQ70" s="119"/>
      <c r="PGR70" s="119"/>
      <c r="PGS70" s="119"/>
      <c r="PGT70" s="119"/>
      <c r="PGU70" s="119"/>
      <c r="PGV70" s="119"/>
      <c r="PGW70" s="119"/>
      <c r="PGX70" s="119"/>
      <c r="PGY70" s="119"/>
      <c r="PGZ70" s="119"/>
      <c r="PHA70" s="119"/>
      <c r="PHB70" s="119"/>
      <c r="PHC70" s="119"/>
      <c r="PHD70" s="119"/>
      <c r="PHE70" s="119"/>
      <c r="PHF70" s="119"/>
      <c r="PHG70" s="119"/>
      <c r="PHH70" s="119"/>
      <c r="PHI70" s="119"/>
      <c r="PHJ70" s="119"/>
      <c r="PHK70" s="119"/>
      <c r="PHL70" s="119"/>
      <c r="PHM70" s="119"/>
      <c r="PHN70" s="119"/>
      <c r="PHO70" s="119"/>
      <c r="PHP70" s="119"/>
      <c r="PHQ70" s="119"/>
      <c r="PHR70" s="119"/>
      <c r="PHS70" s="119"/>
      <c r="PHT70" s="119"/>
      <c r="PHU70" s="119"/>
      <c r="PHV70" s="119"/>
      <c r="PHW70" s="119"/>
      <c r="PHX70" s="119"/>
      <c r="PHY70" s="119"/>
      <c r="PHZ70" s="119"/>
      <c r="PIA70" s="119"/>
      <c r="PIB70" s="119"/>
      <c r="PIC70" s="119"/>
      <c r="PID70" s="119"/>
      <c r="PIE70" s="119"/>
      <c r="PIF70" s="119"/>
      <c r="PIG70" s="119"/>
      <c r="PIH70" s="119"/>
      <c r="PII70" s="119"/>
      <c r="PIJ70" s="119"/>
      <c r="PIK70" s="119"/>
      <c r="PIL70" s="119"/>
      <c r="PIM70" s="119"/>
      <c r="PIN70" s="119"/>
      <c r="PIO70" s="119"/>
      <c r="PIP70" s="119"/>
      <c r="PIQ70" s="119"/>
      <c r="PIR70" s="119"/>
      <c r="PIS70" s="119"/>
      <c r="PIT70" s="119"/>
      <c r="PIU70" s="119"/>
      <c r="PIV70" s="119"/>
      <c r="PIW70" s="119"/>
      <c r="PIX70" s="119"/>
      <c r="PIY70" s="119"/>
      <c r="PIZ70" s="119"/>
      <c r="PJA70" s="119"/>
      <c r="PJB70" s="119"/>
      <c r="PJC70" s="119"/>
      <c r="PJD70" s="119"/>
      <c r="PJE70" s="119"/>
      <c r="PJF70" s="119"/>
      <c r="PJG70" s="119"/>
      <c r="PJH70" s="119"/>
      <c r="PJI70" s="119"/>
      <c r="PJJ70" s="119"/>
      <c r="PJK70" s="119"/>
      <c r="PJL70" s="119"/>
      <c r="PJM70" s="119"/>
      <c r="PJN70" s="119"/>
      <c r="PJO70" s="119"/>
      <c r="PJP70" s="119"/>
      <c r="PJQ70" s="119"/>
      <c r="PJR70" s="119"/>
      <c r="PJS70" s="119"/>
      <c r="PJT70" s="119"/>
      <c r="PJU70" s="119"/>
      <c r="PJV70" s="119"/>
      <c r="PJW70" s="119"/>
      <c r="PJX70" s="119"/>
      <c r="PJY70" s="119"/>
      <c r="PJZ70" s="119"/>
      <c r="PKA70" s="119"/>
      <c r="PKB70" s="119"/>
      <c r="PKC70" s="119"/>
      <c r="PKD70" s="119"/>
      <c r="PKE70" s="119"/>
      <c r="PKF70" s="119"/>
      <c r="PKG70" s="119"/>
      <c r="PKH70" s="119"/>
      <c r="PKI70" s="119"/>
      <c r="PKJ70" s="119"/>
      <c r="PKK70" s="119"/>
      <c r="PKL70" s="119"/>
      <c r="PKM70" s="119"/>
      <c r="PKN70" s="119"/>
      <c r="PKO70" s="119"/>
      <c r="PKP70" s="119"/>
      <c r="PKQ70" s="119"/>
      <c r="PKR70" s="119"/>
      <c r="PKS70" s="119"/>
      <c r="PKT70" s="119"/>
      <c r="PKU70" s="119"/>
      <c r="PKV70" s="119"/>
      <c r="PKW70" s="119"/>
      <c r="PKX70" s="119"/>
      <c r="PKY70" s="119"/>
      <c r="PKZ70" s="119"/>
      <c r="PLA70" s="119"/>
      <c r="PLB70" s="119"/>
      <c r="PLC70" s="119"/>
      <c r="PLD70" s="119"/>
      <c r="PLE70" s="119"/>
      <c r="PLF70" s="119"/>
      <c r="PLG70" s="119"/>
      <c r="PLH70" s="119"/>
      <c r="PLI70" s="119"/>
      <c r="PLJ70" s="119"/>
      <c r="PLK70" s="119"/>
      <c r="PLL70" s="119"/>
      <c r="PLM70" s="119"/>
      <c r="PLN70" s="119"/>
      <c r="PLO70" s="119"/>
      <c r="PLP70" s="119"/>
      <c r="PLQ70" s="119"/>
      <c r="PLR70" s="119"/>
      <c r="PLS70" s="119"/>
      <c r="PLT70" s="119"/>
      <c r="PLU70" s="119"/>
      <c r="PLV70" s="119"/>
      <c r="PLW70" s="119"/>
      <c r="PLX70" s="119"/>
      <c r="PLY70" s="119"/>
      <c r="PLZ70" s="119"/>
      <c r="PMA70" s="119"/>
      <c r="PMB70" s="119"/>
      <c r="PMC70" s="119"/>
      <c r="PMD70" s="119"/>
      <c r="PME70" s="119"/>
      <c r="PMF70" s="119"/>
      <c r="PMG70" s="119"/>
      <c r="PMH70" s="119"/>
      <c r="PMI70" s="119"/>
      <c r="PMJ70" s="119"/>
      <c r="PMK70" s="119"/>
      <c r="PML70" s="119"/>
      <c r="PMM70" s="119"/>
      <c r="PMN70" s="119"/>
      <c r="PMO70" s="119"/>
      <c r="PMP70" s="119"/>
      <c r="PMQ70" s="119"/>
      <c r="PMR70" s="119"/>
      <c r="PMS70" s="119"/>
      <c r="PMT70" s="119"/>
      <c r="PMU70" s="119"/>
      <c r="PMV70" s="119"/>
      <c r="PMW70" s="119"/>
      <c r="PMX70" s="119"/>
      <c r="PMY70" s="119"/>
      <c r="PMZ70" s="119"/>
      <c r="PNA70" s="119"/>
      <c r="PNB70" s="119"/>
      <c r="PNC70" s="119"/>
      <c r="PND70" s="119"/>
      <c r="PNE70" s="119"/>
      <c r="PNF70" s="119"/>
      <c r="PNG70" s="119"/>
      <c r="PNH70" s="119"/>
      <c r="PNI70" s="119"/>
      <c r="PNJ70" s="119"/>
      <c r="PNK70" s="119"/>
      <c r="PNL70" s="119"/>
      <c r="PNM70" s="119"/>
      <c r="PNN70" s="119"/>
      <c r="PNO70" s="119"/>
      <c r="PNP70" s="119"/>
      <c r="PNQ70" s="119"/>
      <c r="PNR70" s="119"/>
      <c r="PNS70" s="119"/>
      <c r="PNT70" s="119"/>
      <c r="PNU70" s="119"/>
      <c r="PNV70" s="119"/>
      <c r="PNW70" s="119"/>
      <c r="PNX70" s="119"/>
      <c r="PNY70" s="119"/>
      <c r="PNZ70" s="119"/>
      <c r="POA70" s="119"/>
      <c r="POB70" s="119"/>
      <c r="POC70" s="119"/>
      <c r="POD70" s="119"/>
      <c r="POE70" s="119"/>
      <c r="POF70" s="119"/>
      <c r="POG70" s="119"/>
      <c r="POH70" s="119"/>
      <c r="POI70" s="119"/>
      <c r="POJ70" s="119"/>
      <c r="POK70" s="119"/>
      <c r="POL70" s="119"/>
      <c r="POM70" s="119"/>
      <c r="PON70" s="119"/>
      <c r="POO70" s="119"/>
      <c r="POP70" s="119"/>
      <c r="POQ70" s="119"/>
      <c r="POR70" s="119"/>
      <c r="POS70" s="119"/>
      <c r="POT70" s="119"/>
      <c r="POU70" s="119"/>
      <c r="POV70" s="119"/>
      <c r="POW70" s="119"/>
      <c r="POX70" s="119"/>
      <c r="POY70" s="119"/>
      <c r="POZ70" s="119"/>
      <c r="PPA70" s="119"/>
      <c r="PPB70" s="119"/>
      <c r="PPC70" s="119"/>
      <c r="PPD70" s="119"/>
      <c r="PPE70" s="119"/>
      <c r="PPF70" s="119"/>
      <c r="PPG70" s="119"/>
      <c r="PPH70" s="119"/>
      <c r="PPI70" s="119"/>
      <c r="PPJ70" s="119"/>
      <c r="PPK70" s="119"/>
      <c r="PPL70" s="119"/>
      <c r="PPM70" s="119"/>
      <c r="PPN70" s="119"/>
      <c r="PPO70" s="119"/>
      <c r="PPP70" s="119"/>
      <c r="PPQ70" s="119"/>
      <c r="PPR70" s="119"/>
      <c r="PPS70" s="119"/>
      <c r="PPT70" s="119"/>
      <c r="PPU70" s="119"/>
      <c r="PPV70" s="119"/>
      <c r="PPW70" s="119"/>
      <c r="PPX70" s="119"/>
      <c r="PPY70" s="119"/>
      <c r="PPZ70" s="119"/>
      <c r="PQA70" s="119"/>
      <c r="PQB70" s="119"/>
      <c r="PQC70" s="119"/>
      <c r="PQD70" s="119"/>
      <c r="PQE70" s="119"/>
      <c r="PQF70" s="119"/>
      <c r="PQG70" s="119"/>
      <c r="PQH70" s="119"/>
      <c r="PQI70" s="119"/>
      <c r="PQJ70" s="119"/>
      <c r="PQK70" s="119"/>
      <c r="PQL70" s="119"/>
      <c r="PQM70" s="119"/>
      <c r="PQN70" s="119"/>
      <c r="PQO70" s="119"/>
      <c r="PQP70" s="119"/>
      <c r="PQQ70" s="119"/>
      <c r="PQR70" s="119"/>
      <c r="PQS70" s="119"/>
      <c r="PQT70" s="119"/>
      <c r="PQU70" s="119"/>
      <c r="PQV70" s="119"/>
      <c r="PQW70" s="119"/>
      <c r="PQX70" s="119"/>
      <c r="PQY70" s="119"/>
      <c r="PQZ70" s="119"/>
      <c r="PRA70" s="119"/>
      <c r="PRB70" s="119"/>
      <c r="PRC70" s="119"/>
      <c r="PRD70" s="119"/>
      <c r="PRE70" s="119"/>
      <c r="PRF70" s="119"/>
      <c r="PRG70" s="119"/>
      <c r="PRH70" s="119"/>
      <c r="PRI70" s="119"/>
      <c r="PRJ70" s="119"/>
      <c r="PRK70" s="119"/>
      <c r="PRL70" s="119"/>
      <c r="PRM70" s="119"/>
      <c r="PRN70" s="119"/>
      <c r="PRO70" s="119"/>
      <c r="PRP70" s="119"/>
      <c r="PRQ70" s="119"/>
      <c r="PRR70" s="119"/>
      <c r="PRS70" s="119"/>
      <c r="PRT70" s="119"/>
      <c r="PRU70" s="119"/>
      <c r="PRV70" s="119"/>
      <c r="PRW70" s="119"/>
      <c r="PRX70" s="119"/>
      <c r="PRY70" s="119"/>
      <c r="PRZ70" s="119"/>
      <c r="PSA70" s="119"/>
      <c r="PSB70" s="119"/>
      <c r="PSC70" s="119"/>
      <c r="PSD70" s="119"/>
      <c r="PSE70" s="119"/>
      <c r="PSF70" s="119"/>
      <c r="PSG70" s="119"/>
      <c r="PSH70" s="119"/>
      <c r="PSI70" s="119"/>
      <c r="PSJ70" s="119"/>
      <c r="PSK70" s="119"/>
      <c r="PSL70" s="119"/>
      <c r="PSM70" s="119"/>
      <c r="PSN70" s="119"/>
      <c r="PSO70" s="119"/>
      <c r="PSP70" s="119"/>
      <c r="PSQ70" s="119"/>
      <c r="PSR70" s="119"/>
      <c r="PSS70" s="119"/>
      <c r="PST70" s="119"/>
      <c r="PSU70" s="119"/>
      <c r="PSV70" s="119"/>
      <c r="PSW70" s="119"/>
      <c r="PSX70" s="119"/>
      <c r="PSY70" s="119"/>
      <c r="PSZ70" s="119"/>
      <c r="PTA70" s="119"/>
      <c r="PTB70" s="119"/>
      <c r="PTC70" s="119"/>
      <c r="PTD70" s="119"/>
      <c r="PTE70" s="119"/>
      <c r="PTF70" s="119"/>
      <c r="PTG70" s="119"/>
      <c r="PTH70" s="119"/>
      <c r="PTI70" s="119"/>
      <c r="PTJ70" s="119"/>
      <c r="PTK70" s="119"/>
      <c r="PTL70" s="119"/>
      <c r="PTM70" s="119"/>
      <c r="PTN70" s="119"/>
      <c r="PTO70" s="119"/>
      <c r="PTP70" s="119"/>
      <c r="PTQ70" s="119"/>
      <c r="PTR70" s="119"/>
      <c r="PTS70" s="119"/>
      <c r="PTT70" s="119"/>
      <c r="PTU70" s="119"/>
      <c r="PTV70" s="119"/>
      <c r="PTW70" s="119"/>
      <c r="PTX70" s="119"/>
      <c r="PTY70" s="119"/>
      <c r="PTZ70" s="119"/>
      <c r="PUA70" s="119"/>
      <c r="PUB70" s="119"/>
      <c r="PUC70" s="119"/>
      <c r="PUD70" s="119"/>
      <c r="PUE70" s="119"/>
      <c r="PUF70" s="119"/>
      <c r="PUG70" s="119"/>
      <c r="PUH70" s="119"/>
      <c r="PUI70" s="119"/>
      <c r="PUJ70" s="119"/>
      <c r="PUK70" s="119"/>
      <c r="PUL70" s="119"/>
      <c r="PUM70" s="119"/>
      <c r="PUN70" s="119"/>
      <c r="PUO70" s="119"/>
      <c r="PUP70" s="119"/>
      <c r="PUQ70" s="119"/>
      <c r="PUR70" s="119"/>
      <c r="PUS70" s="119"/>
      <c r="PUT70" s="119"/>
      <c r="PUU70" s="119"/>
      <c r="PUV70" s="119"/>
      <c r="PUW70" s="119"/>
      <c r="PUX70" s="119"/>
      <c r="PUY70" s="119"/>
      <c r="PUZ70" s="119"/>
      <c r="PVA70" s="119"/>
      <c r="PVB70" s="119"/>
      <c r="PVC70" s="119"/>
      <c r="PVD70" s="119"/>
      <c r="PVE70" s="119"/>
      <c r="PVF70" s="119"/>
      <c r="PVG70" s="119"/>
      <c r="PVH70" s="119"/>
      <c r="PVI70" s="119"/>
      <c r="PVJ70" s="119"/>
      <c r="PVK70" s="119"/>
      <c r="PVL70" s="119"/>
      <c r="PVM70" s="119"/>
      <c r="PVN70" s="119"/>
      <c r="PVO70" s="119"/>
      <c r="PVP70" s="119"/>
      <c r="PVQ70" s="119"/>
      <c r="PVR70" s="119"/>
      <c r="PVS70" s="119"/>
      <c r="PVT70" s="119"/>
      <c r="PVU70" s="119"/>
      <c r="PVV70" s="119"/>
      <c r="PVW70" s="119"/>
      <c r="PVX70" s="119"/>
      <c r="PVY70" s="119"/>
      <c r="PVZ70" s="119"/>
      <c r="PWA70" s="119"/>
      <c r="PWB70" s="119"/>
      <c r="PWC70" s="119"/>
      <c r="PWD70" s="119"/>
      <c r="PWE70" s="119"/>
      <c r="PWF70" s="119"/>
      <c r="PWG70" s="119"/>
      <c r="PWH70" s="119"/>
      <c r="PWI70" s="119"/>
      <c r="PWJ70" s="119"/>
      <c r="PWK70" s="119"/>
      <c r="PWL70" s="119"/>
      <c r="PWM70" s="119"/>
      <c r="PWN70" s="119"/>
      <c r="PWO70" s="119"/>
      <c r="PWP70" s="119"/>
      <c r="PWQ70" s="119"/>
      <c r="PWR70" s="119"/>
      <c r="PWS70" s="119"/>
      <c r="PWT70" s="119"/>
      <c r="PWU70" s="119"/>
      <c r="PWV70" s="119"/>
      <c r="PWW70" s="119"/>
      <c r="PWX70" s="119"/>
      <c r="PWY70" s="119"/>
      <c r="PWZ70" s="119"/>
      <c r="PXA70" s="119"/>
      <c r="PXB70" s="119"/>
      <c r="PXC70" s="119"/>
      <c r="PXD70" s="119"/>
      <c r="PXE70" s="119"/>
      <c r="PXF70" s="119"/>
      <c r="PXG70" s="119"/>
      <c r="PXH70" s="119"/>
      <c r="PXI70" s="119"/>
      <c r="PXJ70" s="119"/>
      <c r="PXK70" s="119"/>
      <c r="PXL70" s="119"/>
      <c r="PXM70" s="119"/>
      <c r="PXN70" s="119"/>
      <c r="PXO70" s="119"/>
      <c r="PXP70" s="119"/>
      <c r="PXQ70" s="119"/>
      <c r="PXR70" s="119"/>
      <c r="PXS70" s="119"/>
      <c r="PXT70" s="119"/>
      <c r="PXU70" s="119"/>
      <c r="PXV70" s="119"/>
      <c r="PXW70" s="119"/>
      <c r="PXX70" s="119"/>
      <c r="PXY70" s="119"/>
      <c r="PXZ70" s="119"/>
      <c r="PYA70" s="119"/>
      <c r="PYB70" s="119"/>
      <c r="PYC70" s="119"/>
      <c r="PYD70" s="119"/>
      <c r="PYE70" s="119"/>
      <c r="PYF70" s="119"/>
      <c r="PYG70" s="119"/>
      <c r="PYH70" s="119"/>
      <c r="PYI70" s="119"/>
      <c r="PYJ70" s="119"/>
      <c r="PYK70" s="119"/>
      <c r="PYL70" s="119"/>
      <c r="PYM70" s="119"/>
      <c r="PYN70" s="119"/>
      <c r="PYO70" s="119"/>
      <c r="PYP70" s="119"/>
      <c r="PYQ70" s="119"/>
      <c r="PYR70" s="119"/>
      <c r="PYS70" s="119"/>
      <c r="PYT70" s="119"/>
      <c r="PYU70" s="119"/>
      <c r="PYV70" s="119"/>
      <c r="PYW70" s="119"/>
      <c r="PYX70" s="119"/>
      <c r="PYY70" s="119"/>
      <c r="PYZ70" s="119"/>
      <c r="PZA70" s="119"/>
      <c r="PZB70" s="119"/>
      <c r="PZC70" s="119"/>
      <c r="PZD70" s="119"/>
      <c r="PZE70" s="119"/>
      <c r="PZF70" s="119"/>
      <c r="PZG70" s="119"/>
      <c r="PZH70" s="119"/>
      <c r="PZI70" s="119"/>
      <c r="PZJ70" s="119"/>
      <c r="PZK70" s="119"/>
      <c r="PZL70" s="119"/>
      <c r="PZM70" s="119"/>
      <c r="PZN70" s="119"/>
      <c r="PZO70" s="119"/>
      <c r="PZP70" s="119"/>
      <c r="PZQ70" s="119"/>
      <c r="PZR70" s="119"/>
      <c r="PZS70" s="119"/>
      <c r="PZT70" s="119"/>
      <c r="PZU70" s="119"/>
      <c r="PZV70" s="119"/>
      <c r="PZW70" s="119"/>
      <c r="PZX70" s="119"/>
      <c r="PZY70" s="119"/>
      <c r="PZZ70" s="119"/>
      <c r="QAA70" s="119"/>
      <c r="QAB70" s="119"/>
      <c r="QAC70" s="119"/>
      <c r="QAD70" s="119"/>
      <c r="QAE70" s="119"/>
      <c r="QAF70" s="119"/>
      <c r="QAG70" s="119"/>
      <c r="QAH70" s="119"/>
      <c r="QAI70" s="119"/>
      <c r="QAJ70" s="119"/>
      <c r="QAK70" s="119"/>
      <c r="QAL70" s="119"/>
      <c r="QAM70" s="119"/>
      <c r="QAN70" s="119"/>
      <c r="QAO70" s="119"/>
      <c r="QAP70" s="119"/>
      <c r="QAQ70" s="119"/>
      <c r="QAR70" s="119"/>
      <c r="QAS70" s="119"/>
      <c r="QAT70" s="119"/>
      <c r="QAU70" s="119"/>
      <c r="QAV70" s="119"/>
      <c r="QAW70" s="119"/>
      <c r="QAX70" s="119"/>
      <c r="QAY70" s="119"/>
      <c r="QAZ70" s="119"/>
      <c r="QBA70" s="119"/>
      <c r="QBB70" s="119"/>
      <c r="QBC70" s="119"/>
      <c r="QBD70" s="119"/>
      <c r="QBE70" s="119"/>
      <c r="QBF70" s="119"/>
      <c r="QBG70" s="119"/>
      <c r="QBH70" s="119"/>
      <c r="QBI70" s="119"/>
      <c r="QBJ70" s="119"/>
      <c r="QBK70" s="119"/>
      <c r="QBL70" s="119"/>
      <c r="QBM70" s="119"/>
      <c r="QBN70" s="119"/>
      <c r="QBO70" s="119"/>
      <c r="QBP70" s="119"/>
      <c r="QBQ70" s="119"/>
      <c r="QBR70" s="119"/>
      <c r="QBS70" s="119"/>
      <c r="QBT70" s="119"/>
      <c r="QBU70" s="119"/>
      <c r="QBV70" s="119"/>
      <c r="QBW70" s="119"/>
      <c r="QBX70" s="119"/>
      <c r="QBY70" s="119"/>
      <c r="QBZ70" s="119"/>
      <c r="QCA70" s="119"/>
      <c r="QCB70" s="119"/>
      <c r="QCC70" s="119"/>
      <c r="QCD70" s="119"/>
      <c r="QCE70" s="119"/>
      <c r="QCF70" s="119"/>
      <c r="QCG70" s="119"/>
      <c r="QCH70" s="119"/>
      <c r="QCI70" s="119"/>
      <c r="QCJ70" s="119"/>
      <c r="QCK70" s="119"/>
      <c r="QCL70" s="119"/>
      <c r="QCM70" s="119"/>
      <c r="QCN70" s="119"/>
      <c r="QCO70" s="119"/>
      <c r="QCP70" s="119"/>
      <c r="QCQ70" s="119"/>
      <c r="QCR70" s="119"/>
      <c r="QCS70" s="119"/>
      <c r="QCT70" s="119"/>
      <c r="QCU70" s="119"/>
      <c r="QCV70" s="119"/>
      <c r="QCW70" s="119"/>
      <c r="QCX70" s="119"/>
      <c r="QCY70" s="119"/>
      <c r="QCZ70" s="119"/>
      <c r="QDA70" s="119"/>
      <c r="QDB70" s="119"/>
      <c r="QDC70" s="119"/>
      <c r="QDD70" s="119"/>
      <c r="QDE70" s="119"/>
      <c r="QDF70" s="119"/>
      <c r="QDG70" s="119"/>
      <c r="QDH70" s="119"/>
      <c r="QDI70" s="119"/>
      <c r="QDJ70" s="119"/>
      <c r="QDK70" s="119"/>
      <c r="QDL70" s="119"/>
      <c r="QDM70" s="119"/>
      <c r="QDN70" s="119"/>
      <c r="QDO70" s="119"/>
      <c r="QDP70" s="119"/>
      <c r="QDQ70" s="119"/>
      <c r="QDR70" s="119"/>
      <c r="QDS70" s="119"/>
      <c r="QDT70" s="119"/>
      <c r="QDU70" s="119"/>
      <c r="QDV70" s="119"/>
      <c r="QDW70" s="119"/>
      <c r="QDX70" s="119"/>
      <c r="QDY70" s="119"/>
      <c r="QDZ70" s="119"/>
      <c r="QEA70" s="119"/>
      <c r="QEB70" s="119"/>
      <c r="QEC70" s="119"/>
      <c r="QED70" s="119"/>
      <c r="QEE70" s="119"/>
      <c r="QEF70" s="119"/>
      <c r="QEG70" s="119"/>
      <c r="QEH70" s="119"/>
      <c r="QEI70" s="119"/>
      <c r="QEJ70" s="119"/>
      <c r="QEK70" s="119"/>
      <c r="QEL70" s="119"/>
      <c r="QEM70" s="119"/>
      <c r="QEN70" s="119"/>
      <c r="QEO70" s="119"/>
      <c r="QEP70" s="119"/>
      <c r="QEQ70" s="119"/>
      <c r="QER70" s="119"/>
      <c r="QES70" s="119"/>
      <c r="QET70" s="119"/>
      <c r="QEU70" s="119"/>
      <c r="QEV70" s="119"/>
      <c r="QEW70" s="119"/>
      <c r="QEX70" s="119"/>
      <c r="QEY70" s="119"/>
      <c r="QEZ70" s="119"/>
      <c r="QFA70" s="119"/>
      <c r="QFB70" s="119"/>
      <c r="QFC70" s="119"/>
      <c r="QFD70" s="119"/>
      <c r="QFE70" s="119"/>
      <c r="QFF70" s="119"/>
      <c r="QFG70" s="119"/>
      <c r="QFH70" s="119"/>
      <c r="QFI70" s="119"/>
      <c r="QFJ70" s="119"/>
      <c r="QFK70" s="119"/>
      <c r="QFL70" s="119"/>
      <c r="QFM70" s="119"/>
      <c r="QFN70" s="119"/>
      <c r="QFO70" s="119"/>
      <c r="QFP70" s="119"/>
      <c r="QFQ70" s="119"/>
      <c r="QFR70" s="119"/>
      <c r="QFS70" s="119"/>
      <c r="QFT70" s="119"/>
      <c r="QFU70" s="119"/>
      <c r="QFV70" s="119"/>
      <c r="QFW70" s="119"/>
      <c r="QFX70" s="119"/>
      <c r="QFY70" s="119"/>
      <c r="QFZ70" s="119"/>
      <c r="QGA70" s="119"/>
      <c r="QGB70" s="119"/>
      <c r="QGC70" s="119"/>
      <c r="QGD70" s="119"/>
      <c r="QGE70" s="119"/>
      <c r="QGF70" s="119"/>
      <c r="QGG70" s="119"/>
      <c r="QGH70" s="119"/>
      <c r="QGI70" s="119"/>
      <c r="QGJ70" s="119"/>
      <c r="QGK70" s="119"/>
      <c r="QGL70" s="119"/>
      <c r="QGM70" s="119"/>
      <c r="QGN70" s="119"/>
      <c r="QGO70" s="119"/>
      <c r="QGP70" s="119"/>
      <c r="QGQ70" s="119"/>
      <c r="QGR70" s="119"/>
      <c r="QGS70" s="119"/>
      <c r="QGT70" s="119"/>
      <c r="QGU70" s="119"/>
      <c r="QGV70" s="119"/>
      <c r="QGW70" s="119"/>
      <c r="QGX70" s="119"/>
      <c r="QGY70" s="119"/>
      <c r="QGZ70" s="119"/>
      <c r="QHA70" s="119"/>
      <c r="QHB70" s="119"/>
      <c r="QHC70" s="119"/>
      <c r="QHD70" s="119"/>
      <c r="QHE70" s="119"/>
      <c r="QHF70" s="119"/>
      <c r="QHG70" s="119"/>
      <c r="QHH70" s="119"/>
      <c r="QHI70" s="119"/>
      <c r="QHJ70" s="119"/>
      <c r="QHK70" s="119"/>
      <c r="QHL70" s="119"/>
      <c r="QHM70" s="119"/>
      <c r="QHN70" s="119"/>
      <c r="QHO70" s="119"/>
      <c r="QHP70" s="119"/>
      <c r="QHQ70" s="119"/>
      <c r="QHR70" s="119"/>
      <c r="QHS70" s="119"/>
      <c r="QHT70" s="119"/>
      <c r="QHU70" s="119"/>
      <c r="QHV70" s="119"/>
      <c r="QHW70" s="119"/>
      <c r="QHX70" s="119"/>
      <c r="QHY70" s="119"/>
      <c r="QHZ70" s="119"/>
      <c r="QIA70" s="119"/>
      <c r="QIB70" s="119"/>
      <c r="QIC70" s="119"/>
      <c r="QID70" s="119"/>
      <c r="QIE70" s="119"/>
      <c r="QIF70" s="119"/>
      <c r="QIG70" s="119"/>
      <c r="QIH70" s="119"/>
      <c r="QII70" s="119"/>
      <c r="QIJ70" s="119"/>
      <c r="QIK70" s="119"/>
      <c r="QIL70" s="119"/>
      <c r="QIM70" s="119"/>
      <c r="QIN70" s="119"/>
      <c r="QIO70" s="119"/>
      <c r="QIP70" s="119"/>
      <c r="QIQ70" s="119"/>
      <c r="QIR70" s="119"/>
      <c r="QIS70" s="119"/>
      <c r="QIT70" s="119"/>
      <c r="QIU70" s="119"/>
      <c r="QIV70" s="119"/>
      <c r="QIW70" s="119"/>
      <c r="QIX70" s="119"/>
      <c r="QIY70" s="119"/>
      <c r="QIZ70" s="119"/>
      <c r="QJA70" s="119"/>
      <c r="QJB70" s="119"/>
      <c r="QJC70" s="119"/>
      <c r="QJD70" s="119"/>
      <c r="QJE70" s="119"/>
      <c r="QJF70" s="119"/>
      <c r="QJG70" s="119"/>
      <c r="QJH70" s="119"/>
      <c r="QJI70" s="119"/>
      <c r="QJJ70" s="119"/>
      <c r="QJK70" s="119"/>
      <c r="QJL70" s="119"/>
      <c r="QJM70" s="119"/>
      <c r="QJN70" s="119"/>
      <c r="QJO70" s="119"/>
      <c r="QJP70" s="119"/>
      <c r="QJQ70" s="119"/>
      <c r="QJR70" s="119"/>
      <c r="QJS70" s="119"/>
      <c r="QJT70" s="119"/>
      <c r="QJU70" s="119"/>
      <c r="QJV70" s="119"/>
      <c r="QJW70" s="119"/>
      <c r="QJX70" s="119"/>
      <c r="QJY70" s="119"/>
      <c r="QJZ70" s="119"/>
      <c r="QKA70" s="119"/>
      <c r="QKB70" s="119"/>
      <c r="QKC70" s="119"/>
      <c r="QKD70" s="119"/>
      <c r="QKE70" s="119"/>
      <c r="QKF70" s="119"/>
      <c r="QKG70" s="119"/>
      <c r="QKH70" s="119"/>
      <c r="QKI70" s="119"/>
      <c r="QKJ70" s="119"/>
      <c r="QKK70" s="119"/>
      <c r="QKL70" s="119"/>
      <c r="QKM70" s="119"/>
      <c r="QKN70" s="119"/>
      <c r="QKO70" s="119"/>
      <c r="QKP70" s="119"/>
      <c r="QKQ70" s="119"/>
      <c r="QKR70" s="119"/>
      <c r="QKS70" s="119"/>
      <c r="QKT70" s="119"/>
      <c r="QKU70" s="119"/>
      <c r="QKV70" s="119"/>
      <c r="QKW70" s="119"/>
      <c r="QKX70" s="119"/>
      <c r="QKY70" s="119"/>
      <c r="QKZ70" s="119"/>
      <c r="QLA70" s="119"/>
      <c r="QLB70" s="119"/>
      <c r="QLC70" s="119"/>
      <c r="QLD70" s="119"/>
      <c r="QLE70" s="119"/>
      <c r="QLF70" s="119"/>
      <c r="QLG70" s="119"/>
      <c r="QLH70" s="119"/>
      <c r="QLI70" s="119"/>
      <c r="QLJ70" s="119"/>
      <c r="QLK70" s="119"/>
      <c r="QLL70" s="119"/>
      <c r="QLM70" s="119"/>
      <c r="QLN70" s="119"/>
      <c r="QLO70" s="119"/>
      <c r="QLP70" s="119"/>
      <c r="QLQ70" s="119"/>
      <c r="QLR70" s="119"/>
      <c r="QLS70" s="119"/>
      <c r="QLT70" s="119"/>
      <c r="QLU70" s="119"/>
      <c r="QLV70" s="119"/>
      <c r="QLW70" s="119"/>
      <c r="QLX70" s="119"/>
      <c r="QLY70" s="119"/>
      <c r="QLZ70" s="119"/>
      <c r="QMA70" s="119"/>
      <c r="QMB70" s="119"/>
      <c r="QMC70" s="119"/>
      <c r="QMD70" s="119"/>
      <c r="QME70" s="119"/>
      <c r="QMF70" s="119"/>
      <c r="QMG70" s="119"/>
      <c r="QMH70" s="119"/>
      <c r="QMI70" s="119"/>
      <c r="QMJ70" s="119"/>
      <c r="QMK70" s="119"/>
      <c r="QML70" s="119"/>
      <c r="QMM70" s="119"/>
      <c r="QMN70" s="119"/>
      <c r="QMO70" s="119"/>
      <c r="QMP70" s="119"/>
      <c r="QMQ70" s="119"/>
      <c r="QMR70" s="119"/>
      <c r="QMS70" s="119"/>
      <c r="QMT70" s="119"/>
      <c r="QMU70" s="119"/>
      <c r="QMV70" s="119"/>
      <c r="QMW70" s="119"/>
      <c r="QMX70" s="119"/>
      <c r="QMY70" s="119"/>
      <c r="QMZ70" s="119"/>
      <c r="QNA70" s="119"/>
      <c r="QNB70" s="119"/>
      <c r="QNC70" s="119"/>
      <c r="QND70" s="119"/>
      <c r="QNE70" s="119"/>
      <c r="QNF70" s="119"/>
      <c r="QNG70" s="119"/>
      <c r="QNH70" s="119"/>
      <c r="QNI70" s="119"/>
      <c r="QNJ70" s="119"/>
      <c r="QNK70" s="119"/>
      <c r="QNL70" s="119"/>
      <c r="QNM70" s="119"/>
      <c r="QNN70" s="119"/>
      <c r="QNO70" s="119"/>
      <c r="QNP70" s="119"/>
      <c r="QNQ70" s="119"/>
      <c r="QNR70" s="119"/>
      <c r="QNS70" s="119"/>
      <c r="QNT70" s="119"/>
      <c r="QNU70" s="119"/>
      <c r="QNV70" s="119"/>
      <c r="QNW70" s="119"/>
      <c r="QNX70" s="119"/>
      <c r="QNY70" s="119"/>
      <c r="QNZ70" s="119"/>
      <c r="QOA70" s="119"/>
      <c r="QOB70" s="119"/>
      <c r="QOC70" s="119"/>
      <c r="QOD70" s="119"/>
      <c r="QOE70" s="119"/>
      <c r="QOF70" s="119"/>
      <c r="QOG70" s="119"/>
      <c r="QOH70" s="119"/>
      <c r="QOI70" s="119"/>
      <c r="QOJ70" s="119"/>
      <c r="QOK70" s="119"/>
      <c r="QOL70" s="119"/>
      <c r="QOM70" s="119"/>
      <c r="QON70" s="119"/>
      <c r="QOO70" s="119"/>
      <c r="QOP70" s="119"/>
      <c r="QOQ70" s="119"/>
      <c r="QOR70" s="119"/>
      <c r="QOS70" s="119"/>
      <c r="QOT70" s="119"/>
      <c r="QOU70" s="119"/>
      <c r="QOV70" s="119"/>
      <c r="QOW70" s="119"/>
      <c r="QOX70" s="119"/>
      <c r="QOY70" s="119"/>
      <c r="QOZ70" s="119"/>
      <c r="QPA70" s="119"/>
      <c r="QPB70" s="119"/>
      <c r="QPC70" s="119"/>
      <c r="QPD70" s="119"/>
      <c r="QPE70" s="119"/>
      <c r="QPF70" s="119"/>
      <c r="QPG70" s="119"/>
      <c r="QPH70" s="119"/>
      <c r="QPI70" s="119"/>
      <c r="QPJ70" s="119"/>
      <c r="QPK70" s="119"/>
      <c r="QPL70" s="119"/>
      <c r="QPM70" s="119"/>
      <c r="QPN70" s="119"/>
      <c r="QPO70" s="119"/>
      <c r="QPP70" s="119"/>
      <c r="QPQ70" s="119"/>
      <c r="QPR70" s="119"/>
      <c r="QPS70" s="119"/>
      <c r="QPT70" s="119"/>
      <c r="QPU70" s="119"/>
      <c r="QPV70" s="119"/>
      <c r="QPW70" s="119"/>
      <c r="QPX70" s="119"/>
      <c r="QPY70" s="119"/>
      <c r="QPZ70" s="119"/>
      <c r="QQA70" s="119"/>
      <c r="QQB70" s="119"/>
      <c r="QQC70" s="119"/>
      <c r="QQD70" s="119"/>
      <c r="QQE70" s="119"/>
      <c r="QQF70" s="119"/>
      <c r="QQG70" s="119"/>
      <c r="QQH70" s="119"/>
      <c r="QQI70" s="119"/>
      <c r="QQJ70" s="119"/>
      <c r="QQK70" s="119"/>
      <c r="QQL70" s="119"/>
      <c r="QQM70" s="119"/>
      <c r="QQN70" s="119"/>
      <c r="QQO70" s="119"/>
      <c r="QQP70" s="119"/>
      <c r="QQQ70" s="119"/>
      <c r="QQR70" s="119"/>
      <c r="QQS70" s="119"/>
      <c r="QQT70" s="119"/>
      <c r="QQU70" s="119"/>
      <c r="QQV70" s="119"/>
      <c r="QQW70" s="119"/>
      <c r="QQX70" s="119"/>
      <c r="QQY70" s="119"/>
      <c r="QQZ70" s="119"/>
      <c r="QRA70" s="119"/>
      <c r="QRB70" s="119"/>
      <c r="QRC70" s="119"/>
      <c r="QRD70" s="119"/>
      <c r="QRE70" s="119"/>
      <c r="QRF70" s="119"/>
      <c r="QRG70" s="119"/>
      <c r="QRH70" s="119"/>
      <c r="QRI70" s="119"/>
      <c r="QRJ70" s="119"/>
      <c r="QRK70" s="119"/>
      <c r="QRL70" s="119"/>
      <c r="QRM70" s="119"/>
      <c r="QRN70" s="119"/>
      <c r="QRO70" s="119"/>
      <c r="QRP70" s="119"/>
      <c r="QRQ70" s="119"/>
      <c r="QRR70" s="119"/>
      <c r="QRS70" s="119"/>
      <c r="QRT70" s="119"/>
      <c r="QRU70" s="119"/>
      <c r="QRV70" s="119"/>
      <c r="QRW70" s="119"/>
      <c r="QRX70" s="119"/>
      <c r="QRY70" s="119"/>
      <c r="QRZ70" s="119"/>
      <c r="QSA70" s="119"/>
      <c r="QSB70" s="119"/>
      <c r="QSC70" s="119"/>
      <c r="QSD70" s="119"/>
      <c r="QSE70" s="119"/>
      <c r="QSF70" s="119"/>
      <c r="QSG70" s="119"/>
      <c r="QSH70" s="119"/>
      <c r="QSI70" s="119"/>
      <c r="QSJ70" s="119"/>
      <c r="QSK70" s="119"/>
      <c r="QSL70" s="119"/>
      <c r="QSM70" s="119"/>
      <c r="QSN70" s="119"/>
      <c r="QSO70" s="119"/>
      <c r="QSP70" s="119"/>
      <c r="QSQ70" s="119"/>
      <c r="QSR70" s="119"/>
      <c r="QSS70" s="119"/>
      <c r="QST70" s="119"/>
      <c r="QSU70" s="119"/>
      <c r="QSV70" s="119"/>
      <c r="QSW70" s="119"/>
      <c r="QSX70" s="119"/>
      <c r="QSY70" s="119"/>
      <c r="QSZ70" s="119"/>
      <c r="QTA70" s="119"/>
      <c r="QTB70" s="119"/>
      <c r="QTC70" s="119"/>
      <c r="QTD70" s="119"/>
      <c r="QTE70" s="119"/>
      <c r="QTF70" s="119"/>
      <c r="QTG70" s="119"/>
      <c r="QTH70" s="119"/>
      <c r="QTI70" s="119"/>
      <c r="QTJ70" s="119"/>
      <c r="QTK70" s="119"/>
      <c r="QTL70" s="119"/>
      <c r="QTM70" s="119"/>
      <c r="QTN70" s="119"/>
      <c r="QTO70" s="119"/>
      <c r="QTP70" s="119"/>
      <c r="QTQ70" s="119"/>
      <c r="QTR70" s="119"/>
      <c r="QTS70" s="119"/>
      <c r="QTT70" s="119"/>
      <c r="QTU70" s="119"/>
      <c r="QTV70" s="119"/>
      <c r="QTW70" s="119"/>
      <c r="QTX70" s="119"/>
      <c r="QTY70" s="119"/>
      <c r="QTZ70" s="119"/>
      <c r="QUA70" s="119"/>
      <c r="QUB70" s="119"/>
      <c r="QUC70" s="119"/>
      <c r="QUD70" s="119"/>
      <c r="QUE70" s="119"/>
      <c r="QUF70" s="119"/>
      <c r="QUG70" s="119"/>
      <c r="QUH70" s="119"/>
      <c r="QUI70" s="119"/>
      <c r="QUJ70" s="119"/>
      <c r="QUK70" s="119"/>
      <c r="QUL70" s="119"/>
      <c r="QUM70" s="119"/>
      <c r="QUN70" s="119"/>
      <c r="QUO70" s="119"/>
      <c r="QUP70" s="119"/>
      <c r="QUQ70" s="119"/>
      <c r="QUR70" s="119"/>
      <c r="QUS70" s="119"/>
      <c r="QUT70" s="119"/>
      <c r="QUU70" s="119"/>
      <c r="QUV70" s="119"/>
      <c r="QUW70" s="119"/>
      <c r="QUX70" s="119"/>
      <c r="QUY70" s="119"/>
      <c r="QUZ70" s="119"/>
      <c r="QVA70" s="119"/>
      <c r="QVB70" s="119"/>
      <c r="QVC70" s="119"/>
      <c r="QVD70" s="119"/>
      <c r="QVE70" s="119"/>
      <c r="QVF70" s="119"/>
      <c r="QVG70" s="119"/>
      <c r="QVH70" s="119"/>
      <c r="QVI70" s="119"/>
      <c r="QVJ70" s="119"/>
      <c r="QVK70" s="119"/>
      <c r="QVL70" s="119"/>
      <c r="QVM70" s="119"/>
      <c r="QVN70" s="119"/>
      <c r="QVO70" s="119"/>
      <c r="QVP70" s="119"/>
      <c r="QVQ70" s="119"/>
      <c r="QVR70" s="119"/>
      <c r="QVS70" s="119"/>
      <c r="QVT70" s="119"/>
      <c r="QVU70" s="119"/>
      <c r="QVV70" s="119"/>
      <c r="QVW70" s="119"/>
      <c r="QVX70" s="119"/>
      <c r="QVY70" s="119"/>
      <c r="QVZ70" s="119"/>
      <c r="QWA70" s="119"/>
      <c r="QWB70" s="119"/>
      <c r="QWC70" s="119"/>
      <c r="QWD70" s="119"/>
      <c r="QWE70" s="119"/>
      <c r="QWF70" s="119"/>
      <c r="QWG70" s="119"/>
      <c r="QWH70" s="119"/>
      <c r="QWI70" s="119"/>
      <c r="QWJ70" s="119"/>
      <c r="QWK70" s="119"/>
      <c r="QWL70" s="119"/>
      <c r="QWM70" s="119"/>
      <c r="QWN70" s="119"/>
      <c r="QWO70" s="119"/>
      <c r="QWP70" s="119"/>
      <c r="QWQ70" s="119"/>
      <c r="QWR70" s="119"/>
      <c r="QWS70" s="119"/>
      <c r="QWT70" s="119"/>
      <c r="QWU70" s="119"/>
      <c r="QWV70" s="119"/>
      <c r="QWW70" s="119"/>
      <c r="QWX70" s="119"/>
      <c r="QWY70" s="119"/>
      <c r="QWZ70" s="119"/>
      <c r="QXA70" s="119"/>
      <c r="QXB70" s="119"/>
      <c r="QXC70" s="119"/>
      <c r="QXD70" s="119"/>
      <c r="QXE70" s="119"/>
      <c r="QXF70" s="119"/>
      <c r="QXG70" s="119"/>
      <c r="QXH70" s="119"/>
      <c r="QXI70" s="119"/>
      <c r="QXJ70" s="119"/>
      <c r="QXK70" s="119"/>
      <c r="QXL70" s="119"/>
      <c r="QXM70" s="119"/>
      <c r="QXN70" s="119"/>
      <c r="QXO70" s="119"/>
      <c r="QXP70" s="119"/>
      <c r="QXQ70" s="119"/>
      <c r="QXR70" s="119"/>
      <c r="QXS70" s="119"/>
      <c r="QXT70" s="119"/>
      <c r="QXU70" s="119"/>
      <c r="QXV70" s="119"/>
      <c r="QXW70" s="119"/>
      <c r="QXX70" s="119"/>
      <c r="QXY70" s="119"/>
      <c r="QXZ70" s="119"/>
      <c r="QYA70" s="119"/>
      <c r="QYB70" s="119"/>
      <c r="QYC70" s="119"/>
      <c r="QYD70" s="119"/>
      <c r="QYE70" s="119"/>
      <c r="QYF70" s="119"/>
      <c r="QYG70" s="119"/>
      <c r="QYH70" s="119"/>
      <c r="QYI70" s="119"/>
      <c r="QYJ70" s="119"/>
      <c r="QYK70" s="119"/>
      <c r="QYL70" s="119"/>
      <c r="QYM70" s="119"/>
      <c r="QYN70" s="119"/>
      <c r="QYO70" s="119"/>
      <c r="QYP70" s="119"/>
      <c r="QYQ70" s="119"/>
      <c r="QYR70" s="119"/>
      <c r="QYS70" s="119"/>
      <c r="QYT70" s="119"/>
      <c r="QYU70" s="119"/>
      <c r="QYV70" s="119"/>
      <c r="QYW70" s="119"/>
      <c r="QYX70" s="119"/>
      <c r="QYY70" s="119"/>
      <c r="QYZ70" s="119"/>
      <c r="QZA70" s="119"/>
      <c r="QZB70" s="119"/>
      <c r="QZC70" s="119"/>
      <c r="QZD70" s="119"/>
      <c r="QZE70" s="119"/>
      <c r="QZF70" s="119"/>
      <c r="QZG70" s="119"/>
      <c r="QZH70" s="119"/>
      <c r="QZI70" s="119"/>
      <c r="QZJ70" s="119"/>
      <c r="QZK70" s="119"/>
      <c r="QZL70" s="119"/>
      <c r="QZM70" s="119"/>
      <c r="QZN70" s="119"/>
      <c r="QZO70" s="119"/>
      <c r="QZP70" s="119"/>
      <c r="QZQ70" s="119"/>
      <c r="QZR70" s="119"/>
      <c r="QZS70" s="119"/>
      <c r="QZT70" s="119"/>
      <c r="QZU70" s="119"/>
      <c r="QZV70" s="119"/>
      <c r="QZW70" s="119"/>
      <c r="QZX70" s="119"/>
      <c r="QZY70" s="119"/>
      <c r="QZZ70" s="119"/>
      <c r="RAA70" s="119"/>
      <c r="RAB70" s="119"/>
      <c r="RAC70" s="119"/>
      <c r="RAD70" s="119"/>
      <c r="RAE70" s="119"/>
      <c r="RAF70" s="119"/>
      <c r="RAG70" s="119"/>
      <c r="RAH70" s="119"/>
      <c r="RAI70" s="119"/>
      <c r="RAJ70" s="119"/>
      <c r="RAK70" s="119"/>
      <c r="RAL70" s="119"/>
      <c r="RAM70" s="119"/>
      <c r="RAN70" s="119"/>
      <c r="RAO70" s="119"/>
      <c r="RAP70" s="119"/>
      <c r="RAQ70" s="119"/>
      <c r="RAR70" s="119"/>
      <c r="RAS70" s="119"/>
      <c r="RAT70" s="119"/>
      <c r="RAU70" s="119"/>
      <c r="RAV70" s="119"/>
      <c r="RAW70" s="119"/>
      <c r="RAX70" s="119"/>
      <c r="RAY70" s="119"/>
      <c r="RAZ70" s="119"/>
      <c r="RBA70" s="119"/>
      <c r="RBB70" s="119"/>
      <c r="RBC70" s="119"/>
      <c r="RBD70" s="119"/>
      <c r="RBE70" s="119"/>
      <c r="RBF70" s="119"/>
      <c r="RBG70" s="119"/>
      <c r="RBH70" s="119"/>
      <c r="RBI70" s="119"/>
      <c r="RBJ70" s="119"/>
      <c r="RBK70" s="119"/>
      <c r="RBL70" s="119"/>
      <c r="RBM70" s="119"/>
      <c r="RBN70" s="119"/>
      <c r="RBO70" s="119"/>
      <c r="RBP70" s="119"/>
      <c r="RBQ70" s="119"/>
      <c r="RBR70" s="119"/>
      <c r="RBS70" s="119"/>
      <c r="RBT70" s="119"/>
      <c r="RBU70" s="119"/>
      <c r="RBV70" s="119"/>
      <c r="RBW70" s="119"/>
      <c r="RBX70" s="119"/>
      <c r="RBY70" s="119"/>
      <c r="RBZ70" s="119"/>
      <c r="RCA70" s="119"/>
      <c r="RCB70" s="119"/>
      <c r="RCC70" s="119"/>
      <c r="RCD70" s="119"/>
      <c r="RCE70" s="119"/>
      <c r="RCF70" s="119"/>
      <c r="RCG70" s="119"/>
      <c r="RCH70" s="119"/>
      <c r="RCI70" s="119"/>
      <c r="RCJ70" s="119"/>
      <c r="RCK70" s="119"/>
      <c r="RCL70" s="119"/>
      <c r="RCM70" s="119"/>
      <c r="RCN70" s="119"/>
      <c r="RCO70" s="119"/>
      <c r="RCP70" s="119"/>
      <c r="RCQ70" s="119"/>
      <c r="RCR70" s="119"/>
      <c r="RCS70" s="119"/>
      <c r="RCT70" s="119"/>
      <c r="RCU70" s="119"/>
      <c r="RCV70" s="119"/>
      <c r="RCW70" s="119"/>
      <c r="RCX70" s="119"/>
      <c r="RCY70" s="119"/>
      <c r="RCZ70" s="119"/>
      <c r="RDA70" s="119"/>
      <c r="RDB70" s="119"/>
      <c r="RDC70" s="119"/>
      <c r="RDD70" s="119"/>
      <c r="RDE70" s="119"/>
      <c r="RDF70" s="119"/>
      <c r="RDG70" s="119"/>
      <c r="RDH70" s="119"/>
      <c r="RDI70" s="119"/>
      <c r="RDJ70" s="119"/>
      <c r="RDK70" s="119"/>
      <c r="RDL70" s="119"/>
      <c r="RDM70" s="119"/>
      <c r="RDN70" s="119"/>
      <c r="RDO70" s="119"/>
      <c r="RDP70" s="119"/>
      <c r="RDQ70" s="119"/>
      <c r="RDR70" s="119"/>
      <c r="RDS70" s="119"/>
      <c r="RDT70" s="119"/>
      <c r="RDU70" s="119"/>
      <c r="RDV70" s="119"/>
      <c r="RDW70" s="119"/>
      <c r="RDX70" s="119"/>
      <c r="RDY70" s="119"/>
      <c r="RDZ70" s="119"/>
      <c r="REA70" s="119"/>
      <c r="REB70" s="119"/>
      <c r="REC70" s="119"/>
      <c r="RED70" s="119"/>
      <c r="REE70" s="119"/>
      <c r="REF70" s="119"/>
      <c r="REG70" s="119"/>
      <c r="REH70" s="119"/>
      <c r="REI70" s="119"/>
      <c r="REJ70" s="119"/>
      <c r="REK70" s="119"/>
      <c r="REL70" s="119"/>
      <c r="REM70" s="119"/>
      <c r="REN70" s="119"/>
      <c r="REO70" s="119"/>
      <c r="REP70" s="119"/>
      <c r="REQ70" s="119"/>
      <c r="RER70" s="119"/>
      <c r="RES70" s="119"/>
      <c r="RET70" s="119"/>
      <c r="REU70" s="119"/>
      <c r="REV70" s="119"/>
      <c r="REW70" s="119"/>
      <c r="REX70" s="119"/>
      <c r="REY70" s="119"/>
      <c r="REZ70" s="119"/>
      <c r="RFA70" s="119"/>
      <c r="RFB70" s="119"/>
      <c r="RFC70" s="119"/>
      <c r="RFD70" s="119"/>
      <c r="RFE70" s="119"/>
      <c r="RFF70" s="119"/>
      <c r="RFG70" s="119"/>
      <c r="RFH70" s="119"/>
      <c r="RFI70" s="119"/>
      <c r="RFJ70" s="119"/>
      <c r="RFK70" s="119"/>
      <c r="RFL70" s="119"/>
      <c r="RFM70" s="119"/>
      <c r="RFN70" s="119"/>
      <c r="RFO70" s="119"/>
      <c r="RFP70" s="119"/>
      <c r="RFQ70" s="119"/>
      <c r="RFR70" s="119"/>
      <c r="RFS70" s="119"/>
      <c r="RFT70" s="119"/>
      <c r="RFU70" s="119"/>
      <c r="RFV70" s="119"/>
      <c r="RFW70" s="119"/>
      <c r="RFX70" s="119"/>
      <c r="RFY70" s="119"/>
      <c r="RFZ70" s="119"/>
      <c r="RGA70" s="119"/>
      <c r="RGB70" s="119"/>
      <c r="RGC70" s="119"/>
      <c r="RGD70" s="119"/>
      <c r="RGE70" s="119"/>
      <c r="RGF70" s="119"/>
      <c r="RGG70" s="119"/>
      <c r="RGH70" s="119"/>
      <c r="RGI70" s="119"/>
      <c r="RGJ70" s="119"/>
      <c r="RGK70" s="119"/>
      <c r="RGL70" s="119"/>
      <c r="RGM70" s="119"/>
      <c r="RGN70" s="119"/>
      <c r="RGO70" s="119"/>
      <c r="RGP70" s="119"/>
      <c r="RGQ70" s="119"/>
      <c r="RGR70" s="119"/>
      <c r="RGS70" s="119"/>
      <c r="RGT70" s="119"/>
      <c r="RGU70" s="119"/>
      <c r="RGV70" s="119"/>
      <c r="RGW70" s="119"/>
      <c r="RGX70" s="119"/>
      <c r="RGY70" s="119"/>
      <c r="RGZ70" s="119"/>
      <c r="RHA70" s="119"/>
      <c r="RHB70" s="119"/>
      <c r="RHC70" s="119"/>
      <c r="RHD70" s="119"/>
      <c r="RHE70" s="119"/>
      <c r="RHF70" s="119"/>
      <c r="RHG70" s="119"/>
      <c r="RHH70" s="119"/>
      <c r="RHI70" s="119"/>
      <c r="RHJ70" s="119"/>
      <c r="RHK70" s="119"/>
      <c r="RHL70" s="119"/>
      <c r="RHM70" s="119"/>
      <c r="RHN70" s="119"/>
      <c r="RHO70" s="119"/>
      <c r="RHP70" s="119"/>
      <c r="RHQ70" s="119"/>
      <c r="RHR70" s="119"/>
      <c r="RHS70" s="119"/>
      <c r="RHT70" s="119"/>
      <c r="RHU70" s="119"/>
      <c r="RHV70" s="119"/>
      <c r="RHW70" s="119"/>
      <c r="RHX70" s="119"/>
      <c r="RHY70" s="119"/>
      <c r="RHZ70" s="119"/>
      <c r="RIA70" s="119"/>
      <c r="RIB70" s="119"/>
      <c r="RIC70" s="119"/>
      <c r="RID70" s="119"/>
      <c r="RIE70" s="119"/>
      <c r="RIF70" s="119"/>
      <c r="RIG70" s="119"/>
      <c r="RIH70" s="119"/>
      <c r="RII70" s="119"/>
      <c r="RIJ70" s="119"/>
      <c r="RIK70" s="119"/>
      <c r="RIL70" s="119"/>
      <c r="RIM70" s="119"/>
      <c r="RIN70" s="119"/>
      <c r="RIO70" s="119"/>
      <c r="RIP70" s="119"/>
      <c r="RIQ70" s="119"/>
      <c r="RIR70" s="119"/>
      <c r="RIS70" s="119"/>
      <c r="RIT70" s="119"/>
      <c r="RIU70" s="119"/>
      <c r="RIV70" s="119"/>
      <c r="RIW70" s="119"/>
      <c r="RIX70" s="119"/>
      <c r="RIY70" s="119"/>
      <c r="RIZ70" s="119"/>
      <c r="RJA70" s="119"/>
      <c r="RJB70" s="119"/>
      <c r="RJC70" s="119"/>
      <c r="RJD70" s="119"/>
      <c r="RJE70" s="119"/>
      <c r="RJF70" s="119"/>
      <c r="RJG70" s="119"/>
      <c r="RJH70" s="119"/>
      <c r="RJI70" s="119"/>
      <c r="RJJ70" s="119"/>
      <c r="RJK70" s="119"/>
      <c r="RJL70" s="119"/>
      <c r="RJM70" s="119"/>
      <c r="RJN70" s="119"/>
      <c r="RJO70" s="119"/>
      <c r="RJP70" s="119"/>
      <c r="RJQ70" s="119"/>
      <c r="RJR70" s="119"/>
      <c r="RJS70" s="119"/>
      <c r="RJT70" s="119"/>
      <c r="RJU70" s="119"/>
      <c r="RJV70" s="119"/>
      <c r="RJW70" s="119"/>
      <c r="RJX70" s="119"/>
      <c r="RJY70" s="119"/>
      <c r="RJZ70" s="119"/>
      <c r="RKA70" s="119"/>
      <c r="RKB70" s="119"/>
      <c r="RKC70" s="119"/>
      <c r="RKD70" s="119"/>
      <c r="RKE70" s="119"/>
      <c r="RKF70" s="119"/>
      <c r="RKG70" s="119"/>
      <c r="RKH70" s="119"/>
      <c r="RKI70" s="119"/>
      <c r="RKJ70" s="119"/>
      <c r="RKK70" s="119"/>
      <c r="RKL70" s="119"/>
      <c r="RKM70" s="119"/>
      <c r="RKN70" s="119"/>
      <c r="RKO70" s="119"/>
      <c r="RKP70" s="119"/>
      <c r="RKQ70" s="119"/>
      <c r="RKR70" s="119"/>
      <c r="RKS70" s="119"/>
      <c r="RKT70" s="119"/>
      <c r="RKU70" s="119"/>
      <c r="RKV70" s="119"/>
      <c r="RKW70" s="119"/>
      <c r="RKX70" s="119"/>
      <c r="RKY70" s="119"/>
      <c r="RKZ70" s="119"/>
      <c r="RLA70" s="119"/>
      <c r="RLB70" s="119"/>
      <c r="RLC70" s="119"/>
      <c r="RLD70" s="119"/>
      <c r="RLE70" s="119"/>
      <c r="RLF70" s="119"/>
      <c r="RLG70" s="119"/>
      <c r="RLH70" s="119"/>
      <c r="RLI70" s="119"/>
      <c r="RLJ70" s="119"/>
      <c r="RLK70" s="119"/>
      <c r="RLL70" s="119"/>
      <c r="RLM70" s="119"/>
      <c r="RLN70" s="119"/>
      <c r="RLO70" s="119"/>
      <c r="RLP70" s="119"/>
      <c r="RLQ70" s="119"/>
      <c r="RLR70" s="119"/>
      <c r="RLS70" s="119"/>
      <c r="RLT70" s="119"/>
      <c r="RLU70" s="119"/>
      <c r="RLV70" s="119"/>
      <c r="RLW70" s="119"/>
      <c r="RLX70" s="119"/>
      <c r="RLY70" s="119"/>
      <c r="RLZ70" s="119"/>
      <c r="RMA70" s="119"/>
      <c r="RMB70" s="119"/>
      <c r="RMC70" s="119"/>
      <c r="RMD70" s="119"/>
      <c r="RME70" s="119"/>
      <c r="RMF70" s="119"/>
      <c r="RMG70" s="119"/>
      <c r="RMH70" s="119"/>
      <c r="RMI70" s="119"/>
      <c r="RMJ70" s="119"/>
      <c r="RMK70" s="119"/>
      <c r="RML70" s="119"/>
      <c r="RMM70" s="119"/>
      <c r="RMN70" s="119"/>
      <c r="RMO70" s="119"/>
      <c r="RMP70" s="119"/>
      <c r="RMQ70" s="119"/>
      <c r="RMR70" s="119"/>
      <c r="RMS70" s="119"/>
      <c r="RMT70" s="119"/>
      <c r="RMU70" s="119"/>
      <c r="RMV70" s="119"/>
      <c r="RMW70" s="119"/>
      <c r="RMX70" s="119"/>
      <c r="RMY70" s="119"/>
      <c r="RMZ70" s="119"/>
      <c r="RNA70" s="119"/>
      <c r="RNB70" s="119"/>
      <c r="RNC70" s="119"/>
      <c r="RND70" s="119"/>
      <c r="RNE70" s="119"/>
      <c r="RNF70" s="119"/>
      <c r="RNG70" s="119"/>
      <c r="RNH70" s="119"/>
      <c r="RNI70" s="119"/>
      <c r="RNJ70" s="119"/>
      <c r="RNK70" s="119"/>
      <c r="RNL70" s="119"/>
      <c r="RNM70" s="119"/>
      <c r="RNN70" s="119"/>
      <c r="RNO70" s="119"/>
      <c r="RNP70" s="119"/>
      <c r="RNQ70" s="119"/>
      <c r="RNR70" s="119"/>
      <c r="RNS70" s="119"/>
      <c r="RNT70" s="119"/>
      <c r="RNU70" s="119"/>
      <c r="RNV70" s="119"/>
      <c r="RNW70" s="119"/>
      <c r="RNX70" s="119"/>
      <c r="RNY70" s="119"/>
      <c r="RNZ70" s="119"/>
      <c r="ROA70" s="119"/>
      <c r="ROB70" s="119"/>
      <c r="ROC70" s="119"/>
      <c r="ROD70" s="119"/>
      <c r="ROE70" s="119"/>
      <c r="ROF70" s="119"/>
      <c r="ROG70" s="119"/>
      <c r="ROH70" s="119"/>
      <c r="ROI70" s="119"/>
      <c r="ROJ70" s="119"/>
      <c r="ROK70" s="119"/>
      <c r="ROL70" s="119"/>
      <c r="ROM70" s="119"/>
      <c r="RON70" s="119"/>
      <c r="ROO70" s="119"/>
      <c r="ROP70" s="119"/>
      <c r="ROQ70" s="119"/>
      <c r="ROR70" s="119"/>
      <c r="ROS70" s="119"/>
      <c r="ROT70" s="119"/>
      <c r="ROU70" s="119"/>
      <c r="ROV70" s="119"/>
      <c r="ROW70" s="119"/>
      <c r="ROX70" s="119"/>
      <c r="ROY70" s="119"/>
      <c r="ROZ70" s="119"/>
      <c r="RPA70" s="119"/>
      <c r="RPB70" s="119"/>
      <c r="RPC70" s="119"/>
      <c r="RPD70" s="119"/>
      <c r="RPE70" s="119"/>
      <c r="RPF70" s="119"/>
      <c r="RPG70" s="119"/>
      <c r="RPH70" s="119"/>
      <c r="RPI70" s="119"/>
      <c r="RPJ70" s="119"/>
      <c r="RPK70" s="119"/>
      <c r="RPL70" s="119"/>
      <c r="RPM70" s="119"/>
      <c r="RPN70" s="119"/>
      <c r="RPO70" s="119"/>
      <c r="RPP70" s="119"/>
      <c r="RPQ70" s="119"/>
      <c r="RPR70" s="119"/>
      <c r="RPS70" s="119"/>
      <c r="RPT70" s="119"/>
      <c r="RPU70" s="119"/>
      <c r="RPV70" s="119"/>
      <c r="RPW70" s="119"/>
      <c r="RPX70" s="119"/>
      <c r="RPY70" s="119"/>
      <c r="RPZ70" s="119"/>
      <c r="RQA70" s="119"/>
      <c r="RQB70" s="119"/>
      <c r="RQC70" s="119"/>
      <c r="RQD70" s="119"/>
      <c r="RQE70" s="119"/>
      <c r="RQF70" s="119"/>
      <c r="RQG70" s="119"/>
      <c r="RQH70" s="119"/>
      <c r="RQI70" s="119"/>
      <c r="RQJ70" s="119"/>
      <c r="RQK70" s="119"/>
      <c r="RQL70" s="119"/>
      <c r="RQM70" s="119"/>
      <c r="RQN70" s="119"/>
      <c r="RQO70" s="119"/>
      <c r="RQP70" s="119"/>
      <c r="RQQ70" s="119"/>
      <c r="RQR70" s="119"/>
      <c r="RQS70" s="119"/>
      <c r="RQT70" s="119"/>
      <c r="RQU70" s="119"/>
      <c r="RQV70" s="119"/>
      <c r="RQW70" s="119"/>
      <c r="RQX70" s="119"/>
      <c r="RQY70" s="119"/>
      <c r="RQZ70" s="119"/>
      <c r="RRA70" s="119"/>
      <c r="RRB70" s="119"/>
      <c r="RRC70" s="119"/>
      <c r="RRD70" s="119"/>
      <c r="RRE70" s="119"/>
      <c r="RRF70" s="119"/>
      <c r="RRG70" s="119"/>
      <c r="RRH70" s="119"/>
      <c r="RRI70" s="119"/>
      <c r="RRJ70" s="119"/>
      <c r="RRK70" s="119"/>
      <c r="RRL70" s="119"/>
      <c r="RRM70" s="119"/>
      <c r="RRN70" s="119"/>
      <c r="RRO70" s="119"/>
      <c r="RRP70" s="119"/>
      <c r="RRQ70" s="119"/>
      <c r="RRR70" s="119"/>
      <c r="RRS70" s="119"/>
      <c r="RRT70" s="119"/>
      <c r="RRU70" s="119"/>
      <c r="RRV70" s="119"/>
      <c r="RRW70" s="119"/>
      <c r="RRX70" s="119"/>
      <c r="RRY70" s="119"/>
      <c r="RRZ70" s="119"/>
      <c r="RSA70" s="119"/>
      <c r="RSB70" s="119"/>
      <c r="RSC70" s="119"/>
      <c r="RSD70" s="119"/>
      <c r="RSE70" s="119"/>
      <c r="RSF70" s="119"/>
      <c r="RSG70" s="119"/>
      <c r="RSH70" s="119"/>
      <c r="RSI70" s="119"/>
      <c r="RSJ70" s="119"/>
      <c r="RSK70" s="119"/>
      <c r="RSL70" s="119"/>
      <c r="RSM70" s="119"/>
      <c r="RSN70" s="119"/>
      <c r="RSO70" s="119"/>
      <c r="RSP70" s="119"/>
      <c r="RSQ70" s="119"/>
      <c r="RSR70" s="119"/>
      <c r="RSS70" s="119"/>
      <c r="RST70" s="119"/>
      <c r="RSU70" s="119"/>
      <c r="RSV70" s="119"/>
      <c r="RSW70" s="119"/>
      <c r="RSX70" s="119"/>
      <c r="RSY70" s="119"/>
      <c r="RSZ70" s="119"/>
      <c r="RTA70" s="119"/>
      <c r="RTB70" s="119"/>
      <c r="RTC70" s="119"/>
      <c r="RTD70" s="119"/>
      <c r="RTE70" s="119"/>
      <c r="RTF70" s="119"/>
      <c r="RTG70" s="119"/>
      <c r="RTH70" s="119"/>
      <c r="RTI70" s="119"/>
      <c r="RTJ70" s="119"/>
      <c r="RTK70" s="119"/>
      <c r="RTL70" s="119"/>
      <c r="RTM70" s="119"/>
      <c r="RTN70" s="119"/>
      <c r="RTO70" s="119"/>
      <c r="RTP70" s="119"/>
      <c r="RTQ70" s="119"/>
      <c r="RTR70" s="119"/>
      <c r="RTS70" s="119"/>
      <c r="RTT70" s="119"/>
      <c r="RTU70" s="119"/>
      <c r="RTV70" s="119"/>
      <c r="RTW70" s="119"/>
      <c r="RTX70" s="119"/>
      <c r="RTY70" s="119"/>
      <c r="RTZ70" s="119"/>
      <c r="RUA70" s="119"/>
      <c r="RUB70" s="119"/>
      <c r="RUC70" s="119"/>
      <c r="RUD70" s="119"/>
      <c r="RUE70" s="119"/>
      <c r="RUF70" s="119"/>
      <c r="RUG70" s="119"/>
      <c r="RUH70" s="119"/>
      <c r="RUI70" s="119"/>
      <c r="RUJ70" s="119"/>
      <c r="RUK70" s="119"/>
      <c r="RUL70" s="119"/>
      <c r="RUM70" s="119"/>
      <c r="RUN70" s="119"/>
      <c r="RUO70" s="119"/>
      <c r="RUP70" s="119"/>
      <c r="RUQ70" s="119"/>
      <c r="RUR70" s="119"/>
      <c r="RUS70" s="119"/>
      <c r="RUT70" s="119"/>
      <c r="RUU70" s="119"/>
      <c r="RUV70" s="119"/>
      <c r="RUW70" s="119"/>
      <c r="RUX70" s="119"/>
      <c r="RUY70" s="119"/>
      <c r="RUZ70" s="119"/>
      <c r="RVA70" s="119"/>
      <c r="RVB70" s="119"/>
      <c r="RVC70" s="119"/>
      <c r="RVD70" s="119"/>
      <c r="RVE70" s="119"/>
      <c r="RVF70" s="119"/>
      <c r="RVG70" s="119"/>
      <c r="RVH70" s="119"/>
      <c r="RVI70" s="119"/>
      <c r="RVJ70" s="119"/>
      <c r="RVK70" s="119"/>
      <c r="RVL70" s="119"/>
      <c r="RVM70" s="119"/>
      <c r="RVN70" s="119"/>
      <c r="RVO70" s="119"/>
      <c r="RVP70" s="119"/>
      <c r="RVQ70" s="119"/>
      <c r="RVR70" s="119"/>
      <c r="RVS70" s="119"/>
      <c r="RVT70" s="119"/>
      <c r="RVU70" s="119"/>
      <c r="RVV70" s="119"/>
      <c r="RVW70" s="119"/>
      <c r="RVX70" s="119"/>
      <c r="RVY70" s="119"/>
      <c r="RVZ70" s="119"/>
      <c r="RWA70" s="119"/>
      <c r="RWB70" s="119"/>
      <c r="RWC70" s="119"/>
      <c r="RWD70" s="119"/>
      <c r="RWE70" s="119"/>
      <c r="RWF70" s="119"/>
      <c r="RWG70" s="119"/>
      <c r="RWH70" s="119"/>
      <c r="RWI70" s="119"/>
      <c r="RWJ70" s="119"/>
      <c r="RWK70" s="119"/>
      <c r="RWL70" s="119"/>
      <c r="RWM70" s="119"/>
      <c r="RWN70" s="119"/>
      <c r="RWO70" s="119"/>
      <c r="RWP70" s="119"/>
      <c r="RWQ70" s="119"/>
      <c r="RWR70" s="119"/>
      <c r="RWS70" s="119"/>
      <c r="RWT70" s="119"/>
      <c r="RWU70" s="119"/>
      <c r="RWV70" s="119"/>
      <c r="RWW70" s="119"/>
      <c r="RWX70" s="119"/>
      <c r="RWY70" s="119"/>
      <c r="RWZ70" s="119"/>
      <c r="RXA70" s="119"/>
      <c r="RXB70" s="119"/>
      <c r="RXC70" s="119"/>
      <c r="RXD70" s="119"/>
      <c r="RXE70" s="119"/>
      <c r="RXF70" s="119"/>
      <c r="RXG70" s="119"/>
      <c r="RXH70" s="119"/>
      <c r="RXI70" s="119"/>
      <c r="RXJ70" s="119"/>
      <c r="RXK70" s="119"/>
      <c r="RXL70" s="119"/>
      <c r="RXM70" s="119"/>
      <c r="RXN70" s="119"/>
      <c r="RXO70" s="119"/>
      <c r="RXP70" s="119"/>
      <c r="RXQ70" s="119"/>
      <c r="RXR70" s="119"/>
      <c r="RXS70" s="119"/>
      <c r="RXT70" s="119"/>
      <c r="RXU70" s="119"/>
      <c r="RXV70" s="119"/>
      <c r="RXW70" s="119"/>
      <c r="RXX70" s="119"/>
      <c r="RXY70" s="119"/>
      <c r="RXZ70" s="119"/>
      <c r="RYA70" s="119"/>
      <c r="RYB70" s="119"/>
      <c r="RYC70" s="119"/>
      <c r="RYD70" s="119"/>
      <c r="RYE70" s="119"/>
      <c r="RYF70" s="119"/>
      <c r="RYG70" s="119"/>
      <c r="RYH70" s="119"/>
      <c r="RYI70" s="119"/>
      <c r="RYJ70" s="119"/>
      <c r="RYK70" s="119"/>
      <c r="RYL70" s="119"/>
      <c r="RYM70" s="119"/>
      <c r="RYN70" s="119"/>
      <c r="RYO70" s="119"/>
      <c r="RYP70" s="119"/>
      <c r="RYQ70" s="119"/>
      <c r="RYR70" s="119"/>
      <c r="RYS70" s="119"/>
      <c r="RYT70" s="119"/>
      <c r="RYU70" s="119"/>
      <c r="RYV70" s="119"/>
      <c r="RYW70" s="119"/>
      <c r="RYX70" s="119"/>
      <c r="RYY70" s="119"/>
      <c r="RYZ70" s="119"/>
      <c r="RZA70" s="119"/>
      <c r="RZB70" s="119"/>
      <c r="RZC70" s="119"/>
      <c r="RZD70" s="119"/>
      <c r="RZE70" s="119"/>
      <c r="RZF70" s="119"/>
      <c r="RZG70" s="119"/>
      <c r="RZH70" s="119"/>
      <c r="RZI70" s="119"/>
      <c r="RZJ70" s="119"/>
      <c r="RZK70" s="119"/>
      <c r="RZL70" s="119"/>
      <c r="RZM70" s="119"/>
      <c r="RZN70" s="119"/>
      <c r="RZO70" s="119"/>
      <c r="RZP70" s="119"/>
      <c r="RZQ70" s="119"/>
      <c r="RZR70" s="119"/>
      <c r="RZS70" s="119"/>
      <c r="RZT70" s="119"/>
      <c r="RZU70" s="119"/>
      <c r="RZV70" s="119"/>
      <c r="RZW70" s="119"/>
      <c r="RZX70" s="119"/>
      <c r="RZY70" s="119"/>
      <c r="RZZ70" s="119"/>
      <c r="SAA70" s="119"/>
      <c r="SAB70" s="119"/>
      <c r="SAC70" s="119"/>
      <c r="SAD70" s="119"/>
      <c r="SAE70" s="119"/>
      <c r="SAF70" s="119"/>
      <c r="SAG70" s="119"/>
      <c r="SAH70" s="119"/>
      <c r="SAI70" s="119"/>
      <c r="SAJ70" s="119"/>
      <c r="SAK70" s="119"/>
      <c r="SAL70" s="119"/>
      <c r="SAM70" s="119"/>
      <c r="SAN70" s="119"/>
      <c r="SAO70" s="119"/>
      <c r="SAP70" s="119"/>
      <c r="SAQ70" s="119"/>
      <c r="SAR70" s="119"/>
      <c r="SAS70" s="119"/>
      <c r="SAT70" s="119"/>
      <c r="SAU70" s="119"/>
      <c r="SAV70" s="119"/>
      <c r="SAW70" s="119"/>
      <c r="SAX70" s="119"/>
      <c r="SAY70" s="119"/>
      <c r="SAZ70" s="119"/>
      <c r="SBA70" s="119"/>
      <c r="SBB70" s="119"/>
      <c r="SBC70" s="119"/>
      <c r="SBD70" s="119"/>
      <c r="SBE70" s="119"/>
      <c r="SBF70" s="119"/>
      <c r="SBG70" s="119"/>
      <c r="SBH70" s="119"/>
      <c r="SBI70" s="119"/>
      <c r="SBJ70" s="119"/>
      <c r="SBK70" s="119"/>
      <c r="SBL70" s="119"/>
      <c r="SBM70" s="119"/>
      <c r="SBN70" s="119"/>
      <c r="SBO70" s="119"/>
      <c r="SBP70" s="119"/>
      <c r="SBQ70" s="119"/>
      <c r="SBR70" s="119"/>
      <c r="SBS70" s="119"/>
      <c r="SBT70" s="119"/>
      <c r="SBU70" s="119"/>
      <c r="SBV70" s="119"/>
      <c r="SBW70" s="119"/>
      <c r="SBX70" s="119"/>
      <c r="SBY70" s="119"/>
      <c r="SBZ70" s="119"/>
      <c r="SCA70" s="119"/>
      <c r="SCB70" s="119"/>
      <c r="SCC70" s="119"/>
      <c r="SCD70" s="119"/>
      <c r="SCE70" s="119"/>
      <c r="SCF70" s="119"/>
      <c r="SCG70" s="119"/>
      <c r="SCH70" s="119"/>
      <c r="SCI70" s="119"/>
      <c r="SCJ70" s="119"/>
      <c r="SCK70" s="119"/>
      <c r="SCL70" s="119"/>
      <c r="SCM70" s="119"/>
      <c r="SCN70" s="119"/>
      <c r="SCO70" s="119"/>
      <c r="SCP70" s="119"/>
      <c r="SCQ70" s="119"/>
      <c r="SCR70" s="119"/>
      <c r="SCS70" s="119"/>
      <c r="SCT70" s="119"/>
      <c r="SCU70" s="119"/>
      <c r="SCV70" s="119"/>
      <c r="SCW70" s="119"/>
      <c r="SCX70" s="119"/>
      <c r="SCY70" s="119"/>
      <c r="SCZ70" s="119"/>
      <c r="SDA70" s="119"/>
      <c r="SDB70" s="119"/>
      <c r="SDC70" s="119"/>
      <c r="SDD70" s="119"/>
      <c r="SDE70" s="119"/>
      <c r="SDF70" s="119"/>
      <c r="SDG70" s="119"/>
      <c r="SDH70" s="119"/>
      <c r="SDI70" s="119"/>
      <c r="SDJ70" s="119"/>
      <c r="SDK70" s="119"/>
      <c r="SDL70" s="119"/>
      <c r="SDM70" s="119"/>
      <c r="SDN70" s="119"/>
      <c r="SDO70" s="119"/>
      <c r="SDP70" s="119"/>
      <c r="SDQ70" s="119"/>
      <c r="SDR70" s="119"/>
      <c r="SDS70" s="119"/>
      <c r="SDT70" s="119"/>
      <c r="SDU70" s="119"/>
      <c r="SDV70" s="119"/>
      <c r="SDW70" s="119"/>
      <c r="SDX70" s="119"/>
      <c r="SDY70" s="119"/>
      <c r="SDZ70" s="119"/>
      <c r="SEA70" s="119"/>
      <c r="SEB70" s="119"/>
      <c r="SEC70" s="119"/>
      <c r="SED70" s="119"/>
      <c r="SEE70" s="119"/>
      <c r="SEF70" s="119"/>
      <c r="SEG70" s="119"/>
      <c r="SEH70" s="119"/>
      <c r="SEI70" s="119"/>
      <c r="SEJ70" s="119"/>
      <c r="SEK70" s="119"/>
      <c r="SEL70" s="119"/>
      <c r="SEM70" s="119"/>
      <c r="SEN70" s="119"/>
      <c r="SEO70" s="119"/>
      <c r="SEP70" s="119"/>
      <c r="SEQ70" s="119"/>
      <c r="SER70" s="119"/>
      <c r="SES70" s="119"/>
      <c r="SET70" s="119"/>
      <c r="SEU70" s="119"/>
      <c r="SEV70" s="119"/>
      <c r="SEW70" s="119"/>
      <c r="SEX70" s="119"/>
      <c r="SEY70" s="119"/>
      <c r="SEZ70" s="119"/>
      <c r="SFA70" s="119"/>
      <c r="SFB70" s="119"/>
      <c r="SFC70" s="119"/>
      <c r="SFD70" s="119"/>
      <c r="SFE70" s="119"/>
      <c r="SFF70" s="119"/>
      <c r="SFG70" s="119"/>
      <c r="SFH70" s="119"/>
      <c r="SFI70" s="119"/>
      <c r="SFJ70" s="119"/>
      <c r="SFK70" s="119"/>
      <c r="SFL70" s="119"/>
      <c r="SFM70" s="119"/>
      <c r="SFN70" s="119"/>
      <c r="SFO70" s="119"/>
      <c r="SFP70" s="119"/>
      <c r="SFQ70" s="119"/>
      <c r="SFR70" s="119"/>
      <c r="SFS70" s="119"/>
      <c r="SFT70" s="119"/>
      <c r="SFU70" s="119"/>
      <c r="SFV70" s="119"/>
      <c r="SFW70" s="119"/>
      <c r="SFX70" s="119"/>
      <c r="SFY70" s="119"/>
      <c r="SFZ70" s="119"/>
      <c r="SGA70" s="119"/>
      <c r="SGB70" s="119"/>
      <c r="SGC70" s="119"/>
      <c r="SGD70" s="119"/>
      <c r="SGE70" s="119"/>
      <c r="SGF70" s="119"/>
      <c r="SGG70" s="119"/>
      <c r="SGH70" s="119"/>
      <c r="SGI70" s="119"/>
      <c r="SGJ70" s="119"/>
      <c r="SGK70" s="119"/>
      <c r="SGL70" s="119"/>
      <c r="SGM70" s="119"/>
      <c r="SGN70" s="119"/>
      <c r="SGO70" s="119"/>
      <c r="SGP70" s="119"/>
      <c r="SGQ70" s="119"/>
      <c r="SGR70" s="119"/>
      <c r="SGS70" s="119"/>
      <c r="SGT70" s="119"/>
      <c r="SGU70" s="119"/>
      <c r="SGV70" s="119"/>
      <c r="SGW70" s="119"/>
      <c r="SGX70" s="119"/>
      <c r="SGY70" s="119"/>
      <c r="SGZ70" s="119"/>
      <c r="SHA70" s="119"/>
      <c r="SHB70" s="119"/>
      <c r="SHC70" s="119"/>
      <c r="SHD70" s="119"/>
      <c r="SHE70" s="119"/>
      <c r="SHF70" s="119"/>
      <c r="SHG70" s="119"/>
      <c r="SHH70" s="119"/>
      <c r="SHI70" s="119"/>
      <c r="SHJ70" s="119"/>
      <c r="SHK70" s="119"/>
      <c r="SHL70" s="119"/>
      <c r="SHM70" s="119"/>
      <c r="SHN70" s="119"/>
      <c r="SHO70" s="119"/>
      <c r="SHP70" s="119"/>
      <c r="SHQ70" s="119"/>
      <c r="SHR70" s="119"/>
      <c r="SHS70" s="119"/>
      <c r="SHT70" s="119"/>
      <c r="SHU70" s="119"/>
      <c r="SHV70" s="119"/>
      <c r="SHW70" s="119"/>
      <c r="SHX70" s="119"/>
      <c r="SHY70" s="119"/>
      <c r="SHZ70" s="119"/>
      <c r="SIA70" s="119"/>
      <c r="SIB70" s="119"/>
      <c r="SIC70" s="119"/>
      <c r="SID70" s="119"/>
      <c r="SIE70" s="119"/>
      <c r="SIF70" s="119"/>
      <c r="SIG70" s="119"/>
      <c r="SIH70" s="119"/>
      <c r="SII70" s="119"/>
      <c r="SIJ70" s="119"/>
      <c r="SIK70" s="119"/>
      <c r="SIL70" s="119"/>
      <c r="SIM70" s="119"/>
      <c r="SIN70" s="119"/>
      <c r="SIO70" s="119"/>
      <c r="SIP70" s="119"/>
      <c r="SIQ70" s="119"/>
      <c r="SIR70" s="119"/>
      <c r="SIS70" s="119"/>
      <c r="SIT70" s="119"/>
      <c r="SIU70" s="119"/>
      <c r="SIV70" s="119"/>
      <c r="SIW70" s="119"/>
      <c r="SIX70" s="119"/>
      <c r="SIY70" s="119"/>
      <c r="SIZ70" s="119"/>
      <c r="SJA70" s="119"/>
      <c r="SJB70" s="119"/>
      <c r="SJC70" s="119"/>
      <c r="SJD70" s="119"/>
      <c r="SJE70" s="119"/>
      <c r="SJF70" s="119"/>
      <c r="SJG70" s="119"/>
      <c r="SJH70" s="119"/>
      <c r="SJI70" s="119"/>
      <c r="SJJ70" s="119"/>
      <c r="SJK70" s="119"/>
      <c r="SJL70" s="119"/>
      <c r="SJM70" s="119"/>
      <c r="SJN70" s="119"/>
      <c r="SJO70" s="119"/>
      <c r="SJP70" s="119"/>
      <c r="SJQ70" s="119"/>
      <c r="SJR70" s="119"/>
      <c r="SJS70" s="119"/>
      <c r="SJT70" s="119"/>
      <c r="SJU70" s="119"/>
      <c r="SJV70" s="119"/>
      <c r="SJW70" s="119"/>
      <c r="SJX70" s="119"/>
      <c r="SJY70" s="119"/>
      <c r="SJZ70" s="119"/>
      <c r="SKA70" s="119"/>
      <c r="SKB70" s="119"/>
      <c r="SKC70" s="119"/>
      <c r="SKD70" s="119"/>
      <c r="SKE70" s="119"/>
      <c r="SKF70" s="119"/>
      <c r="SKG70" s="119"/>
      <c r="SKH70" s="119"/>
      <c r="SKI70" s="119"/>
      <c r="SKJ70" s="119"/>
      <c r="SKK70" s="119"/>
      <c r="SKL70" s="119"/>
      <c r="SKM70" s="119"/>
      <c r="SKN70" s="119"/>
      <c r="SKO70" s="119"/>
      <c r="SKP70" s="119"/>
      <c r="SKQ70" s="119"/>
      <c r="SKR70" s="119"/>
      <c r="SKS70" s="119"/>
      <c r="SKT70" s="119"/>
      <c r="SKU70" s="119"/>
      <c r="SKV70" s="119"/>
      <c r="SKW70" s="119"/>
      <c r="SKX70" s="119"/>
      <c r="SKY70" s="119"/>
      <c r="SKZ70" s="119"/>
      <c r="SLA70" s="119"/>
      <c r="SLB70" s="119"/>
      <c r="SLC70" s="119"/>
      <c r="SLD70" s="119"/>
      <c r="SLE70" s="119"/>
      <c r="SLF70" s="119"/>
      <c r="SLG70" s="119"/>
      <c r="SLH70" s="119"/>
      <c r="SLI70" s="119"/>
      <c r="SLJ70" s="119"/>
      <c r="SLK70" s="119"/>
      <c r="SLL70" s="119"/>
      <c r="SLM70" s="119"/>
      <c r="SLN70" s="119"/>
      <c r="SLO70" s="119"/>
      <c r="SLP70" s="119"/>
      <c r="SLQ70" s="119"/>
      <c r="SLR70" s="119"/>
      <c r="SLS70" s="119"/>
      <c r="SLT70" s="119"/>
      <c r="SLU70" s="119"/>
      <c r="SLV70" s="119"/>
      <c r="SLW70" s="119"/>
      <c r="SLX70" s="119"/>
      <c r="SLY70" s="119"/>
      <c r="SLZ70" s="119"/>
      <c r="SMA70" s="119"/>
      <c r="SMB70" s="119"/>
      <c r="SMC70" s="119"/>
      <c r="SMD70" s="119"/>
      <c r="SME70" s="119"/>
      <c r="SMF70" s="119"/>
      <c r="SMG70" s="119"/>
      <c r="SMH70" s="119"/>
      <c r="SMI70" s="119"/>
      <c r="SMJ70" s="119"/>
      <c r="SMK70" s="119"/>
      <c r="SML70" s="119"/>
      <c r="SMM70" s="119"/>
      <c r="SMN70" s="119"/>
      <c r="SMO70" s="119"/>
      <c r="SMP70" s="119"/>
      <c r="SMQ70" s="119"/>
      <c r="SMR70" s="119"/>
      <c r="SMS70" s="119"/>
      <c r="SMT70" s="119"/>
      <c r="SMU70" s="119"/>
      <c r="SMV70" s="119"/>
      <c r="SMW70" s="119"/>
      <c r="SMX70" s="119"/>
      <c r="SMY70" s="119"/>
      <c r="SMZ70" s="119"/>
      <c r="SNA70" s="119"/>
      <c r="SNB70" s="119"/>
      <c r="SNC70" s="119"/>
      <c r="SND70" s="119"/>
      <c r="SNE70" s="119"/>
      <c r="SNF70" s="119"/>
      <c r="SNG70" s="119"/>
      <c r="SNH70" s="119"/>
      <c r="SNI70" s="119"/>
      <c r="SNJ70" s="119"/>
      <c r="SNK70" s="119"/>
      <c r="SNL70" s="119"/>
      <c r="SNM70" s="119"/>
      <c r="SNN70" s="119"/>
      <c r="SNO70" s="119"/>
      <c r="SNP70" s="119"/>
      <c r="SNQ70" s="119"/>
      <c r="SNR70" s="119"/>
      <c r="SNS70" s="119"/>
      <c r="SNT70" s="119"/>
      <c r="SNU70" s="119"/>
      <c r="SNV70" s="119"/>
      <c r="SNW70" s="119"/>
      <c r="SNX70" s="119"/>
      <c r="SNY70" s="119"/>
      <c r="SNZ70" s="119"/>
      <c r="SOA70" s="119"/>
      <c r="SOB70" s="119"/>
      <c r="SOC70" s="119"/>
      <c r="SOD70" s="119"/>
      <c r="SOE70" s="119"/>
      <c r="SOF70" s="119"/>
      <c r="SOG70" s="119"/>
      <c r="SOH70" s="119"/>
      <c r="SOI70" s="119"/>
      <c r="SOJ70" s="119"/>
      <c r="SOK70" s="119"/>
      <c r="SOL70" s="119"/>
      <c r="SOM70" s="119"/>
      <c r="SON70" s="119"/>
      <c r="SOO70" s="119"/>
      <c r="SOP70" s="119"/>
      <c r="SOQ70" s="119"/>
      <c r="SOR70" s="119"/>
      <c r="SOS70" s="119"/>
      <c r="SOT70" s="119"/>
      <c r="SOU70" s="119"/>
      <c r="SOV70" s="119"/>
      <c r="SOW70" s="119"/>
      <c r="SOX70" s="119"/>
      <c r="SOY70" s="119"/>
      <c r="SOZ70" s="119"/>
      <c r="SPA70" s="119"/>
      <c r="SPB70" s="119"/>
      <c r="SPC70" s="119"/>
      <c r="SPD70" s="119"/>
      <c r="SPE70" s="119"/>
      <c r="SPF70" s="119"/>
      <c r="SPG70" s="119"/>
      <c r="SPH70" s="119"/>
      <c r="SPI70" s="119"/>
      <c r="SPJ70" s="119"/>
      <c r="SPK70" s="119"/>
      <c r="SPL70" s="119"/>
      <c r="SPM70" s="119"/>
      <c r="SPN70" s="119"/>
      <c r="SPO70" s="119"/>
      <c r="SPP70" s="119"/>
      <c r="SPQ70" s="119"/>
      <c r="SPR70" s="119"/>
      <c r="SPS70" s="119"/>
      <c r="SPT70" s="119"/>
      <c r="SPU70" s="119"/>
      <c r="SPV70" s="119"/>
      <c r="SPW70" s="119"/>
      <c r="SPX70" s="119"/>
      <c r="SPY70" s="119"/>
      <c r="SPZ70" s="119"/>
      <c r="SQA70" s="119"/>
      <c r="SQB70" s="119"/>
      <c r="SQC70" s="119"/>
      <c r="SQD70" s="119"/>
      <c r="SQE70" s="119"/>
      <c r="SQF70" s="119"/>
      <c r="SQG70" s="119"/>
      <c r="SQH70" s="119"/>
      <c r="SQI70" s="119"/>
      <c r="SQJ70" s="119"/>
      <c r="SQK70" s="119"/>
      <c r="SQL70" s="119"/>
      <c r="SQM70" s="119"/>
      <c r="SQN70" s="119"/>
      <c r="SQO70" s="119"/>
      <c r="SQP70" s="119"/>
      <c r="SQQ70" s="119"/>
      <c r="SQR70" s="119"/>
      <c r="SQS70" s="119"/>
      <c r="SQT70" s="119"/>
      <c r="SQU70" s="119"/>
      <c r="SQV70" s="119"/>
      <c r="SQW70" s="119"/>
      <c r="SQX70" s="119"/>
      <c r="SQY70" s="119"/>
      <c r="SQZ70" s="119"/>
      <c r="SRA70" s="119"/>
      <c r="SRB70" s="119"/>
      <c r="SRC70" s="119"/>
      <c r="SRD70" s="119"/>
      <c r="SRE70" s="119"/>
      <c r="SRF70" s="119"/>
      <c r="SRG70" s="119"/>
      <c r="SRH70" s="119"/>
      <c r="SRI70" s="119"/>
      <c r="SRJ70" s="119"/>
      <c r="SRK70" s="119"/>
      <c r="SRL70" s="119"/>
      <c r="SRM70" s="119"/>
      <c r="SRN70" s="119"/>
      <c r="SRO70" s="119"/>
      <c r="SRP70" s="119"/>
      <c r="SRQ70" s="119"/>
      <c r="SRR70" s="119"/>
      <c r="SRS70" s="119"/>
      <c r="SRT70" s="119"/>
      <c r="SRU70" s="119"/>
      <c r="SRV70" s="119"/>
      <c r="SRW70" s="119"/>
      <c r="SRX70" s="119"/>
      <c r="SRY70" s="119"/>
      <c r="SRZ70" s="119"/>
      <c r="SSA70" s="119"/>
      <c r="SSB70" s="119"/>
      <c r="SSC70" s="119"/>
      <c r="SSD70" s="119"/>
      <c r="SSE70" s="119"/>
      <c r="SSF70" s="119"/>
      <c r="SSG70" s="119"/>
      <c r="SSH70" s="119"/>
      <c r="SSI70" s="119"/>
      <c r="SSJ70" s="119"/>
      <c r="SSK70" s="119"/>
      <c r="SSL70" s="119"/>
      <c r="SSM70" s="119"/>
      <c r="SSN70" s="119"/>
      <c r="SSO70" s="119"/>
      <c r="SSP70" s="119"/>
      <c r="SSQ70" s="119"/>
      <c r="SSR70" s="119"/>
      <c r="SSS70" s="119"/>
      <c r="SST70" s="119"/>
      <c r="SSU70" s="119"/>
      <c r="SSV70" s="119"/>
      <c r="SSW70" s="119"/>
      <c r="SSX70" s="119"/>
      <c r="SSY70" s="119"/>
      <c r="SSZ70" s="119"/>
      <c r="STA70" s="119"/>
      <c r="STB70" s="119"/>
      <c r="STC70" s="119"/>
      <c r="STD70" s="119"/>
      <c r="STE70" s="119"/>
      <c r="STF70" s="119"/>
      <c r="STG70" s="119"/>
      <c r="STH70" s="119"/>
      <c r="STI70" s="119"/>
      <c r="STJ70" s="119"/>
      <c r="STK70" s="119"/>
      <c r="STL70" s="119"/>
      <c r="STM70" s="119"/>
      <c r="STN70" s="119"/>
      <c r="STO70" s="119"/>
      <c r="STP70" s="119"/>
      <c r="STQ70" s="119"/>
      <c r="STR70" s="119"/>
      <c r="STS70" s="119"/>
      <c r="STT70" s="119"/>
      <c r="STU70" s="119"/>
      <c r="STV70" s="119"/>
      <c r="STW70" s="119"/>
      <c r="STX70" s="119"/>
      <c r="STY70" s="119"/>
      <c r="STZ70" s="119"/>
      <c r="SUA70" s="119"/>
      <c r="SUB70" s="119"/>
      <c r="SUC70" s="119"/>
      <c r="SUD70" s="119"/>
      <c r="SUE70" s="119"/>
      <c r="SUF70" s="119"/>
      <c r="SUG70" s="119"/>
      <c r="SUH70" s="119"/>
      <c r="SUI70" s="119"/>
      <c r="SUJ70" s="119"/>
      <c r="SUK70" s="119"/>
      <c r="SUL70" s="119"/>
      <c r="SUM70" s="119"/>
      <c r="SUN70" s="119"/>
      <c r="SUO70" s="119"/>
      <c r="SUP70" s="119"/>
      <c r="SUQ70" s="119"/>
      <c r="SUR70" s="119"/>
      <c r="SUS70" s="119"/>
      <c r="SUT70" s="119"/>
      <c r="SUU70" s="119"/>
      <c r="SUV70" s="119"/>
      <c r="SUW70" s="119"/>
      <c r="SUX70" s="119"/>
      <c r="SUY70" s="119"/>
      <c r="SUZ70" s="119"/>
      <c r="SVA70" s="119"/>
      <c r="SVB70" s="119"/>
      <c r="SVC70" s="119"/>
      <c r="SVD70" s="119"/>
      <c r="SVE70" s="119"/>
      <c r="SVF70" s="119"/>
      <c r="SVG70" s="119"/>
      <c r="SVH70" s="119"/>
      <c r="SVI70" s="119"/>
      <c r="SVJ70" s="119"/>
      <c r="SVK70" s="119"/>
      <c r="SVL70" s="119"/>
      <c r="SVM70" s="119"/>
      <c r="SVN70" s="119"/>
      <c r="SVO70" s="119"/>
      <c r="SVP70" s="119"/>
      <c r="SVQ70" s="119"/>
      <c r="SVR70" s="119"/>
      <c r="SVS70" s="119"/>
      <c r="SVT70" s="119"/>
      <c r="SVU70" s="119"/>
      <c r="SVV70" s="119"/>
      <c r="SVW70" s="119"/>
      <c r="SVX70" s="119"/>
      <c r="SVY70" s="119"/>
      <c r="SVZ70" s="119"/>
      <c r="SWA70" s="119"/>
      <c r="SWB70" s="119"/>
      <c r="SWC70" s="119"/>
      <c r="SWD70" s="119"/>
      <c r="SWE70" s="119"/>
      <c r="SWF70" s="119"/>
      <c r="SWG70" s="119"/>
      <c r="SWH70" s="119"/>
      <c r="SWI70" s="119"/>
      <c r="SWJ70" s="119"/>
      <c r="SWK70" s="119"/>
      <c r="SWL70" s="119"/>
      <c r="SWM70" s="119"/>
      <c r="SWN70" s="119"/>
      <c r="SWO70" s="119"/>
      <c r="SWP70" s="119"/>
      <c r="SWQ70" s="119"/>
      <c r="SWR70" s="119"/>
      <c r="SWS70" s="119"/>
      <c r="SWT70" s="119"/>
      <c r="SWU70" s="119"/>
      <c r="SWV70" s="119"/>
      <c r="SWW70" s="119"/>
      <c r="SWX70" s="119"/>
      <c r="SWY70" s="119"/>
      <c r="SWZ70" s="119"/>
      <c r="SXA70" s="119"/>
      <c r="SXB70" s="119"/>
      <c r="SXC70" s="119"/>
      <c r="SXD70" s="119"/>
      <c r="SXE70" s="119"/>
      <c r="SXF70" s="119"/>
      <c r="SXG70" s="119"/>
      <c r="SXH70" s="119"/>
      <c r="SXI70" s="119"/>
      <c r="SXJ70" s="119"/>
      <c r="SXK70" s="119"/>
      <c r="SXL70" s="119"/>
      <c r="SXM70" s="119"/>
      <c r="SXN70" s="119"/>
      <c r="SXO70" s="119"/>
      <c r="SXP70" s="119"/>
      <c r="SXQ70" s="119"/>
      <c r="SXR70" s="119"/>
      <c r="SXS70" s="119"/>
      <c r="SXT70" s="119"/>
      <c r="SXU70" s="119"/>
      <c r="SXV70" s="119"/>
      <c r="SXW70" s="119"/>
      <c r="SXX70" s="119"/>
      <c r="SXY70" s="119"/>
      <c r="SXZ70" s="119"/>
      <c r="SYA70" s="119"/>
      <c r="SYB70" s="119"/>
      <c r="SYC70" s="119"/>
      <c r="SYD70" s="119"/>
      <c r="SYE70" s="119"/>
      <c r="SYF70" s="119"/>
      <c r="SYG70" s="119"/>
      <c r="SYH70" s="119"/>
      <c r="SYI70" s="119"/>
      <c r="SYJ70" s="119"/>
      <c r="SYK70" s="119"/>
      <c r="SYL70" s="119"/>
      <c r="SYM70" s="119"/>
      <c r="SYN70" s="119"/>
      <c r="SYO70" s="119"/>
      <c r="SYP70" s="119"/>
      <c r="SYQ70" s="119"/>
      <c r="SYR70" s="119"/>
      <c r="SYS70" s="119"/>
      <c r="SYT70" s="119"/>
      <c r="SYU70" s="119"/>
      <c r="SYV70" s="119"/>
      <c r="SYW70" s="119"/>
      <c r="SYX70" s="119"/>
      <c r="SYY70" s="119"/>
      <c r="SYZ70" s="119"/>
      <c r="SZA70" s="119"/>
      <c r="SZB70" s="119"/>
      <c r="SZC70" s="119"/>
      <c r="SZD70" s="119"/>
      <c r="SZE70" s="119"/>
      <c r="SZF70" s="119"/>
      <c r="SZG70" s="119"/>
      <c r="SZH70" s="119"/>
      <c r="SZI70" s="119"/>
      <c r="SZJ70" s="119"/>
      <c r="SZK70" s="119"/>
      <c r="SZL70" s="119"/>
      <c r="SZM70" s="119"/>
      <c r="SZN70" s="119"/>
      <c r="SZO70" s="119"/>
      <c r="SZP70" s="119"/>
      <c r="SZQ70" s="119"/>
      <c r="SZR70" s="119"/>
      <c r="SZS70" s="119"/>
      <c r="SZT70" s="119"/>
      <c r="SZU70" s="119"/>
      <c r="SZV70" s="119"/>
      <c r="SZW70" s="119"/>
      <c r="SZX70" s="119"/>
      <c r="SZY70" s="119"/>
      <c r="SZZ70" s="119"/>
      <c r="TAA70" s="119"/>
      <c r="TAB70" s="119"/>
      <c r="TAC70" s="119"/>
      <c r="TAD70" s="119"/>
      <c r="TAE70" s="119"/>
      <c r="TAF70" s="119"/>
      <c r="TAG70" s="119"/>
      <c r="TAH70" s="119"/>
      <c r="TAI70" s="119"/>
      <c r="TAJ70" s="119"/>
      <c r="TAK70" s="119"/>
      <c r="TAL70" s="119"/>
      <c r="TAM70" s="119"/>
      <c r="TAN70" s="119"/>
      <c r="TAO70" s="119"/>
      <c r="TAP70" s="119"/>
      <c r="TAQ70" s="119"/>
      <c r="TAR70" s="119"/>
      <c r="TAS70" s="119"/>
      <c r="TAT70" s="119"/>
      <c r="TAU70" s="119"/>
      <c r="TAV70" s="119"/>
      <c r="TAW70" s="119"/>
      <c r="TAX70" s="119"/>
      <c r="TAY70" s="119"/>
      <c r="TAZ70" s="119"/>
      <c r="TBA70" s="119"/>
      <c r="TBB70" s="119"/>
      <c r="TBC70" s="119"/>
      <c r="TBD70" s="119"/>
      <c r="TBE70" s="119"/>
      <c r="TBF70" s="119"/>
      <c r="TBG70" s="119"/>
      <c r="TBH70" s="119"/>
      <c r="TBI70" s="119"/>
      <c r="TBJ70" s="119"/>
      <c r="TBK70" s="119"/>
      <c r="TBL70" s="119"/>
      <c r="TBM70" s="119"/>
      <c r="TBN70" s="119"/>
      <c r="TBO70" s="119"/>
      <c r="TBP70" s="119"/>
      <c r="TBQ70" s="119"/>
      <c r="TBR70" s="119"/>
      <c r="TBS70" s="119"/>
      <c r="TBT70" s="119"/>
      <c r="TBU70" s="119"/>
      <c r="TBV70" s="119"/>
      <c r="TBW70" s="119"/>
      <c r="TBX70" s="119"/>
      <c r="TBY70" s="119"/>
      <c r="TBZ70" s="119"/>
      <c r="TCA70" s="119"/>
      <c r="TCB70" s="119"/>
      <c r="TCC70" s="119"/>
      <c r="TCD70" s="119"/>
      <c r="TCE70" s="119"/>
      <c r="TCF70" s="119"/>
      <c r="TCG70" s="119"/>
      <c r="TCH70" s="119"/>
      <c r="TCI70" s="119"/>
      <c r="TCJ70" s="119"/>
      <c r="TCK70" s="119"/>
      <c r="TCL70" s="119"/>
      <c r="TCM70" s="119"/>
      <c r="TCN70" s="119"/>
      <c r="TCO70" s="119"/>
      <c r="TCP70" s="119"/>
      <c r="TCQ70" s="119"/>
      <c r="TCR70" s="119"/>
      <c r="TCS70" s="119"/>
      <c r="TCT70" s="119"/>
      <c r="TCU70" s="119"/>
      <c r="TCV70" s="119"/>
      <c r="TCW70" s="119"/>
      <c r="TCX70" s="119"/>
      <c r="TCY70" s="119"/>
      <c r="TCZ70" s="119"/>
      <c r="TDA70" s="119"/>
      <c r="TDB70" s="119"/>
      <c r="TDC70" s="119"/>
      <c r="TDD70" s="119"/>
      <c r="TDE70" s="119"/>
      <c r="TDF70" s="119"/>
      <c r="TDG70" s="119"/>
      <c r="TDH70" s="119"/>
      <c r="TDI70" s="119"/>
      <c r="TDJ70" s="119"/>
      <c r="TDK70" s="119"/>
      <c r="TDL70" s="119"/>
      <c r="TDM70" s="119"/>
      <c r="TDN70" s="119"/>
      <c r="TDO70" s="119"/>
      <c r="TDP70" s="119"/>
      <c r="TDQ70" s="119"/>
      <c r="TDR70" s="119"/>
      <c r="TDS70" s="119"/>
      <c r="TDT70" s="119"/>
      <c r="TDU70" s="119"/>
      <c r="TDV70" s="119"/>
      <c r="TDW70" s="119"/>
      <c r="TDX70" s="119"/>
      <c r="TDY70" s="119"/>
      <c r="TDZ70" s="119"/>
      <c r="TEA70" s="119"/>
      <c r="TEB70" s="119"/>
      <c r="TEC70" s="119"/>
      <c r="TED70" s="119"/>
      <c r="TEE70" s="119"/>
      <c r="TEF70" s="119"/>
      <c r="TEG70" s="119"/>
      <c r="TEH70" s="119"/>
      <c r="TEI70" s="119"/>
      <c r="TEJ70" s="119"/>
      <c r="TEK70" s="119"/>
      <c r="TEL70" s="119"/>
      <c r="TEM70" s="119"/>
      <c r="TEN70" s="119"/>
      <c r="TEO70" s="119"/>
      <c r="TEP70" s="119"/>
      <c r="TEQ70" s="119"/>
      <c r="TER70" s="119"/>
      <c r="TES70" s="119"/>
      <c r="TET70" s="119"/>
      <c r="TEU70" s="119"/>
      <c r="TEV70" s="119"/>
      <c r="TEW70" s="119"/>
      <c r="TEX70" s="119"/>
      <c r="TEY70" s="119"/>
      <c r="TEZ70" s="119"/>
      <c r="TFA70" s="119"/>
      <c r="TFB70" s="119"/>
      <c r="TFC70" s="119"/>
      <c r="TFD70" s="119"/>
      <c r="TFE70" s="119"/>
      <c r="TFF70" s="119"/>
      <c r="TFG70" s="119"/>
      <c r="TFH70" s="119"/>
      <c r="TFI70" s="119"/>
      <c r="TFJ70" s="119"/>
      <c r="TFK70" s="119"/>
      <c r="TFL70" s="119"/>
      <c r="TFM70" s="119"/>
      <c r="TFN70" s="119"/>
      <c r="TFO70" s="119"/>
      <c r="TFP70" s="119"/>
      <c r="TFQ70" s="119"/>
      <c r="TFR70" s="119"/>
      <c r="TFS70" s="119"/>
      <c r="TFT70" s="119"/>
      <c r="TFU70" s="119"/>
      <c r="TFV70" s="119"/>
      <c r="TFW70" s="119"/>
      <c r="TFX70" s="119"/>
      <c r="TFY70" s="119"/>
      <c r="TFZ70" s="119"/>
      <c r="TGA70" s="119"/>
      <c r="TGB70" s="119"/>
      <c r="TGC70" s="119"/>
      <c r="TGD70" s="119"/>
      <c r="TGE70" s="119"/>
      <c r="TGF70" s="119"/>
      <c r="TGG70" s="119"/>
      <c r="TGH70" s="119"/>
      <c r="TGI70" s="119"/>
      <c r="TGJ70" s="119"/>
      <c r="TGK70" s="119"/>
      <c r="TGL70" s="119"/>
      <c r="TGM70" s="119"/>
      <c r="TGN70" s="119"/>
      <c r="TGO70" s="119"/>
      <c r="TGP70" s="119"/>
      <c r="TGQ70" s="119"/>
      <c r="TGR70" s="119"/>
      <c r="TGS70" s="119"/>
      <c r="TGT70" s="119"/>
      <c r="TGU70" s="119"/>
      <c r="TGV70" s="119"/>
      <c r="TGW70" s="119"/>
      <c r="TGX70" s="119"/>
      <c r="TGY70" s="119"/>
      <c r="TGZ70" s="119"/>
      <c r="THA70" s="119"/>
      <c r="THB70" s="119"/>
      <c r="THC70" s="119"/>
      <c r="THD70" s="119"/>
      <c r="THE70" s="119"/>
      <c r="THF70" s="119"/>
      <c r="THG70" s="119"/>
      <c r="THH70" s="119"/>
      <c r="THI70" s="119"/>
      <c r="THJ70" s="119"/>
      <c r="THK70" s="119"/>
      <c r="THL70" s="119"/>
      <c r="THM70" s="119"/>
      <c r="THN70" s="119"/>
      <c r="THO70" s="119"/>
      <c r="THP70" s="119"/>
      <c r="THQ70" s="119"/>
      <c r="THR70" s="119"/>
      <c r="THS70" s="119"/>
      <c r="THT70" s="119"/>
      <c r="THU70" s="119"/>
      <c r="THV70" s="119"/>
      <c r="THW70" s="119"/>
      <c r="THX70" s="119"/>
      <c r="THY70" s="119"/>
      <c r="THZ70" s="119"/>
      <c r="TIA70" s="119"/>
      <c r="TIB70" s="119"/>
      <c r="TIC70" s="119"/>
      <c r="TID70" s="119"/>
      <c r="TIE70" s="119"/>
      <c r="TIF70" s="119"/>
      <c r="TIG70" s="119"/>
      <c r="TIH70" s="119"/>
      <c r="TII70" s="119"/>
      <c r="TIJ70" s="119"/>
      <c r="TIK70" s="119"/>
      <c r="TIL70" s="119"/>
      <c r="TIM70" s="119"/>
      <c r="TIN70" s="119"/>
      <c r="TIO70" s="119"/>
      <c r="TIP70" s="119"/>
      <c r="TIQ70" s="119"/>
      <c r="TIR70" s="119"/>
      <c r="TIS70" s="119"/>
      <c r="TIT70" s="119"/>
      <c r="TIU70" s="119"/>
      <c r="TIV70" s="119"/>
      <c r="TIW70" s="119"/>
      <c r="TIX70" s="119"/>
      <c r="TIY70" s="119"/>
      <c r="TIZ70" s="119"/>
      <c r="TJA70" s="119"/>
      <c r="TJB70" s="119"/>
      <c r="TJC70" s="119"/>
      <c r="TJD70" s="119"/>
      <c r="TJE70" s="119"/>
      <c r="TJF70" s="119"/>
      <c r="TJG70" s="119"/>
      <c r="TJH70" s="119"/>
      <c r="TJI70" s="119"/>
      <c r="TJJ70" s="119"/>
      <c r="TJK70" s="119"/>
      <c r="TJL70" s="119"/>
      <c r="TJM70" s="119"/>
      <c r="TJN70" s="119"/>
      <c r="TJO70" s="119"/>
      <c r="TJP70" s="119"/>
      <c r="TJQ70" s="119"/>
      <c r="TJR70" s="119"/>
      <c r="TJS70" s="119"/>
      <c r="TJT70" s="119"/>
      <c r="TJU70" s="119"/>
      <c r="TJV70" s="119"/>
      <c r="TJW70" s="119"/>
      <c r="TJX70" s="119"/>
      <c r="TJY70" s="119"/>
      <c r="TJZ70" s="119"/>
      <c r="TKA70" s="119"/>
      <c r="TKB70" s="119"/>
      <c r="TKC70" s="119"/>
      <c r="TKD70" s="119"/>
      <c r="TKE70" s="119"/>
      <c r="TKF70" s="119"/>
      <c r="TKG70" s="119"/>
      <c r="TKH70" s="119"/>
      <c r="TKI70" s="119"/>
      <c r="TKJ70" s="119"/>
      <c r="TKK70" s="119"/>
      <c r="TKL70" s="119"/>
      <c r="TKM70" s="119"/>
      <c r="TKN70" s="119"/>
      <c r="TKO70" s="119"/>
      <c r="TKP70" s="119"/>
      <c r="TKQ70" s="119"/>
      <c r="TKR70" s="119"/>
      <c r="TKS70" s="119"/>
      <c r="TKT70" s="119"/>
      <c r="TKU70" s="119"/>
      <c r="TKV70" s="119"/>
      <c r="TKW70" s="119"/>
      <c r="TKX70" s="119"/>
      <c r="TKY70" s="119"/>
      <c r="TKZ70" s="119"/>
      <c r="TLA70" s="119"/>
      <c r="TLB70" s="119"/>
      <c r="TLC70" s="119"/>
      <c r="TLD70" s="119"/>
      <c r="TLE70" s="119"/>
      <c r="TLF70" s="119"/>
      <c r="TLG70" s="119"/>
      <c r="TLH70" s="119"/>
      <c r="TLI70" s="119"/>
      <c r="TLJ70" s="119"/>
      <c r="TLK70" s="119"/>
      <c r="TLL70" s="119"/>
      <c r="TLM70" s="119"/>
      <c r="TLN70" s="119"/>
      <c r="TLO70" s="119"/>
      <c r="TLP70" s="119"/>
      <c r="TLQ70" s="119"/>
      <c r="TLR70" s="119"/>
      <c r="TLS70" s="119"/>
      <c r="TLT70" s="119"/>
      <c r="TLU70" s="119"/>
      <c r="TLV70" s="119"/>
      <c r="TLW70" s="119"/>
      <c r="TLX70" s="119"/>
      <c r="TLY70" s="119"/>
      <c r="TLZ70" s="119"/>
      <c r="TMA70" s="119"/>
      <c r="TMB70" s="119"/>
      <c r="TMC70" s="119"/>
      <c r="TMD70" s="119"/>
      <c r="TME70" s="119"/>
      <c r="TMF70" s="119"/>
      <c r="TMG70" s="119"/>
      <c r="TMH70" s="119"/>
      <c r="TMI70" s="119"/>
      <c r="TMJ70" s="119"/>
      <c r="TMK70" s="119"/>
      <c r="TML70" s="119"/>
      <c r="TMM70" s="119"/>
      <c r="TMN70" s="119"/>
      <c r="TMO70" s="119"/>
      <c r="TMP70" s="119"/>
      <c r="TMQ70" s="119"/>
      <c r="TMR70" s="119"/>
      <c r="TMS70" s="119"/>
      <c r="TMT70" s="119"/>
      <c r="TMU70" s="119"/>
      <c r="TMV70" s="119"/>
      <c r="TMW70" s="119"/>
      <c r="TMX70" s="119"/>
      <c r="TMY70" s="119"/>
      <c r="TMZ70" s="119"/>
      <c r="TNA70" s="119"/>
      <c r="TNB70" s="119"/>
      <c r="TNC70" s="119"/>
      <c r="TND70" s="119"/>
      <c r="TNE70" s="119"/>
      <c r="TNF70" s="119"/>
      <c r="TNG70" s="119"/>
      <c r="TNH70" s="119"/>
      <c r="TNI70" s="119"/>
      <c r="TNJ70" s="119"/>
      <c r="TNK70" s="119"/>
      <c r="TNL70" s="119"/>
      <c r="TNM70" s="119"/>
      <c r="TNN70" s="119"/>
      <c r="TNO70" s="119"/>
      <c r="TNP70" s="119"/>
      <c r="TNQ70" s="119"/>
      <c r="TNR70" s="119"/>
      <c r="TNS70" s="119"/>
      <c r="TNT70" s="119"/>
      <c r="TNU70" s="119"/>
      <c r="TNV70" s="119"/>
      <c r="TNW70" s="119"/>
      <c r="TNX70" s="119"/>
      <c r="TNY70" s="119"/>
      <c r="TNZ70" s="119"/>
      <c r="TOA70" s="119"/>
      <c r="TOB70" s="119"/>
      <c r="TOC70" s="119"/>
      <c r="TOD70" s="119"/>
      <c r="TOE70" s="119"/>
      <c r="TOF70" s="119"/>
      <c r="TOG70" s="119"/>
      <c r="TOH70" s="119"/>
      <c r="TOI70" s="119"/>
      <c r="TOJ70" s="119"/>
      <c r="TOK70" s="119"/>
      <c r="TOL70" s="119"/>
      <c r="TOM70" s="119"/>
      <c r="TON70" s="119"/>
      <c r="TOO70" s="119"/>
      <c r="TOP70" s="119"/>
      <c r="TOQ70" s="119"/>
      <c r="TOR70" s="119"/>
      <c r="TOS70" s="119"/>
      <c r="TOT70" s="119"/>
      <c r="TOU70" s="119"/>
      <c r="TOV70" s="119"/>
      <c r="TOW70" s="119"/>
      <c r="TOX70" s="119"/>
      <c r="TOY70" s="119"/>
      <c r="TOZ70" s="119"/>
      <c r="TPA70" s="119"/>
      <c r="TPB70" s="119"/>
      <c r="TPC70" s="119"/>
      <c r="TPD70" s="119"/>
      <c r="TPE70" s="119"/>
      <c r="TPF70" s="119"/>
      <c r="TPG70" s="119"/>
      <c r="TPH70" s="119"/>
      <c r="TPI70" s="119"/>
      <c r="TPJ70" s="119"/>
      <c r="TPK70" s="119"/>
      <c r="TPL70" s="119"/>
      <c r="TPM70" s="119"/>
      <c r="TPN70" s="119"/>
      <c r="TPO70" s="119"/>
      <c r="TPP70" s="119"/>
      <c r="TPQ70" s="119"/>
      <c r="TPR70" s="119"/>
      <c r="TPS70" s="119"/>
      <c r="TPT70" s="119"/>
      <c r="TPU70" s="119"/>
      <c r="TPV70" s="119"/>
      <c r="TPW70" s="119"/>
      <c r="TPX70" s="119"/>
      <c r="TPY70" s="119"/>
      <c r="TPZ70" s="119"/>
      <c r="TQA70" s="119"/>
      <c r="TQB70" s="119"/>
      <c r="TQC70" s="119"/>
      <c r="TQD70" s="119"/>
      <c r="TQE70" s="119"/>
      <c r="TQF70" s="119"/>
      <c r="TQG70" s="119"/>
      <c r="TQH70" s="119"/>
      <c r="TQI70" s="119"/>
      <c r="TQJ70" s="119"/>
      <c r="TQK70" s="119"/>
      <c r="TQL70" s="119"/>
      <c r="TQM70" s="119"/>
      <c r="TQN70" s="119"/>
      <c r="TQO70" s="119"/>
      <c r="TQP70" s="119"/>
      <c r="TQQ70" s="119"/>
      <c r="TQR70" s="119"/>
      <c r="TQS70" s="119"/>
      <c r="TQT70" s="119"/>
      <c r="TQU70" s="119"/>
      <c r="TQV70" s="119"/>
      <c r="TQW70" s="119"/>
      <c r="TQX70" s="119"/>
      <c r="TQY70" s="119"/>
      <c r="TQZ70" s="119"/>
      <c r="TRA70" s="119"/>
      <c r="TRB70" s="119"/>
      <c r="TRC70" s="119"/>
      <c r="TRD70" s="119"/>
      <c r="TRE70" s="119"/>
      <c r="TRF70" s="119"/>
      <c r="TRG70" s="119"/>
      <c r="TRH70" s="119"/>
      <c r="TRI70" s="119"/>
      <c r="TRJ70" s="119"/>
      <c r="TRK70" s="119"/>
      <c r="TRL70" s="119"/>
      <c r="TRM70" s="119"/>
      <c r="TRN70" s="119"/>
      <c r="TRO70" s="119"/>
      <c r="TRP70" s="119"/>
      <c r="TRQ70" s="119"/>
      <c r="TRR70" s="119"/>
      <c r="TRS70" s="119"/>
      <c r="TRT70" s="119"/>
      <c r="TRU70" s="119"/>
      <c r="TRV70" s="119"/>
      <c r="TRW70" s="119"/>
      <c r="TRX70" s="119"/>
      <c r="TRY70" s="119"/>
      <c r="TRZ70" s="119"/>
      <c r="TSA70" s="119"/>
      <c r="TSB70" s="119"/>
      <c r="TSC70" s="119"/>
      <c r="TSD70" s="119"/>
      <c r="TSE70" s="119"/>
      <c r="TSF70" s="119"/>
      <c r="TSG70" s="119"/>
      <c r="TSH70" s="119"/>
      <c r="TSI70" s="119"/>
      <c r="TSJ70" s="119"/>
      <c r="TSK70" s="119"/>
      <c r="TSL70" s="119"/>
      <c r="TSM70" s="119"/>
      <c r="TSN70" s="119"/>
      <c r="TSO70" s="119"/>
      <c r="TSP70" s="119"/>
      <c r="TSQ70" s="119"/>
      <c r="TSR70" s="119"/>
      <c r="TSS70" s="119"/>
      <c r="TST70" s="119"/>
      <c r="TSU70" s="119"/>
      <c r="TSV70" s="119"/>
      <c r="TSW70" s="119"/>
      <c r="TSX70" s="119"/>
      <c r="TSY70" s="119"/>
      <c r="TSZ70" s="119"/>
      <c r="TTA70" s="119"/>
      <c r="TTB70" s="119"/>
      <c r="TTC70" s="119"/>
      <c r="TTD70" s="119"/>
      <c r="TTE70" s="119"/>
      <c r="TTF70" s="119"/>
      <c r="TTG70" s="119"/>
      <c r="TTH70" s="119"/>
      <c r="TTI70" s="119"/>
      <c r="TTJ70" s="119"/>
      <c r="TTK70" s="119"/>
      <c r="TTL70" s="119"/>
      <c r="TTM70" s="119"/>
      <c r="TTN70" s="119"/>
      <c r="TTO70" s="119"/>
      <c r="TTP70" s="119"/>
      <c r="TTQ70" s="119"/>
      <c r="TTR70" s="119"/>
      <c r="TTS70" s="119"/>
      <c r="TTT70" s="119"/>
      <c r="TTU70" s="119"/>
      <c r="TTV70" s="119"/>
      <c r="TTW70" s="119"/>
      <c r="TTX70" s="119"/>
      <c r="TTY70" s="119"/>
      <c r="TTZ70" s="119"/>
      <c r="TUA70" s="119"/>
      <c r="TUB70" s="119"/>
      <c r="TUC70" s="119"/>
      <c r="TUD70" s="119"/>
      <c r="TUE70" s="119"/>
      <c r="TUF70" s="119"/>
      <c r="TUG70" s="119"/>
      <c r="TUH70" s="119"/>
      <c r="TUI70" s="119"/>
      <c r="TUJ70" s="119"/>
      <c r="TUK70" s="119"/>
      <c r="TUL70" s="119"/>
      <c r="TUM70" s="119"/>
      <c r="TUN70" s="119"/>
      <c r="TUO70" s="119"/>
      <c r="TUP70" s="119"/>
      <c r="TUQ70" s="119"/>
      <c r="TUR70" s="119"/>
      <c r="TUS70" s="119"/>
      <c r="TUT70" s="119"/>
      <c r="TUU70" s="119"/>
      <c r="TUV70" s="119"/>
      <c r="TUW70" s="119"/>
      <c r="TUX70" s="119"/>
      <c r="TUY70" s="119"/>
      <c r="TUZ70" s="119"/>
      <c r="TVA70" s="119"/>
      <c r="TVB70" s="119"/>
      <c r="TVC70" s="119"/>
      <c r="TVD70" s="119"/>
      <c r="TVE70" s="119"/>
      <c r="TVF70" s="119"/>
      <c r="TVG70" s="119"/>
      <c r="TVH70" s="119"/>
      <c r="TVI70" s="119"/>
      <c r="TVJ70" s="119"/>
      <c r="TVK70" s="119"/>
      <c r="TVL70" s="119"/>
      <c r="TVM70" s="119"/>
      <c r="TVN70" s="119"/>
      <c r="TVO70" s="119"/>
      <c r="TVP70" s="119"/>
      <c r="TVQ70" s="119"/>
      <c r="TVR70" s="119"/>
      <c r="TVS70" s="119"/>
      <c r="TVT70" s="119"/>
      <c r="TVU70" s="119"/>
      <c r="TVV70" s="119"/>
      <c r="TVW70" s="119"/>
      <c r="TVX70" s="119"/>
      <c r="TVY70" s="119"/>
      <c r="TVZ70" s="119"/>
      <c r="TWA70" s="119"/>
      <c r="TWB70" s="119"/>
      <c r="TWC70" s="119"/>
      <c r="TWD70" s="119"/>
      <c r="TWE70" s="119"/>
      <c r="TWF70" s="119"/>
      <c r="TWG70" s="119"/>
      <c r="TWH70" s="119"/>
      <c r="TWI70" s="119"/>
      <c r="TWJ70" s="119"/>
      <c r="TWK70" s="119"/>
      <c r="TWL70" s="119"/>
      <c r="TWM70" s="119"/>
      <c r="TWN70" s="119"/>
      <c r="TWO70" s="119"/>
      <c r="TWP70" s="119"/>
      <c r="TWQ70" s="119"/>
      <c r="TWR70" s="119"/>
      <c r="TWS70" s="119"/>
      <c r="TWT70" s="119"/>
      <c r="TWU70" s="119"/>
      <c r="TWV70" s="119"/>
      <c r="TWW70" s="119"/>
      <c r="TWX70" s="119"/>
      <c r="TWY70" s="119"/>
      <c r="TWZ70" s="119"/>
      <c r="TXA70" s="119"/>
      <c r="TXB70" s="119"/>
      <c r="TXC70" s="119"/>
      <c r="TXD70" s="119"/>
      <c r="TXE70" s="119"/>
      <c r="TXF70" s="119"/>
      <c r="TXG70" s="119"/>
      <c r="TXH70" s="119"/>
      <c r="TXI70" s="119"/>
      <c r="TXJ70" s="119"/>
      <c r="TXK70" s="119"/>
      <c r="TXL70" s="119"/>
      <c r="TXM70" s="119"/>
      <c r="TXN70" s="119"/>
      <c r="TXO70" s="119"/>
      <c r="TXP70" s="119"/>
      <c r="TXQ70" s="119"/>
      <c r="TXR70" s="119"/>
      <c r="TXS70" s="119"/>
      <c r="TXT70" s="119"/>
      <c r="TXU70" s="119"/>
      <c r="TXV70" s="119"/>
      <c r="TXW70" s="119"/>
      <c r="TXX70" s="119"/>
      <c r="TXY70" s="119"/>
      <c r="TXZ70" s="119"/>
      <c r="TYA70" s="119"/>
      <c r="TYB70" s="119"/>
      <c r="TYC70" s="119"/>
      <c r="TYD70" s="119"/>
      <c r="TYE70" s="119"/>
      <c r="TYF70" s="119"/>
      <c r="TYG70" s="119"/>
      <c r="TYH70" s="119"/>
      <c r="TYI70" s="119"/>
      <c r="TYJ70" s="119"/>
      <c r="TYK70" s="119"/>
      <c r="TYL70" s="119"/>
      <c r="TYM70" s="119"/>
      <c r="TYN70" s="119"/>
      <c r="TYO70" s="119"/>
      <c r="TYP70" s="119"/>
      <c r="TYQ70" s="119"/>
      <c r="TYR70" s="119"/>
      <c r="TYS70" s="119"/>
      <c r="TYT70" s="119"/>
      <c r="TYU70" s="119"/>
      <c r="TYV70" s="119"/>
      <c r="TYW70" s="119"/>
      <c r="TYX70" s="119"/>
      <c r="TYY70" s="119"/>
      <c r="TYZ70" s="119"/>
      <c r="TZA70" s="119"/>
      <c r="TZB70" s="119"/>
      <c r="TZC70" s="119"/>
      <c r="TZD70" s="119"/>
      <c r="TZE70" s="119"/>
      <c r="TZF70" s="119"/>
      <c r="TZG70" s="119"/>
      <c r="TZH70" s="119"/>
      <c r="TZI70" s="119"/>
      <c r="TZJ70" s="119"/>
      <c r="TZK70" s="119"/>
      <c r="TZL70" s="119"/>
      <c r="TZM70" s="119"/>
      <c r="TZN70" s="119"/>
      <c r="TZO70" s="119"/>
      <c r="TZP70" s="119"/>
      <c r="TZQ70" s="119"/>
      <c r="TZR70" s="119"/>
      <c r="TZS70" s="119"/>
      <c r="TZT70" s="119"/>
      <c r="TZU70" s="119"/>
      <c r="TZV70" s="119"/>
      <c r="TZW70" s="119"/>
      <c r="TZX70" s="119"/>
      <c r="TZY70" s="119"/>
      <c r="TZZ70" s="119"/>
      <c r="UAA70" s="119"/>
      <c r="UAB70" s="119"/>
      <c r="UAC70" s="119"/>
      <c r="UAD70" s="119"/>
      <c r="UAE70" s="119"/>
      <c r="UAF70" s="119"/>
      <c r="UAG70" s="119"/>
      <c r="UAH70" s="119"/>
      <c r="UAI70" s="119"/>
      <c r="UAJ70" s="119"/>
      <c r="UAK70" s="119"/>
      <c r="UAL70" s="119"/>
      <c r="UAM70" s="119"/>
      <c r="UAN70" s="119"/>
      <c r="UAO70" s="119"/>
      <c r="UAP70" s="119"/>
      <c r="UAQ70" s="119"/>
      <c r="UAR70" s="119"/>
      <c r="UAS70" s="119"/>
      <c r="UAT70" s="119"/>
      <c r="UAU70" s="119"/>
      <c r="UAV70" s="119"/>
      <c r="UAW70" s="119"/>
      <c r="UAX70" s="119"/>
      <c r="UAY70" s="119"/>
      <c r="UAZ70" s="119"/>
      <c r="UBA70" s="119"/>
      <c r="UBB70" s="119"/>
      <c r="UBC70" s="119"/>
      <c r="UBD70" s="119"/>
      <c r="UBE70" s="119"/>
      <c r="UBF70" s="119"/>
      <c r="UBG70" s="119"/>
      <c r="UBH70" s="119"/>
      <c r="UBI70" s="119"/>
      <c r="UBJ70" s="119"/>
      <c r="UBK70" s="119"/>
      <c r="UBL70" s="119"/>
      <c r="UBM70" s="119"/>
      <c r="UBN70" s="119"/>
      <c r="UBO70" s="119"/>
      <c r="UBP70" s="119"/>
      <c r="UBQ70" s="119"/>
      <c r="UBR70" s="119"/>
      <c r="UBS70" s="119"/>
      <c r="UBT70" s="119"/>
      <c r="UBU70" s="119"/>
      <c r="UBV70" s="119"/>
      <c r="UBW70" s="119"/>
      <c r="UBX70" s="119"/>
      <c r="UBY70" s="119"/>
      <c r="UBZ70" s="119"/>
      <c r="UCA70" s="119"/>
      <c r="UCB70" s="119"/>
      <c r="UCC70" s="119"/>
      <c r="UCD70" s="119"/>
      <c r="UCE70" s="119"/>
      <c r="UCF70" s="119"/>
      <c r="UCG70" s="119"/>
      <c r="UCH70" s="119"/>
      <c r="UCI70" s="119"/>
      <c r="UCJ70" s="119"/>
      <c r="UCK70" s="119"/>
      <c r="UCL70" s="119"/>
      <c r="UCM70" s="119"/>
      <c r="UCN70" s="119"/>
      <c r="UCO70" s="119"/>
      <c r="UCP70" s="119"/>
      <c r="UCQ70" s="119"/>
      <c r="UCR70" s="119"/>
      <c r="UCS70" s="119"/>
      <c r="UCT70" s="119"/>
      <c r="UCU70" s="119"/>
      <c r="UCV70" s="119"/>
      <c r="UCW70" s="119"/>
      <c r="UCX70" s="119"/>
      <c r="UCY70" s="119"/>
      <c r="UCZ70" s="119"/>
      <c r="UDA70" s="119"/>
      <c r="UDB70" s="119"/>
      <c r="UDC70" s="119"/>
      <c r="UDD70" s="119"/>
      <c r="UDE70" s="119"/>
      <c r="UDF70" s="119"/>
      <c r="UDG70" s="119"/>
      <c r="UDH70" s="119"/>
      <c r="UDI70" s="119"/>
      <c r="UDJ70" s="119"/>
      <c r="UDK70" s="119"/>
      <c r="UDL70" s="119"/>
      <c r="UDM70" s="119"/>
      <c r="UDN70" s="119"/>
      <c r="UDO70" s="119"/>
      <c r="UDP70" s="119"/>
      <c r="UDQ70" s="119"/>
      <c r="UDR70" s="119"/>
      <c r="UDS70" s="119"/>
      <c r="UDT70" s="119"/>
      <c r="UDU70" s="119"/>
      <c r="UDV70" s="119"/>
      <c r="UDW70" s="119"/>
      <c r="UDX70" s="119"/>
      <c r="UDY70" s="119"/>
      <c r="UDZ70" s="119"/>
      <c r="UEA70" s="119"/>
      <c r="UEB70" s="119"/>
      <c r="UEC70" s="119"/>
      <c r="UED70" s="119"/>
      <c r="UEE70" s="119"/>
      <c r="UEF70" s="119"/>
      <c r="UEG70" s="119"/>
      <c r="UEH70" s="119"/>
      <c r="UEI70" s="119"/>
      <c r="UEJ70" s="119"/>
      <c r="UEK70" s="119"/>
      <c r="UEL70" s="119"/>
      <c r="UEM70" s="119"/>
      <c r="UEN70" s="119"/>
      <c r="UEO70" s="119"/>
      <c r="UEP70" s="119"/>
      <c r="UEQ70" s="119"/>
      <c r="UER70" s="119"/>
      <c r="UES70" s="119"/>
      <c r="UET70" s="119"/>
      <c r="UEU70" s="119"/>
      <c r="UEV70" s="119"/>
      <c r="UEW70" s="119"/>
      <c r="UEX70" s="119"/>
      <c r="UEY70" s="119"/>
      <c r="UEZ70" s="119"/>
      <c r="UFA70" s="119"/>
      <c r="UFB70" s="119"/>
      <c r="UFC70" s="119"/>
      <c r="UFD70" s="119"/>
      <c r="UFE70" s="119"/>
      <c r="UFF70" s="119"/>
      <c r="UFG70" s="119"/>
      <c r="UFH70" s="119"/>
      <c r="UFI70" s="119"/>
      <c r="UFJ70" s="119"/>
      <c r="UFK70" s="119"/>
      <c r="UFL70" s="119"/>
      <c r="UFM70" s="119"/>
      <c r="UFN70" s="119"/>
      <c r="UFO70" s="119"/>
      <c r="UFP70" s="119"/>
      <c r="UFQ70" s="119"/>
      <c r="UFR70" s="119"/>
      <c r="UFS70" s="119"/>
      <c r="UFT70" s="119"/>
      <c r="UFU70" s="119"/>
      <c r="UFV70" s="119"/>
      <c r="UFW70" s="119"/>
      <c r="UFX70" s="119"/>
      <c r="UFY70" s="119"/>
      <c r="UFZ70" s="119"/>
      <c r="UGA70" s="119"/>
      <c r="UGB70" s="119"/>
      <c r="UGC70" s="119"/>
      <c r="UGD70" s="119"/>
      <c r="UGE70" s="119"/>
      <c r="UGF70" s="119"/>
      <c r="UGG70" s="119"/>
      <c r="UGH70" s="119"/>
      <c r="UGI70" s="119"/>
      <c r="UGJ70" s="119"/>
      <c r="UGK70" s="119"/>
      <c r="UGL70" s="119"/>
      <c r="UGM70" s="119"/>
      <c r="UGN70" s="119"/>
      <c r="UGO70" s="119"/>
      <c r="UGP70" s="119"/>
      <c r="UGQ70" s="119"/>
      <c r="UGR70" s="119"/>
      <c r="UGS70" s="119"/>
      <c r="UGT70" s="119"/>
      <c r="UGU70" s="119"/>
      <c r="UGV70" s="119"/>
      <c r="UGW70" s="119"/>
      <c r="UGX70" s="119"/>
      <c r="UGY70" s="119"/>
      <c r="UGZ70" s="119"/>
      <c r="UHA70" s="119"/>
      <c r="UHB70" s="119"/>
      <c r="UHC70" s="119"/>
      <c r="UHD70" s="119"/>
      <c r="UHE70" s="119"/>
      <c r="UHF70" s="119"/>
      <c r="UHG70" s="119"/>
      <c r="UHH70" s="119"/>
      <c r="UHI70" s="119"/>
      <c r="UHJ70" s="119"/>
      <c r="UHK70" s="119"/>
      <c r="UHL70" s="119"/>
      <c r="UHM70" s="119"/>
      <c r="UHN70" s="119"/>
      <c r="UHO70" s="119"/>
      <c r="UHP70" s="119"/>
      <c r="UHQ70" s="119"/>
      <c r="UHR70" s="119"/>
      <c r="UHS70" s="119"/>
      <c r="UHT70" s="119"/>
      <c r="UHU70" s="119"/>
      <c r="UHV70" s="119"/>
      <c r="UHW70" s="119"/>
      <c r="UHX70" s="119"/>
      <c r="UHY70" s="119"/>
      <c r="UHZ70" s="119"/>
      <c r="UIA70" s="119"/>
      <c r="UIB70" s="119"/>
      <c r="UIC70" s="119"/>
      <c r="UID70" s="119"/>
      <c r="UIE70" s="119"/>
      <c r="UIF70" s="119"/>
      <c r="UIG70" s="119"/>
      <c r="UIH70" s="119"/>
      <c r="UII70" s="119"/>
      <c r="UIJ70" s="119"/>
      <c r="UIK70" s="119"/>
      <c r="UIL70" s="119"/>
      <c r="UIM70" s="119"/>
      <c r="UIN70" s="119"/>
      <c r="UIO70" s="119"/>
      <c r="UIP70" s="119"/>
      <c r="UIQ70" s="119"/>
      <c r="UIR70" s="119"/>
      <c r="UIS70" s="119"/>
      <c r="UIT70" s="119"/>
      <c r="UIU70" s="119"/>
      <c r="UIV70" s="119"/>
      <c r="UIW70" s="119"/>
      <c r="UIX70" s="119"/>
      <c r="UIY70" s="119"/>
      <c r="UIZ70" s="119"/>
      <c r="UJA70" s="119"/>
      <c r="UJB70" s="119"/>
      <c r="UJC70" s="119"/>
      <c r="UJD70" s="119"/>
      <c r="UJE70" s="119"/>
      <c r="UJF70" s="119"/>
      <c r="UJG70" s="119"/>
      <c r="UJH70" s="119"/>
      <c r="UJI70" s="119"/>
      <c r="UJJ70" s="119"/>
      <c r="UJK70" s="119"/>
      <c r="UJL70" s="119"/>
      <c r="UJM70" s="119"/>
      <c r="UJN70" s="119"/>
      <c r="UJO70" s="119"/>
      <c r="UJP70" s="119"/>
      <c r="UJQ70" s="119"/>
      <c r="UJR70" s="119"/>
      <c r="UJS70" s="119"/>
      <c r="UJT70" s="119"/>
      <c r="UJU70" s="119"/>
      <c r="UJV70" s="119"/>
      <c r="UJW70" s="119"/>
      <c r="UJX70" s="119"/>
      <c r="UJY70" s="119"/>
      <c r="UJZ70" s="119"/>
      <c r="UKA70" s="119"/>
      <c r="UKB70" s="119"/>
      <c r="UKC70" s="119"/>
      <c r="UKD70" s="119"/>
      <c r="UKE70" s="119"/>
      <c r="UKF70" s="119"/>
      <c r="UKG70" s="119"/>
      <c r="UKH70" s="119"/>
      <c r="UKI70" s="119"/>
      <c r="UKJ70" s="119"/>
      <c r="UKK70" s="119"/>
      <c r="UKL70" s="119"/>
      <c r="UKM70" s="119"/>
      <c r="UKN70" s="119"/>
      <c r="UKO70" s="119"/>
      <c r="UKP70" s="119"/>
      <c r="UKQ70" s="119"/>
      <c r="UKR70" s="119"/>
      <c r="UKS70" s="119"/>
      <c r="UKT70" s="119"/>
      <c r="UKU70" s="119"/>
      <c r="UKV70" s="119"/>
      <c r="UKW70" s="119"/>
      <c r="UKX70" s="119"/>
      <c r="UKY70" s="119"/>
      <c r="UKZ70" s="119"/>
      <c r="ULA70" s="119"/>
      <c r="ULB70" s="119"/>
      <c r="ULC70" s="119"/>
      <c r="ULD70" s="119"/>
      <c r="ULE70" s="119"/>
      <c r="ULF70" s="119"/>
      <c r="ULG70" s="119"/>
      <c r="ULH70" s="119"/>
      <c r="ULI70" s="119"/>
      <c r="ULJ70" s="119"/>
      <c r="ULK70" s="119"/>
      <c r="ULL70" s="119"/>
      <c r="ULM70" s="119"/>
      <c r="ULN70" s="119"/>
      <c r="ULO70" s="119"/>
      <c r="ULP70" s="119"/>
      <c r="ULQ70" s="119"/>
      <c r="ULR70" s="119"/>
      <c r="ULS70" s="119"/>
      <c r="ULT70" s="119"/>
      <c r="ULU70" s="119"/>
      <c r="ULV70" s="119"/>
      <c r="ULW70" s="119"/>
      <c r="ULX70" s="119"/>
      <c r="ULY70" s="119"/>
      <c r="ULZ70" s="119"/>
      <c r="UMA70" s="119"/>
      <c r="UMB70" s="119"/>
      <c r="UMC70" s="119"/>
      <c r="UMD70" s="119"/>
      <c r="UME70" s="119"/>
      <c r="UMF70" s="119"/>
      <c r="UMG70" s="119"/>
      <c r="UMH70" s="119"/>
      <c r="UMI70" s="119"/>
      <c r="UMJ70" s="119"/>
      <c r="UMK70" s="119"/>
      <c r="UML70" s="119"/>
      <c r="UMM70" s="119"/>
      <c r="UMN70" s="119"/>
      <c r="UMO70" s="119"/>
      <c r="UMP70" s="119"/>
      <c r="UMQ70" s="119"/>
      <c r="UMR70" s="119"/>
      <c r="UMS70" s="119"/>
      <c r="UMT70" s="119"/>
      <c r="UMU70" s="119"/>
      <c r="UMV70" s="119"/>
      <c r="UMW70" s="119"/>
      <c r="UMX70" s="119"/>
      <c r="UMY70" s="119"/>
      <c r="UMZ70" s="119"/>
      <c r="UNA70" s="119"/>
      <c r="UNB70" s="119"/>
      <c r="UNC70" s="119"/>
      <c r="UND70" s="119"/>
      <c r="UNE70" s="119"/>
      <c r="UNF70" s="119"/>
      <c r="UNG70" s="119"/>
      <c r="UNH70" s="119"/>
      <c r="UNI70" s="119"/>
      <c r="UNJ70" s="119"/>
      <c r="UNK70" s="119"/>
      <c r="UNL70" s="119"/>
      <c r="UNM70" s="119"/>
      <c r="UNN70" s="119"/>
      <c r="UNO70" s="119"/>
      <c r="UNP70" s="119"/>
      <c r="UNQ70" s="119"/>
      <c r="UNR70" s="119"/>
      <c r="UNS70" s="119"/>
      <c r="UNT70" s="119"/>
      <c r="UNU70" s="119"/>
      <c r="UNV70" s="119"/>
      <c r="UNW70" s="119"/>
      <c r="UNX70" s="119"/>
      <c r="UNY70" s="119"/>
      <c r="UNZ70" s="119"/>
      <c r="UOA70" s="119"/>
      <c r="UOB70" s="119"/>
      <c r="UOC70" s="119"/>
      <c r="UOD70" s="119"/>
      <c r="UOE70" s="119"/>
      <c r="UOF70" s="119"/>
      <c r="UOG70" s="119"/>
      <c r="UOH70" s="119"/>
      <c r="UOI70" s="119"/>
      <c r="UOJ70" s="119"/>
      <c r="UOK70" s="119"/>
      <c r="UOL70" s="119"/>
      <c r="UOM70" s="119"/>
      <c r="UON70" s="119"/>
      <c r="UOO70" s="119"/>
      <c r="UOP70" s="119"/>
      <c r="UOQ70" s="119"/>
      <c r="UOR70" s="119"/>
      <c r="UOS70" s="119"/>
      <c r="UOT70" s="119"/>
      <c r="UOU70" s="119"/>
      <c r="UOV70" s="119"/>
      <c r="UOW70" s="119"/>
      <c r="UOX70" s="119"/>
      <c r="UOY70" s="119"/>
      <c r="UOZ70" s="119"/>
      <c r="UPA70" s="119"/>
      <c r="UPB70" s="119"/>
      <c r="UPC70" s="119"/>
      <c r="UPD70" s="119"/>
      <c r="UPE70" s="119"/>
      <c r="UPF70" s="119"/>
      <c r="UPG70" s="119"/>
      <c r="UPH70" s="119"/>
      <c r="UPI70" s="119"/>
      <c r="UPJ70" s="119"/>
      <c r="UPK70" s="119"/>
      <c r="UPL70" s="119"/>
      <c r="UPM70" s="119"/>
      <c r="UPN70" s="119"/>
      <c r="UPO70" s="119"/>
      <c r="UPP70" s="119"/>
      <c r="UPQ70" s="119"/>
      <c r="UPR70" s="119"/>
      <c r="UPS70" s="119"/>
      <c r="UPT70" s="119"/>
      <c r="UPU70" s="119"/>
      <c r="UPV70" s="119"/>
      <c r="UPW70" s="119"/>
      <c r="UPX70" s="119"/>
      <c r="UPY70" s="119"/>
      <c r="UPZ70" s="119"/>
      <c r="UQA70" s="119"/>
      <c r="UQB70" s="119"/>
      <c r="UQC70" s="119"/>
      <c r="UQD70" s="119"/>
      <c r="UQE70" s="119"/>
      <c r="UQF70" s="119"/>
      <c r="UQG70" s="119"/>
      <c r="UQH70" s="119"/>
      <c r="UQI70" s="119"/>
      <c r="UQJ70" s="119"/>
      <c r="UQK70" s="119"/>
      <c r="UQL70" s="119"/>
      <c r="UQM70" s="119"/>
      <c r="UQN70" s="119"/>
      <c r="UQO70" s="119"/>
      <c r="UQP70" s="119"/>
      <c r="UQQ70" s="119"/>
      <c r="UQR70" s="119"/>
      <c r="UQS70" s="119"/>
      <c r="UQT70" s="119"/>
      <c r="UQU70" s="119"/>
      <c r="UQV70" s="119"/>
      <c r="UQW70" s="119"/>
      <c r="UQX70" s="119"/>
      <c r="UQY70" s="119"/>
      <c r="UQZ70" s="119"/>
      <c r="URA70" s="119"/>
      <c r="URB70" s="119"/>
      <c r="URC70" s="119"/>
      <c r="URD70" s="119"/>
      <c r="URE70" s="119"/>
      <c r="URF70" s="119"/>
      <c r="URG70" s="119"/>
      <c r="URH70" s="119"/>
      <c r="URI70" s="119"/>
      <c r="URJ70" s="119"/>
      <c r="URK70" s="119"/>
      <c r="URL70" s="119"/>
      <c r="URM70" s="119"/>
      <c r="URN70" s="119"/>
      <c r="URO70" s="119"/>
      <c r="URP70" s="119"/>
      <c r="URQ70" s="119"/>
      <c r="URR70" s="119"/>
      <c r="URS70" s="119"/>
      <c r="URT70" s="119"/>
      <c r="URU70" s="119"/>
      <c r="URV70" s="119"/>
      <c r="URW70" s="119"/>
      <c r="URX70" s="119"/>
      <c r="URY70" s="119"/>
      <c r="URZ70" s="119"/>
      <c r="USA70" s="119"/>
      <c r="USB70" s="119"/>
      <c r="USC70" s="119"/>
      <c r="USD70" s="119"/>
      <c r="USE70" s="119"/>
      <c r="USF70" s="119"/>
      <c r="USG70" s="119"/>
      <c r="USH70" s="119"/>
      <c r="USI70" s="119"/>
      <c r="USJ70" s="119"/>
      <c r="USK70" s="119"/>
      <c r="USL70" s="119"/>
      <c r="USM70" s="119"/>
      <c r="USN70" s="119"/>
      <c r="USO70" s="119"/>
      <c r="USP70" s="119"/>
      <c r="USQ70" s="119"/>
      <c r="USR70" s="119"/>
      <c r="USS70" s="119"/>
      <c r="UST70" s="119"/>
      <c r="USU70" s="119"/>
      <c r="USV70" s="119"/>
      <c r="USW70" s="119"/>
      <c r="USX70" s="119"/>
      <c r="USY70" s="119"/>
      <c r="USZ70" s="119"/>
      <c r="UTA70" s="119"/>
      <c r="UTB70" s="119"/>
      <c r="UTC70" s="119"/>
      <c r="UTD70" s="119"/>
      <c r="UTE70" s="119"/>
      <c r="UTF70" s="119"/>
      <c r="UTG70" s="119"/>
      <c r="UTH70" s="119"/>
      <c r="UTI70" s="119"/>
      <c r="UTJ70" s="119"/>
      <c r="UTK70" s="119"/>
      <c r="UTL70" s="119"/>
      <c r="UTM70" s="119"/>
      <c r="UTN70" s="119"/>
      <c r="UTO70" s="119"/>
      <c r="UTP70" s="119"/>
      <c r="UTQ70" s="119"/>
      <c r="UTR70" s="119"/>
      <c r="UTS70" s="119"/>
      <c r="UTT70" s="119"/>
      <c r="UTU70" s="119"/>
      <c r="UTV70" s="119"/>
      <c r="UTW70" s="119"/>
      <c r="UTX70" s="119"/>
      <c r="UTY70" s="119"/>
      <c r="UTZ70" s="119"/>
      <c r="UUA70" s="119"/>
      <c r="UUB70" s="119"/>
      <c r="UUC70" s="119"/>
      <c r="UUD70" s="119"/>
      <c r="UUE70" s="119"/>
      <c r="UUF70" s="119"/>
      <c r="UUG70" s="119"/>
      <c r="UUH70" s="119"/>
      <c r="UUI70" s="119"/>
      <c r="UUJ70" s="119"/>
      <c r="UUK70" s="119"/>
      <c r="UUL70" s="119"/>
      <c r="UUM70" s="119"/>
      <c r="UUN70" s="119"/>
      <c r="UUO70" s="119"/>
      <c r="UUP70" s="119"/>
      <c r="UUQ70" s="119"/>
      <c r="UUR70" s="119"/>
      <c r="UUS70" s="119"/>
      <c r="UUT70" s="119"/>
      <c r="UUU70" s="119"/>
      <c r="UUV70" s="119"/>
      <c r="UUW70" s="119"/>
      <c r="UUX70" s="119"/>
      <c r="UUY70" s="119"/>
      <c r="UUZ70" s="119"/>
      <c r="UVA70" s="119"/>
      <c r="UVB70" s="119"/>
      <c r="UVC70" s="119"/>
      <c r="UVD70" s="119"/>
      <c r="UVE70" s="119"/>
      <c r="UVF70" s="119"/>
      <c r="UVG70" s="119"/>
      <c r="UVH70" s="119"/>
      <c r="UVI70" s="119"/>
      <c r="UVJ70" s="119"/>
      <c r="UVK70" s="119"/>
      <c r="UVL70" s="119"/>
      <c r="UVM70" s="119"/>
      <c r="UVN70" s="119"/>
      <c r="UVO70" s="119"/>
      <c r="UVP70" s="119"/>
      <c r="UVQ70" s="119"/>
      <c r="UVR70" s="119"/>
      <c r="UVS70" s="119"/>
      <c r="UVT70" s="119"/>
      <c r="UVU70" s="119"/>
      <c r="UVV70" s="119"/>
      <c r="UVW70" s="119"/>
      <c r="UVX70" s="119"/>
      <c r="UVY70" s="119"/>
      <c r="UVZ70" s="119"/>
      <c r="UWA70" s="119"/>
      <c r="UWB70" s="119"/>
      <c r="UWC70" s="119"/>
      <c r="UWD70" s="119"/>
      <c r="UWE70" s="119"/>
      <c r="UWF70" s="119"/>
      <c r="UWG70" s="119"/>
      <c r="UWH70" s="119"/>
      <c r="UWI70" s="119"/>
      <c r="UWJ70" s="119"/>
      <c r="UWK70" s="119"/>
      <c r="UWL70" s="119"/>
      <c r="UWM70" s="119"/>
      <c r="UWN70" s="119"/>
      <c r="UWO70" s="119"/>
      <c r="UWP70" s="119"/>
      <c r="UWQ70" s="119"/>
      <c r="UWR70" s="119"/>
      <c r="UWS70" s="119"/>
      <c r="UWT70" s="119"/>
      <c r="UWU70" s="119"/>
      <c r="UWV70" s="119"/>
      <c r="UWW70" s="119"/>
      <c r="UWX70" s="119"/>
      <c r="UWY70" s="119"/>
      <c r="UWZ70" s="119"/>
      <c r="UXA70" s="119"/>
      <c r="UXB70" s="119"/>
      <c r="UXC70" s="119"/>
      <c r="UXD70" s="119"/>
      <c r="UXE70" s="119"/>
      <c r="UXF70" s="119"/>
      <c r="UXG70" s="119"/>
      <c r="UXH70" s="119"/>
      <c r="UXI70" s="119"/>
      <c r="UXJ70" s="119"/>
      <c r="UXK70" s="119"/>
      <c r="UXL70" s="119"/>
      <c r="UXM70" s="119"/>
      <c r="UXN70" s="119"/>
      <c r="UXO70" s="119"/>
      <c r="UXP70" s="119"/>
      <c r="UXQ70" s="119"/>
      <c r="UXR70" s="119"/>
      <c r="UXS70" s="119"/>
      <c r="UXT70" s="119"/>
      <c r="UXU70" s="119"/>
      <c r="UXV70" s="119"/>
      <c r="UXW70" s="119"/>
      <c r="UXX70" s="119"/>
      <c r="UXY70" s="119"/>
      <c r="UXZ70" s="119"/>
      <c r="UYA70" s="119"/>
      <c r="UYB70" s="119"/>
      <c r="UYC70" s="119"/>
      <c r="UYD70" s="119"/>
      <c r="UYE70" s="119"/>
      <c r="UYF70" s="119"/>
      <c r="UYG70" s="119"/>
      <c r="UYH70" s="119"/>
      <c r="UYI70" s="119"/>
      <c r="UYJ70" s="119"/>
      <c r="UYK70" s="119"/>
      <c r="UYL70" s="119"/>
      <c r="UYM70" s="119"/>
      <c r="UYN70" s="119"/>
      <c r="UYO70" s="119"/>
      <c r="UYP70" s="119"/>
      <c r="UYQ70" s="119"/>
      <c r="UYR70" s="119"/>
      <c r="UYS70" s="119"/>
      <c r="UYT70" s="119"/>
      <c r="UYU70" s="119"/>
      <c r="UYV70" s="119"/>
      <c r="UYW70" s="119"/>
      <c r="UYX70" s="119"/>
      <c r="UYY70" s="119"/>
      <c r="UYZ70" s="119"/>
      <c r="UZA70" s="119"/>
      <c r="UZB70" s="119"/>
      <c r="UZC70" s="119"/>
      <c r="UZD70" s="119"/>
      <c r="UZE70" s="119"/>
      <c r="UZF70" s="119"/>
      <c r="UZG70" s="119"/>
      <c r="UZH70" s="119"/>
      <c r="UZI70" s="119"/>
      <c r="UZJ70" s="119"/>
      <c r="UZK70" s="119"/>
      <c r="UZL70" s="119"/>
      <c r="UZM70" s="119"/>
      <c r="UZN70" s="119"/>
      <c r="UZO70" s="119"/>
      <c r="UZP70" s="119"/>
      <c r="UZQ70" s="119"/>
      <c r="UZR70" s="119"/>
      <c r="UZS70" s="119"/>
      <c r="UZT70" s="119"/>
      <c r="UZU70" s="119"/>
      <c r="UZV70" s="119"/>
      <c r="UZW70" s="119"/>
      <c r="UZX70" s="119"/>
      <c r="UZY70" s="119"/>
      <c r="UZZ70" s="119"/>
      <c r="VAA70" s="119"/>
      <c r="VAB70" s="119"/>
      <c r="VAC70" s="119"/>
      <c r="VAD70" s="119"/>
      <c r="VAE70" s="119"/>
      <c r="VAF70" s="119"/>
      <c r="VAG70" s="119"/>
      <c r="VAH70" s="119"/>
      <c r="VAI70" s="119"/>
      <c r="VAJ70" s="119"/>
      <c r="VAK70" s="119"/>
      <c r="VAL70" s="119"/>
      <c r="VAM70" s="119"/>
      <c r="VAN70" s="119"/>
      <c r="VAO70" s="119"/>
      <c r="VAP70" s="119"/>
      <c r="VAQ70" s="119"/>
      <c r="VAR70" s="119"/>
      <c r="VAS70" s="119"/>
      <c r="VAT70" s="119"/>
      <c r="VAU70" s="119"/>
      <c r="VAV70" s="119"/>
      <c r="VAW70" s="119"/>
      <c r="VAX70" s="119"/>
      <c r="VAY70" s="119"/>
      <c r="VAZ70" s="119"/>
      <c r="VBA70" s="119"/>
      <c r="VBB70" s="119"/>
      <c r="VBC70" s="119"/>
      <c r="VBD70" s="119"/>
      <c r="VBE70" s="119"/>
      <c r="VBF70" s="119"/>
      <c r="VBG70" s="119"/>
      <c r="VBH70" s="119"/>
      <c r="VBI70" s="119"/>
      <c r="VBJ70" s="119"/>
      <c r="VBK70" s="119"/>
      <c r="VBL70" s="119"/>
      <c r="VBM70" s="119"/>
      <c r="VBN70" s="119"/>
      <c r="VBO70" s="119"/>
      <c r="VBP70" s="119"/>
      <c r="VBQ70" s="119"/>
      <c r="VBR70" s="119"/>
      <c r="VBS70" s="119"/>
      <c r="VBT70" s="119"/>
      <c r="VBU70" s="119"/>
      <c r="VBV70" s="119"/>
      <c r="VBW70" s="119"/>
      <c r="VBX70" s="119"/>
      <c r="VBY70" s="119"/>
      <c r="VBZ70" s="119"/>
      <c r="VCA70" s="119"/>
      <c r="VCB70" s="119"/>
      <c r="VCC70" s="119"/>
      <c r="VCD70" s="119"/>
      <c r="VCE70" s="119"/>
      <c r="VCF70" s="119"/>
      <c r="VCG70" s="119"/>
      <c r="VCH70" s="119"/>
      <c r="VCI70" s="119"/>
      <c r="VCJ70" s="119"/>
      <c r="VCK70" s="119"/>
      <c r="VCL70" s="119"/>
      <c r="VCM70" s="119"/>
      <c r="VCN70" s="119"/>
      <c r="VCO70" s="119"/>
      <c r="VCP70" s="119"/>
      <c r="VCQ70" s="119"/>
      <c r="VCR70" s="119"/>
      <c r="VCS70" s="119"/>
      <c r="VCT70" s="119"/>
      <c r="VCU70" s="119"/>
      <c r="VCV70" s="119"/>
      <c r="VCW70" s="119"/>
      <c r="VCX70" s="119"/>
      <c r="VCY70" s="119"/>
      <c r="VCZ70" s="119"/>
      <c r="VDA70" s="119"/>
      <c r="VDB70" s="119"/>
      <c r="VDC70" s="119"/>
      <c r="VDD70" s="119"/>
      <c r="VDE70" s="119"/>
      <c r="VDF70" s="119"/>
      <c r="VDG70" s="119"/>
      <c r="VDH70" s="119"/>
      <c r="VDI70" s="119"/>
      <c r="VDJ70" s="119"/>
      <c r="VDK70" s="119"/>
      <c r="VDL70" s="119"/>
      <c r="VDM70" s="119"/>
      <c r="VDN70" s="119"/>
      <c r="VDO70" s="119"/>
      <c r="VDP70" s="119"/>
      <c r="VDQ70" s="119"/>
      <c r="VDR70" s="119"/>
      <c r="VDS70" s="119"/>
      <c r="VDT70" s="119"/>
      <c r="VDU70" s="119"/>
      <c r="VDV70" s="119"/>
      <c r="VDW70" s="119"/>
      <c r="VDX70" s="119"/>
      <c r="VDY70" s="119"/>
      <c r="VDZ70" s="119"/>
      <c r="VEA70" s="119"/>
      <c r="VEB70" s="119"/>
      <c r="VEC70" s="119"/>
      <c r="VED70" s="119"/>
      <c r="VEE70" s="119"/>
      <c r="VEF70" s="119"/>
      <c r="VEG70" s="119"/>
      <c r="VEH70" s="119"/>
      <c r="VEI70" s="119"/>
      <c r="VEJ70" s="119"/>
      <c r="VEK70" s="119"/>
      <c r="VEL70" s="119"/>
      <c r="VEM70" s="119"/>
      <c r="VEN70" s="119"/>
      <c r="VEO70" s="119"/>
      <c r="VEP70" s="119"/>
      <c r="VEQ70" s="119"/>
      <c r="VER70" s="119"/>
      <c r="VES70" s="119"/>
      <c r="VET70" s="119"/>
      <c r="VEU70" s="119"/>
      <c r="VEV70" s="119"/>
      <c r="VEW70" s="119"/>
      <c r="VEX70" s="119"/>
      <c r="VEY70" s="119"/>
      <c r="VEZ70" s="119"/>
      <c r="VFA70" s="119"/>
      <c r="VFB70" s="119"/>
      <c r="VFC70" s="119"/>
      <c r="VFD70" s="119"/>
      <c r="VFE70" s="119"/>
      <c r="VFF70" s="119"/>
      <c r="VFG70" s="119"/>
      <c r="VFH70" s="119"/>
      <c r="VFI70" s="119"/>
      <c r="VFJ70" s="119"/>
      <c r="VFK70" s="119"/>
      <c r="VFL70" s="119"/>
      <c r="VFM70" s="119"/>
      <c r="VFN70" s="119"/>
      <c r="VFO70" s="119"/>
      <c r="VFP70" s="119"/>
      <c r="VFQ70" s="119"/>
      <c r="VFR70" s="119"/>
      <c r="VFS70" s="119"/>
      <c r="VFT70" s="119"/>
      <c r="VFU70" s="119"/>
      <c r="VFV70" s="119"/>
      <c r="VFW70" s="119"/>
      <c r="VFX70" s="119"/>
      <c r="VFY70" s="119"/>
      <c r="VFZ70" s="119"/>
      <c r="VGA70" s="119"/>
      <c r="VGB70" s="119"/>
      <c r="VGC70" s="119"/>
      <c r="VGD70" s="119"/>
      <c r="VGE70" s="119"/>
      <c r="VGF70" s="119"/>
      <c r="VGG70" s="119"/>
      <c r="VGH70" s="119"/>
      <c r="VGI70" s="119"/>
      <c r="VGJ70" s="119"/>
      <c r="VGK70" s="119"/>
      <c r="VGL70" s="119"/>
      <c r="VGM70" s="119"/>
      <c r="VGN70" s="119"/>
      <c r="VGO70" s="119"/>
      <c r="VGP70" s="119"/>
      <c r="VGQ70" s="119"/>
      <c r="VGR70" s="119"/>
      <c r="VGS70" s="119"/>
      <c r="VGT70" s="119"/>
      <c r="VGU70" s="119"/>
      <c r="VGV70" s="119"/>
      <c r="VGW70" s="119"/>
      <c r="VGX70" s="119"/>
      <c r="VGY70" s="119"/>
      <c r="VGZ70" s="119"/>
      <c r="VHA70" s="119"/>
      <c r="VHB70" s="119"/>
      <c r="VHC70" s="119"/>
      <c r="VHD70" s="119"/>
      <c r="VHE70" s="119"/>
      <c r="VHF70" s="119"/>
      <c r="VHG70" s="119"/>
      <c r="VHH70" s="119"/>
      <c r="VHI70" s="119"/>
      <c r="VHJ70" s="119"/>
      <c r="VHK70" s="119"/>
      <c r="VHL70" s="119"/>
      <c r="VHM70" s="119"/>
      <c r="VHN70" s="119"/>
      <c r="VHO70" s="119"/>
      <c r="VHP70" s="119"/>
      <c r="VHQ70" s="119"/>
      <c r="VHR70" s="119"/>
      <c r="VHS70" s="119"/>
      <c r="VHT70" s="119"/>
      <c r="VHU70" s="119"/>
      <c r="VHV70" s="119"/>
      <c r="VHW70" s="119"/>
      <c r="VHX70" s="119"/>
      <c r="VHY70" s="119"/>
      <c r="VHZ70" s="119"/>
      <c r="VIA70" s="119"/>
      <c r="VIB70" s="119"/>
      <c r="VIC70" s="119"/>
      <c r="VID70" s="119"/>
      <c r="VIE70" s="119"/>
      <c r="VIF70" s="119"/>
      <c r="VIG70" s="119"/>
      <c r="VIH70" s="119"/>
      <c r="VII70" s="119"/>
      <c r="VIJ70" s="119"/>
      <c r="VIK70" s="119"/>
      <c r="VIL70" s="119"/>
      <c r="VIM70" s="119"/>
      <c r="VIN70" s="119"/>
      <c r="VIO70" s="119"/>
      <c r="VIP70" s="119"/>
      <c r="VIQ70" s="119"/>
      <c r="VIR70" s="119"/>
      <c r="VIS70" s="119"/>
      <c r="VIT70" s="119"/>
      <c r="VIU70" s="119"/>
      <c r="VIV70" s="119"/>
      <c r="VIW70" s="119"/>
      <c r="VIX70" s="119"/>
      <c r="VIY70" s="119"/>
      <c r="VIZ70" s="119"/>
      <c r="VJA70" s="119"/>
      <c r="VJB70" s="119"/>
      <c r="VJC70" s="119"/>
      <c r="VJD70" s="119"/>
      <c r="VJE70" s="119"/>
      <c r="VJF70" s="119"/>
      <c r="VJG70" s="119"/>
      <c r="VJH70" s="119"/>
      <c r="VJI70" s="119"/>
      <c r="VJJ70" s="119"/>
      <c r="VJK70" s="119"/>
      <c r="VJL70" s="119"/>
      <c r="VJM70" s="119"/>
      <c r="VJN70" s="119"/>
      <c r="VJO70" s="119"/>
      <c r="VJP70" s="119"/>
      <c r="VJQ70" s="119"/>
      <c r="VJR70" s="119"/>
      <c r="VJS70" s="119"/>
      <c r="VJT70" s="119"/>
      <c r="VJU70" s="119"/>
      <c r="VJV70" s="119"/>
      <c r="VJW70" s="119"/>
      <c r="VJX70" s="119"/>
      <c r="VJY70" s="119"/>
      <c r="VJZ70" s="119"/>
      <c r="VKA70" s="119"/>
      <c r="VKB70" s="119"/>
      <c r="VKC70" s="119"/>
      <c r="VKD70" s="119"/>
      <c r="VKE70" s="119"/>
      <c r="VKF70" s="119"/>
      <c r="VKG70" s="119"/>
      <c r="VKH70" s="119"/>
      <c r="VKI70" s="119"/>
      <c r="VKJ70" s="119"/>
      <c r="VKK70" s="119"/>
      <c r="VKL70" s="119"/>
      <c r="VKM70" s="119"/>
      <c r="VKN70" s="119"/>
      <c r="VKO70" s="119"/>
      <c r="VKP70" s="119"/>
      <c r="VKQ70" s="119"/>
      <c r="VKR70" s="119"/>
      <c r="VKS70" s="119"/>
      <c r="VKT70" s="119"/>
      <c r="VKU70" s="119"/>
      <c r="VKV70" s="119"/>
      <c r="VKW70" s="119"/>
      <c r="VKX70" s="119"/>
      <c r="VKY70" s="119"/>
      <c r="VKZ70" s="119"/>
      <c r="VLA70" s="119"/>
      <c r="VLB70" s="119"/>
      <c r="VLC70" s="119"/>
      <c r="VLD70" s="119"/>
      <c r="VLE70" s="119"/>
      <c r="VLF70" s="119"/>
      <c r="VLG70" s="119"/>
      <c r="VLH70" s="119"/>
      <c r="VLI70" s="119"/>
      <c r="VLJ70" s="119"/>
      <c r="VLK70" s="119"/>
      <c r="VLL70" s="119"/>
      <c r="VLM70" s="119"/>
      <c r="VLN70" s="119"/>
      <c r="VLO70" s="119"/>
      <c r="VLP70" s="119"/>
      <c r="VLQ70" s="119"/>
      <c r="VLR70" s="119"/>
      <c r="VLS70" s="119"/>
      <c r="VLT70" s="119"/>
      <c r="VLU70" s="119"/>
      <c r="VLV70" s="119"/>
      <c r="VLW70" s="119"/>
      <c r="VLX70" s="119"/>
      <c r="VLY70" s="119"/>
      <c r="VLZ70" s="119"/>
      <c r="VMA70" s="119"/>
      <c r="VMB70" s="119"/>
      <c r="VMC70" s="119"/>
      <c r="VMD70" s="119"/>
      <c r="VME70" s="119"/>
      <c r="VMF70" s="119"/>
      <c r="VMG70" s="119"/>
      <c r="VMH70" s="119"/>
      <c r="VMI70" s="119"/>
      <c r="VMJ70" s="119"/>
      <c r="VMK70" s="119"/>
      <c r="VML70" s="119"/>
      <c r="VMM70" s="119"/>
      <c r="VMN70" s="119"/>
      <c r="VMO70" s="119"/>
      <c r="VMP70" s="119"/>
      <c r="VMQ70" s="119"/>
      <c r="VMR70" s="119"/>
      <c r="VMS70" s="119"/>
      <c r="VMT70" s="119"/>
      <c r="VMU70" s="119"/>
      <c r="VMV70" s="119"/>
      <c r="VMW70" s="119"/>
      <c r="VMX70" s="119"/>
      <c r="VMY70" s="119"/>
      <c r="VMZ70" s="119"/>
      <c r="VNA70" s="119"/>
      <c r="VNB70" s="119"/>
      <c r="VNC70" s="119"/>
      <c r="VND70" s="119"/>
      <c r="VNE70" s="119"/>
      <c r="VNF70" s="119"/>
      <c r="VNG70" s="119"/>
      <c r="VNH70" s="119"/>
      <c r="VNI70" s="119"/>
      <c r="VNJ70" s="119"/>
      <c r="VNK70" s="119"/>
      <c r="VNL70" s="119"/>
      <c r="VNM70" s="119"/>
      <c r="VNN70" s="119"/>
      <c r="VNO70" s="119"/>
      <c r="VNP70" s="119"/>
      <c r="VNQ70" s="119"/>
      <c r="VNR70" s="119"/>
      <c r="VNS70" s="119"/>
      <c r="VNT70" s="119"/>
      <c r="VNU70" s="119"/>
      <c r="VNV70" s="119"/>
      <c r="VNW70" s="119"/>
      <c r="VNX70" s="119"/>
      <c r="VNY70" s="119"/>
      <c r="VNZ70" s="119"/>
      <c r="VOA70" s="119"/>
      <c r="VOB70" s="119"/>
      <c r="VOC70" s="119"/>
      <c r="VOD70" s="119"/>
      <c r="VOE70" s="119"/>
      <c r="VOF70" s="119"/>
      <c r="VOG70" s="119"/>
      <c r="VOH70" s="119"/>
      <c r="VOI70" s="119"/>
      <c r="VOJ70" s="119"/>
      <c r="VOK70" s="119"/>
      <c r="VOL70" s="119"/>
      <c r="VOM70" s="119"/>
      <c r="VON70" s="119"/>
      <c r="VOO70" s="119"/>
      <c r="VOP70" s="119"/>
      <c r="VOQ70" s="119"/>
      <c r="VOR70" s="119"/>
      <c r="VOS70" s="119"/>
      <c r="VOT70" s="119"/>
      <c r="VOU70" s="119"/>
      <c r="VOV70" s="119"/>
      <c r="VOW70" s="119"/>
      <c r="VOX70" s="119"/>
      <c r="VOY70" s="119"/>
      <c r="VOZ70" s="119"/>
      <c r="VPA70" s="119"/>
      <c r="VPB70" s="119"/>
      <c r="VPC70" s="119"/>
      <c r="VPD70" s="119"/>
      <c r="VPE70" s="119"/>
      <c r="VPF70" s="119"/>
      <c r="VPG70" s="119"/>
      <c r="VPH70" s="119"/>
      <c r="VPI70" s="119"/>
      <c r="VPJ70" s="119"/>
      <c r="VPK70" s="119"/>
      <c r="VPL70" s="119"/>
      <c r="VPM70" s="119"/>
      <c r="VPN70" s="119"/>
      <c r="VPO70" s="119"/>
      <c r="VPP70" s="119"/>
      <c r="VPQ70" s="119"/>
      <c r="VPR70" s="119"/>
      <c r="VPS70" s="119"/>
      <c r="VPT70" s="119"/>
      <c r="VPU70" s="119"/>
      <c r="VPV70" s="119"/>
      <c r="VPW70" s="119"/>
      <c r="VPX70" s="119"/>
      <c r="VPY70" s="119"/>
      <c r="VPZ70" s="119"/>
      <c r="VQA70" s="119"/>
      <c r="VQB70" s="119"/>
      <c r="VQC70" s="119"/>
      <c r="VQD70" s="119"/>
      <c r="VQE70" s="119"/>
      <c r="VQF70" s="119"/>
      <c r="VQG70" s="119"/>
      <c r="VQH70" s="119"/>
      <c r="VQI70" s="119"/>
      <c r="VQJ70" s="119"/>
      <c r="VQK70" s="119"/>
      <c r="VQL70" s="119"/>
      <c r="VQM70" s="119"/>
      <c r="VQN70" s="119"/>
      <c r="VQO70" s="119"/>
      <c r="VQP70" s="119"/>
      <c r="VQQ70" s="119"/>
      <c r="VQR70" s="119"/>
      <c r="VQS70" s="119"/>
      <c r="VQT70" s="119"/>
      <c r="VQU70" s="119"/>
      <c r="VQV70" s="119"/>
      <c r="VQW70" s="119"/>
      <c r="VQX70" s="119"/>
      <c r="VQY70" s="119"/>
      <c r="VQZ70" s="119"/>
      <c r="VRA70" s="119"/>
      <c r="VRB70" s="119"/>
      <c r="VRC70" s="119"/>
      <c r="VRD70" s="119"/>
      <c r="VRE70" s="119"/>
      <c r="VRF70" s="119"/>
      <c r="VRG70" s="119"/>
      <c r="VRH70" s="119"/>
      <c r="VRI70" s="119"/>
      <c r="VRJ70" s="119"/>
      <c r="VRK70" s="119"/>
      <c r="VRL70" s="119"/>
      <c r="VRM70" s="119"/>
      <c r="VRN70" s="119"/>
      <c r="VRO70" s="119"/>
      <c r="VRP70" s="119"/>
      <c r="VRQ70" s="119"/>
      <c r="VRR70" s="119"/>
      <c r="VRS70" s="119"/>
      <c r="VRT70" s="119"/>
      <c r="VRU70" s="119"/>
      <c r="VRV70" s="119"/>
      <c r="VRW70" s="119"/>
      <c r="VRX70" s="119"/>
      <c r="VRY70" s="119"/>
      <c r="VRZ70" s="119"/>
      <c r="VSA70" s="119"/>
      <c r="VSB70" s="119"/>
      <c r="VSC70" s="119"/>
      <c r="VSD70" s="119"/>
      <c r="VSE70" s="119"/>
      <c r="VSF70" s="119"/>
      <c r="VSG70" s="119"/>
      <c r="VSH70" s="119"/>
      <c r="VSI70" s="119"/>
      <c r="VSJ70" s="119"/>
      <c r="VSK70" s="119"/>
      <c r="VSL70" s="119"/>
      <c r="VSM70" s="119"/>
      <c r="VSN70" s="119"/>
      <c r="VSO70" s="119"/>
      <c r="VSP70" s="119"/>
      <c r="VSQ70" s="119"/>
      <c r="VSR70" s="119"/>
      <c r="VSS70" s="119"/>
      <c r="VST70" s="119"/>
      <c r="VSU70" s="119"/>
      <c r="VSV70" s="119"/>
      <c r="VSW70" s="119"/>
      <c r="VSX70" s="119"/>
      <c r="VSY70" s="119"/>
      <c r="VSZ70" s="119"/>
      <c r="VTA70" s="119"/>
      <c r="VTB70" s="119"/>
      <c r="VTC70" s="119"/>
      <c r="VTD70" s="119"/>
      <c r="VTE70" s="119"/>
      <c r="VTF70" s="119"/>
      <c r="VTG70" s="119"/>
      <c r="VTH70" s="119"/>
      <c r="VTI70" s="119"/>
      <c r="VTJ70" s="119"/>
      <c r="VTK70" s="119"/>
      <c r="VTL70" s="119"/>
      <c r="VTM70" s="119"/>
      <c r="VTN70" s="119"/>
      <c r="VTO70" s="119"/>
      <c r="VTP70" s="119"/>
      <c r="VTQ70" s="119"/>
      <c r="VTR70" s="119"/>
      <c r="VTS70" s="119"/>
      <c r="VTT70" s="119"/>
      <c r="VTU70" s="119"/>
      <c r="VTV70" s="119"/>
      <c r="VTW70" s="119"/>
      <c r="VTX70" s="119"/>
      <c r="VTY70" s="119"/>
      <c r="VTZ70" s="119"/>
      <c r="VUA70" s="119"/>
      <c r="VUB70" s="119"/>
      <c r="VUC70" s="119"/>
      <c r="VUD70" s="119"/>
      <c r="VUE70" s="119"/>
      <c r="VUF70" s="119"/>
      <c r="VUG70" s="119"/>
      <c r="VUH70" s="119"/>
      <c r="VUI70" s="119"/>
      <c r="VUJ70" s="119"/>
      <c r="VUK70" s="119"/>
      <c r="VUL70" s="119"/>
      <c r="VUM70" s="119"/>
      <c r="VUN70" s="119"/>
      <c r="VUO70" s="119"/>
      <c r="VUP70" s="119"/>
      <c r="VUQ70" s="119"/>
      <c r="VUR70" s="119"/>
      <c r="VUS70" s="119"/>
      <c r="VUT70" s="119"/>
      <c r="VUU70" s="119"/>
      <c r="VUV70" s="119"/>
      <c r="VUW70" s="119"/>
      <c r="VUX70" s="119"/>
      <c r="VUY70" s="119"/>
      <c r="VUZ70" s="119"/>
      <c r="VVA70" s="119"/>
      <c r="VVB70" s="119"/>
      <c r="VVC70" s="119"/>
      <c r="VVD70" s="119"/>
      <c r="VVE70" s="119"/>
      <c r="VVF70" s="119"/>
      <c r="VVG70" s="119"/>
      <c r="VVH70" s="119"/>
      <c r="VVI70" s="119"/>
      <c r="VVJ70" s="119"/>
      <c r="VVK70" s="119"/>
      <c r="VVL70" s="119"/>
      <c r="VVM70" s="119"/>
      <c r="VVN70" s="119"/>
      <c r="VVO70" s="119"/>
      <c r="VVP70" s="119"/>
      <c r="VVQ70" s="119"/>
      <c r="VVR70" s="119"/>
      <c r="VVS70" s="119"/>
      <c r="VVT70" s="119"/>
      <c r="VVU70" s="119"/>
      <c r="VVV70" s="119"/>
      <c r="VVW70" s="119"/>
      <c r="VVX70" s="119"/>
      <c r="VVY70" s="119"/>
      <c r="VVZ70" s="119"/>
      <c r="VWA70" s="119"/>
      <c r="VWB70" s="119"/>
      <c r="VWC70" s="119"/>
      <c r="VWD70" s="119"/>
      <c r="VWE70" s="119"/>
      <c r="VWF70" s="119"/>
      <c r="VWG70" s="119"/>
      <c r="VWH70" s="119"/>
      <c r="VWI70" s="119"/>
      <c r="VWJ70" s="119"/>
      <c r="VWK70" s="119"/>
      <c r="VWL70" s="119"/>
      <c r="VWM70" s="119"/>
      <c r="VWN70" s="119"/>
      <c r="VWO70" s="119"/>
      <c r="VWP70" s="119"/>
      <c r="VWQ70" s="119"/>
      <c r="VWR70" s="119"/>
      <c r="VWS70" s="119"/>
      <c r="VWT70" s="119"/>
      <c r="VWU70" s="119"/>
      <c r="VWV70" s="119"/>
      <c r="VWW70" s="119"/>
      <c r="VWX70" s="119"/>
      <c r="VWY70" s="119"/>
      <c r="VWZ70" s="119"/>
      <c r="VXA70" s="119"/>
      <c r="VXB70" s="119"/>
      <c r="VXC70" s="119"/>
      <c r="VXD70" s="119"/>
      <c r="VXE70" s="119"/>
      <c r="VXF70" s="119"/>
      <c r="VXG70" s="119"/>
      <c r="VXH70" s="119"/>
      <c r="VXI70" s="119"/>
      <c r="VXJ70" s="119"/>
      <c r="VXK70" s="119"/>
      <c r="VXL70" s="119"/>
      <c r="VXM70" s="119"/>
      <c r="VXN70" s="119"/>
      <c r="VXO70" s="119"/>
      <c r="VXP70" s="119"/>
      <c r="VXQ70" s="119"/>
      <c r="VXR70" s="119"/>
      <c r="VXS70" s="119"/>
      <c r="VXT70" s="119"/>
      <c r="VXU70" s="119"/>
      <c r="VXV70" s="119"/>
      <c r="VXW70" s="119"/>
      <c r="VXX70" s="119"/>
      <c r="VXY70" s="119"/>
      <c r="VXZ70" s="119"/>
      <c r="VYA70" s="119"/>
      <c r="VYB70" s="119"/>
      <c r="VYC70" s="119"/>
      <c r="VYD70" s="119"/>
      <c r="VYE70" s="119"/>
      <c r="VYF70" s="119"/>
      <c r="VYG70" s="119"/>
      <c r="VYH70" s="119"/>
      <c r="VYI70" s="119"/>
      <c r="VYJ70" s="119"/>
      <c r="VYK70" s="119"/>
      <c r="VYL70" s="119"/>
      <c r="VYM70" s="119"/>
      <c r="VYN70" s="119"/>
      <c r="VYO70" s="119"/>
      <c r="VYP70" s="119"/>
      <c r="VYQ70" s="119"/>
      <c r="VYR70" s="119"/>
      <c r="VYS70" s="119"/>
      <c r="VYT70" s="119"/>
      <c r="VYU70" s="119"/>
      <c r="VYV70" s="119"/>
      <c r="VYW70" s="119"/>
      <c r="VYX70" s="119"/>
      <c r="VYY70" s="119"/>
      <c r="VYZ70" s="119"/>
      <c r="VZA70" s="119"/>
      <c r="VZB70" s="119"/>
      <c r="VZC70" s="119"/>
      <c r="VZD70" s="119"/>
      <c r="VZE70" s="119"/>
      <c r="VZF70" s="119"/>
      <c r="VZG70" s="119"/>
      <c r="VZH70" s="119"/>
      <c r="VZI70" s="119"/>
      <c r="VZJ70" s="119"/>
      <c r="VZK70" s="119"/>
      <c r="VZL70" s="119"/>
      <c r="VZM70" s="119"/>
      <c r="VZN70" s="119"/>
      <c r="VZO70" s="119"/>
      <c r="VZP70" s="119"/>
      <c r="VZQ70" s="119"/>
      <c r="VZR70" s="119"/>
      <c r="VZS70" s="119"/>
      <c r="VZT70" s="119"/>
      <c r="VZU70" s="119"/>
      <c r="VZV70" s="119"/>
      <c r="VZW70" s="119"/>
      <c r="VZX70" s="119"/>
      <c r="VZY70" s="119"/>
      <c r="VZZ70" s="119"/>
      <c r="WAA70" s="119"/>
      <c r="WAB70" s="119"/>
      <c r="WAC70" s="119"/>
      <c r="WAD70" s="119"/>
      <c r="WAE70" s="119"/>
      <c r="WAF70" s="119"/>
      <c r="WAG70" s="119"/>
      <c r="WAH70" s="119"/>
      <c r="WAI70" s="119"/>
      <c r="WAJ70" s="119"/>
      <c r="WAK70" s="119"/>
      <c r="WAL70" s="119"/>
      <c r="WAM70" s="119"/>
      <c r="WAN70" s="119"/>
      <c r="WAO70" s="119"/>
      <c r="WAP70" s="119"/>
      <c r="WAQ70" s="119"/>
      <c r="WAR70" s="119"/>
      <c r="WAS70" s="119"/>
      <c r="WAT70" s="119"/>
      <c r="WAU70" s="119"/>
      <c r="WAV70" s="119"/>
      <c r="WAW70" s="119"/>
      <c r="WAX70" s="119"/>
      <c r="WAY70" s="119"/>
      <c r="WAZ70" s="119"/>
      <c r="WBA70" s="119"/>
      <c r="WBB70" s="119"/>
      <c r="WBC70" s="119"/>
      <c r="WBD70" s="119"/>
      <c r="WBE70" s="119"/>
      <c r="WBF70" s="119"/>
      <c r="WBG70" s="119"/>
      <c r="WBH70" s="119"/>
      <c r="WBI70" s="119"/>
      <c r="WBJ70" s="119"/>
      <c r="WBK70" s="119"/>
      <c r="WBL70" s="119"/>
      <c r="WBM70" s="119"/>
      <c r="WBN70" s="119"/>
      <c r="WBO70" s="119"/>
      <c r="WBP70" s="119"/>
      <c r="WBQ70" s="119"/>
      <c r="WBR70" s="119"/>
      <c r="WBS70" s="119"/>
      <c r="WBT70" s="119"/>
      <c r="WBU70" s="119"/>
      <c r="WBV70" s="119"/>
      <c r="WBW70" s="119"/>
      <c r="WBX70" s="119"/>
      <c r="WBY70" s="119"/>
      <c r="WBZ70" s="119"/>
      <c r="WCA70" s="119"/>
      <c r="WCB70" s="119"/>
      <c r="WCC70" s="119"/>
      <c r="WCD70" s="119"/>
      <c r="WCE70" s="119"/>
      <c r="WCF70" s="119"/>
      <c r="WCG70" s="119"/>
      <c r="WCH70" s="119"/>
      <c r="WCI70" s="119"/>
      <c r="WCJ70" s="119"/>
      <c r="WCK70" s="119"/>
      <c r="WCL70" s="119"/>
      <c r="WCM70" s="119"/>
      <c r="WCN70" s="119"/>
      <c r="WCO70" s="119"/>
      <c r="WCP70" s="119"/>
      <c r="WCQ70" s="119"/>
      <c r="WCR70" s="119"/>
      <c r="WCS70" s="119"/>
      <c r="WCT70" s="119"/>
      <c r="WCU70" s="119"/>
      <c r="WCV70" s="119"/>
      <c r="WCW70" s="119"/>
      <c r="WCX70" s="119"/>
      <c r="WCY70" s="119"/>
      <c r="WCZ70" s="119"/>
      <c r="WDA70" s="119"/>
      <c r="WDB70" s="119"/>
      <c r="WDC70" s="119"/>
      <c r="WDD70" s="119"/>
      <c r="WDE70" s="119"/>
      <c r="WDF70" s="119"/>
      <c r="WDG70" s="119"/>
      <c r="WDH70" s="119"/>
      <c r="WDI70" s="119"/>
      <c r="WDJ70" s="119"/>
      <c r="WDK70" s="119"/>
      <c r="WDL70" s="119"/>
      <c r="WDM70" s="119"/>
      <c r="WDN70" s="119"/>
      <c r="WDO70" s="119"/>
      <c r="WDP70" s="119"/>
      <c r="WDQ70" s="119"/>
      <c r="WDR70" s="119"/>
      <c r="WDS70" s="119"/>
      <c r="WDT70" s="119"/>
      <c r="WDU70" s="119"/>
      <c r="WDV70" s="119"/>
      <c r="WDW70" s="119"/>
      <c r="WDX70" s="119"/>
      <c r="WDY70" s="119"/>
      <c r="WDZ70" s="119"/>
      <c r="WEA70" s="119"/>
      <c r="WEB70" s="119"/>
      <c r="WEC70" s="119"/>
      <c r="WED70" s="119"/>
      <c r="WEE70" s="119"/>
      <c r="WEF70" s="119"/>
      <c r="WEG70" s="119"/>
      <c r="WEH70" s="119"/>
      <c r="WEI70" s="119"/>
      <c r="WEJ70" s="119"/>
      <c r="WEK70" s="119"/>
      <c r="WEL70" s="119"/>
      <c r="WEM70" s="119"/>
      <c r="WEN70" s="119"/>
      <c r="WEO70" s="119"/>
      <c r="WEP70" s="119"/>
      <c r="WEQ70" s="119"/>
      <c r="WER70" s="119"/>
      <c r="WES70" s="119"/>
      <c r="WET70" s="119"/>
      <c r="WEU70" s="119"/>
      <c r="WEV70" s="119"/>
      <c r="WEW70" s="119"/>
      <c r="WEX70" s="119"/>
      <c r="WEY70" s="119"/>
      <c r="WEZ70" s="119"/>
      <c r="WFA70" s="119"/>
      <c r="WFB70" s="119"/>
      <c r="WFC70" s="119"/>
      <c r="WFD70" s="119"/>
      <c r="WFE70" s="119"/>
      <c r="WFF70" s="119"/>
      <c r="WFG70" s="119"/>
      <c r="WFH70" s="119"/>
      <c r="WFI70" s="119"/>
      <c r="WFJ70" s="119"/>
      <c r="WFK70" s="119"/>
      <c r="WFL70" s="119"/>
      <c r="WFM70" s="119"/>
      <c r="WFN70" s="119"/>
      <c r="WFO70" s="119"/>
      <c r="WFP70" s="119"/>
      <c r="WFQ70" s="119"/>
      <c r="WFR70" s="119"/>
      <c r="WFS70" s="119"/>
      <c r="WFT70" s="119"/>
      <c r="WFU70" s="119"/>
      <c r="WFV70" s="119"/>
      <c r="WFW70" s="119"/>
      <c r="WFX70" s="119"/>
      <c r="WFY70" s="119"/>
      <c r="WFZ70" s="119"/>
      <c r="WGA70" s="119"/>
      <c r="WGB70" s="119"/>
      <c r="WGC70" s="119"/>
      <c r="WGD70" s="119"/>
      <c r="WGE70" s="119"/>
      <c r="WGF70" s="119"/>
      <c r="WGG70" s="119"/>
      <c r="WGH70" s="119"/>
      <c r="WGI70" s="119"/>
      <c r="WGJ70" s="119"/>
      <c r="WGK70" s="119"/>
      <c r="WGL70" s="119"/>
      <c r="WGM70" s="119"/>
      <c r="WGN70" s="119"/>
      <c r="WGO70" s="119"/>
      <c r="WGP70" s="119"/>
      <c r="WGQ70" s="119"/>
      <c r="WGR70" s="119"/>
      <c r="WGS70" s="119"/>
      <c r="WGT70" s="119"/>
      <c r="WGU70" s="119"/>
      <c r="WGV70" s="119"/>
      <c r="WGW70" s="119"/>
      <c r="WGX70" s="119"/>
      <c r="WGY70" s="119"/>
      <c r="WGZ70" s="119"/>
      <c r="WHA70" s="119"/>
      <c r="WHB70" s="119"/>
      <c r="WHC70" s="119"/>
      <c r="WHD70" s="119"/>
      <c r="WHE70" s="119"/>
      <c r="WHF70" s="119"/>
      <c r="WHG70" s="119"/>
      <c r="WHH70" s="119"/>
      <c r="WHI70" s="119"/>
      <c r="WHJ70" s="119"/>
      <c r="WHK70" s="119"/>
      <c r="WHL70" s="119"/>
      <c r="WHM70" s="119"/>
      <c r="WHN70" s="119"/>
      <c r="WHO70" s="119"/>
      <c r="WHP70" s="119"/>
      <c r="WHQ70" s="119"/>
      <c r="WHR70" s="119"/>
      <c r="WHS70" s="119"/>
      <c r="WHT70" s="119"/>
      <c r="WHU70" s="119"/>
      <c r="WHV70" s="119"/>
      <c r="WHW70" s="119"/>
      <c r="WHX70" s="119"/>
      <c r="WHY70" s="119"/>
      <c r="WHZ70" s="119"/>
      <c r="WIA70" s="119"/>
      <c r="WIB70" s="119"/>
      <c r="WIC70" s="119"/>
      <c r="WID70" s="119"/>
      <c r="WIE70" s="119"/>
      <c r="WIF70" s="119"/>
      <c r="WIG70" s="119"/>
      <c r="WIH70" s="119"/>
      <c r="WII70" s="119"/>
      <c r="WIJ70" s="119"/>
      <c r="WIK70" s="119"/>
      <c r="WIL70" s="119"/>
      <c r="WIM70" s="119"/>
      <c r="WIN70" s="119"/>
      <c r="WIO70" s="119"/>
      <c r="WIP70" s="119"/>
      <c r="WIQ70" s="119"/>
      <c r="WIR70" s="119"/>
      <c r="WIS70" s="119"/>
      <c r="WIT70" s="119"/>
      <c r="WIU70" s="119"/>
      <c r="WIV70" s="119"/>
      <c r="WIW70" s="119"/>
      <c r="WIX70" s="119"/>
      <c r="WIY70" s="119"/>
      <c r="WIZ70" s="119"/>
      <c r="WJA70" s="119"/>
      <c r="WJB70" s="119"/>
      <c r="WJC70" s="119"/>
      <c r="WJD70" s="119"/>
      <c r="WJE70" s="119"/>
      <c r="WJF70" s="119"/>
      <c r="WJG70" s="119"/>
      <c r="WJH70" s="119"/>
      <c r="WJI70" s="119"/>
      <c r="WJJ70" s="119"/>
      <c r="WJK70" s="119"/>
      <c r="WJL70" s="119"/>
      <c r="WJM70" s="119"/>
      <c r="WJN70" s="119"/>
      <c r="WJO70" s="119"/>
      <c r="WJP70" s="119"/>
      <c r="WJQ70" s="119"/>
      <c r="WJR70" s="119"/>
      <c r="WJS70" s="119"/>
      <c r="WJT70" s="119"/>
      <c r="WJU70" s="119"/>
      <c r="WJV70" s="119"/>
      <c r="WJW70" s="119"/>
      <c r="WJX70" s="119"/>
      <c r="WJY70" s="119"/>
      <c r="WJZ70" s="119"/>
      <c r="WKA70" s="119"/>
      <c r="WKB70" s="119"/>
      <c r="WKC70" s="119"/>
      <c r="WKD70" s="119"/>
      <c r="WKE70" s="119"/>
      <c r="WKF70" s="119"/>
      <c r="WKG70" s="119"/>
      <c r="WKH70" s="119"/>
      <c r="WKI70" s="119"/>
      <c r="WKJ70" s="119"/>
      <c r="WKK70" s="119"/>
      <c r="WKL70" s="119"/>
      <c r="WKM70" s="119"/>
      <c r="WKN70" s="119"/>
      <c r="WKO70" s="119"/>
      <c r="WKP70" s="119"/>
      <c r="WKQ70" s="119"/>
      <c r="WKR70" s="119"/>
      <c r="WKS70" s="119"/>
      <c r="WKT70" s="119"/>
      <c r="WKU70" s="119"/>
      <c r="WKV70" s="119"/>
      <c r="WKW70" s="119"/>
      <c r="WKX70" s="119"/>
      <c r="WKY70" s="119"/>
      <c r="WKZ70" s="119"/>
      <c r="WLA70" s="119"/>
      <c r="WLB70" s="119"/>
      <c r="WLC70" s="119"/>
      <c r="WLD70" s="119"/>
      <c r="WLE70" s="119"/>
      <c r="WLF70" s="119"/>
      <c r="WLG70" s="119"/>
      <c r="WLH70" s="119"/>
      <c r="WLI70" s="119"/>
      <c r="WLJ70" s="119"/>
      <c r="WLK70" s="119"/>
      <c r="WLL70" s="119"/>
      <c r="WLM70" s="119"/>
      <c r="WLN70" s="119"/>
      <c r="WLO70" s="119"/>
      <c r="WLP70" s="119"/>
      <c r="WLQ70" s="119"/>
      <c r="WLR70" s="119"/>
      <c r="WLS70" s="119"/>
      <c r="WLT70" s="119"/>
      <c r="WLU70" s="119"/>
      <c r="WLV70" s="119"/>
      <c r="WLW70" s="119"/>
      <c r="WLX70" s="119"/>
      <c r="WLY70" s="119"/>
      <c r="WLZ70" s="119"/>
      <c r="WMA70" s="119"/>
      <c r="WMB70" s="119"/>
      <c r="WMC70" s="119"/>
      <c r="WMD70" s="119"/>
      <c r="WME70" s="119"/>
      <c r="WMF70" s="119"/>
      <c r="WMG70" s="119"/>
      <c r="WMH70" s="119"/>
      <c r="WMI70" s="119"/>
      <c r="WMJ70" s="119"/>
      <c r="WMK70" s="119"/>
      <c r="WML70" s="119"/>
      <c r="WMM70" s="119"/>
      <c r="WMN70" s="119"/>
      <c r="WMO70" s="119"/>
      <c r="WMP70" s="119"/>
      <c r="WMQ70" s="119"/>
      <c r="WMR70" s="119"/>
      <c r="WMS70" s="119"/>
      <c r="WMT70" s="119"/>
      <c r="WMU70" s="119"/>
      <c r="WMV70" s="119"/>
      <c r="WMW70" s="119"/>
      <c r="WMX70" s="119"/>
      <c r="WMY70" s="119"/>
      <c r="WMZ70" s="119"/>
      <c r="WNA70" s="119"/>
      <c r="WNB70" s="119"/>
      <c r="WNC70" s="119"/>
      <c r="WND70" s="119"/>
      <c r="WNE70" s="119"/>
      <c r="WNF70" s="119"/>
      <c r="WNG70" s="119"/>
      <c r="WNH70" s="119"/>
      <c r="WNI70" s="119"/>
      <c r="WNJ70" s="119"/>
      <c r="WNK70" s="119"/>
      <c r="WNL70" s="119"/>
      <c r="WNM70" s="119"/>
      <c r="WNN70" s="119"/>
      <c r="WNO70" s="119"/>
      <c r="WNP70" s="119"/>
      <c r="WNQ70" s="119"/>
      <c r="WNR70" s="119"/>
      <c r="WNS70" s="119"/>
      <c r="WNT70" s="119"/>
      <c r="WNU70" s="119"/>
      <c r="WNV70" s="119"/>
      <c r="WNW70" s="119"/>
      <c r="WNX70" s="119"/>
      <c r="WNY70" s="119"/>
      <c r="WNZ70" s="119"/>
      <c r="WOA70" s="119"/>
      <c r="WOB70" s="119"/>
      <c r="WOC70" s="119"/>
      <c r="WOD70" s="119"/>
      <c r="WOE70" s="119"/>
      <c r="WOF70" s="119"/>
      <c r="WOG70" s="119"/>
      <c r="WOH70" s="119"/>
      <c r="WOI70" s="119"/>
      <c r="WOJ70" s="119"/>
      <c r="WOK70" s="119"/>
      <c r="WOL70" s="119"/>
      <c r="WOM70" s="119"/>
      <c r="WON70" s="119"/>
      <c r="WOO70" s="119"/>
      <c r="WOP70" s="119"/>
      <c r="WOQ70" s="119"/>
      <c r="WOR70" s="119"/>
      <c r="WOS70" s="119"/>
      <c r="WOT70" s="119"/>
      <c r="WOU70" s="119"/>
      <c r="WOV70" s="119"/>
      <c r="WOW70" s="119"/>
      <c r="WOX70" s="119"/>
      <c r="WOY70" s="119"/>
      <c r="WOZ70" s="119"/>
      <c r="WPA70" s="119"/>
      <c r="WPB70" s="119"/>
      <c r="WPC70" s="119"/>
      <c r="WPD70" s="119"/>
      <c r="WPE70" s="119"/>
      <c r="WPF70" s="119"/>
      <c r="WPG70" s="119"/>
      <c r="WPH70" s="119"/>
      <c r="WPI70" s="119"/>
      <c r="WPJ70" s="119"/>
      <c r="WPK70" s="119"/>
      <c r="WPL70" s="119"/>
      <c r="WPM70" s="119"/>
      <c r="WPN70" s="119"/>
      <c r="WPO70" s="119"/>
      <c r="WPP70" s="119"/>
      <c r="WPQ70" s="119"/>
      <c r="WPR70" s="119"/>
      <c r="WPS70" s="119"/>
      <c r="WPT70" s="119"/>
      <c r="WPU70" s="119"/>
      <c r="WPV70" s="119"/>
      <c r="WPW70" s="119"/>
      <c r="WPX70" s="119"/>
      <c r="WPY70" s="119"/>
      <c r="WPZ70" s="119"/>
      <c r="WQA70" s="119"/>
      <c r="WQB70" s="119"/>
      <c r="WQC70" s="119"/>
      <c r="WQD70" s="119"/>
      <c r="WQE70" s="119"/>
      <c r="WQF70" s="119"/>
      <c r="WQG70" s="119"/>
      <c r="WQH70" s="119"/>
      <c r="WQI70" s="119"/>
      <c r="WQJ70" s="119"/>
      <c r="WQK70" s="119"/>
      <c r="WQL70" s="119"/>
      <c r="WQM70" s="119"/>
      <c r="WQN70" s="119"/>
      <c r="WQO70" s="119"/>
      <c r="WQP70" s="119"/>
      <c r="WQQ70" s="119"/>
      <c r="WQR70" s="119"/>
      <c r="WQS70" s="119"/>
      <c r="WQT70" s="119"/>
      <c r="WQU70" s="119"/>
      <c r="WQV70" s="119"/>
      <c r="WQW70" s="119"/>
      <c r="WQX70" s="119"/>
      <c r="WQY70" s="119"/>
      <c r="WQZ70" s="119"/>
      <c r="WRA70" s="119"/>
      <c r="WRB70" s="119"/>
      <c r="WRC70" s="119"/>
      <c r="WRD70" s="119"/>
      <c r="WRE70" s="119"/>
      <c r="WRF70" s="119"/>
      <c r="WRG70" s="119"/>
      <c r="WRH70" s="119"/>
      <c r="WRI70" s="119"/>
      <c r="WRJ70" s="119"/>
      <c r="WRK70" s="119"/>
      <c r="WRL70" s="119"/>
      <c r="WRM70" s="119"/>
      <c r="WRN70" s="119"/>
      <c r="WRO70" s="119"/>
      <c r="WRP70" s="119"/>
      <c r="WRQ70" s="119"/>
      <c r="WRR70" s="119"/>
      <c r="WRS70" s="119"/>
      <c r="WRT70" s="119"/>
      <c r="WRU70" s="119"/>
      <c r="WRV70" s="119"/>
      <c r="WRW70" s="119"/>
      <c r="WRX70" s="119"/>
      <c r="WRY70" s="119"/>
      <c r="WRZ70" s="119"/>
      <c r="WSA70" s="119"/>
      <c r="WSB70" s="119"/>
      <c r="WSC70" s="119"/>
      <c r="WSD70" s="119"/>
      <c r="WSE70" s="119"/>
      <c r="WSF70" s="119"/>
      <c r="WSG70" s="119"/>
      <c r="WSH70" s="119"/>
      <c r="WSI70" s="119"/>
      <c r="WSJ70" s="119"/>
      <c r="WSK70" s="119"/>
      <c r="WSL70" s="119"/>
      <c r="WSM70" s="119"/>
      <c r="WSN70" s="119"/>
      <c r="WSO70" s="119"/>
      <c r="WSP70" s="119"/>
      <c r="WSQ70" s="119"/>
      <c r="WSR70" s="119"/>
      <c r="WSS70" s="119"/>
      <c r="WST70" s="119"/>
      <c r="WSU70" s="119"/>
      <c r="WSV70" s="119"/>
      <c r="WSW70" s="119"/>
      <c r="WSX70" s="119"/>
      <c r="WSY70" s="119"/>
      <c r="WSZ70" s="119"/>
      <c r="WTA70" s="119"/>
      <c r="WTB70" s="119"/>
      <c r="WTC70" s="119"/>
      <c r="WTD70" s="119"/>
      <c r="WTE70" s="119"/>
      <c r="WTF70" s="119"/>
      <c r="WTG70" s="119"/>
      <c r="WTH70" s="119"/>
      <c r="WTI70" s="119"/>
      <c r="WTJ70" s="119"/>
      <c r="WTK70" s="119"/>
      <c r="WTL70" s="119"/>
      <c r="WTM70" s="119"/>
      <c r="WTN70" s="119"/>
      <c r="WTO70" s="119"/>
      <c r="WTP70" s="119"/>
      <c r="WTQ70" s="119"/>
      <c r="WTR70" s="119"/>
      <c r="WTS70" s="119"/>
      <c r="WTT70" s="119"/>
      <c r="WTU70" s="119"/>
      <c r="WTV70" s="119"/>
      <c r="WTW70" s="119"/>
      <c r="WTX70" s="119"/>
      <c r="WTY70" s="119"/>
      <c r="WTZ70" s="119"/>
      <c r="WUA70" s="119"/>
      <c r="WUB70" s="119"/>
      <c r="WUC70" s="119"/>
      <c r="WUD70" s="119"/>
      <c r="WUE70" s="119"/>
      <c r="WUF70" s="119"/>
      <c r="WUG70" s="119"/>
      <c r="WUH70" s="119"/>
      <c r="WUI70" s="119"/>
      <c r="WUJ70" s="119"/>
      <c r="WUK70" s="119"/>
      <c r="WUL70" s="119"/>
      <c r="WUM70" s="119"/>
      <c r="WUN70" s="119"/>
      <c r="WUO70" s="119"/>
      <c r="WUP70" s="119"/>
      <c r="WUQ70" s="119"/>
      <c r="WUR70" s="119"/>
      <c r="WUS70" s="119"/>
      <c r="WUT70" s="119"/>
      <c r="WUU70" s="119"/>
      <c r="WUV70" s="119"/>
      <c r="WUW70" s="119"/>
      <c r="WUX70" s="119"/>
      <c r="WUY70" s="119"/>
      <c r="WUZ70" s="119"/>
      <c r="WVA70" s="119"/>
      <c r="WVB70" s="119"/>
      <c r="WVC70" s="119"/>
      <c r="WVD70" s="119"/>
      <c r="WVE70" s="119"/>
      <c r="WVF70" s="119"/>
      <c r="WVG70" s="119"/>
      <c r="WVH70" s="119"/>
      <c r="WVI70" s="119"/>
      <c r="WVJ70" s="119"/>
      <c r="WVK70" s="119"/>
      <c r="WVL70" s="119"/>
      <c r="WVM70" s="119"/>
      <c r="WVN70" s="119"/>
      <c r="WVO70" s="119"/>
      <c r="WVP70" s="119"/>
      <c r="WVQ70" s="119"/>
      <c r="WVR70" s="119"/>
      <c r="WVS70" s="119"/>
      <c r="WVT70" s="119"/>
      <c r="WVU70" s="119"/>
      <c r="WVV70" s="119"/>
      <c r="WVW70" s="119"/>
      <c r="WVX70" s="119"/>
      <c r="WVY70" s="119"/>
      <c r="WVZ70" s="119"/>
      <c r="WWA70" s="119"/>
      <c r="WWB70" s="119"/>
      <c r="WWC70" s="119"/>
      <c r="WWD70" s="119"/>
      <c r="WWE70" s="119"/>
      <c r="WWF70" s="119"/>
      <c r="WWG70" s="119"/>
      <c r="WWH70" s="119"/>
      <c r="WWI70" s="119"/>
      <c r="WWJ70" s="119"/>
      <c r="WWK70" s="119"/>
      <c r="WWL70" s="119"/>
      <c r="WWM70" s="119"/>
      <c r="WWN70" s="119"/>
      <c r="WWO70" s="119"/>
      <c r="WWP70" s="119"/>
      <c r="WWQ70" s="119"/>
      <c r="WWR70" s="119"/>
      <c r="WWS70" s="119"/>
      <c r="WWT70" s="119"/>
      <c r="WWU70" s="119"/>
      <c r="WWV70" s="119"/>
      <c r="WWW70" s="119"/>
      <c r="WWX70" s="119"/>
      <c r="WWY70" s="119"/>
      <c r="WWZ70" s="119"/>
      <c r="WXA70" s="119"/>
      <c r="WXB70" s="119"/>
      <c r="WXC70" s="119"/>
      <c r="WXD70" s="119"/>
      <c r="WXE70" s="119"/>
      <c r="WXF70" s="119"/>
      <c r="WXG70" s="119"/>
      <c r="WXH70" s="119"/>
      <c r="WXI70" s="119"/>
      <c r="WXJ70" s="119"/>
      <c r="WXK70" s="119"/>
      <c r="WXL70" s="119"/>
      <c r="WXM70" s="119"/>
      <c r="WXN70" s="119"/>
      <c r="WXO70" s="119"/>
      <c r="WXP70" s="119"/>
      <c r="WXQ70" s="119"/>
      <c r="WXR70" s="119"/>
      <c r="WXS70" s="119"/>
      <c r="WXT70" s="119"/>
      <c r="WXU70" s="119"/>
      <c r="WXV70" s="119"/>
      <c r="WXW70" s="119"/>
      <c r="WXX70" s="119"/>
      <c r="WXY70" s="119"/>
      <c r="WXZ70" s="119"/>
      <c r="WYA70" s="119"/>
      <c r="WYB70" s="119"/>
      <c r="WYC70" s="119"/>
      <c r="WYD70" s="119"/>
      <c r="WYE70" s="119"/>
      <c r="WYF70" s="119"/>
      <c r="WYG70" s="119"/>
      <c r="WYH70" s="119"/>
      <c r="WYI70" s="119"/>
      <c r="WYJ70" s="119"/>
      <c r="WYK70" s="119"/>
      <c r="WYL70" s="119"/>
      <c r="WYM70" s="119"/>
      <c r="WYN70" s="119"/>
      <c r="WYO70" s="119"/>
      <c r="WYP70" s="119"/>
      <c r="WYQ70" s="119"/>
      <c r="WYR70" s="119"/>
      <c r="WYS70" s="119"/>
      <c r="WYT70" s="119"/>
      <c r="WYU70" s="119"/>
      <c r="WYV70" s="119"/>
      <c r="WYW70" s="119"/>
      <c r="WYX70" s="119"/>
      <c r="WYY70" s="119"/>
      <c r="WYZ70" s="119"/>
      <c r="WZA70" s="119"/>
      <c r="WZB70" s="119"/>
      <c r="WZC70" s="119"/>
      <c r="WZD70" s="119"/>
      <c r="WZE70" s="119"/>
      <c r="WZF70" s="119"/>
      <c r="WZG70" s="119"/>
      <c r="WZH70" s="119"/>
      <c r="WZI70" s="119"/>
      <c r="WZJ70" s="119"/>
      <c r="WZK70" s="119"/>
      <c r="WZL70" s="119"/>
      <c r="WZM70" s="119"/>
      <c r="WZN70" s="119"/>
      <c r="WZO70" s="119"/>
      <c r="WZP70" s="119"/>
      <c r="WZQ70" s="119"/>
      <c r="WZR70" s="119"/>
      <c r="WZS70" s="119"/>
      <c r="WZT70" s="119"/>
      <c r="WZU70" s="119"/>
      <c r="WZV70" s="119"/>
      <c r="WZW70" s="119"/>
      <c r="WZX70" s="119"/>
      <c r="WZY70" s="119"/>
      <c r="WZZ70" s="119"/>
      <c r="XAA70" s="119"/>
      <c r="XAB70" s="119"/>
      <c r="XAC70" s="119"/>
      <c r="XAD70" s="119"/>
      <c r="XAE70" s="119"/>
      <c r="XAF70" s="119"/>
      <c r="XAG70" s="119"/>
      <c r="XAH70" s="119"/>
      <c r="XAI70" s="119"/>
      <c r="XAJ70" s="119"/>
      <c r="XAK70" s="119"/>
      <c r="XAL70" s="119"/>
      <c r="XAM70" s="119"/>
      <c r="XAN70" s="119"/>
      <c r="XAO70" s="119"/>
      <c r="XAP70" s="119"/>
      <c r="XAQ70" s="119"/>
      <c r="XAR70" s="119"/>
      <c r="XAS70" s="119"/>
      <c r="XAT70" s="119"/>
      <c r="XAU70" s="119"/>
      <c r="XAV70" s="119"/>
      <c r="XAW70" s="119"/>
      <c r="XAX70" s="119"/>
      <c r="XAY70" s="119"/>
      <c r="XAZ70" s="119"/>
      <c r="XBA70" s="119"/>
      <c r="XBB70" s="119"/>
      <c r="XBC70" s="119"/>
      <c r="XBD70" s="119"/>
      <c r="XBE70" s="119"/>
      <c r="XBF70" s="119"/>
      <c r="XBG70" s="119"/>
      <c r="XBH70" s="119"/>
      <c r="XBI70" s="119"/>
      <c r="XBJ70" s="119"/>
      <c r="XBK70" s="119"/>
      <c r="XBL70" s="119"/>
      <c r="XBM70" s="119"/>
      <c r="XBN70" s="119"/>
      <c r="XBO70" s="119"/>
      <c r="XBP70" s="119"/>
      <c r="XBQ70" s="119"/>
      <c r="XBR70" s="119"/>
      <c r="XBS70" s="119"/>
      <c r="XBT70" s="119"/>
      <c r="XBU70" s="119"/>
      <c r="XBV70" s="119"/>
      <c r="XBW70" s="119"/>
      <c r="XBX70" s="119"/>
      <c r="XBY70" s="119"/>
      <c r="XBZ70" s="119"/>
      <c r="XCA70" s="119"/>
      <c r="XCB70" s="119"/>
      <c r="XCC70" s="119"/>
      <c r="XCD70" s="119"/>
      <c r="XCE70" s="119"/>
      <c r="XCF70" s="119"/>
      <c r="XCG70" s="119"/>
      <c r="XCH70" s="119"/>
      <c r="XCI70" s="119"/>
      <c r="XCJ70" s="119"/>
      <c r="XCK70" s="119"/>
      <c r="XCL70" s="119"/>
      <c r="XCM70" s="119"/>
      <c r="XCN70" s="119"/>
      <c r="XCO70" s="119"/>
      <c r="XCP70" s="119"/>
      <c r="XCQ70" s="119"/>
      <c r="XCR70" s="119"/>
      <c r="XCS70" s="119"/>
      <c r="XCT70" s="119"/>
      <c r="XCU70" s="119"/>
      <c r="XCV70" s="119"/>
      <c r="XCW70" s="119"/>
      <c r="XCX70" s="119"/>
      <c r="XCY70" s="119"/>
      <c r="XCZ70" s="119"/>
      <c r="XDA70" s="119"/>
      <c r="XDB70" s="119"/>
      <c r="XDC70" s="119"/>
      <c r="XDD70" s="119"/>
      <c r="XDE70" s="119"/>
      <c r="XDF70" s="119"/>
      <c r="XDG70" s="119"/>
      <c r="XDH70" s="119"/>
      <c r="XDI70" s="119"/>
      <c r="XDJ70" s="119"/>
      <c r="XDK70" s="119"/>
      <c r="XDL70" s="119"/>
      <c r="XDM70" s="119"/>
      <c r="XDN70" s="119"/>
      <c r="XDO70" s="119"/>
      <c r="XDP70" s="119"/>
      <c r="XDQ70" s="119"/>
      <c r="XDR70" s="119"/>
      <c r="XDS70" s="119"/>
      <c r="XDT70" s="119"/>
      <c r="XDU70" s="119"/>
      <c r="XDV70" s="119"/>
      <c r="XDW70" s="119"/>
      <c r="XDX70" s="119"/>
      <c r="XDY70" s="119"/>
      <c r="XDZ70" s="119"/>
      <c r="XEA70" s="119"/>
      <c r="XEB70" s="119"/>
      <c r="XEC70" s="119"/>
      <c r="XED70" s="119"/>
      <c r="XEE70" s="119"/>
      <c r="XEF70" s="119"/>
      <c r="XEG70" s="119"/>
      <c r="XEH70" s="119"/>
      <c r="XEI70" s="119"/>
      <c r="XEJ70" s="119"/>
      <c r="XEK70" s="119"/>
      <c r="XEL70" s="119"/>
      <c r="XEM70" s="119"/>
      <c r="XEN70" s="119"/>
      <c r="XEO70" s="119"/>
      <c r="XEP70" s="119"/>
      <c r="XEQ70" s="119"/>
      <c r="XER70" s="119"/>
      <c r="XES70" s="119"/>
      <c r="XET70" s="119"/>
      <c r="XEU70" s="119"/>
      <c r="XEV70" s="119"/>
      <c r="XEW70" s="119"/>
      <c r="XEX70" s="119"/>
      <c r="XEY70" s="119"/>
      <c r="XEZ70" s="119"/>
      <c r="XFA70" s="119"/>
      <c r="XFB70" s="119"/>
      <c r="XFC70" s="119"/>
      <c r="XFD70" s="119"/>
    </row>
    <row r="71" spans="1:16384" ht="32.1" customHeight="1" x14ac:dyDescent="0.2">
      <c r="A71" s="91"/>
      <c r="B71" s="106"/>
      <c r="C71" s="15"/>
      <c r="D71" s="421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212"/>
      <c r="R71" s="213"/>
      <c r="S71" s="214"/>
    </row>
    <row r="72" spans="1:16384" ht="32.1" customHeight="1" x14ac:dyDescent="0.2">
      <c r="A72" s="512" t="s">
        <v>4416</v>
      </c>
      <c r="B72" s="512" t="s">
        <v>4478</v>
      </c>
      <c r="C72" s="15"/>
      <c r="D72" s="421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212"/>
      <c r="R72" s="213"/>
      <c r="S72" s="214"/>
    </row>
    <row r="73" spans="1:16384" ht="32.1" customHeight="1" x14ac:dyDescent="0.2">
      <c r="A73" s="516" t="s">
        <v>4358</v>
      </c>
      <c r="B73" s="528">
        <f>COUNTIF(E11:P69,"&lt;=5")</f>
        <v>5</v>
      </c>
      <c r="C73" s="15"/>
      <c r="D73" s="421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212"/>
      <c r="R73" s="213"/>
      <c r="S73" s="214"/>
    </row>
    <row r="74" spans="1:16384" ht="32.1" customHeight="1" x14ac:dyDescent="0.2">
      <c r="A74" s="502" t="s">
        <v>4359</v>
      </c>
      <c r="B74" s="529">
        <f>COUNTIFS(E11:P69,"&gt;5",E11:P69,"&lt;=14")</f>
        <v>2</v>
      </c>
      <c r="C74" s="15"/>
      <c r="D74" s="421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212"/>
      <c r="R74" s="213"/>
      <c r="S74" s="214"/>
    </row>
    <row r="75" spans="1:16384" ht="32.1" customHeight="1" x14ac:dyDescent="0.2">
      <c r="A75" s="503" t="s">
        <v>4360</v>
      </c>
      <c r="B75" s="530">
        <f>COUNTIFS(E11:P69,"&gt;14",E11:P69,"&lt;=35")</f>
        <v>4</v>
      </c>
      <c r="C75" s="15"/>
      <c r="D75" s="421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212"/>
      <c r="R75" s="213"/>
      <c r="S75" s="214"/>
    </row>
    <row r="76" spans="1:16384" ht="32.1" customHeight="1" x14ac:dyDescent="0.2">
      <c r="A76" s="504" t="s">
        <v>4361</v>
      </c>
      <c r="B76" s="530">
        <f>COUNTIFS(E11:P69,"&gt;35",E11:P69,"&lt;=80")</f>
        <v>9</v>
      </c>
      <c r="C76" s="15"/>
      <c r="D76" s="421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212"/>
      <c r="R76" s="213"/>
      <c r="S76" s="214"/>
    </row>
    <row r="77" spans="1:16384" ht="32.1" customHeight="1" x14ac:dyDescent="0.2">
      <c r="A77" s="505" t="s">
        <v>4362</v>
      </c>
      <c r="B77" s="530">
        <f>COUNTIFS(E11:P69,"&gt;80",E11:P69,"&lt;=100")</f>
        <v>72</v>
      </c>
      <c r="C77" s="15"/>
      <c r="D77" s="421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212"/>
      <c r="R77" s="213"/>
      <c r="S77" s="214"/>
    </row>
    <row r="78" spans="1:16384" ht="32.1" customHeight="1" x14ac:dyDescent="0.2">
      <c r="A78" s="533" t="s">
        <v>4363</v>
      </c>
      <c r="B78" s="535">
        <f>COUNT(E11:P69)</f>
        <v>92</v>
      </c>
      <c r="C78" s="15"/>
      <c r="D78" s="421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212"/>
      <c r="R78" s="213"/>
      <c r="S78" s="214"/>
    </row>
    <row r="79" spans="1:16384" ht="33.75" customHeight="1" x14ac:dyDescent="0.2">
      <c r="A79" s="508" t="s">
        <v>4366</v>
      </c>
      <c r="B79" s="527">
        <f>B78-B73</f>
        <v>87</v>
      </c>
      <c r="C79" s="15"/>
      <c r="D79" s="421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212"/>
      <c r="R79" s="213"/>
      <c r="S79" s="214"/>
    </row>
    <row r="80" spans="1:16384" ht="32.1" customHeight="1" x14ac:dyDescent="0.2">
      <c r="A80" s="91"/>
      <c r="B80" s="106"/>
      <c r="C80" s="15"/>
      <c r="D80" s="421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212"/>
      <c r="R80" s="213"/>
      <c r="S80" s="214"/>
    </row>
    <row r="81" spans="1:19" ht="32.1" customHeight="1" x14ac:dyDescent="0.2">
      <c r="A81" s="91"/>
      <c r="B81" s="106"/>
      <c r="C81" s="15"/>
      <c r="D81" s="421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212"/>
      <c r="R81" s="213"/>
      <c r="S81" s="214"/>
    </row>
    <row r="82" spans="1:19" ht="32.1" customHeight="1" x14ac:dyDescent="0.2">
      <c r="A82" s="91"/>
      <c r="B82" s="106"/>
      <c r="C82" s="15"/>
      <c r="D82" s="421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212"/>
      <c r="R82" s="213"/>
      <c r="S82" s="214"/>
    </row>
    <row r="83" spans="1:19" ht="32.1" customHeight="1" x14ac:dyDescent="0.2">
      <c r="A83" s="91"/>
      <c r="B83" s="106"/>
      <c r="C83" s="15"/>
      <c r="D83" s="421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212"/>
      <c r="R83" s="213"/>
      <c r="S83" s="214"/>
    </row>
    <row r="84" spans="1:19" ht="32.1" customHeight="1" x14ac:dyDescent="0.2">
      <c r="A84" s="91"/>
      <c r="B84" s="106"/>
      <c r="C84" s="15"/>
      <c r="D84" s="421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212"/>
      <c r="R84" s="213"/>
      <c r="S84" s="214"/>
    </row>
    <row r="85" spans="1:19" ht="32.1" customHeight="1" x14ac:dyDescent="0.2">
      <c r="A85" s="91"/>
      <c r="B85" s="106"/>
      <c r="C85" s="15"/>
      <c r="D85" s="421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212"/>
      <c r="R85" s="213"/>
      <c r="S85" s="214"/>
    </row>
    <row r="86" spans="1:19" ht="32.1" customHeight="1" x14ac:dyDescent="0.2">
      <c r="A86" s="91"/>
      <c r="B86" s="106"/>
      <c r="C86" s="15"/>
      <c r="D86" s="421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212"/>
      <c r="R86" s="213"/>
      <c r="S86" s="214"/>
    </row>
    <row r="87" spans="1:19" ht="32.1" customHeight="1" x14ac:dyDescent="0.2">
      <c r="A87" s="91"/>
      <c r="B87" s="106"/>
      <c r="C87" s="15"/>
      <c r="D87" s="421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212"/>
      <c r="R87" s="213"/>
      <c r="S87" s="214"/>
    </row>
    <row r="88" spans="1:19" ht="32.1" customHeight="1" x14ac:dyDescent="0.2">
      <c r="A88" s="91"/>
      <c r="B88" s="106"/>
      <c r="C88" s="15"/>
      <c r="D88" s="421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212"/>
      <c r="R88" s="213"/>
      <c r="S88" s="214"/>
    </row>
    <row r="89" spans="1:19" ht="32.1" customHeight="1" x14ac:dyDescent="0.2">
      <c r="A89" s="91"/>
      <c r="B89" s="106"/>
      <c r="C89" s="15"/>
      <c r="D89" s="421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212"/>
      <c r="R89" s="213"/>
      <c r="S89" s="214"/>
    </row>
    <row r="90" spans="1:19" ht="32.1" customHeight="1" x14ac:dyDescent="0.2">
      <c r="A90" s="91"/>
      <c r="B90" s="106"/>
      <c r="C90" s="15"/>
      <c r="D90" s="421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212"/>
      <c r="R90" s="213"/>
      <c r="S90" s="214"/>
    </row>
    <row r="91" spans="1:19" ht="32.1" customHeight="1" x14ac:dyDescent="0.2">
      <c r="A91" s="91"/>
      <c r="B91" s="106"/>
      <c r="C91" s="15"/>
      <c r="D91" s="421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212"/>
      <c r="R91" s="213"/>
      <c r="S91" s="214"/>
    </row>
    <row r="92" spans="1:19" ht="32.1" customHeight="1" x14ac:dyDescent="0.2">
      <c r="A92" s="91"/>
      <c r="B92" s="106"/>
      <c r="C92" s="15"/>
      <c r="D92" s="421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212"/>
      <c r="R92" s="213"/>
      <c r="S92" s="214"/>
    </row>
    <row r="93" spans="1:19" ht="32.1" customHeight="1" x14ac:dyDescent="0.2">
      <c r="A93" s="91"/>
      <c r="B93" s="106"/>
      <c r="C93" s="15"/>
      <c r="D93" s="421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212"/>
      <c r="R93" s="213"/>
      <c r="S93" s="214"/>
    </row>
    <row r="94" spans="1:19" ht="32.1" customHeight="1" x14ac:dyDescent="0.2">
      <c r="A94" s="91"/>
      <c r="B94" s="106"/>
      <c r="C94" s="15"/>
      <c r="D94" s="421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212"/>
      <c r="R94" s="213"/>
      <c r="S94" s="214"/>
    </row>
    <row r="95" spans="1:19" ht="32.1" customHeight="1" x14ac:dyDescent="0.2">
      <c r="A95" s="91"/>
      <c r="B95" s="106"/>
      <c r="C95" s="15"/>
      <c r="D95" s="421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212"/>
      <c r="R95" s="213"/>
      <c r="S95" s="214"/>
    </row>
    <row r="96" spans="1:19" ht="32.1" customHeight="1" x14ac:dyDescent="0.2">
      <c r="A96" s="91"/>
      <c r="B96" s="106"/>
      <c r="C96" s="15"/>
      <c r="D96" s="421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212"/>
      <c r="R96" s="213"/>
      <c r="S96" s="214"/>
    </row>
    <row r="97" spans="1:19" ht="32.1" customHeight="1" x14ac:dyDescent="0.2">
      <c r="A97" s="91"/>
      <c r="B97" s="106"/>
      <c r="C97" s="15"/>
      <c r="D97" s="421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212"/>
      <c r="R97" s="213"/>
      <c r="S97" s="214"/>
    </row>
    <row r="98" spans="1:19" ht="32.1" customHeight="1" x14ac:dyDescent="0.2">
      <c r="A98" s="91"/>
      <c r="B98" s="106"/>
      <c r="C98" s="15"/>
      <c r="D98" s="421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212"/>
      <c r="R98" s="213"/>
      <c r="S98" s="214"/>
    </row>
    <row r="99" spans="1:19" ht="32.1" customHeight="1" x14ac:dyDescent="0.2">
      <c r="A99" s="91"/>
      <c r="B99" s="106"/>
      <c r="C99" s="15"/>
      <c r="D99" s="421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212"/>
      <c r="R99" s="213"/>
      <c r="S99" s="214"/>
    </row>
    <row r="100" spans="1:19" ht="32.1" customHeight="1" x14ac:dyDescent="0.2">
      <c r="A100" s="91"/>
      <c r="B100" s="106"/>
      <c r="C100" s="15"/>
      <c r="D100" s="421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212"/>
      <c r="R100" s="213"/>
      <c r="S100" s="214"/>
    </row>
    <row r="101" spans="1:19" ht="32.1" customHeight="1" x14ac:dyDescent="0.2">
      <c r="A101" s="91"/>
      <c r="B101" s="106"/>
      <c r="C101" s="15"/>
      <c r="D101" s="421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212"/>
      <c r="R101" s="213"/>
      <c r="S101" s="214"/>
    </row>
    <row r="102" spans="1:19" ht="32.1" customHeight="1" x14ac:dyDescent="0.2">
      <c r="A102" s="91"/>
      <c r="B102" s="106"/>
      <c r="C102" s="15"/>
      <c r="D102" s="421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212"/>
      <c r="R102" s="213"/>
      <c r="S102" s="214"/>
    </row>
    <row r="103" spans="1:19" ht="32.1" customHeight="1" x14ac:dyDescent="0.2">
      <c r="A103" s="91"/>
      <c r="B103" s="106"/>
      <c r="C103" s="15"/>
      <c r="D103" s="421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212"/>
      <c r="R103" s="213"/>
      <c r="S103" s="214"/>
    </row>
    <row r="104" spans="1:19" ht="32.1" customHeight="1" x14ac:dyDescent="0.2">
      <c r="A104" s="91"/>
      <c r="B104" s="106"/>
      <c r="C104" s="15"/>
      <c r="D104" s="421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212"/>
      <c r="R104" s="213"/>
      <c r="S104" s="214"/>
    </row>
    <row r="105" spans="1:19" ht="32.1" customHeight="1" x14ac:dyDescent="0.2">
      <c r="A105" s="91"/>
      <c r="B105" s="106"/>
      <c r="C105" s="15"/>
      <c r="D105" s="421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212"/>
      <c r="R105" s="213"/>
      <c r="S105" s="214"/>
    </row>
    <row r="106" spans="1:19" ht="32.1" customHeight="1" x14ac:dyDescent="0.2">
      <c r="A106" s="91"/>
      <c r="B106" s="106"/>
      <c r="C106" s="15"/>
      <c r="D106" s="421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212"/>
      <c r="R106" s="213"/>
      <c r="S106" s="214"/>
    </row>
    <row r="107" spans="1:19" ht="32.1" customHeight="1" x14ac:dyDescent="0.2">
      <c r="A107" s="91"/>
      <c r="B107" s="106"/>
      <c r="C107" s="15"/>
      <c r="D107" s="421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212"/>
      <c r="R107" s="213"/>
      <c r="S107" s="214"/>
    </row>
    <row r="108" spans="1:19" ht="32.1" customHeight="1" x14ac:dyDescent="0.2">
      <c r="A108" s="91"/>
      <c r="B108" s="106"/>
      <c r="C108" s="15"/>
      <c r="D108" s="421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212"/>
      <c r="R108" s="213"/>
      <c r="S108" s="214"/>
    </row>
    <row r="109" spans="1:19" ht="32.1" customHeight="1" x14ac:dyDescent="0.2">
      <c r="A109" s="91"/>
      <c r="B109" s="106"/>
      <c r="C109" s="15"/>
      <c r="D109" s="421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212"/>
      <c r="R109" s="213"/>
      <c r="S109" s="214"/>
    </row>
    <row r="110" spans="1:19" ht="32.1" customHeight="1" x14ac:dyDescent="0.2">
      <c r="A110" s="91"/>
      <c r="B110" s="106"/>
      <c r="C110" s="15"/>
      <c r="D110" s="421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212"/>
      <c r="R110" s="213"/>
      <c r="S110" s="214"/>
    </row>
    <row r="111" spans="1:19" ht="32.1" customHeight="1" x14ac:dyDescent="0.2">
      <c r="A111" s="91"/>
      <c r="B111" s="106"/>
      <c r="C111" s="15"/>
      <c r="D111" s="421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212"/>
      <c r="R111" s="213"/>
      <c r="S111" s="214"/>
    </row>
    <row r="112" spans="1:19" ht="32.1" customHeight="1" x14ac:dyDescent="0.2">
      <c r="A112" s="91"/>
      <c r="B112" s="106"/>
      <c r="C112" s="15"/>
      <c r="D112" s="421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212"/>
      <c r="R112" s="213"/>
      <c r="S112" s="214"/>
    </row>
    <row r="113" spans="1:19" ht="32.1" customHeight="1" x14ac:dyDescent="0.2">
      <c r="A113" s="91"/>
      <c r="B113" s="106"/>
      <c r="C113" s="15"/>
      <c r="D113" s="421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212"/>
      <c r="R113" s="213"/>
      <c r="S113" s="214"/>
    </row>
    <row r="114" spans="1:19" ht="32.1" customHeight="1" x14ac:dyDescent="0.2">
      <c r="A114" s="91"/>
      <c r="B114" s="106"/>
      <c r="C114" s="15"/>
      <c r="D114" s="421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212"/>
      <c r="R114" s="213"/>
      <c r="S114" s="214"/>
    </row>
    <row r="115" spans="1:19" ht="32.1" customHeight="1" x14ac:dyDescent="0.2">
      <c r="A115" s="91"/>
      <c r="B115" s="106"/>
      <c r="C115" s="15"/>
      <c r="D115" s="421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212"/>
      <c r="R115" s="213"/>
      <c r="S115" s="214"/>
    </row>
    <row r="116" spans="1:19" ht="32.1" customHeight="1" x14ac:dyDescent="0.2">
      <c r="A116" s="91"/>
      <c r="B116" s="106"/>
      <c r="C116" s="15"/>
      <c r="D116" s="421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212"/>
      <c r="R116" s="213"/>
      <c r="S116" s="214"/>
    </row>
    <row r="117" spans="1:19" ht="32.1" customHeight="1" x14ac:dyDescent="0.2">
      <c r="A117" s="91"/>
      <c r="B117" s="106"/>
      <c r="C117" s="15"/>
      <c r="D117" s="421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212"/>
      <c r="R117" s="213"/>
      <c r="S117" s="214"/>
    </row>
    <row r="118" spans="1:19" ht="32.1" customHeight="1" x14ac:dyDescent="0.2">
      <c r="A118" s="91"/>
      <c r="B118" s="106"/>
      <c r="C118" s="15"/>
      <c r="D118" s="421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212"/>
      <c r="R118" s="213"/>
      <c r="S118" s="214"/>
    </row>
    <row r="119" spans="1:19" ht="32.1" customHeight="1" x14ac:dyDescent="0.2">
      <c r="A119" s="91"/>
      <c r="B119" s="106"/>
      <c r="C119" s="15"/>
      <c r="D119" s="421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212"/>
      <c r="R119" s="213"/>
      <c r="S119" s="214"/>
    </row>
    <row r="120" spans="1:19" ht="32.1" customHeight="1" x14ac:dyDescent="0.2">
      <c r="A120" s="91"/>
      <c r="B120" s="106"/>
      <c r="C120" s="15"/>
      <c r="D120" s="421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212"/>
      <c r="R120" s="213"/>
      <c r="S120" s="214"/>
    </row>
    <row r="121" spans="1:19" ht="32.1" customHeight="1" x14ac:dyDescent="0.2">
      <c r="A121" s="91"/>
      <c r="B121" s="106"/>
      <c r="C121" s="15"/>
      <c r="D121" s="421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212"/>
      <c r="R121" s="213"/>
      <c r="S121" s="214"/>
    </row>
    <row r="122" spans="1:19" ht="32.1" customHeight="1" x14ac:dyDescent="0.2">
      <c r="A122" s="91"/>
      <c r="B122" s="106"/>
      <c r="C122" s="15"/>
      <c r="D122" s="421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1:19" ht="32.1" customHeight="1" x14ac:dyDescent="0.2">
      <c r="A123" s="91"/>
      <c r="B123" s="106"/>
      <c r="C123" s="15"/>
      <c r="D123" s="421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1:19" ht="32.1" customHeight="1" x14ac:dyDescent="0.2">
      <c r="A124" s="91"/>
      <c r="B124" s="106"/>
      <c r="C124" s="15"/>
      <c r="D124" s="421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1:19" ht="32.1" customHeight="1" x14ac:dyDescent="0.2">
      <c r="A125" s="91"/>
      <c r="B125" s="106"/>
      <c r="C125" s="15"/>
      <c r="D125" s="421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1:19" ht="32.1" customHeight="1" x14ac:dyDescent="0.2">
      <c r="A126" s="91"/>
      <c r="B126" s="106"/>
      <c r="C126" s="15"/>
      <c r="D126" s="421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1:19" ht="32.1" customHeight="1" x14ac:dyDescent="0.2">
      <c r="A127" s="91"/>
      <c r="B127" s="106"/>
      <c r="C127" s="15"/>
      <c r="D127" s="421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1:19" ht="32.1" customHeight="1" x14ac:dyDescent="0.2">
      <c r="A128" s="91"/>
      <c r="B128" s="106"/>
      <c r="C128" s="15"/>
      <c r="D128" s="421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1:19" ht="32.1" customHeight="1" x14ac:dyDescent="0.2">
      <c r="A129" s="91"/>
      <c r="B129" s="106"/>
      <c r="C129" s="15"/>
      <c r="D129" s="421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1:19" ht="32.1" customHeight="1" x14ac:dyDescent="0.2">
      <c r="A130" s="91"/>
      <c r="B130" s="106"/>
      <c r="C130" s="15"/>
      <c r="D130" s="421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1:19" ht="32.1" customHeight="1" x14ac:dyDescent="0.2">
      <c r="A131" s="91"/>
      <c r="B131" s="106"/>
      <c r="C131" s="15"/>
      <c r="D131" s="421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1:19" ht="32.1" customHeight="1" x14ac:dyDescent="0.2">
      <c r="A132" s="91"/>
      <c r="B132" s="106"/>
      <c r="C132" s="15"/>
      <c r="D132" s="421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1:19" ht="32.1" customHeight="1" x14ac:dyDescent="0.2">
      <c r="A133" s="91"/>
      <c r="B133" s="106"/>
      <c r="C133" s="15"/>
      <c r="D133" s="421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1:19" ht="32.1" customHeight="1" x14ac:dyDescent="0.2">
      <c r="A134" s="91"/>
      <c r="B134" s="106"/>
      <c r="C134" s="15"/>
      <c r="D134" s="421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1:19" ht="32.1" customHeight="1" x14ac:dyDescent="0.2">
      <c r="A135" s="91"/>
      <c r="B135" s="106"/>
      <c r="C135" s="15"/>
      <c r="D135" s="421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1:19" ht="32.1" customHeight="1" x14ac:dyDescent="0.2">
      <c r="A136" s="91"/>
      <c r="B136" s="106"/>
      <c r="C136" s="15"/>
      <c r="D136" s="421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1:19" ht="32.1" customHeight="1" x14ac:dyDescent="0.2">
      <c r="A137" s="91"/>
      <c r="B137" s="106"/>
      <c r="C137" s="15"/>
      <c r="D137" s="421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1:19" ht="32.1" customHeight="1" x14ac:dyDescent="0.2">
      <c r="A138" s="91"/>
      <c r="B138" s="106"/>
      <c r="C138" s="15"/>
      <c r="D138" s="421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1:19" ht="32.1" customHeight="1" x14ac:dyDescent="0.2">
      <c r="A139" s="91"/>
      <c r="B139" s="106"/>
      <c r="C139" s="15"/>
      <c r="D139" s="421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1:19" ht="32.1" customHeight="1" x14ac:dyDescent="0.2">
      <c r="A140" s="91"/>
      <c r="B140" s="106"/>
      <c r="C140" s="15"/>
      <c r="D140" s="421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1:19" ht="32.1" customHeight="1" x14ac:dyDescent="0.2">
      <c r="A141" s="91"/>
      <c r="B141" s="106"/>
      <c r="C141" s="15"/>
      <c r="D141" s="421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1:19" ht="32.1" customHeight="1" x14ac:dyDescent="0.2">
      <c r="A142" s="91"/>
      <c r="B142" s="106"/>
      <c r="C142" s="15"/>
      <c r="D142" s="421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1:19" ht="32.1" customHeight="1" x14ac:dyDescent="0.2">
      <c r="A143" s="91"/>
      <c r="B143" s="106"/>
      <c r="C143" s="15"/>
      <c r="D143" s="421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1:19" ht="32.1" customHeight="1" x14ac:dyDescent="0.2">
      <c r="A144" s="91"/>
      <c r="B144" s="106"/>
      <c r="C144" s="15"/>
      <c r="D144" s="421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1:19" ht="32.1" customHeight="1" x14ac:dyDescent="0.2">
      <c r="A145" s="91"/>
      <c r="B145" s="106"/>
      <c r="C145" s="15"/>
      <c r="D145" s="421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1:19" ht="32.1" customHeight="1" x14ac:dyDescent="0.2">
      <c r="A146" s="91"/>
      <c r="B146" s="106"/>
      <c r="C146" s="15"/>
      <c r="D146" s="421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1:19" ht="32.1" customHeight="1" x14ac:dyDescent="0.2">
      <c r="A147" s="91"/>
      <c r="B147" s="106"/>
      <c r="C147" s="15"/>
      <c r="D147" s="421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1:19" ht="32.1" customHeight="1" x14ac:dyDescent="0.2">
      <c r="A148" s="91"/>
      <c r="B148" s="106"/>
      <c r="C148" s="15"/>
      <c r="D148" s="421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1:19" ht="32.1" customHeight="1" x14ac:dyDescent="0.2">
      <c r="A149" s="91"/>
      <c r="B149" s="106"/>
      <c r="C149" s="15"/>
      <c r="D149" s="421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1:19" ht="32.1" customHeight="1" x14ac:dyDescent="0.2">
      <c r="A150" s="91"/>
      <c r="B150" s="106"/>
      <c r="C150" s="15"/>
      <c r="D150" s="421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1:19" ht="32.1" customHeight="1" x14ac:dyDescent="0.2">
      <c r="A151" s="91"/>
      <c r="B151" s="106"/>
      <c r="C151" s="15"/>
      <c r="D151" s="421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1:19" ht="32.1" customHeight="1" x14ac:dyDescent="0.2">
      <c r="A152" s="91"/>
      <c r="B152" s="106"/>
      <c r="C152" s="15"/>
      <c r="D152" s="421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1:19" ht="32.1" customHeight="1" x14ac:dyDescent="0.2">
      <c r="A153" s="91"/>
      <c r="B153" s="106"/>
      <c r="C153" s="15"/>
      <c r="D153" s="421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1:19" ht="32.1" customHeight="1" x14ac:dyDescent="0.2">
      <c r="A154" s="91"/>
      <c r="B154" s="106"/>
      <c r="C154" s="15"/>
      <c r="D154" s="421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1:19" ht="32.1" customHeight="1" x14ac:dyDescent="0.2">
      <c r="A155" s="91"/>
      <c r="B155" s="106"/>
      <c r="C155" s="15"/>
      <c r="D155" s="421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1:19" ht="32.1" customHeight="1" x14ac:dyDescent="0.2">
      <c r="A156" s="91"/>
      <c r="B156" s="106"/>
      <c r="C156" s="15"/>
      <c r="D156" s="421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1:19" ht="32.1" customHeight="1" x14ac:dyDescent="0.2">
      <c r="A157" s="91"/>
      <c r="B157" s="106"/>
      <c r="C157" s="15"/>
      <c r="D157" s="421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1:19" ht="32.1" customHeight="1" x14ac:dyDescent="0.2">
      <c r="A158" s="91"/>
      <c r="B158" s="106"/>
      <c r="C158" s="15"/>
      <c r="D158" s="421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1:19" ht="32.1" customHeight="1" x14ac:dyDescent="0.2">
      <c r="A159" s="91"/>
      <c r="B159" s="106"/>
      <c r="C159" s="15"/>
      <c r="D159" s="421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1:19" ht="32.1" customHeight="1" x14ac:dyDescent="0.2">
      <c r="A160" s="91"/>
      <c r="B160" s="106"/>
      <c r="C160" s="15"/>
      <c r="D160" s="421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1:19" ht="32.1" customHeight="1" x14ac:dyDescent="0.2">
      <c r="A161" s="91"/>
      <c r="B161" s="106"/>
      <c r="C161" s="15"/>
      <c r="D161" s="421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1:19" ht="32.1" customHeight="1" x14ac:dyDescent="0.2">
      <c r="A162" s="91"/>
      <c r="B162" s="106"/>
      <c r="C162" s="15"/>
      <c r="D162" s="421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1:19" ht="32.1" customHeight="1" x14ac:dyDescent="0.2">
      <c r="A163" s="91"/>
      <c r="B163" s="106"/>
      <c r="C163" s="15"/>
      <c r="D163" s="421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1:19" ht="32.1" customHeight="1" x14ac:dyDescent="0.2">
      <c r="A164" s="91"/>
      <c r="B164" s="106"/>
      <c r="C164" s="15"/>
      <c r="D164" s="421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1:19" ht="32.1" customHeight="1" x14ac:dyDescent="0.2">
      <c r="A165" s="91"/>
      <c r="B165" s="106"/>
      <c r="C165" s="15"/>
      <c r="D165" s="421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1:19" ht="32.1" customHeight="1" x14ac:dyDescent="0.2">
      <c r="A166" s="91"/>
      <c r="B166" s="106"/>
      <c r="C166" s="15"/>
      <c r="D166" s="421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1:19" ht="32.1" customHeight="1" x14ac:dyDescent="0.2">
      <c r="A167" s="91"/>
      <c r="B167" s="106"/>
      <c r="C167" s="15"/>
      <c r="D167" s="421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1:19" ht="32.1" customHeight="1" x14ac:dyDescent="0.2">
      <c r="A168" s="91"/>
      <c r="B168" s="106"/>
      <c r="C168" s="15"/>
      <c r="D168" s="421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1:19" ht="32.1" customHeight="1" x14ac:dyDescent="0.2">
      <c r="A169" s="91"/>
      <c r="B169" s="106"/>
      <c r="C169" s="15"/>
      <c r="D169" s="421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1:19" ht="32.1" customHeight="1" x14ac:dyDescent="0.2">
      <c r="A170" s="91"/>
      <c r="B170" s="106"/>
      <c r="C170" s="15"/>
      <c r="D170" s="421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1:19" ht="32.1" customHeight="1" x14ac:dyDescent="0.2">
      <c r="A171" s="91"/>
      <c r="B171" s="106"/>
      <c r="C171" s="15"/>
      <c r="D171" s="421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1:19" ht="32.1" customHeight="1" x14ac:dyDescent="0.2">
      <c r="A172" s="91"/>
      <c r="B172" s="106"/>
      <c r="C172" s="15"/>
      <c r="D172" s="421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1:19" ht="32.1" customHeight="1" x14ac:dyDescent="0.2">
      <c r="A173" s="91"/>
      <c r="B173" s="106"/>
      <c r="C173" s="15"/>
      <c r="D173" s="421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1:19" ht="32.1" customHeight="1" x14ac:dyDescent="0.2">
      <c r="A174" s="91"/>
      <c r="B174" s="106"/>
      <c r="C174" s="15"/>
      <c r="D174" s="421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1:19" ht="32.1" customHeight="1" x14ac:dyDescent="0.2">
      <c r="A175" s="91"/>
      <c r="B175" s="106"/>
      <c r="C175" s="15"/>
      <c r="D175" s="421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1:19" ht="32.1" customHeight="1" x14ac:dyDescent="0.2">
      <c r="A176" s="91"/>
      <c r="B176" s="106"/>
      <c r="C176" s="15"/>
      <c r="D176" s="421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1:19" ht="32.1" customHeight="1" x14ac:dyDescent="0.2">
      <c r="A177" s="91"/>
      <c r="B177" s="106"/>
      <c r="C177" s="15"/>
      <c r="D177" s="421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1:19" ht="32.1" customHeight="1" x14ac:dyDescent="0.2">
      <c r="A178" s="91"/>
      <c r="B178" s="106"/>
      <c r="C178" s="15"/>
      <c r="D178" s="421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1:19" ht="32.1" customHeight="1" x14ac:dyDescent="0.2">
      <c r="A179" s="91"/>
      <c r="B179" s="106"/>
      <c r="C179" s="15"/>
      <c r="D179" s="421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1:19" ht="32.1" customHeight="1" x14ac:dyDescent="0.2">
      <c r="A180" s="91"/>
      <c r="B180" s="106"/>
      <c r="C180" s="15"/>
      <c r="D180" s="421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1:19" ht="32.1" customHeight="1" x14ac:dyDescent="0.2">
      <c r="A181" s="91"/>
      <c r="B181" s="106"/>
      <c r="C181" s="15"/>
      <c r="D181" s="421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1:19" ht="32.1" customHeight="1" x14ac:dyDescent="0.2">
      <c r="A182" s="91"/>
      <c r="B182" s="106"/>
      <c r="C182" s="15"/>
      <c r="D182" s="421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1:19" ht="32.1" customHeight="1" x14ac:dyDescent="0.2">
      <c r="A183" s="91"/>
      <c r="B183" s="106"/>
      <c r="C183" s="15"/>
      <c r="D183" s="421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1:19" ht="32.1" customHeight="1" x14ac:dyDescent="0.2">
      <c r="A184" s="91"/>
      <c r="B184" s="106"/>
      <c r="C184" s="15"/>
      <c r="D184" s="421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1:19" ht="32.1" customHeight="1" x14ac:dyDescent="0.2">
      <c r="A185" s="91"/>
      <c r="B185" s="106"/>
      <c r="C185" s="15"/>
      <c r="D185" s="421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1:19" ht="32.1" customHeight="1" x14ac:dyDescent="0.2">
      <c r="A186" s="91"/>
      <c r="B186" s="106"/>
      <c r="C186" s="15"/>
      <c r="D186" s="421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1:19" ht="32.1" customHeight="1" x14ac:dyDescent="0.2">
      <c r="A187" s="91"/>
      <c r="B187" s="106"/>
      <c r="C187" s="15"/>
      <c r="D187" s="421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1:19" ht="32.1" customHeight="1" x14ac:dyDescent="0.2">
      <c r="A188" s="91"/>
      <c r="B188" s="106"/>
      <c r="C188" s="15"/>
      <c r="D188" s="421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1:19" ht="32.1" customHeight="1" x14ac:dyDescent="0.2">
      <c r="A189" s="91"/>
      <c r="B189" s="106"/>
      <c r="C189" s="15"/>
      <c r="D189" s="421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1:19" ht="32.1" customHeight="1" x14ac:dyDescent="0.2">
      <c r="A190" s="91"/>
      <c r="B190" s="106"/>
      <c r="C190" s="15"/>
      <c r="D190" s="421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1:19" ht="32.1" customHeight="1" x14ac:dyDescent="0.2">
      <c r="A191" s="91"/>
      <c r="B191" s="106"/>
      <c r="C191" s="15"/>
      <c r="D191" s="421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1:19" ht="32.1" customHeight="1" x14ac:dyDescent="0.2">
      <c r="A192" s="91"/>
      <c r="B192" s="106"/>
      <c r="C192" s="15"/>
      <c r="D192" s="421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1:19" ht="32.1" customHeight="1" x14ac:dyDescent="0.2">
      <c r="A193" s="91"/>
      <c r="B193" s="106"/>
      <c r="C193" s="15"/>
      <c r="D193" s="421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1:19" ht="32.1" customHeight="1" x14ac:dyDescent="0.2">
      <c r="A194" s="91"/>
      <c r="B194" s="106"/>
      <c r="C194" s="15"/>
      <c r="D194" s="421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1:19" ht="32.1" customHeight="1" x14ac:dyDescent="0.2">
      <c r="A195" s="91"/>
      <c r="B195" s="106"/>
      <c r="C195" s="15"/>
      <c r="D195" s="421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1:19" ht="32.1" customHeight="1" x14ac:dyDescent="0.2">
      <c r="A196" s="91"/>
      <c r="B196" s="106"/>
      <c r="C196" s="15"/>
      <c r="D196" s="421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1:19" ht="32.1" customHeight="1" x14ac:dyDescent="0.2">
      <c r="A197" s="91"/>
      <c r="B197" s="106"/>
      <c r="C197" s="15"/>
      <c r="D197" s="421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1:19" ht="12.75" customHeight="1" x14ac:dyDescent="0.2">
      <c r="A198" s="91"/>
      <c r="B198" s="106"/>
      <c r="C198" s="15"/>
      <c r="D198" s="421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1:19" ht="12.75" customHeight="1" x14ac:dyDescent="0.2">
      <c r="A199" s="91"/>
      <c r="B199" s="106"/>
      <c r="C199" s="15"/>
      <c r="D199" s="421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1:19" ht="12.75" customHeight="1" x14ac:dyDescent="0.2">
      <c r="A200" s="91"/>
      <c r="B200" s="106"/>
      <c r="C200" s="15"/>
      <c r="D200" s="421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1:19" ht="12.75" customHeight="1" x14ac:dyDescent="0.2">
      <c r="A201" s="91"/>
      <c r="B201" s="106"/>
      <c r="C201" s="15"/>
      <c r="D201" s="421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1:19" ht="12.75" customHeight="1" x14ac:dyDescent="0.2">
      <c r="A202" s="91"/>
      <c r="B202" s="106"/>
      <c r="C202" s="15"/>
      <c r="D202" s="421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1:19" ht="12.75" customHeight="1" x14ac:dyDescent="0.2">
      <c r="A203" s="91"/>
      <c r="B203" s="106"/>
      <c r="C203" s="15"/>
      <c r="D203" s="421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1:19" ht="12.75" customHeight="1" x14ac:dyDescent="0.2">
      <c r="A204" s="91"/>
      <c r="B204" s="106"/>
      <c r="C204" s="15"/>
      <c r="D204" s="421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1:19" ht="12.75" customHeight="1" x14ac:dyDescent="0.2">
      <c r="A205" s="91"/>
      <c r="B205" s="106"/>
      <c r="C205" s="15"/>
      <c r="D205" s="421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1:19" ht="12.75" customHeight="1" x14ac:dyDescent="0.2">
      <c r="A206" s="91"/>
      <c r="B206" s="106"/>
      <c r="C206" s="15"/>
      <c r="D206" s="421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1:19" ht="12.75" customHeight="1" x14ac:dyDescent="0.2">
      <c r="A207" s="91"/>
      <c r="B207" s="106"/>
      <c r="C207" s="15"/>
      <c r="D207" s="421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19" ht="12.75" customHeight="1" x14ac:dyDescent="0.2">
      <c r="A208" s="91"/>
      <c r="B208" s="106"/>
      <c r="C208" s="15"/>
      <c r="D208" s="421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19" ht="12.75" customHeight="1" x14ac:dyDescent="0.2">
      <c r="A209" s="91"/>
      <c r="B209" s="106"/>
      <c r="C209" s="15"/>
      <c r="D209" s="421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1:19" ht="12.75" customHeight="1" x14ac:dyDescent="0.2">
      <c r="A210" s="91"/>
      <c r="B210" s="106"/>
      <c r="C210" s="15"/>
      <c r="D210" s="421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1:19" ht="12.75" customHeight="1" x14ac:dyDescent="0.2">
      <c r="A211" s="91"/>
      <c r="B211" s="106"/>
      <c r="C211" s="15"/>
      <c r="D211" s="421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1:19" ht="12.75" customHeight="1" x14ac:dyDescent="0.2">
      <c r="A212" s="91"/>
      <c r="B212" s="106"/>
      <c r="C212" s="15"/>
      <c r="D212" s="421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1:19" ht="12.75" customHeight="1" x14ac:dyDescent="0.2">
      <c r="A213" s="91"/>
      <c r="B213" s="106"/>
      <c r="C213" s="15"/>
      <c r="D213" s="421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1:19" ht="12.75" customHeight="1" x14ac:dyDescent="0.2">
      <c r="A214" s="91"/>
      <c r="B214" s="106"/>
      <c r="C214" s="15"/>
      <c r="D214" s="421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1:19" ht="12.75" customHeight="1" x14ac:dyDescent="0.2">
      <c r="A215" s="91"/>
      <c r="B215" s="106"/>
      <c r="C215" s="15"/>
      <c r="D215" s="421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1:19" ht="12.75" customHeight="1" x14ac:dyDescent="0.2">
      <c r="A216" s="91"/>
      <c r="B216" s="106"/>
      <c r="C216" s="15"/>
      <c r="D216" s="421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1:19" ht="12.75" customHeight="1" x14ac:dyDescent="0.2">
      <c r="A217" s="91"/>
      <c r="B217" s="106"/>
      <c r="C217" s="15"/>
      <c r="D217" s="421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1:19" ht="12.75" customHeight="1" x14ac:dyDescent="0.2">
      <c r="A218" s="91"/>
      <c r="B218" s="106"/>
      <c r="C218" s="15"/>
      <c r="D218" s="421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1:19" ht="12.75" customHeight="1" x14ac:dyDescent="0.2">
      <c r="A219" s="91"/>
      <c r="B219" s="106"/>
      <c r="C219" s="15"/>
      <c r="D219" s="421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1:19" ht="12.75" customHeight="1" x14ac:dyDescent="0.2">
      <c r="A220" s="91"/>
      <c r="B220" s="106"/>
      <c r="C220" s="15"/>
      <c r="D220" s="421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1:19" ht="12.75" customHeight="1" x14ac:dyDescent="0.2">
      <c r="A221" s="91"/>
      <c r="B221" s="106"/>
      <c r="C221" s="15"/>
      <c r="D221" s="421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1:19" ht="12.75" customHeight="1" x14ac:dyDescent="0.2">
      <c r="A222" s="91"/>
      <c r="B222" s="106"/>
      <c r="C222" s="15"/>
      <c r="D222" s="421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1:19" ht="12.75" customHeight="1" x14ac:dyDescent="0.2">
      <c r="A223" s="91"/>
      <c r="B223" s="106"/>
      <c r="C223" s="15"/>
      <c r="D223" s="421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1:19" ht="12.75" customHeight="1" x14ac:dyDescent="0.2">
      <c r="A224" s="91"/>
      <c r="B224" s="106"/>
      <c r="C224" s="15"/>
      <c r="D224" s="421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1:19" ht="12.75" customHeight="1" x14ac:dyDescent="0.2">
      <c r="A225" s="91"/>
      <c r="B225" s="106"/>
      <c r="C225" s="15"/>
      <c r="D225" s="421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1:19" ht="12.75" customHeight="1" x14ac:dyDescent="0.2">
      <c r="A226" s="91"/>
      <c r="B226" s="106"/>
      <c r="C226" s="15"/>
      <c r="D226" s="421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1:19" ht="12.75" customHeight="1" x14ac:dyDescent="0.2">
      <c r="A227" s="91"/>
      <c r="B227" s="106"/>
      <c r="C227" s="15"/>
      <c r="D227" s="421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1:19" ht="12.75" customHeight="1" x14ac:dyDescent="0.2">
      <c r="A228" s="91"/>
      <c r="B228" s="106"/>
      <c r="C228" s="15"/>
      <c r="D228" s="421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1:19" ht="12.75" customHeight="1" x14ac:dyDescent="0.2">
      <c r="A229" s="91"/>
      <c r="B229" s="106"/>
      <c r="C229" s="15"/>
      <c r="D229" s="421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1:19" ht="12.75" customHeight="1" x14ac:dyDescent="0.2">
      <c r="A230" s="91"/>
      <c r="B230" s="106"/>
      <c r="C230" s="15"/>
      <c r="D230" s="421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1:19" ht="12.75" customHeight="1" x14ac:dyDescent="0.2">
      <c r="A231" s="91"/>
      <c r="B231" s="106"/>
      <c r="C231" s="15"/>
      <c r="D231" s="421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1:19" ht="12.75" customHeight="1" x14ac:dyDescent="0.2">
      <c r="A232" s="91"/>
      <c r="B232" s="106"/>
      <c r="C232" s="15"/>
      <c r="D232" s="421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1:19" ht="12.75" customHeight="1" x14ac:dyDescent="0.2">
      <c r="A233" s="91"/>
      <c r="B233" s="106"/>
      <c r="C233" s="15"/>
      <c r="D233" s="421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1:19" ht="12.75" customHeight="1" x14ac:dyDescent="0.2">
      <c r="A234" s="91"/>
      <c r="B234" s="106"/>
      <c r="C234" s="15"/>
      <c r="D234" s="421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1:19" ht="12.75" customHeight="1" x14ac:dyDescent="0.2">
      <c r="A235" s="91"/>
      <c r="B235" s="106"/>
      <c r="C235" s="15"/>
      <c r="D235" s="421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1:19" ht="12.75" customHeight="1" x14ac:dyDescent="0.2">
      <c r="A236" s="91"/>
      <c r="B236" s="106"/>
      <c r="C236" s="15"/>
      <c r="D236" s="421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1:19" ht="12.75" customHeight="1" x14ac:dyDescent="0.2">
      <c r="A237" s="91"/>
      <c r="B237" s="106"/>
      <c r="C237" s="15"/>
      <c r="D237" s="421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1:19" ht="12.75" customHeight="1" x14ac:dyDescent="0.2">
      <c r="A238" s="91"/>
      <c r="B238" s="106"/>
      <c r="C238" s="15"/>
      <c r="D238" s="421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1:19" ht="12.75" customHeight="1" x14ac:dyDescent="0.2">
      <c r="A239" s="91"/>
      <c r="B239" s="106"/>
      <c r="C239" s="15"/>
      <c r="D239" s="421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1:19" ht="12.75" customHeight="1" x14ac:dyDescent="0.2">
      <c r="A240" s="91"/>
      <c r="B240" s="106"/>
      <c r="C240" s="15"/>
      <c r="D240" s="421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1:19" ht="12.75" customHeight="1" x14ac:dyDescent="0.2">
      <c r="A241" s="91"/>
      <c r="B241" s="106"/>
      <c r="C241" s="15"/>
      <c r="D241" s="421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1:19" ht="12.75" customHeight="1" x14ac:dyDescent="0.2">
      <c r="A242" s="91"/>
      <c r="B242" s="106"/>
      <c r="C242" s="15"/>
      <c r="D242" s="421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1:19" ht="12.75" customHeight="1" x14ac:dyDescent="0.2">
      <c r="A243" s="91"/>
      <c r="B243" s="106"/>
      <c r="C243" s="15"/>
      <c r="D243" s="421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1:19" ht="12.75" customHeight="1" x14ac:dyDescent="0.2">
      <c r="A244" s="91"/>
      <c r="B244" s="106"/>
      <c r="C244" s="15"/>
      <c r="D244" s="421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1:19" ht="12.75" customHeight="1" x14ac:dyDescent="0.2">
      <c r="A245" s="91"/>
      <c r="B245" s="106"/>
      <c r="C245" s="15"/>
      <c r="D245" s="421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1:19" ht="12.75" customHeight="1" x14ac:dyDescent="0.2">
      <c r="A246" s="91"/>
      <c r="B246" s="106"/>
      <c r="C246" s="15"/>
      <c r="D246" s="421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1:19" ht="12.75" customHeight="1" x14ac:dyDescent="0.2">
      <c r="A247" s="91"/>
      <c r="B247" s="106"/>
      <c r="C247" s="15"/>
      <c r="D247" s="421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1:19" ht="12.75" customHeight="1" x14ac:dyDescent="0.2">
      <c r="A248" s="91"/>
      <c r="B248" s="106"/>
      <c r="C248" s="15"/>
      <c r="D248" s="421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1:19" ht="12.75" customHeight="1" x14ac:dyDescent="0.2">
      <c r="A249" s="91"/>
      <c r="B249" s="106"/>
      <c r="C249" s="15"/>
      <c r="D249" s="421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1:19" ht="12.75" customHeight="1" x14ac:dyDescent="0.2">
      <c r="A250" s="91"/>
      <c r="B250" s="106"/>
      <c r="C250" s="15"/>
      <c r="D250" s="421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1:19" ht="12.75" customHeight="1" x14ac:dyDescent="0.2">
      <c r="A251" s="91"/>
      <c r="B251" s="106"/>
      <c r="C251" s="15"/>
      <c r="D251" s="421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1:19" ht="12.75" customHeight="1" x14ac:dyDescent="0.2">
      <c r="A252" s="91"/>
      <c r="B252" s="106"/>
      <c r="C252" s="15"/>
      <c r="D252" s="421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1:19" ht="12.75" customHeight="1" x14ac:dyDescent="0.2">
      <c r="A253" s="91"/>
      <c r="B253" s="106"/>
      <c r="C253" s="15"/>
      <c r="D253" s="421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1:19" ht="12.75" customHeight="1" x14ac:dyDescent="0.2">
      <c r="A254" s="91"/>
      <c r="B254" s="106"/>
      <c r="C254" s="15"/>
      <c r="D254" s="421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1:19" ht="12.75" customHeight="1" x14ac:dyDescent="0.2">
      <c r="A255" s="91"/>
      <c r="B255" s="106"/>
      <c r="C255" s="15"/>
      <c r="D255" s="421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</row>
    <row r="256" spans="1:19" ht="12.75" customHeight="1" x14ac:dyDescent="0.2">
      <c r="A256" s="91"/>
      <c r="B256" s="106"/>
      <c r="C256" s="15"/>
      <c r="D256" s="421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</row>
    <row r="257" spans="1:19" ht="12.75" customHeight="1" x14ac:dyDescent="0.2">
      <c r="A257" s="91"/>
      <c r="B257" s="106"/>
      <c r="C257" s="15"/>
      <c r="D257" s="421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</row>
    <row r="258" spans="1:19" ht="12.75" customHeight="1" x14ac:dyDescent="0.2">
      <c r="A258" s="91"/>
      <c r="B258" s="106"/>
      <c r="C258" s="15"/>
      <c r="D258" s="421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</row>
    <row r="259" spans="1:19" ht="12.75" customHeight="1" x14ac:dyDescent="0.2">
      <c r="A259" s="91"/>
      <c r="B259" s="106"/>
      <c r="C259" s="15"/>
      <c r="D259" s="421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</row>
    <row r="260" spans="1:19" ht="12.75" customHeight="1" x14ac:dyDescent="0.2">
      <c r="A260" s="91"/>
      <c r="B260" s="106"/>
      <c r="C260" s="15"/>
      <c r="D260" s="421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</row>
    <row r="261" spans="1:19" ht="12.75" customHeight="1" x14ac:dyDescent="0.2">
      <c r="A261" s="91"/>
      <c r="B261" s="106"/>
      <c r="C261" s="15"/>
      <c r="D261" s="421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</row>
    <row r="262" spans="1:19" ht="12.75" customHeight="1" x14ac:dyDescent="0.2">
      <c r="A262" s="91"/>
      <c r="B262" s="106"/>
      <c r="C262" s="15"/>
      <c r="D262" s="421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</row>
    <row r="263" spans="1:19" ht="12.75" customHeight="1" x14ac:dyDescent="0.2">
      <c r="A263" s="91"/>
      <c r="B263" s="106"/>
      <c r="C263" s="15"/>
      <c r="D263" s="421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</row>
    <row r="264" spans="1:19" ht="12.75" customHeight="1" x14ac:dyDescent="0.2">
      <c r="A264" s="91"/>
      <c r="B264" s="106"/>
      <c r="C264" s="15"/>
      <c r="D264" s="421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</row>
    <row r="265" spans="1:19" ht="12.75" customHeight="1" x14ac:dyDescent="0.2">
      <c r="A265" s="91"/>
      <c r="B265" s="106"/>
      <c r="C265" s="15"/>
      <c r="D265" s="421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</row>
    <row r="266" spans="1:19" ht="12.75" customHeight="1" x14ac:dyDescent="0.2">
      <c r="A266" s="91"/>
      <c r="B266" s="106"/>
      <c r="C266" s="15"/>
      <c r="D266" s="421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1:19" ht="12.75" customHeight="1" x14ac:dyDescent="0.2">
      <c r="A267" s="91"/>
      <c r="B267" s="106"/>
      <c r="C267" s="15"/>
      <c r="D267" s="421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</row>
    <row r="268" spans="1:19" ht="12.75" customHeight="1" x14ac:dyDescent="0.2">
      <c r="A268" s="91"/>
      <c r="B268" s="106"/>
      <c r="C268" s="15"/>
      <c r="D268" s="421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</row>
    <row r="269" spans="1:19" ht="12.75" customHeight="1" x14ac:dyDescent="0.2">
      <c r="A269" s="91"/>
      <c r="B269" s="106"/>
      <c r="C269" s="15"/>
      <c r="D269" s="421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</row>
    <row r="270" spans="1:19" ht="12.75" customHeight="1" x14ac:dyDescent="0.2">
      <c r="A270" s="91"/>
      <c r="B270" s="106"/>
      <c r="C270" s="15"/>
      <c r="D270" s="421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</row>
    <row r="271" spans="1:19" ht="12.75" customHeight="1" x14ac:dyDescent="0.2">
      <c r="A271" s="91"/>
      <c r="B271" s="106"/>
      <c r="C271" s="15"/>
      <c r="D271" s="421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</row>
    <row r="272" spans="1:19" ht="12.75" customHeight="1" x14ac:dyDescent="0.2">
      <c r="A272" s="91"/>
      <c r="B272" s="106"/>
      <c r="C272" s="15"/>
      <c r="D272" s="421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</row>
    <row r="273" spans="1:19" ht="12.75" customHeight="1" x14ac:dyDescent="0.2">
      <c r="A273" s="91"/>
      <c r="B273" s="106"/>
      <c r="C273" s="15"/>
      <c r="D273" s="421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</row>
    <row r="274" spans="1:19" ht="12.75" customHeight="1" x14ac:dyDescent="0.2">
      <c r="A274" s="91"/>
      <c r="B274" s="106"/>
      <c r="C274" s="15"/>
      <c r="D274" s="421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1:19" ht="12.75" customHeight="1" x14ac:dyDescent="0.2">
      <c r="A275" s="91"/>
      <c r="B275" s="106"/>
      <c r="C275" s="15"/>
      <c r="D275" s="421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</row>
    <row r="276" spans="1:19" ht="12.75" customHeight="1" x14ac:dyDescent="0.2">
      <c r="A276" s="91"/>
      <c r="B276" s="106"/>
      <c r="C276" s="15"/>
      <c r="D276" s="421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</row>
    <row r="277" spans="1:19" ht="12.75" customHeight="1" x14ac:dyDescent="0.2">
      <c r="A277" s="91"/>
      <c r="B277" s="106"/>
      <c r="C277" s="15"/>
      <c r="D277" s="421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</row>
    <row r="278" spans="1:19" ht="12.75" customHeight="1" x14ac:dyDescent="0.2">
      <c r="A278" s="91"/>
      <c r="B278" s="106"/>
      <c r="C278" s="15"/>
      <c r="D278" s="421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</row>
    <row r="279" spans="1:19" ht="12.75" customHeight="1" x14ac:dyDescent="0.2">
      <c r="A279" s="91"/>
      <c r="B279" s="106"/>
      <c r="C279" s="15"/>
      <c r="D279" s="421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</row>
    <row r="280" spans="1:19" ht="12.75" customHeight="1" x14ac:dyDescent="0.2">
      <c r="A280" s="91"/>
      <c r="B280" s="106"/>
      <c r="C280" s="15"/>
      <c r="D280" s="421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</row>
    <row r="281" spans="1:19" ht="12.75" customHeight="1" x14ac:dyDescent="0.2">
      <c r="A281" s="91"/>
      <c r="B281" s="106"/>
      <c r="C281" s="15"/>
      <c r="D281" s="421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</row>
    <row r="282" spans="1:19" ht="12.75" customHeight="1" x14ac:dyDescent="0.2">
      <c r="A282" s="91"/>
      <c r="B282" s="106"/>
      <c r="C282" s="15"/>
      <c r="D282" s="421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</row>
    <row r="283" spans="1:19" ht="12.75" customHeight="1" x14ac:dyDescent="0.2">
      <c r="A283" s="91"/>
      <c r="B283" s="106"/>
      <c r="C283" s="15"/>
      <c r="D283" s="421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</row>
    <row r="284" spans="1:19" ht="12.75" customHeight="1" x14ac:dyDescent="0.2">
      <c r="A284" s="91"/>
      <c r="B284" s="106"/>
      <c r="C284" s="15"/>
      <c r="D284" s="421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</row>
    <row r="285" spans="1:19" ht="12.75" customHeight="1" x14ac:dyDescent="0.2">
      <c r="A285" s="91"/>
      <c r="B285" s="106"/>
      <c r="C285" s="15"/>
      <c r="D285" s="421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</row>
    <row r="286" spans="1:19" ht="12.75" customHeight="1" x14ac:dyDescent="0.2">
      <c r="A286" s="91"/>
      <c r="B286" s="106"/>
      <c r="C286" s="15"/>
      <c r="D286" s="421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</row>
    <row r="287" spans="1:19" ht="12.75" customHeight="1" x14ac:dyDescent="0.2">
      <c r="A287" s="91"/>
      <c r="B287" s="106"/>
      <c r="C287" s="15"/>
      <c r="D287" s="421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</row>
    <row r="288" spans="1:19" ht="12.75" customHeight="1" x14ac:dyDescent="0.2">
      <c r="A288" s="91"/>
      <c r="B288" s="106"/>
      <c r="C288" s="15"/>
      <c r="D288" s="421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</row>
    <row r="289" spans="1:19" ht="12.75" customHeight="1" x14ac:dyDescent="0.2">
      <c r="A289" s="91"/>
      <c r="B289" s="106"/>
      <c r="C289" s="15"/>
      <c r="D289" s="421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</row>
    <row r="290" spans="1:19" ht="12.75" customHeight="1" x14ac:dyDescent="0.2">
      <c r="A290" s="91"/>
      <c r="B290" s="106"/>
      <c r="C290" s="15"/>
      <c r="D290" s="421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</row>
    <row r="291" spans="1:19" ht="12.75" customHeight="1" x14ac:dyDescent="0.2">
      <c r="A291" s="91"/>
      <c r="B291" s="106"/>
      <c r="C291" s="15"/>
      <c r="D291" s="421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</row>
    <row r="292" spans="1:19" ht="12.75" customHeight="1" x14ac:dyDescent="0.2">
      <c r="A292" s="91"/>
      <c r="B292" s="106"/>
      <c r="C292" s="15"/>
      <c r="D292" s="421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</row>
    <row r="293" spans="1:19" ht="12.75" customHeight="1" x14ac:dyDescent="0.2">
      <c r="A293" s="91"/>
      <c r="B293" s="106"/>
      <c r="C293" s="15"/>
      <c r="D293" s="421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</row>
    <row r="294" spans="1:19" ht="12.75" customHeight="1" x14ac:dyDescent="0.2">
      <c r="A294" s="91"/>
      <c r="B294" s="106"/>
      <c r="C294" s="15"/>
      <c r="D294" s="421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</row>
    <row r="295" spans="1:19" ht="12.75" customHeight="1" x14ac:dyDescent="0.2">
      <c r="A295" s="91"/>
      <c r="B295" s="106"/>
      <c r="C295" s="15"/>
      <c r="D295" s="421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</row>
    <row r="296" spans="1:19" ht="12.75" customHeight="1" x14ac:dyDescent="0.2">
      <c r="A296" s="91"/>
      <c r="B296" s="106"/>
      <c r="C296" s="15"/>
      <c r="D296" s="421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</row>
    <row r="297" spans="1:19" ht="12.75" customHeight="1" x14ac:dyDescent="0.2">
      <c r="A297" s="91"/>
      <c r="B297" s="106"/>
      <c r="C297" s="15"/>
      <c r="D297" s="421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</row>
    <row r="298" spans="1:19" ht="12.75" customHeight="1" x14ac:dyDescent="0.2">
      <c r="A298" s="91"/>
      <c r="B298" s="106"/>
      <c r="C298" s="15"/>
      <c r="D298" s="421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</row>
    <row r="299" spans="1:19" ht="12.75" customHeight="1" x14ac:dyDescent="0.2">
      <c r="A299" s="91"/>
      <c r="B299" s="106"/>
      <c r="C299" s="15"/>
      <c r="D299" s="421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</row>
    <row r="300" spans="1:19" ht="12.75" customHeight="1" x14ac:dyDescent="0.2">
      <c r="A300" s="91"/>
      <c r="B300" s="106"/>
      <c r="C300" s="15"/>
      <c r="D300" s="421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</row>
    <row r="301" spans="1:19" ht="12.75" customHeight="1" x14ac:dyDescent="0.2">
      <c r="A301" s="91"/>
      <c r="B301" s="106"/>
      <c r="C301" s="15"/>
      <c r="D301" s="421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</row>
    <row r="302" spans="1:19" ht="12.75" customHeight="1" x14ac:dyDescent="0.2">
      <c r="A302" s="91"/>
      <c r="B302" s="106"/>
      <c r="C302" s="15"/>
      <c r="D302" s="421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</row>
    <row r="303" spans="1:19" ht="12.75" customHeight="1" x14ac:dyDescent="0.2">
      <c r="A303" s="91"/>
      <c r="B303" s="106"/>
      <c r="C303" s="15"/>
      <c r="D303" s="421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</row>
    <row r="304" spans="1:19" ht="12.75" customHeight="1" x14ac:dyDescent="0.2">
      <c r="A304" s="91"/>
      <c r="B304" s="106"/>
      <c r="C304" s="15"/>
      <c r="D304" s="421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</row>
    <row r="305" spans="1:19" ht="12.75" customHeight="1" x14ac:dyDescent="0.2">
      <c r="A305" s="91"/>
      <c r="B305" s="106"/>
      <c r="C305" s="15"/>
      <c r="D305" s="421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</row>
    <row r="306" spans="1:19" ht="12.75" customHeight="1" x14ac:dyDescent="0.2">
      <c r="A306" s="91"/>
      <c r="B306" s="106"/>
      <c r="C306" s="15"/>
      <c r="D306" s="421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</row>
    <row r="307" spans="1:19" ht="12.75" customHeight="1" x14ac:dyDescent="0.2">
      <c r="A307" s="91"/>
      <c r="B307" s="106"/>
      <c r="C307" s="15"/>
      <c r="D307" s="421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</row>
    <row r="308" spans="1:19" ht="12.75" customHeight="1" x14ac:dyDescent="0.2">
      <c r="A308" s="91"/>
      <c r="B308" s="106"/>
      <c r="C308" s="15"/>
      <c r="D308" s="421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</row>
    <row r="309" spans="1:19" ht="12.75" customHeight="1" x14ac:dyDescent="0.2">
      <c r="A309" s="91"/>
      <c r="B309" s="106"/>
      <c r="C309" s="15"/>
      <c r="D309" s="421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</row>
    <row r="310" spans="1:19" ht="12.75" customHeight="1" x14ac:dyDescent="0.2">
      <c r="A310" s="91"/>
      <c r="B310" s="106"/>
      <c r="C310" s="15"/>
      <c r="D310" s="421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</row>
    <row r="311" spans="1:19" ht="12.75" customHeight="1" x14ac:dyDescent="0.2">
      <c r="A311" s="91"/>
      <c r="B311" s="106"/>
      <c r="C311" s="15"/>
      <c r="D311" s="421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</row>
    <row r="312" spans="1:19" ht="12.75" customHeight="1" x14ac:dyDescent="0.2">
      <c r="A312" s="91"/>
      <c r="B312" s="106"/>
      <c r="C312" s="15"/>
      <c r="D312" s="421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</row>
    <row r="313" spans="1:19" ht="12.75" customHeight="1" x14ac:dyDescent="0.2">
      <c r="A313" s="91"/>
      <c r="B313" s="106"/>
      <c r="C313" s="15"/>
      <c r="D313" s="421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</row>
    <row r="314" spans="1:19" ht="12.75" customHeight="1" x14ac:dyDescent="0.2">
      <c r="A314" s="91"/>
      <c r="B314" s="106"/>
      <c r="C314" s="15"/>
      <c r="D314" s="421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</row>
    <row r="315" spans="1:19" ht="12.75" customHeight="1" x14ac:dyDescent="0.2">
      <c r="A315" s="91"/>
      <c r="B315" s="106"/>
      <c r="C315" s="15"/>
      <c r="D315" s="421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</row>
    <row r="316" spans="1:19" ht="12.75" customHeight="1" x14ac:dyDescent="0.2">
      <c r="A316" s="91"/>
      <c r="B316" s="106"/>
      <c r="C316" s="15"/>
      <c r="D316" s="421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</row>
    <row r="317" spans="1:19" ht="12.75" customHeight="1" x14ac:dyDescent="0.2">
      <c r="A317" s="91"/>
      <c r="B317" s="106"/>
      <c r="C317" s="15"/>
      <c r="D317" s="421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</row>
    <row r="318" spans="1:19" ht="12.75" customHeight="1" x14ac:dyDescent="0.2">
      <c r="A318" s="91"/>
      <c r="B318" s="106"/>
      <c r="C318" s="15"/>
      <c r="D318" s="421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</row>
    <row r="319" spans="1:19" ht="12.75" customHeight="1" x14ac:dyDescent="0.2">
      <c r="A319" s="91"/>
      <c r="B319" s="106"/>
      <c r="C319" s="15"/>
      <c r="D319" s="421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</row>
    <row r="320" spans="1:19" ht="12.75" customHeight="1" x14ac:dyDescent="0.2">
      <c r="A320" s="91"/>
      <c r="B320" s="106"/>
      <c r="C320" s="15"/>
      <c r="D320" s="421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</row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</sheetData>
  <autoFilter ref="A10:W70">
    <sortState ref="A12:W70">
      <sortCondition ref="A10:A87"/>
    </sortState>
  </autoFilter>
  <customSheetViews>
    <customSheetView guid="{45C8AF51-29EC-46A5-AB7F-1F0634E55D82}" scale="60" showAutoFilter="1" hiddenRows="1" hiddenColumns="1" topLeftCell="A85">
      <pane ySplit="13.72" topLeftCell="A532"/>
      <selection activeCell="A101" sqref="A10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70">
        <sortState ref="A12:W70">
          <sortCondition ref="A10:A87"/>
        </sortState>
      </autoFilter>
    </customSheetView>
    <customSheetView guid="{FCC3B493-4306-43B2-9C73-76324485DD47}" scale="60" showAutoFilter="1" hiddenRows="1" hiddenColumns="1">
      <pane xSplit="4" ySplit="16" topLeftCell="E17" activePane="bottomRight" state="frozen"/>
      <selection pane="bottomRight" activeCell="A11" sqref="A11:A7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XFD70"/>
    </customSheetView>
    <customSheetView guid="{AEDE1BDB-8710-4CDA-8488-31F49D423ACE}" scale="60" filter="1" showAutoFilter="1" hiddenRows="1" hiddenColumns="1">
      <pane xSplit="3" ySplit="83" topLeftCell="S138" activePane="bottomRight" state="frozenSplit"/>
      <selection pane="bottomRight" activeCell="S153" sqref="S15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84">
        <filterColumn colId="18">
          <filters>
            <filter val="Inviable Sanitariamente"/>
          </filters>
        </filterColumn>
      </autoFilter>
    </customSheetView>
    <customSheetView guid="{75DD7674-E7DE-4BB1-A36D-76AA33452CB3}" scale="60" showAutoFilter="1" hiddenRows="1" hiddenColumns="1">
      <selection activeCell="C78" sqref="C7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70">
        <sortState ref="A12:W70">
          <sortCondition ref="A10:A87"/>
        </sortState>
      </autoFilter>
    </customSheetView>
  </customSheetViews>
  <mergeCells count="21">
    <mergeCell ref="B1:D1"/>
    <mergeCell ref="B2:D2"/>
    <mergeCell ref="B4:D4"/>
    <mergeCell ref="C5:C6"/>
    <mergeCell ref="C9:C10"/>
    <mergeCell ref="A7:B7"/>
    <mergeCell ref="A9:A10"/>
    <mergeCell ref="D5:D6"/>
    <mergeCell ref="B5:B6"/>
    <mergeCell ref="B9:B10"/>
    <mergeCell ref="D9:D10"/>
    <mergeCell ref="S9:S10"/>
    <mergeCell ref="Q5:R6"/>
    <mergeCell ref="S5:S6"/>
    <mergeCell ref="H5:J6"/>
    <mergeCell ref="E9:P9"/>
    <mergeCell ref="R9:R10"/>
    <mergeCell ref="N5:P6"/>
    <mergeCell ref="E5:G6"/>
    <mergeCell ref="Q9:Q10"/>
    <mergeCell ref="K5:M6"/>
  </mergeCells>
  <conditionalFormatting sqref="Q11:Q70">
    <cfRule type="containsBlanks" dxfId="3391" priority="959" stopIfTrue="1">
      <formula>LEN(TRIM(Q11))=0</formula>
    </cfRule>
    <cfRule type="cellIs" dxfId="3390" priority="960" stopIfTrue="1" operator="between">
      <formula>80.1</formula>
      <formula>100</formula>
    </cfRule>
    <cfRule type="cellIs" dxfId="3389" priority="961" stopIfTrue="1" operator="between">
      <formula>35.1</formula>
      <formula>80</formula>
    </cfRule>
    <cfRule type="cellIs" dxfId="3388" priority="962" stopIfTrue="1" operator="between">
      <formula>14.1</formula>
      <formula>35</formula>
    </cfRule>
    <cfRule type="cellIs" dxfId="3387" priority="963" stopIfTrue="1" operator="between">
      <formula>5.1</formula>
      <formula>14</formula>
    </cfRule>
    <cfRule type="cellIs" dxfId="3386" priority="964" stopIfTrue="1" operator="between">
      <formula>0</formula>
      <formula>5</formula>
    </cfRule>
    <cfRule type="containsBlanks" dxfId="3385" priority="965" stopIfTrue="1">
      <formula>LEN(TRIM(Q11))=0</formula>
    </cfRule>
  </conditionalFormatting>
  <conditionalFormatting sqref="R20:R27 R11:R16">
    <cfRule type="cellIs" dxfId="3384" priority="439" stopIfTrue="1" operator="equal">
      <formula>"NO"</formula>
    </cfRule>
  </conditionalFormatting>
  <conditionalFormatting sqref="R17">
    <cfRule type="cellIs" dxfId="3383" priority="249" stopIfTrue="1" operator="equal">
      <formula>"NO"</formula>
    </cfRule>
  </conditionalFormatting>
  <conditionalFormatting sqref="Q17:Q18">
    <cfRule type="containsBlanks" dxfId="3382" priority="242" stopIfTrue="1">
      <formula>LEN(TRIM(Q17))=0</formula>
    </cfRule>
    <cfRule type="cellIs" dxfId="3381" priority="243" stopIfTrue="1" operator="between">
      <formula>80.1</formula>
      <formula>100</formula>
    </cfRule>
    <cfRule type="cellIs" dxfId="3380" priority="244" stopIfTrue="1" operator="between">
      <formula>35.1</formula>
      <formula>80</formula>
    </cfRule>
    <cfRule type="cellIs" dxfId="3379" priority="245" stopIfTrue="1" operator="between">
      <formula>14.1</formula>
      <formula>35</formula>
    </cfRule>
    <cfRule type="cellIs" dxfId="3378" priority="246" stopIfTrue="1" operator="between">
      <formula>5.1</formula>
      <formula>14</formula>
    </cfRule>
    <cfRule type="cellIs" dxfId="3377" priority="247" stopIfTrue="1" operator="between">
      <formula>0</formula>
      <formula>5</formula>
    </cfRule>
    <cfRule type="containsBlanks" dxfId="3376" priority="248" stopIfTrue="1">
      <formula>LEN(TRIM(Q17))=0</formula>
    </cfRule>
  </conditionalFormatting>
  <conditionalFormatting sqref="R19">
    <cfRule type="cellIs" dxfId="3375" priority="234" stopIfTrue="1" operator="equal">
      <formula>"NO"</formula>
    </cfRule>
  </conditionalFormatting>
  <conditionalFormatting sqref="R18">
    <cfRule type="cellIs" dxfId="3374" priority="226" stopIfTrue="1" operator="equal">
      <formula>"NO"</formula>
    </cfRule>
  </conditionalFormatting>
  <conditionalFormatting sqref="S11:S70">
    <cfRule type="cellIs" dxfId="3373" priority="21" stopIfTrue="1" operator="equal">
      <formula>"INVIABLE SANITARIAMENTE"</formula>
    </cfRule>
  </conditionalFormatting>
  <conditionalFormatting sqref="S11:S70">
    <cfRule type="containsText" dxfId="3372" priority="9" stopIfTrue="1" operator="containsText" text="INVIABLE SANITARIAMENTE">
      <formula>NOT(ISERROR(SEARCH("INVIABLE SANITARIAMENTE",S11)))</formula>
    </cfRule>
    <cfRule type="containsText" dxfId="3371" priority="10" stopIfTrue="1" operator="containsText" text="ALTO">
      <formula>NOT(ISERROR(SEARCH("ALTO",S11)))</formula>
    </cfRule>
    <cfRule type="containsText" dxfId="3370" priority="11" stopIfTrue="1" operator="containsText" text="MEDIO">
      <formula>NOT(ISERROR(SEARCH("MEDIO",S11)))</formula>
    </cfRule>
    <cfRule type="containsText" dxfId="3369" priority="12" stopIfTrue="1" operator="containsText" text="BAJO">
      <formula>NOT(ISERROR(SEARCH("BAJO",S11)))</formula>
    </cfRule>
    <cfRule type="containsText" dxfId="3368" priority="13" stopIfTrue="1" operator="containsText" text="SIN RIESGO">
      <formula>NOT(ISERROR(SEARCH("SIN RIESGO",S11)))</formula>
    </cfRule>
  </conditionalFormatting>
  <conditionalFormatting sqref="S11:S70">
    <cfRule type="containsText" dxfId="3367" priority="8" stopIfTrue="1" operator="containsText" text="SIN RIESGO">
      <formula>NOT(ISERROR(SEARCH("SIN RIESGO",S11)))</formula>
    </cfRule>
  </conditionalFormatting>
  <conditionalFormatting sqref="Q70:R70 E11:P70">
    <cfRule type="containsBlanks" dxfId="3366" priority="1" stopIfTrue="1">
      <formula>LEN(TRIM(E11))=0</formula>
    </cfRule>
    <cfRule type="cellIs" dxfId="3365" priority="2" stopIfTrue="1" operator="between">
      <formula>79.1</formula>
      <formula>100</formula>
    </cfRule>
    <cfRule type="cellIs" dxfId="3364" priority="3" stopIfTrue="1" operator="between">
      <formula>34.1</formula>
      <formula>79</formula>
    </cfRule>
    <cfRule type="cellIs" dxfId="3363" priority="4" stopIfTrue="1" operator="between">
      <formula>13.1</formula>
      <formula>34</formula>
    </cfRule>
    <cfRule type="cellIs" dxfId="3362" priority="5" stopIfTrue="1" operator="between">
      <formula>5.1</formula>
      <formula>13</formula>
    </cfRule>
    <cfRule type="cellIs" dxfId="3361" priority="6" stopIfTrue="1" operator="between">
      <formula>0</formula>
      <formula>5</formula>
    </cfRule>
    <cfRule type="containsBlanks" dxfId="3360" priority="7" stopIfTrue="1">
      <formula>LEN(TRIM(E11))=0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0"/>
  </sheetPr>
  <dimension ref="A1:BR88"/>
  <sheetViews>
    <sheetView zoomScale="60" zoomScaleNormal="80"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 activeCell="A11" sqref="A11"/>
    </sheetView>
  </sheetViews>
  <sheetFormatPr baseColWidth="10" defaultRowHeight="12.75" x14ac:dyDescent="0.2"/>
  <cols>
    <col min="1" max="1" width="35.140625" style="34" customWidth="1"/>
    <col min="2" max="2" width="48.85546875" style="14" customWidth="1"/>
    <col min="3" max="3" width="59.42578125" style="14" customWidth="1"/>
    <col min="4" max="4" width="24.7109375" style="14" customWidth="1"/>
    <col min="5" max="18" width="10.7109375" style="13" customWidth="1"/>
    <col min="19" max="19" width="42.85546875" style="13" bestFit="1" customWidth="1"/>
    <col min="20" max="20" width="9.85546875" style="13" customWidth="1"/>
    <col min="21" max="16384" width="11.42578125" style="13"/>
  </cols>
  <sheetData>
    <row r="1" spans="1:23" s="7" customFormat="1" ht="18" customHeight="1" x14ac:dyDescent="0.2">
      <c r="A1" s="54"/>
      <c r="B1" s="559" t="s">
        <v>258</v>
      </c>
      <c r="C1" s="559"/>
      <c r="D1" s="559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39" t="s">
        <v>546</v>
      </c>
      <c r="T1" s="3"/>
      <c r="U1" s="5"/>
      <c r="V1" s="6"/>
      <c r="W1" s="6"/>
    </row>
    <row r="2" spans="1:23" s="9" customFormat="1" ht="18" customHeight="1" x14ac:dyDescent="0.2">
      <c r="A2" s="54"/>
      <c r="B2" s="560" t="s">
        <v>259</v>
      </c>
      <c r="C2" s="560"/>
      <c r="D2" s="56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4"/>
      <c r="S2" s="40" t="s">
        <v>260</v>
      </c>
      <c r="T2" s="3"/>
      <c r="U2" s="8"/>
      <c r="V2" s="6"/>
      <c r="W2" s="6"/>
    </row>
    <row r="3" spans="1:23" s="7" customFormat="1" ht="18" customHeight="1" x14ac:dyDescent="0.25">
      <c r="A3" s="54"/>
      <c r="B3" s="64" t="s">
        <v>4413</v>
      </c>
      <c r="C3" s="64"/>
      <c r="D3" s="6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05"/>
      <c r="S3" s="40" t="s">
        <v>547</v>
      </c>
      <c r="T3" s="3"/>
      <c r="U3" s="5"/>
      <c r="V3" s="6"/>
      <c r="W3" s="6"/>
    </row>
    <row r="4" spans="1:23" s="7" customFormat="1" ht="18" customHeight="1" x14ac:dyDescent="0.2">
      <c r="A4" s="54"/>
      <c r="B4" s="559" t="s">
        <v>548</v>
      </c>
      <c r="C4" s="559"/>
      <c r="D4" s="55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261</v>
      </c>
      <c r="T4" s="3"/>
      <c r="U4" s="5"/>
      <c r="V4" s="6"/>
      <c r="W4" s="6"/>
    </row>
    <row r="5" spans="1:23" s="32" customFormat="1" ht="15" customHeight="1" x14ac:dyDescent="0.2">
      <c r="A5" s="42"/>
      <c r="B5" s="565"/>
      <c r="C5" s="561"/>
      <c r="D5" s="564" t="s">
        <v>266</v>
      </c>
      <c r="E5" s="556" t="s">
        <v>255</v>
      </c>
      <c r="F5" s="556"/>
      <c r="G5" s="556"/>
      <c r="H5" s="551" t="s">
        <v>263</v>
      </c>
      <c r="I5" s="551"/>
      <c r="J5" s="551"/>
      <c r="K5" s="558" t="s">
        <v>264</v>
      </c>
      <c r="L5" s="558"/>
      <c r="M5" s="558"/>
      <c r="N5" s="555" t="s">
        <v>474</v>
      </c>
      <c r="O5" s="555"/>
      <c r="P5" s="555"/>
      <c r="Q5" s="549" t="s">
        <v>265</v>
      </c>
      <c r="R5" s="549"/>
      <c r="S5" s="550" t="s">
        <v>267</v>
      </c>
    </row>
    <row r="6" spans="1:23" s="32" customFormat="1" ht="12.75" customHeight="1" x14ac:dyDescent="0.2">
      <c r="A6" s="42"/>
      <c r="B6" s="565"/>
      <c r="C6" s="561"/>
      <c r="D6" s="564"/>
      <c r="E6" s="556"/>
      <c r="F6" s="556"/>
      <c r="G6" s="556"/>
      <c r="H6" s="551"/>
      <c r="I6" s="551"/>
      <c r="J6" s="551"/>
      <c r="K6" s="558"/>
      <c r="L6" s="558"/>
      <c r="M6" s="558"/>
      <c r="N6" s="555"/>
      <c r="O6" s="555"/>
      <c r="P6" s="555"/>
      <c r="Q6" s="549"/>
      <c r="R6" s="549"/>
      <c r="S6" s="550"/>
    </row>
    <row r="7" spans="1:23" s="32" customFormat="1" ht="6" customHeight="1" x14ac:dyDescent="0.2">
      <c r="A7" s="562"/>
      <c r="B7" s="562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1"/>
    </row>
    <row r="8" spans="1:23" ht="19.5" customHeight="1" x14ac:dyDescent="0.2">
      <c r="A8" s="52" t="s">
        <v>268</v>
      </c>
      <c r="B8" s="5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0"/>
      <c r="T8" s="15"/>
    </row>
    <row r="9" spans="1:23" ht="32.1" customHeight="1" x14ac:dyDescent="0.2">
      <c r="A9" s="563" t="s">
        <v>37</v>
      </c>
      <c r="B9" s="547" t="s">
        <v>38</v>
      </c>
      <c r="C9" s="547" t="s">
        <v>262</v>
      </c>
      <c r="D9" s="572" t="s">
        <v>454</v>
      </c>
      <c r="E9" s="547" t="s">
        <v>33</v>
      </c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70" t="s">
        <v>34</v>
      </c>
      <c r="R9" s="570" t="s">
        <v>36</v>
      </c>
      <c r="S9" s="547" t="s">
        <v>35</v>
      </c>
      <c r="T9" s="15"/>
    </row>
    <row r="10" spans="1:23" ht="32.1" customHeight="1" x14ac:dyDescent="0.2">
      <c r="A10" s="563"/>
      <c r="B10" s="547"/>
      <c r="C10" s="547"/>
      <c r="D10" s="573"/>
      <c r="E10" s="419" t="s">
        <v>21</v>
      </c>
      <c r="F10" s="419" t="s">
        <v>22</v>
      </c>
      <c r="G10" s="419" t="s">
        <v>23</v>
      </c>
      <c r="H10" s="419" t="s">
        <v>24</v>
      </c>
      <c r="I10" s="419" t="s">
        <v>25</v>
      </c>
      <c r="J10" s="419" t="s">
        <v>26</v>
      </c>
      <c r="K10" s="419" t="s">
        <v>27</v>
      </c>
      <c r="L10" s="419" t="s">
        <v>28</v>
      </c>
      <c r="M10" s="419" t="s">
        <v>29</v>
      </c>
      <c r="N10" s="419" t="s">
        <v>30</v>
      </c>
      <c r="O10" s="419" t="s">
        <v>31</v>
      </c>
      <c r="P10" s="419" t="s">
        <v>32</v>
      </c>
      <c r="Q10" s="570"/>
      <c r="R10" s="570"/>
      <c r="S10" s="547"/>
      <c r="T10" s="15"/>
    </row>
    <row r="11" spans="1:23" ht="50.1" customHeight="1" x14ac:dyDescent="0.2">
      <c r="A11" s="209" t="s">
        <v>191</v>
      </c>
      <c r="B11" s="100" t="s">
        <v>1594</v>
      </c>
      <c r="C11" s="99" t="s">
        <v>4463</v>
      </c>
      <c r="D11" s="116">
        <v>42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145" t="e">
        <f t="shared" ref="Q11:Q42" si="0">AVERAGE(E11:P11)</f>
        <v>#DIV/0!</v>
      </c>
      <c r="R11" s="151" t="e">
        <f t="shared" ref="R11:R42" si="1">IF(Q11&lt;5,"SI","NO")</f>
        <v>#DIV/0!</v>
      </c>
      <c r="S11" s="152" t="e">
        <f t="shared" ref="S11:S42" si="2">IF(Q11&lt;=5,"Sin Riesgo",IF(Q11 &lt;=14,"Bajo",IF(Q11&lt;=35,"Medio",IF(Q11&lt;=80,"Alto","Inviable Sanitariamente"))))</f>
        <v>#DIV/0!</v>
      </c>
      <c r="T11" s="15"/>
    </row>
    <row r="12" spans="1:23" ht="50.1" customHeight="1" x14ac:dyDescent="0.2">
      <c r="A12" s="209" t="s">
        <v>191</v>
      </c>
      <c r="B12" s="100" t="s">
        <v>1595</v>
      </c>
      <c r="C12" s="99" t="s">
        <v>4464</v>
      </c>
      <c r="D12" s="116">
        <v>24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83" t="e">
        <f t="shared" si="0"/>
        <v>#DIV/0!</v>
      </c>
      <c r="R12" s="153" t="e">
        <f t="shared" si="1"/>
        <v>#DIV/0!</v>
      </c>
      <c r="S12" s="152" t="e">
        <f t="shared" si="2"/>
        <v>#DIV/0!</v>
      </c>
      <c r="T12" s="15"/>
    </row>
    <row r="13" spans="1:23" ht="50.1" customHeight="1" x14ac:dyDescent="0.2">
      <c r="A13" s="209" t="s">
        <v>191</v>
      </c>
      <c r="B13" s="100" t="s">
        <v>1596</v>
      </c>
      <c r="C13" s="99" t="s">
        <v>4465</v>
      </c>
      <c r="D13" s="116">
        <v>54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83" t="e">
        <f t="shared" si="0"/>
        <v>#DIV/0!</v>
      </c>
      <c r="R13" s="153" t="e">
        <f t="shared" si="1"/>
        <v>#DIV/0!</v>
      </c>
      <c r="S13" s="152" t="e">
        <f t="shared" si="2"/>
        <v>#DIV/0!</v>
      </c>
      <c r="T13" s="15"/>
    </row>
    <row r="14" spans="1:23" ht="50.1" customHeight="1" x14ac:dyDescent="0.2">
      <c r="A14" s="209" t="s">
        <v>191</v>
      </c>
      <c r="B14" s="100" t="s">
        <v>1597</v>
      </c>
      <c r="C14" s="99" t="s">
        <v>4466</v>
      </c>
      <c r="D14" s="116">
        <v>19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83" t="e">
        <f t="shared" si="0"/>
        <v>#DIV/0!</v>
      </c>
      <c r="R14" s="153" t="e">
        <f t="shared" si="1"/>
        <v>#DIV/0!</v>
      </c>
      <c r="S14" s="152" t="e">
        <f t="shared" si="2"/>
        <v>#DIV/0!</v>
      </c>
      <c r="T14" s="15"/>
    </row>
    <row r="15" spans="1:23" ht="50.1" customHeight="1" x14ac:dyDescent="0.2">
      <c r="A15" s="209" t="s">
        <v>191</v>
      </c>
      <c r="B15" s="100" t="s">
        <v>1598</v>
      </c>
      <c r="C15" s="99" t="s">
        <v>4467</v>
      </c>
      <c r="D15" s="116">
        <v>9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45" t="e">
        <f t="shared" si="0"/>
        <v>#DIV/0!</v>
      </c>
      <c r="R15" s="151" t="e">
        <f t="shared" si="1"/>
        <v>#DIV/0!</v>
      </c>
      <c r="S15" s="152" t="e">
        <f t="shared" si="2"/>
        <v>#DIV/0!</v>
      </c>
      <c r="T15" s="15"/>
    </row>
    <row r="16" spans="1:23" ht="50.1" customHeight="1" x14ac:dyDescent="0.2">
      <c r="A16" s="209" t="s">
        <v>191</v>
      </c>
      <c r="B16" s="100" t="s">
        <v>1599</v>
      </c>
      <c r="C16" s="99" t="s">
        <v>4468</v>
      </c>
      <c r="D16" s="116">
        <v>39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83" t="e">
        <f t="shared" si="0"/>
        <v>#DIV/0!</v>
      </c>
      <c r="R16" s="153" t="e">
        <f t="shared" si="1"/>
        <v>#DIV/0!</v>
      </c>
      <c r="S16" s="152" t="e">
        <f t="shared" si="2"/>
        <v>#DIV/0!</v>
      </c>
      <c r="T16" s="15"/>
    </row>
    <row r="17" spans="1:32" ht="50.1" customHeight="1" x14ac:dyDescent="0.2">
      <c r="A17" s="209" t="s">
        <v>191</v>
      </c>
      <c r="B17" s="100" t="s">
        <v>1600</v>
      </c>
      <c r="C17" s="99" t="s">
        <v>4469</v>
      </c>
      <c r="D17" s="116">
        <v>12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83" t="e">
        <f t="shared" si="0"/>
        <v>#DIV/0!</v>
      </c>
      <c r="R17" s="153" t="e">
        <f t="shared" si="1"/>
        <v>#DIV/0!</v>
      </c>
      <c r="S17" s="152" t="e">
        <f t="shared" si="2"/>
        <v>#DIV/0!</v>
      </c>
      <c r="T17" s="15"/>
    </row>
    <row r="18" spans="1:32" ht="50.1" customHeight="1" x14ac:dyDescent="0.2">
      <c r="A18" s="209" t="s">
        <v>191</v>
      </c>
      <c r="B18" s="100" t="s">
        <v>1601</v>
      </c>
      <c r="C18" s="99" t="s">
        <v>4470</v>
      </c>
      <c r="D18" s="116">
        <v>65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83" t="e">
        <f t="shared" si="0"/>
        <v>#DIV/0!</v>
      </c>
      <c r="R18" s="153" t="e">
        <f t="shared" si="1"/>
        <v>#DIV/0!</v>
      </c>
      <c r="S18" s="152" t="e">
        <f t="shared" si="2"/>
        <v>#DIV/0!</v>
      </c>
      <c r="T18" s="15"/>
    </row>
    <row r="19" spans="1:32" ht="50.1" customHeight="1" x14ac:dyDescent="0.2">
      <c r="A19" s="209" t="s">
        <v>191</v>
      </c>
      <c r="B19" s="100" t="s">
        <v>1602</v>
      </c>
      <c r="C19" s="99" t="s">
        <v>4471</v>
      </c>
      <c r="D19" s="116">
        <v>8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145" t="e">
        <f t="shared" si="0"/>
        <v>#DIV/0!</v>
      </c>
      <c r="R19" s="151" t="e">
        <f t="shared" si="1"/>
        <v>#DIV/0!</v>
      </c>
      <c r="S19" s="152" t="e">
        <f t="shared" si="2"/>
        <v>#DIV/0!</v>
      </c>
      <c r="T19" s="16"/>
    </row>
    <row r="20" spans="1:32" ht="50.1" customHeight="1" x14ac:dyDescent="0.2">
      <c r="A20" s="84" t="s">
        <v>192</v>
      </c>
      <c r="B20" s="84" t="s">
        <v>1603</v>
      </c>
      <c r="C20" s="99" t="s">
        <v>4472</v>
      </c>
      <c r="D20" s="90">
        <v>22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83" t="e">
        <f t="shared" si="0"/>
        <v>#DIV/0!</v>
      </c>
      <c r="R20" s="153" t="e">
        <f t="shared" si="1"/>
        <v>#DIV/0!</v>
      </c>
      <c r="S20" s="152" t="e">
        <f t="shared" si="2"/>
        <v>#DIV/0!</v>
      </c>
      <c r="T20" s="16"/>
    </row>
    <row r="21" spans="1:32" ht="50.1" customHeight="1" x14ac:dyDescent="0.2">
      <c r="A21" s="84" t="s">
        <v>192</v>
      </c>
      <c r="B21" s="209" t="s">
        <v>1604</v>
      </c>
      <c r="C21" s="210" t="s">
        <v>4393</v>
      </c>
      <c r="D21" s="208">
        <v>240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83" t="e">
        <f t="shared" si="0"/>
        <v>#DIV/0!</v>
      </c>
      <c r="R21" s="153" t="e">
        <f t="shared" si="1"/>
        <v>#DIV/0!</v>
      </c>
      <c r="S21" s="152" t="e">
        <f t="shared" si="2"/>
        <v>#DIV/0!</v>
      </c>
      <c r="T21" s="16"/>
    </row>
    <row r="22" spans="1:32" ht="50.1" customHeight="1" x14ac:dyDescent="0.2">
      <c r="A22" s="84" t="s">
        <v>192</v>
      </c>
      <c r="B22" s="84" t="s">
        <v>1605</v>
      </c>
      <c r="C22" s="84" t="s">
        <v>4473</v>
      </c>
      <c r="D22" s="90">
        <v>300</v>
      </c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83" t="e">
        <f t="shared" si="0"/>
        <v>#DIV/0!</v>
      </c>
      <c r="R22" s="153" t="e">
        <f t="shared" si="1"/>
        <v>#DIV/0!</v>
      </c>
      <c r="S22" s="152" t="e">
        <f t="shared" si="2"/>
        <v>#DIV/0!</v>
      </c>
      <c r="T22" s="16"/>
    </row>
    <row r="23" spans="1:32" ht="50.1" customHeight="1" x14ac:dyDescent="0.2">
      <c r="A23" s="345" t="s">
        <v>192</v>
      </c>
      <c r="B23" s="345" t="s">
        <v>1606</v>
      </c>
      <c r="C23" s="345" t="s">
        <v>4474</v>
      </c>
      <c r="D23" s="344">
        <v>125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346" t="e">
        <f t="shared" si="0"/>
        <v>#DIV/0!</v>
      </c>
      <c r="R23" s="347" t="e">
        <f t="shared" si="1"/>
        <v>#DIV/0!</v>
      </c>
      <c r="S23" s="152" t="e">
        <f t="shared" si="2"/>
        <v>#DIV/0!</v>
      </c>
      <c r="T23" s="16"/>
    </row>
    <row r="24" spans="1:32" s="85" customFormat="1" ht="50.1" customHeight="1" x14ac:dyDescent="0.2">
      <c r="A24" s="84" t="s">
        <v>192</v>
      </c>
      <c r="B24" s="84" t="s">
        <v>1607</v>
      </c>
      <c r="C24" s="84" t="s">
        <v>4475</v>
      </c>
      <c r="D24" s="90">
        <v>32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83" t="e">
        <f t="shared" si="0"/>
        <v>#DIV/0!</v>
      </c>
      <c r="R24" s="153" t="e">
        <f t="shared" si="1"/>
        <v>#DIV/0!</v>
      </c>
      <c r="S24" s="152" t="e">
        <f t="shared" si="2"/>
        <v>#DIV/0!</v>
      </c>
      <c r="T24" s="16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79"/>
    </row>
    <row r="25" spans="1:32" ht="50.1" customHeight="1" x14ac:dyDescent="0.2">
      <c r="A25" s="349" t="s">
        <v>192</v>
      </c>
      <c r="B25" s="349" t="s">
        <v>1608</v>
      </c>
      <c r="C25" s="350" t="s">
        <v>4476</v>
      </c>
      <c r="D25" s="348">
        <v>23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351" t="e">
        <f t="shared" si="0"/>
        <v>#DIV/0!</v>
      </c>
      <c r="R25" s="352" t="e">
        <f t="shared" si="1"/>
        <v>#DIV/0!</v>
      </c>
      <c r="S25" s="152" t="e">
        <f t="shared" si="2"/>
        <v>#DIV/0!</v>
      </c>
      <c r="T25" s="16"/>
    </row>
    <row r="26" spans="1:32" ht="32.1" customHeight="1" x14ac:dyDescent="0.2">
      <c r="A26" s="84" t="s">
        <v>4128</v>
      </c>
      <c r="B26" s="100" t="s">
        <v>1609</v>
      </c>
      <c r="C26" s="100" t="s">
        <v>1610</v>
      </c>
      <c r="D26" s="121">
        <v>49</v>
      </c>
      <c r="E26" s="218"/>
      <c r="F26" s="218"/>
      <c r="G26" s="218"/>
      <c r="H26" s="218"/>
      <c r="I26" s="218"/>
      <c r="J26" s="218"/>
      <c r="K26" s="218"/>
      <c r="L26" s="218">
        <v>55</v>
      </c>
      <c r="M26" s="218"/>
      <c r="N26" s="218"/>
      <c r="O26" s="218"/>
      <c r="P26" s="218"/>
      <c r="Q26" s="145">
        <f t="shared" si="0"/>
        <v>55</v>
      </c>
      <c r="R26" s="151" t="str">
        <f t="shared" si="1"/>
        <v>NO</v>
      </c>
      <c r="S26" s="152" t="str">
        <f t="shared" si="2"/>
        <v>Alto</v>
      </c>
      <c r="T26" s="16"/>
    </row>
    <row r="27" spans="1:32" ht="32.1" customHeight="1" x14ac:dyDescent="0.2">
      <c r="A27" s="84" t="s">
        <v>4128</v>
      </c>
      <c r="B27" s="100" t="s">
        <v>1611</v>
      </c>
      <c r="C27" s="100" t="s">
        <v>1612</v>
      </c>
      <c r="D27" s="121">
        <v>149</v>
      </c>
      <c r="E27" s="218"/>
      <c r="F27" s="218"/>
      <c r="G27" s="218"/>
      <c r="H27" s="218"/>
      <c r="I27" s="218"/>
      <c r="J27" s="218"/>
      <c r="K27" s="218"/>
      <c r="L27" s="218"/>
      <c r="M27" s="218">
        <v>55</v>
      </c>
      <c r="N27" s="218"/>
      <c r="O27" s="218"/>
      <c r="P27" s="218"/>
      <c r="Q27" s="145">
        <f t="shared" si="0"/>
        <v>55</v>
      </c>
      <c r="R27" s="151" t="str">
        <f t="shared" si="1"/>
        <v>NO</v>
      </c>
      <c r="S27" s="152" t="str">
        <f t="shared" si="2"/>
        <v>Alto</v>
      </c>
      <c r="T27" s="16"/>
    </row>
    <row r="28" spans="1:32" ht="32.1" customHeight="1" x14ac:dyDescent="0.2">
      <c r="A28" s="84" t="s">
        <v>4128</v>
      </c>
      <c r="B28" s="100" t="s">
        <v>1613</v>
      </c>
      <c r="C28" s="100" t="s">
        <v>1614</v>
      </c>
      <c r="D28" s="121">
        <v>70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>
        <v>55</v>
      </c>
      <c r="O28" s="218"/>
      <c r="P28" s="218"/>
      <c r="Q28" s="145">
        <f t="shared" si="0"/>
        <v>55</v>
      </c>
      <c r="R28" s="151" t="str">
        <f t="shared" si="1"/>
        <v>NO</v>
      </c>
      <c r="S28" s="152" t="str">
        <f t="shared" si="2"/>
        <v>Alto</v>
      </c>
      <c r="T28" s="16"/>
    </row>
    <row r="29" spans="1:32" ht="32.1" customHeight="1" x14ac:dyDescent="0.2">
      <c r="A29" s="84" t="s">
        <v>4128</v>
      </c>
      <c r="B29" s="100" t="s">
        <v>787</v>
      </c>
      <c r="C29" s="100" t="s">
        <v>1615</v>
      </c>
      <c r="D29" s="121">
        <v>65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>
        <v>55</v>
      </c>
      <c r="O29" s="218"/>
      <c r="P29" s="218"/>
      <c r="Q29" s="145">
        <f t="shared" si="0"/>
        <v>55</v>
      </c>
      <c r="R29" s="151" t="str">
        <f t="shared" si="1"/>
        <v>NO</v>
      </c>
      <c r="S29" s="152" t="str">
        <f t="shared" si="2"/>
        <v>Alto</v>
      </c>
      <c r="T29" s="16"/>
    </row>
    <row r="30" spans="1:32" ht="32.1" customHeight="1" x14ac:dyDescent="0.2">
      <c r="A30" s="84" t="s">
        <v>4128</v>
      </c>
      <c r="B30" s="100" t="s">
        <v>1616</v>
      </c>
      <c r="C30" s="100" t="s">
        <v>1617</v>
      </c>
      <c r="D30" s="121">
        <v>6</v>
      </c>
      <c r="E30" s="218"/>
      <c r="F30" s="218"/>
      <c r="G30" s="218"/>
      <c r="H30" s="218"/>
      <c r="I30" s="218"/>
      <c r="J30" s="218"/>
      <c r="K30" s="218">
        <v>15</v>
      </c>
      <c r="L30" s="218"/>
      <c r="M30" s="218"/>
      <c r="N30" s="218"/>
      <c r="O30" s="218"/>
      <c r="P30" s="218"/>
      <c r="Q30" s="145">
        <f t="shared" si="0"/>
        <v>15</v>
      </c>
      <c r="R30" s="151" t="str">
        <f t="shared" si="1"/>
        <v>NO</v>
      </c>
      <c r="S30" s="152" t="str">
        <f t="shared" si="2"/>
        <v>Medio</v>
      </c>
      <c r="T30" s="16"/>
    </row>
    <row r="31" spans="1:32" ht="32.1" customHeight="1" x14ac:dyDescent="0.2">
      <c r="A31" s="84" t="s">
        <v>4128</v>
      </c>
      <c r="B31" s="100" t="s">
        <v>1618</v>
      </c>
      <c r="C31" s="100" t="s">
        <v>1619</v>
      </c>
      <c r="D31" s="121">
        <v>130</v>
      </c>
      <c r="E31" s="218"/>
      <c r="F31" s="218"/>
      <c r="G31" s="218"/>
      <c r="H31" s="218"/>
      <c r="I31" s="218"/>
      <c r="J31" s="218"/>
      <c r="K31" s="218">
        <v>55</v>
      </c>
      <c r="L31" s="218"/>
      <c r="M31" s="218"/>
      <c r="N31" s="218"/>
      <c r="O31" s="218"/>
      <c r="P31" s="218"/>
      <c r="Q31" s="145">
        <f t="shared" si="0"/>
        <v>55</v>
      </c>
      <c r="R31" s="151" t="str">
        <f t="shared" si="1"/>
        <v>NO</v>
      </c>
      <c r="S31" s="152" t="str">
        <f t="shared" si="2"/>
        <v>Alto</v>
      </c>
      <c r="T31" s="16"/>
    </row>
    <row r="32" spans="1:32" ht="32.1" customHeight="1" x14ac:dyDescent="0.2">
      <c r="A32" s="84" t="s">
        <v>4128</v>
      </c>
      <c r="B32" s="100" t="s">
        <v>1620</v>
      </c>
      <c r="C32" s="100" t="s">
        <v>1621</v>
      </c>
      <c r="D32" s="121">
        <v>27</v>
      </c>
      <c r="E32" s="218"/>
      <c r="F32" s="218"/>
      <c r="G32" s="218"/>
      <c r="H32" s="218"/>
      <c r="I32" s="218"/>
      <c r="J32" s="218"/>
      <c r="K32" s="218"/>
      <c r="L32" s="218">
        <v>55</v>
      </c>
      <c r="M32" s="218"/>
      <c r="N32" s="218"/>
      <c r="O32" s="218"/>
      <c r="P32" s="218"/>
      <c r="Q32" s="145">
        <f t="shared" si="0"/>
        <v>55</v>
      </c>
      <c r="R32" s="151" t="str">
        <f t="shared" si="1"/>
        <v>NO</v>
      </c>
      <c r="S32" s="152" t="str">
        <f t="shared" si="2"/>
        <v>Alto</v>
      </c>
      <c r="T32" s="16"/>
    </row>
    <row r="33" spans="1:20" ht="32.1" customHeight="1" x14ac:dyDescent="0.2">
      <c r="A33" s="84" t="s">
        <v>4128</v>
      </c>
      <c r="B33" s="100" t="s">
        <v>1622</v>
      </c>
      <c r="C33" s="100" t="s">
        <v>1623</v>
      </c>
      <c r="D33" s="121">
        <v>67</v>
      </c>
      <c r="E33" s="218"/>
      <c r="F33" s="218"/>
      <c r="G33" s="218"/>
      <c r="H33" s="218"/>
      <c r="I33" s="218"/>
      <c r="J33" s="218"/>
      <c r="K33" s="218"/>
      <c r="L33" s="218">
        <v>55</v>
      </c>
      <c r="M33" s="218"/>
      <c r="N33" s="218"/>
      <c r="O33" s="218"/>
      <c r="P33" s="218"/>
      <c r="Q33" s="145">
        <f t="shared" si="0"/>
        <v>55</v>
      </c>
      <c r="R33" s="151" t="str">
        <f t="shared" si="1"/>
        <v>NO</v>
      </c>
      <c r="S33" s="152" t="str">
        <f t="shared" si="2"/>
        <v>Alto</v>
      </c>
      <c r="T33" s="16"/>
    </row>
    <row r="34" spans="1:20" ht="32.1" customHeight="1" x14ac:dyDescent="0.2">
      <c r="A34" s="84" t="s">
        <v>4128</v>
      </c>
      <c r="B34" s="100" t="s">
        <v>1624</v>
      </c>
      <c r="C34" s="100" t="s">
        <v>1625</v>
      </c>
      <c r="D34" s="121">
        <v>50</v>
      </c>
      <c r="E34" s="218"/>
      <c r="F34" s="218"/>
      <c r="G34" s="218"/>
      <c r="H34" s="218"/>
      <c r="I34" s="218"/>
      <c r="J34" s="218"/>
      <c r="K34" s="218"/>
      <c r="L34" s="218"/>
      <c r="M34" s="218">
        <v>55</v>
      </c>
      <c r="N34" s="218"/>
      <c r="O34" s="218"/>
      <c r="P34" s="218"/>
      <c r="Q34" s="145">
        <f t="shared" si="0"/>
        <v>55</v>
      </c>
      <c r="R34" s="151" t="str">
        <f t="shared" si="1"/>
        <v>NO</v>
      </c>
      <c r="S34" s="152" t="str">
        <f t="shared" si="2"/>
        <v>Alto</v>
      </c>
      <c r="T34" s="16"/>
    </row>
    <row r="35" spans="1:20" ht="32.1" customHeight="1" x14ac:dyDescent="0.2">
      <c r="A35" s="84" t="s">
        <v>4128</v>
      </c>
      <c r="B35" s="100" t="s">
        <v>1626</v>
      </c>
      <c r="C35" s="100" t="s">
        <v>1627</v>
      </c>
      <c r="D35" s="121">
        <v>181</v>
      </c>
      <c r="E35" s="218"/>
      <c r="F35" s="218"/>
      <c r="G35" s="218"/>
      <c r="H35" s="218"/>
      <c r="I35" s="218"/>
      <c r="J35" s="218"/>
      <c r="K35" s="218">
        <v>55</v>
      </c>
      <c r="L35" s="218"/>
      <c r="M35" s="218"/>
      <c r="N35" s="218"/>
      <c r="O35" s="218"/>
      <c r="P35" s="218"/>
      <c r="Q35" s="145">
        <f t="shared" si="0"/>
        <v>55</v>
      </c>
      <c r="R35" s="151" t="str">
        <f t="shared" si="1"/>
        <v>NO</v>
      </c>
      <c r="S35" s="152" t="str">
        <f t="shared" si="2"/>
        <v>Alto</v>
      </c>
      <c r="T35" s="16"/>
    </row>
    <row r="36" spans="1:20" ht="32.1" customHeight="1" x14ac:dyDescent="0.2">
      <c r="A36" s="84" t="s">
        <v>4128</v>
      </c>
      <c r="B36" s="100" t="s">
        <v>1628</v>
      </c>
      <c r="C36" s="100" t="s">
        <v>1629</v>
      </c>
      <c r="D36" s="116">
        <v>50</v>
      </c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145" t="e">
        <f t="shared" si="0"/>
        <v>#DIV/0!</v>
      </c>
      <c r="R36" s="151" t="e">
        <f t="shared" si="1"/>
        <v>#DIV/0!</v>
      </c>
      <c r="S36" s="152" t="e">
        <f t="shared" si="2"/>
        <v>#DIV/0!</v>
      </c>
      <c r="T36" s="16"/>
    </row>
    <row r="37" spans="1:20" ht="32.1" customHeight="1" x14ac:dyDescent="0.2">
      <c r="A37" s="84" t="s">
        <v>4128</v>
      </c>
      <c r="B37" s="100" t="s">
        <v>1630</v>
      </c>
      <c r="C37" s="100" t="s">
        <v>1631</v>
      </c>
      <c r="D37" s="121">
        <v>117</v>
      </c>
      <c r="E37" s="218"/>
      <c r="F37" s="218"/>
      <c r="G37" s="218"/>
      <c r="H37" s="218"/>
      <c r="I37" s="218"/>
      <c r="J37" s="218"/>
      <c r="K37" s="218"/>
      <c r="L37" s="218"/>
      <c r="M37" s="218">
        <v>55</v>
      </c>
      <c r="N37" s="218"/>
      <c r="O37" s="218"/>
      <c r="P37" s="218"/>
      <c r="Q37" s="145">
        <f t="shared" si="0"/>
        <v>55</v>
      </c>
      <c r="R37" s="151" t="str">
        <f t="shared" si="1"/>
        <v>NO</v>
      </c>
      <c r="S37" s="152" t="str">
        <f t="shared" si="2"/>
        <v>Alto</v>
      </c>
      <c r="T37" s="16"/>
    </row>
    <row r="38" spans="1:20" ht="32.1" customHeight="1" x14ac:dyDescent="0.2">
      <c r="A38" s="84" t="s">
        <v>4128</v>
      </c>
      <c r="B38" s="100" t="s">
        <v>1632</v>
      </c>
      <c r="C38" s="100" t="s">
        <v>1633</v>
      </c>
      <c r="D38" s="121">
        <v>40</v>
      </c>
      <c r="E38" s="218"/>
      <c r="F38" s="218"/>
      <c r="G38" s="218"/>
      <c r="H38" s="218"/>
      <c r="I38" s="218"/>
      <c r="J38" s="218"/>
      <c r="K38" s="218"/>
      <c r="L38" s="218"/>
      <c r="M38" s="218">
        <v>55</v>
      </c>
      <c r="N38" s="218"/>
      <c r="O38" s="218"/>
      <c r="P38" s="218"/>
      <c r="Q38" s="145">
        <f t="shared" si="0"/>
        <v>55</v>
      </c>
      <c r="R38" s="151" t="str">
        <f t="shared" si="1"/>
        <v>NO</v>
      </c>
      <c r="S38" s="152" t="str">
        <f t="shared" si="2"/>
        <v>Alto</v>
      </c>
      <c r="T38" s="16"/>
    </row>
    <row r="39" spans="1:20" ht="32.1" customHeight="1" x14ac:dyDescent="0.2">
      <c r="A39" s="84" t="s">
        <v>4128</v>
      </c>
      <c r="B39" s="100" t="s">
        <v>1634</v>
      </c>
      <c r="C39" s="100" t="s">
        <v>1635</v>
      </c>
      <c r="D39" s="116">
        <v>36</v>
      </c>
      <c r="E39" s="218"/>
      <c r="F39" s="218"/>
      <c r="G39" s="218"/>
      <c r="H39" s="218"/>
      <c r="I39" s="218"/>
      <c r="J39" s="218"/>
      <c r="K39" s="218"/>
      <c r="L39" s="218"/>
      <c r="M39" s="218">
        <v>55</v>
      </c>
      <c r="N39" s="218"/>
      <c r="O39" s="218"/>
      <c r="P39" s="218"/>
      <c r="Q39" s="145">
        <f t="shared" si="0"/>
        <v>55</v>
      </c>
      <c r="R39" s="151" t="str">
        <f t="shared" si="1"/>
        <v>NO</v>
      </c>
      <c r="S39" s="152" t="str">
        <f t="shared" si="2"/>
        <v>Alto</v>
      </c>
      <c r="T39" s="16"/>
    </row>
    <row r="40" spans="1:20" ht="32.1" customHeight="1" x14ac:dyDescent="0.2">
      <c r="A40" s="84" t="s">
        <v>4128</v>
      </c>
      <c r="B40" s="100" t="s">
        <v>1636</v>
      </c>
      <c r="C40" s="100" t="s">
        <v>1637</v>
      </c>
      <c r="D40" s="121">
        <v>70</v>
      </c>
      <c r="E40" s="218"/>
      <c r="F40" s="218"/>
      <c r="G40" s="218"/>
      <c r="H40" s="218"/>
      <c r="I40" s="218"/>
      <c r="J40" s="218"/>
      <c r="K40" s="218"/>
      <c r="L40" s="218"/>
      <c r="M40" s="218">
        <v>55</v>
      </c>
      <c r="N40" s="218"/>
      <c r="O40" s="218"/>
      <c r="P40" s="218"/>
      <c r="Q40" s="145">
        <f t="shared" si="0"/>
        <v>55</v>
      </c>
      <c r="R40" s="151" t="str">
        <f t="shared" si="1"/>
        <v>NO</v>
      </c>
      <c r="S40" s="152" t="str">
        <f t="shared" si="2"/>
        <v>Alto</v>
      </c>
      <c r="T40" s="16"/>
    </row>
    <row r="41" spans="1:20" ht="32.1" customHeight="1" x14ac:dyDescent="0.2">
      <c r="A41" s="84" t="s">
        <v>194</v>
      </c>
      <c r="B41" s="84" t="s">
        <v>1638</v>
      </c>
      <c r="C41" s="84" t="s">
        <v>1639</v>
      </c>
      <c r="D41" s="143">
        <v>159</v>
      </c>
      <c r="E41" s="218"/>
      <c r="F41" s="218">
        <v>40</v>
      </c>
      <c r="G41" s="218"/>
      <c r="H41" s="218"/>
      <c r="I41" s="218"/>
      <c r="J41" s="218"/>
      <c r="K41" s="218"/>
      <c r="L41" s="218"/>
      <c r="M41" s="218">
        <v>0</v>
      </c>
      <c r="N41" s="218"/>
      <c r="O41" s="218"/>
      <c r="P41" s="218"/>
      <c r="Q41" s="83">
        <f t="shared" si="0"/>
        <v>20</v>
      </c>
      <c r="R41" s="153" t="str">
        <f t="shared" si="1"/>
        <v>NO</v>
      </c>
      <c r="S41" s="152" t="str">
        <f t="shared" si="2"/>
        <v>Medio</v>
      </c>
      <c r="T41" s="16"/>
    </row>
    <row r="42" spans="1:20" ht="32.1" customHeight="1" x14ac:dyDescent="0.2">
      <c r="A42" s="84" t="s">
        <v>194</v>
      </c>
      <c r="B42" s="84" t="s">
        <v>18</v>
      </c>
      <c r="C42" s="84" t="s">
        <v>1640</v>
      </c>
      <c r="D42" s="143">
        <v>84</v>
      </c>
      <c r="E42" s="218"/>
      <c r="F42" s="218"/>
      <c r="G42" s="218"/>
      <c r="H42" s="218"/>
      <c r="I42" s="218"/>
      <c r="J42" s="218"/>
      <c r="K42" s="218"/>
      <c r="L42" s="218"/>
      <c r="M42" s="218">
        <v>0</v>
      </c>
      <c r="N42" s="218"/>
      <c r="O42" s="218"/>
      <c r="P42" s="218"/>
      <c r="Q42" s="83">
        <f t="shared" si="0"/>
        <v>0</v>
      </c>
      <c r="R42" s="153" t="str">
        <f t="shared" si="1"/>
        <v>SI</v>
      </c>
      <c r="S42" s="152" t="str">
        <f t="shared" si="2"/>
        <v>Sin Riesgo</v>
      </c>
      <c r="T42" s="16"/>
    </row>
    <row r="43" spans="1:20" ht="32.1" customHeight="1" x14ac:dyDescent="0.2">
      <c r="A43" s="84" t="s">
        <v>194</v>
      </c>
      <c r="B43" s="84" t="s">
        <v>1641</v>
      </c>
      <c r="C43" s="84" t="s">
        <v>1642</v>
      </c>
      <c r="D43" s="143">
        <v>237</v>
      </c>
      <c r="E43" s="484">
        <v>6.45</v>
      </c>
      <c r="F43" s="484">
        <v>0</v>
      </c>
      <c r="G43" s="484">
        <v>0</v>
      </c>
      <c r="H43" s="484">
        <v>10.029999999999999</v>
      </c>
      <c r="I43" s="484">
        <v>6.45</v>
      </c>
      <c r="J43" s="484">
        <v>0</v>
      </c>
      <c r="K43" s="484">
        <v>0</v>
      </c>
      <c r="L43" s="484">
        <v>0</v>
      </c>
      <c r="M43" s="484">
        <v>0</v>
      </c>
      <c r="N43" s="484">
        <v>0</v>
      </c>
      <c r="O43" s="484">
        <v>0</v>
      </c>
      <c r="P43" s="484">
        <v>0</v>
      </c>
      <c r="Q43" s="485">
        <f t="shared" ref="Q43:Q74" si="3">AVERAGE(E43:P43)</f>
        <v>1.9108333333333334</v>
      </c>
      <c r="R43" s="151" t="str">
        <f t="shared" ref="R43:R74" si="4">IF(Q43&lt;5,"SI","NO")</f>
        <v>SI</v>
      </c>
      <c r="S43" s="152" t="str">
        <f t="shared" ref="S43:S79" si="5">IF(Q43&lt;=5,"Sin Riesgo",IF(Q43 &lt;=14,"Bajo",IF(Q43&lt;=35,"Medio",IF(Q43&lt;=80,"Alto","Inviable Sanitariamente"))))</f>
        <v>Sin Riesgo</v>
      </c>
      <c r="T43" s="16"/>
    </row>
    <row r="44" spans="1:20" ht="32.1" customHeight="1" x14ac:dyDescent="0.2">
      <c r="A44" s="84" t="s">
        <v>194</v>
      </c>
      <c r="B44" s="84" t="s">
        <v>1643</v>
      </c>
      <c r="C44" s="84" t="s">
        <v>1644</v>
      </c>
      <c r="D44" s="143">
        <v>1930</v>
      </c>
      <c r="E44" s="484">
        <v>6.45</v>
      </c>
      <c r="F44" s="484">
        <v>0</v>
      </c>
      <c r="G44" s="484">
        <v>0</v>
      </c>
      <c r="H44" s="484">
        <v>0</v>
      </c>
      <c r="I44" s="484">
        <v>6.45</v>
      </c>
      <c r="J44" s="484">
        <v>0</v>
      </c>
      <c r="K44" s="484">
        <v>0</v>
      </c>
      <c r="L44" s="484">
        <v>6.45</v>
      </c>
      <c r="M44" s="484">
        <v>0</v>
      </c>
      <c r="N44" s="484">
        <v>0</v>
      </c>
      <c r="O44" s="484">
        <v>0</v>
      </c>
      <c r="P44" s="484">
        <v>0</v>
      </c>
      <c r="Q44" s="485">
        <f t="shared" ref="Q44" si="6">AVERAGE(E44:P44)</f>
        <v>1.6125</v>
      </c>
      <c r="R44" s="153" t="str">
        <f t="shared" si="4"/>
        <v>SI</v>
      </c>
      <c r="S44" s="152" t="str">
        <f t="shared" si="5"/>
        <v>Sin Riesgo</v>
      </c>
      <c r="T44" s="16"/>
    </row>
    <row r="45" spans="1:20" ht="32.1" customHeight="1" x14ac:dyDescent="0.2">
      <c r="A45" s="84" t="s">
        <v>194</v>
      </c>
      <c r="B45" s="84" t="s">
        <v>1645</v>
      </c>
      <c r="C45" s="84" t="s">
        <v>57</v>
      </c>
      <c r="D45" s="143">
        <v>34</v>
      </c>
      <c r="E45" s="218"/>
      <c r="F45" s="218"/>
      <c r="G45" s="218">
        <v>88</v>
      </c>
      <c r="H45" s="218"/>
      <c r="I45" s="218"/>
      <c r="J45" s="218"/>
      <c r="K45" s="218"/>
      <c r="L45" s="218"/>
      <c r="M45" s="218"/>
      <c r="N45" s="218"/>
      <c r="O45" s="218"/>
      <c r="P45" s="218"/>
      <c r="Q45" s="83">
        <f t="shared" si="3"/>
        <v>88</v>
      </c>
      <c r="R45" s="153" t="str">
        <f t="shared" si="4"/>
        <v>NO</v>
      </c>
      <c r="S45" s="152" t="str">
        <f t="shared" si="5"/>
        <v>Inviable Sanitariamente</v>
      </c>
      <c r="T45" s="16"/>
    </row>
    <row r="46" spans="1:20" ht="32.1" customHeight="1" x14ac:dyDescent="0.2">
      <c r="A46" s="84" t="s">
        <v>194</v>
      </c>
      <c r="B46" s="84" t="s">
        <v>20</v>
      </c>
      <c r="C46" s="84" t="s">
        <v>1646</v>
      </c>
      <c r="D46" s="143">
        <v>25</v>
      </c>
      <c r="E46" s="218"/>
      <c r="F46" s="218"/>
      <c r="G46" s="218"/>
      <c r="H46" s="218"/>
      <c r="I46" s="218"/>
      <c r="J46" s="218"/>
      <c r="K46" s="218"/>
      <c r="L46" s="218"/>
      <c r="M46" s="218">
        <v>7.7</v>
      </c>
      <c r="N46" s="218"/>
      <c r="O46" s="218"/>
      <c r="P46" s="218"/>
      <c r="Q46" s="145">
        <f t="shared" si="3"/>
        <v>7.7</v>
      </c>
      <c r="R46" s="151" t="str">
        <f t="shared" si="4"/>
        <v>NO</v>
      </c>
      <c r="S46" s="152" t="str">
        <f t="shared" si="5"/>
        <v>Bajo</v>
      </c>
      <c r="T46" s="16"/>
    </row>
    <row r="47" spans="1:20" ht="32.1" customHeight="1" x14ac:dyDescent="0.2">
      <c r="A47" s="84" t="s">
        <v>194</v>
      </c>
      <c r="B47" s="84" t="s">
        <v>1647</v>
      </c>
      <c r="C47" s="84" t="s">
        <v>57</v>
      </c>
      <c r="D47" s="143">
        <v>28</v>
      </c>
      <c r="E47" s="218"/>
      <c r="F47" s="218">
        <v>97.3</v>
      </c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83">
        <f t="shared" si="3"/>
        <v>97.3</v>
      </c>
      <c r="R47" s="153" t="str">
        <f t="shared" si="4"/>
        <v>NO</v>
      </c>
      <c r="S47" s="152" t="str">
        <f t="shared" si="5"/>
        <v>Inviable Sanitariamente</v>
      </c>
      <c r="T47" s="16"/>
    </row>
    <row r="48" spans="1:20" ht="32.1" customHeight="1" x14ac:dyDescent="0.2">
      <c r="A48" s="84" t="s">
        <v>56</v>
      </c>
      <c r="B48" s="99" t="s">
        <v>1648</v>
      </c>
      <c r="C48" s="99" t="s">
        <v>1649</v>
      </c>
      <c r="D48" s="427">
        <v>43</v>
      </c>
      <c r="E48" s="218"/>
      <c r="F48" s="218"/>
      <c r="G48" s="218"/>
      <c r="H48" s="218"/>
      <c r="I48" s="218"/>
      <c r="J48" s="218"/>
      <c r="K48" s="218">
        <v>41.96</v>
      </c>
      <c r="L48" s="218"/>
      <c r="M48" s="218"/>
      <c r="N48" s="218"/>
      <c r="O48" s="218"/>
      <c r="P48" s="218"/>
      <c r="Q48" s="145">
        <f t="shared" si="3"/>
        <v>41.96</v>
      </c>
      <c r="R48" s="151" t="str">
        <f t="shared" si="4"/>
        <v>NO</v>
      </c>
      <c r="S48" s="152" t="str">
        <f t="shared" si="5"/>
        <v>Alto</v>
      </c>
      <c r="T48" s="16"/>
    </row>
    <row r="49" spans="1:20" ht="32.1" customHeight="1" x14ac:dyDescent="0.2">
      <c r="A49" s="84" t="s">
        <v>56</v>
      </c>
      <c r="B49" s="99" t="s">
        <v>1650</v>
      </c>
      <c r="C49" s="99" t="s">
        <v>1651</v>
      </c>
      <c r="D49" s="427">
        <v>463</v>
      </c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145" t="e">
        <f t="shared" si="3"/>
        <v>#DIV/0!</v>
      </c>
      <c r="R49" s="151" t="e">
        <f t="shared" si="4"/>
        <v>#DIV/0!</v>
      </c>
      <c r="S49" s="152" t="e">
        <f t="shared" si="5"/>
        <v>#DIV/0!</v>
      </c>
      <c r="T49" s="16"/>
    </row>
    <row r="50" spans="1:20" ht="32.1" customHeight="1" x14ac:dyDescent="0.2">
      <c r="A50" s="84" t="s">
        <v>56</v>
      </c>
      <c r="B50" s="99" t="s">
        <v>1652</v>
      </c>
      <c r="C50" s="99" t="s">
        <v>1653</v>
      </c>
      <c r="D50" s="427">
        <v>459</v>
      </c>
      <c r="E50" s="218">
        <v>0</v>
      </c>
      <c r="F50" s="218">
        <v>0</v>
      </c>
      <c r="G50" s="218">
        <v>0</v>
      </c>
      <c r="H50" s="218">
        <v>0</v>
      </c>
      <c r="I50" s="218">
        <v>26.55</v>
      </c>
      <c r="J50" s="218">
        <v>0</v>
      </c>
      <c r="K50" s="218">
        <v>0</v>
      </c>
      <c r="L50" s="218">
        <v>0</v>
      </c>
      <c r="M50" s="218">
        <v>13.3</v>
      </c>
      <c r="N50" s="218">
        <v>0</v>
      </c>
      <c r="O50" s="218">
        <v>48.67</v>
      </c>
      <c r="P50" s="218">
        <v>0</v>
      </c>
      <c r="Q50" s="145">
        <f t="shared" si="3"/>
        <v>7.3766666666666678</v>
      </c>
      <c r="R50" s="151" t="str">
        <f t="shared" si="4"/>
        <v>NO</v>
      </c>
      <c r="S50" s="152" t="str">
        <f t="shared" si="5"/>
        <v>Bajo</v>
      </c>
      <c r="T50" s="16"/>
    </row>
    <row r="51" spans="1:20" ht="32.1" customHeight="1" x14ac:dyDescent="0.2">
      <c r="A51" s="84" t="s">
        <v>56</v>
      </c>
      <c r="B51" s="99" t="s">
        <v>1654</v>
      </c>
      <c r="C51" s="99" t="s">
        <v>1655</v>
      </c>
      <c r="D51" s="427">
        <v>1805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0.64</v>
      </c>
      <c r="M51" s="218">
        <v>0</v>
      </c>
      <c r="N51" s="218">
        <v>6.45</v>
      </c>
      <c r="O51" s="218">
        <v>13.5</v>
      </c>
      <c r="P51" s="218">
        <v>0.88</v>
      </c>
      <c r="Q51" s="145">
        <f t="shared" si="3"/>
        <v>1.7891666666666666</v>
      </c>
      <c r="R51" s="151" t="str">
        <f t="shared" si="4"/>
        <v>SI</v>
      </c>
      <c r="S51" s="152" t="str">
        <f t="shared" si="5"/>
        <v>Sin Riesgo</v>
      </c>
      <c r="T51" s="16"/>
    </row>
    <row r="52" spans="1:20" ht="32.1" customHeight="1" x14ac:dyDescent="0.2">
      <c r="A52" s="84" t="s">
        <v>56</v>
      </c>
      <c r="B52" s="99" t="s">
        <v>2</v>
      </c>
      <c r="C52" s="99" t="s">
        <v>1656</v>
      </c>
      <c r="D52" s="427">
        <v>97</v>
      </c>
      <c r="E52" s="218"/>
      <c r="F52" s="218"/>
      <c r="G52" s="218"/>
      <c r="H52" s="218"/>
      <c r="I52" s="218"/>
      <c r="J52" s="218"/>
      <c r="K52" s="218">
        <v>62.94</v>
      </c>
      <c r="L52" s="218"/>
      <c r="M52" s="218"/>
      <c r="N52" s="218"/>
      <c r="O52" s="218"/>
      <c r="P52" s="218"/>
      <c r="Q52" s="145">
        <f t="shared" si="3"/>
        <v>62.94</v>
      </c>
      <c r="R52" s="151" t="str">
        <f t="shared" si="4"/>
        <v>NO</v>
      </c>
      <c r="S52" s="152" t="str">
        <f t="shared" si="5"/>
        <v>Alto</v>
      </c>
      <c r="T52" s="16"/>
    </row>
    <row r="53" spans="1:20" ht="32.1" customHeight="1" x14ac:dyDescent="0.2">
      <c r="A53" s="84" t="s">
        <v>56</v>
      </c>
      <c r="B53" s="99" t="s">
        <v>1657</v>
      </c>
      <c r="C53" s="99" t="s">
        <v>1658</v>
      </c>
      <c r="D53" s="427">
        <v>905</v>
      </c>
      <c r="E53" s="218">
        <v>9.67</v>
      </c>
      <c r="F53" s="218">
        <v>0</v>
      </c>
      <c r="G53" s="218">
        <v>13.55</v>
      </c>
      <c r="H53" s="218">
        <v>0</v>
      </c>
      <c r="I53" s="218">
        <v>9.67</v>
      </c>
      <c r="J53" s="218">
        <v>0</v>
      </c>
      <c r="K53" s="218">
        <v>0</v>
      </c>
      <c r="L53" s="218">
        <v>0</v>
      </c>
      <c r="M53" s="218">
        <v>0</v>
      </c>
      <c r="N53" s="218">
        <v>13.55</v>
      </c>
      <c r="O53" s="218">
        <v>0</v>
      </c>
      <c r="P53" s="218">
        <v>0</v>
      </c>
      <c r="Q53" s="145">
        <f t="shared" si="3"/>
        <v>3.8699999999999997</v>
      </c>
      <c r="R53" s="151" t="str">
        <f t="shared" si="4"/>
        <v>SI</v>
      </c>
      <c r="S53" s="152" t="str">
        <f t="shared" si="5"/>
        <v>Sin Riesgo</v>
      </c>
      <c r="T53" s="16"/>
    </row>
    <row r="54" spans="1:20" ht="32.1" customHeight="1" x14ac:dyDescent="0.2">
      <c r="A54" s="84" t="s">
        <v>56</v>
      </c>
      <c r="B54" s="99" t="s">
        <v>1659</v>
      </c>
      <c r="C54" s="99" t="s">
        <v>1660</v>
      </c>
      <c r="D54" s="427">
        <v>1</v>
      </c>
      <c r="E54" s="218"/>
      <c r="F54" s="218"/>
      <c r="G54" s="218"/>
      <c r="H54" s="218"/>
      <c r="I54" s="218"/>
      <c r="J54" s="218"/>
      <c r="K54" s="218"/>
      <c r="L54" s="218">
        <v>98.06</v>
      </c>
      <c r="M54" s="218">
        <v>98.06</v>
      </c>
      <c r="N54" s="218">
        <v>98.06</v>
      </c>
      <c r="O54" s="218"/>
      <c r="P54" s="218"/>
      <c r="Q54" s="145">
        <f t="shared" si="3"/>
        <v>98.06</v>
      </c>
      <c r="R54" s="151" t="str">
        <f t="shared" si="4"/>
        <v>NO</v>
      </c>
      <c r="S54" s="152" t="str">
        <f t="shared" si="5"/>
        <v>Inviable Sanitariamente</v>
      </c>
      <c r="T54" s="16"/>
    </row>
    <row r="55" spans="1:20" ht="32.1" customHeight="1" x14ac:dyDescent="0.2">
      <c r="A55" s="84" t="s">
        <v>56</v>
      </c>
      <c r="B55" s="99" t="s">
        <v>1661</v>
      </c>
      <c r="C55" s="99" t="s">
        <v>1662</v>
      </c>
      <c r="D55" s="428">
        <v>50</v>
      </c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>
        <v>41.96</v>
      </c>
      <c r="Q55" s="145">
        <f t="shared" si="3"/>
        <v>41.96</v>
      </c>
      <c r="R55" s="151" t="str">
        <f t="shared" si="4"/>
        <v>NO</v>
      </c>
      <c r="S55" s="152" t="str">
        <f t="shared" si="5"/>
        <v>Alto</v>
      </c>
      <c r="T55" s="16"/>
    </row>
    <row r="56" spans="1:20" ht="32.1" customHeight="1" x14ac:dyDescent="0.2">
      <c r="A56" s="84" t="s">
        <v>56</v>
      </c>
      <c r="B56" s="99" t="s">
        <v>1663</v>
      </c>
      <c r="C56" s="99" t="s">
        <v>1664</v>
      </c>
      <c r="D56" s="427">
        <v>75</v>
      </c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145" t="e">
        <f t="shared" si="3"/>
        <v>#DIV/0!</v>
      </c>
      <c r="R56" s="151" t="e">
        <f t="shared" si="4"/>
        <v>#DIV/0!</v>
      </c>
      <c r="S56" s="152" t="e">
        <f t="shared" si="5"/>
        <v>#DIV/0!</v>
      </c>
      <c r="T56" s="16"/>
    </row>
    <row r="57" spans="1:20" ht="32.1" customHeight="1" x14ac:dyDescent="0.2">
      <c r="A57" s="84" t="s">
        <v>56</v>
      </c>
      <c r="B57" s="99" t="s">
        <v>1665</v>
      </c>
      <c r="C57" s="99" t="s">
        <v>1666</v>
      </c>
      <c r="D57" s="428">
        <v>290</v>
      </c>
      <c r="E57" s="218">
        <v>26.55</v>
      </c>
      <c r="F57" s="218">
        <v>35.479999999999997</v>
      </c>
      <c r="G57" s="218">
        <v>0</v>
      </c>
      <c r="H57" s="218">
        <v>0</v>
      </c>
      <c r="I57" s="218">
        <v>3.87</v>
      </c>
      <c r="J57" s="218">
        <v>0</v>
      </c>
      <c r="K57" s="218">
        <v>0</v>
      </c>
      <c r="L57" s="218">
        <v>0</v>
      </c>
      <c r="M57" s="218">
        <v>9.67</v>
      </c>
      <c r="N57" s="218">
        <v>0</v>
      </c>
      <c r="O57" s="218">
        <v>0</v>
      </c>
      <c r="P57" s="218">
        <v>0</v>
      </c>
      <c r="Q57" s="145">
        <f t="shared" si="3"/>
        <v>6.2975000000000003</v>
      </c>
      <c r="R57" s="151" t="str">
        <f t="shared" si="4"/>
        <v>NO</v>
      </c>
      <c r="S57" s="152" t="str">
        <f t="shared" si="5"/>
        <v>Bajo</v>
      </c>
      <c r="T57" s="16"/>
    </row>
    <row r="58" spans="1:20" ht="32.1" customHeight="1" x14ac:dyDescent="0.2">
      <c r="A58" s="84" t="s">
        <v>56</v>
      </c>
      <c r="B58" s="99" t="s">
        <v>1667</v>
      </c>
      <c r="C58" s="99" t="s">
        <v>1668</v>
      </c>
      <c r="D58" s="427">
        <v>100</v>
      </c>
      <c r="E58" s="218"/>
      <c r="F58" s="218"/>
      <c r="G58" s="218"/>
      <c r="H58" s="218"/>
      <c r="I58" s="218"/>
      <c r="J58" s="218"/>
      <c r="K58" s="218"/>
      <c r="L58" s="218"/>
      <c r="M58" s="218">
        <v>97.3</v>
      </c>
      <c r="N58" s="218"/>
      <c r="O58" s="218"/>
      <c r="P58" s="218"/>
      <c r="Q58" s="145">
        <f t="shared" si="3"/>
        <v>97.3</v>
      </c>
      <c r="R58" s="151" t="str">
        <f t="shared" si="4"/>
        <v>NO</v>
      </c>
      <c r="S58" s="152" t="str">
        <f t="shared" si="5"/>
        <v>Inviable Sanitariamente</v>
      </c>
      <c r="T58" s="16"/>
    </row>
    <row r="59" spans="1:20" ht="32.1" customHeight="1" x14ac:dyDescent="0.2">
      <c r="A59" s="84" t="s">
        <v>4129</v>
      </c>
      <c r="B59" s="99" t="s">
        <v>1669</v>
      </c>
      <c r="C59" s="99" t="s">
        <v>1670</v>
      </c>
      <c r="D59" s="116">
        <v>78</v>
      </c>
      <c r="E59" s="218"/>
      <c r="F59" s="218"/>
      <c r="G59" s="218"/>
      <c r="H59" s="218">
        <v>60</v>
      </c>
      <c r="I59" s="218"/>
      <c r="J59" s="218"/>
      <c r="K59" s="218"/>
      <c r="L59" s="218"/>
      <c r="M59" s="218"/>
      <c r="N59" s="218"/>
      <c r="O59" s="218"/>
      <c r="P59" s="218"/>
      <c r="Q59" s="145">
        <f t="shared" si="3"/>
        <v>60</v>
      </c>
      <c r="R59" s="151" t="str">
        <f t="shared" si="4"/>
        <v>NO</v>
      </c>
      <c r="S59" s="152" t="str">
        <f t="shared" si="5"/>
        <v>Alto</v>
      </c>
      <c r="T59" s="16"/>
    </row>
    <row r="60" spans="1:20" ht="32.1" customHeight="1" x14ac:dyDescent="0.2">
      <c r="A60" s="84" t="s">
        <v>4129</v>
      </c>
      <c r="B60" s="99" t="s">
        <v>1671</v>
      </c>
      <c r="C60" s="99" t="s">
        <v>1672</v>
      </c>
      <c r="D60" s="116">
        <v>407</v>
      </c>
      <c r="E60" s="218"/>
      <c r="F60" s="218"/>
      <c r="G60" s="218"/>
      <c r="H60" s="218"/>
      <c r="I60" s="218"/>
      <c r="J60" s="218"/>
      <c r="K60" s="218"/>
      <c r="L60" s="218"/>
      <c r="M60" s="218">
        <v>24</v>
      </c>
      <c r="N60" s="218"/>
      <c r="O60" s="218"/>
      <c r="P60" s="218"/>
      <c r="Q60" s="145">
        <f t="shared" si="3"/>
        <v>24</v>
      </c>
      <c r="R60" s="151" t="str">
        <f t="shared" si="4"/>
        <v>NO</v>
      </c>
      <c r="S60" s="152" t="str">
        <f t="shared" si="5"/>
        <v>Medio</v>
      </c>
      <c r="T60" s="16"/>
    </row>
    <row r="61" spans="1:20" ht="32.1" customHeight="1" x14ac:dyDescent="0.2">
      <c r="A61" s="84" t="s">
        <v>4129</v>
      </c>
      <c r="B61" s="99" t="s">
        <v>1673</v>
      </c>
      <c r="C61" s="99" t="s">
        <v>1674</v>
      </c>
      <c r="D61" s="116">
        <v>42</v>
      </c>
      <c r="E61" s="218"/>
      <c r="F61" s="218"/>
      <c r="G61" s="218"/>
      <c r="H61" s="218"/>
      <c r="I61" s="218">
        <v>90</v>
      </c>
      <c r="J61" s="218"/>
      <c r="K61" s="218"/>
      <c r="L61" s="218"/>
      <c r="M61" s="218"/>
      <c r="N61" s="218"/>
      <c r="O61" s="218"/>
      <c r="P61" s="218"/>
      <c r="Q61" s="145">
        <f t="shared" si="3"/>
        <v>90</v>
      </c>
      <c r="R61" s="151" t="str">
        <f t="shared" si="4"/>
        <v>NO</v>
      </c>
      <c r="S61" s="152" t="str">
        <f t="shared" si="5"/>
        <v>Inviable Sanitariamente</v>
      </c>
      <c r="T61" s="16"/>
    </row>
    <row r="62" spans="1:20" ht="32.1" customHeight="1" x14ac:dyDescent="0.2">
      <c r="A62" s="84" t="s">
        <v>4129</v>
      </c>
      <c r="B62" s="99" t="s">
        <v>1675</v>
      </c>
      <c r="C62" s="99" t="s">
        <v>1676</v>
      </c>
      <c r="D62" s="116">
        <v>19</v>
      </c>
      <c r="E62" s="218"/>
      <c r="F62" s="218"/>
      <c r="G62" s="218"/>
      <c r="H62" s="218"/>
      <c r="I62" s="218"/>
      <c r="J62" s="218"/>
      <c r="K62" s="218"/>
      <c r="L62" s="218"/>
      <c r="M62" s="218">
        <v>88</v>
      </c>
      <c r="N62" s="218"/>
      <c r="O62" s="218"/>
      <c r="P62" s="218"/>
      <c r="Q62" s="145">
        <f t="shared" si="3"/>
        <v>88</v>
      </c>
      <c r="R62" s="151" t="str">
        <f t="shared" si="4"/>
        <v>NO</v>
      </c>
      <c r="S62" s="152" t="str">
        <f t="shared" si="5"/>
        <v>Inviable Sanitariamente</v>
      </c>
      <c r="T62" s="16"/>
    </row>
    <row r="63" spans="1:20" ht="32.1" customHeight="1" x14ac:dyDescent="0.2">
      <c r="A63" s="84" t="s">
        <v>4129</v>
      </c>
      <c r="B63" s="99" t="s">
        <v>1677</v>
      </c>
      <c r="C63" s="99" t="s">
        <v>1678</v>
      </c>
      <c r="D63" s="116">
        <v>17</v>
      </c>
      <c r="E63" s="218"/>
      <c r="F63" s="218"/>
      <c r="G63" s="218"/>
      <c r="H63" s="218"/>
      <c r="I63" s="218"/>
      <c r="J63" s="218"/>
      <c r="K63" s="218">
        <v>88</v>
      </c>
      <c r="L63" s="218"/>
      <c r="M63" s="218"/>
      <c r="N63" s="218"/>
      <c r="O63" s="218"/>
      <c r="P63" s="218"/>
      <c r="Q63" s="145">
        <f t="shared" si="3"/>
        <v>88</v>
      </c>
      <c r="R63" s="151" t="str">
        <f t="shared" si="4"/>
        <v>NO</v>
      </c>
      <c r="S63" s="152" t="str">
        <f t="shared" si="5"/>
        <v>Inviable Sanitariamente</v>
      </c>
      <c r="T63" s="16"/>
    </row>
    <row r="64" spans="1:20" ht="32.1" customHeight="1" x14ac:dyDescent="0.2">
      <c r="A64" s="84" t="s">
        <v>4129</v>
      </c>
      <c r="B64" s="99" t="s">
        <v>66</v>
      </c>
      <c r="C64" s="99" t="s">
        <v>1679</v>
      </c>
      <c r="D64" s="116">
        <v>15</v>
      </c>
      <c r="E64" s="218"/>
      <c r="F64" s="218"/>
      <c r="G64" s="218"/>
      <c r="H64" s="218"/>
      <c r="I64" s="218"/>
      <c r="J64" s="218"/>
      <c r="K64" s="218"/>
      <c r="L64" s="218">
        <v>100</v>
      </c>
      <c r="M64" s="218"/>
      <c r="N64" s="218"/>
      <c r="O64" s="218"/>
      <c r="P64" s="218"/>
      <c r="Q64" s="145">
        <f t="shared" si="3"/>
        <v>100</v>
      </c>
      <c r="R64" s="151" t="str">
        <f t="shared" si="4"/>
        <v>NO</v>
      </c>
      <c r="S64" s="152" t="str">
        <f t="shared" si="5"/>
        <v>Inviable Sanitariamente</v>
      </c>
      <c r="T64" s="16"/>
    </row>
    <row r="65" spans="1:70" ht="32.1" customHeight="1" x14ac:dyDescent="0.2">
      <c r="A65" s="84" t="s">
        <v>4129</v>
      </c>
      <c r="B65" s="99" t="s">
        <v>1680</v>
      </c>
      <c r="C65" s="99" t="s">
        <v>1681</v>
      </c>
      <c r="D65" s="116">
        <v>49</v>
      </c>
      <c r="E65" s="218"/>
      <c r="F65" s="218"/>
      <c r="G65" s="218"/>
      <c r="H65" s="218"/>
      <c r="I65" s="218"/>
      <c r="J65" s="218"/>
      <c r="K65" s="218">
        <v>33.6</v>
      </c>
      <c r="L65" s="218"/>
      <c r="M65" s="218"/>
      <c r="N65" s="218"/>
      <c r="O65" s="218"/>
      <c r="P65" s="218"/>
      <c r="Q65" s="145">
        <f t="shared" si="3"/>
        <v>33.6</v>
      </c>
      <c r="R65" s="151" t="str">
        <f t="shared" si="4"/>
        <v>NO</v>
      </c>
      <c r="S65" s="152" t="str">
        <f t="shared" si="5"/>
        <v>Medio</v>
      </c>
      <c r="T65" s="16"/>
    </row>
    <row r="66" spans="1:70" ht="32.1" customHeight="1" x14ac:dyDescent="0.2">
      <c r="A66" s="84" t="s">
        <v>4129</v>
      </c>
      <c r="B66" s="99" t="s">
        <v>1682</v>
      </c>
      <c r="C66" s="99" t="s">
        <v>1683</v>
      </c>
      <c r="D66" s="116">
        <v>43</v>
      </c>
      <c r="E66" s="218"/>
      <c r="F66" s="218"/>
      <c r="G66" s="218"/>
      <c r="H66" s="218"/>
      <c r="I66" s="218">
        <v>88</v>
      </c>
      <c r="J66" s="218"/>
      <c r="K66" s="218"/>
      <c r="L66" s="218"/>
      <c r="M66" s="218"/>
      <c r="N66" s="218"/>
      <c r="O66" s="218"/>
      <c r="P66" s="218"/>
      <c r="Q66" s="145">
        <f t="shared" si="3"/>
        <v>88</v>
      </c>
      <c r="R66" s="151" t="str">
        <f t="shared" si="4"/>
        <v>NO</v>
      </c>
      <c r="S66" s="152" t="str">
        <f t="shared" si="5"/>
        <v>Inviable Sanitariamente</v>
      </c>
    </row>
    <row r="67" spans="1:70" ht="32.1" customHeight="1" x14ac:dyDescent="0.2">
      <c r="A67" s="84" t="s">
        <v>4129</v>
      </c>
      <c r="B67" s="99" t="s">
        <v>1684</v>
      </c>
      <c r="C67" s="99" t="s">
        <v>1685</v>
      </c>
      <c r="D67" s="116">
        <v>14</v>
      </c>
      <c r="E67" s="218"/>
      <c r="F67" s="218"/>
      <c r="G67" s="218"/>
      <c r="H67" s="218"/>
      <c r="I67" s="218"/>
      <c r="J67" s="218"/>
      <c r="K67" s="218">
        <v>60</v>
      </c>
      <c r="L67" s="218"/>
      <c r="M67" s="218"/>
      <c r="N67" s="218"/>
      <c r="O67" s="218"/>
      <c r="P67" s="218"/>
      <c r="Q67" s="145">
        <f t="shared" si="3"/>
        <v>60</v>
      </c>
      <c r="R67" s="151" t="str">
        <f t="shared" si="4"/>
        <v>NO</v>
      </c>
      <c r="S67" s="152" t="str">
        <f t="shared" si="5"/>
        <v>Alto</v>
      </c>
    </row>
    <row r="68" spans="1:70" ht="32.1" customHeight="1" x14ac:dyDescent="0.2">
      <c r="A68" s="84" t="s">
        <v>4129</v>
      </c>
      <c r="B68" s="99" t="s">
        <v>1686</v>
      </c>
      <c r="C68" s="99" t="s">
        <v>1687</v>
      </c>
      <c r="D68" s="116">
        <v>42</v>
      </c>
      <c r="E68" s="218"/>
      <c r="F68" s="218"/>
      <c r="G68" s="218"/>
      <c r="H68" s="218"/>
      <c r="I68" s="218"/>
      <c r="J68" s="218"/>
      <c r="K68" s="218"/>
      <c r="L68" s="218"/>
      <c r="M68" s="218"/>
      <c r="N68" s="218">
        <v>100</v>
      </c>
      <c r="O68" s="218"/>
      <c r="P68" s="218"/>
      <c r="Q68" s="145">
        <f t="shared" si="3"/>
        <v>100</v>
      </c>
      <c r="R68" s="151" t="str">
        <f t="shared" si="4"/>
        <v>NO</v>
      </c>
      <c r="S68" s="152" t="str">
        <f t="shared" si="5"/>
        <v>Inviable Sanitariamente</v>
      </c>
    </row>
    <row r="69" spans="1:70" ht="32.1" customHeight="1" x14ac:dyDescent="0.2">
      <c r="A69" s="84" t="s">
        <v>4129</v>
      </c>
      <c r="B69" s="99" t="s">
        <v>1688</v>
      </c>
      <c r="C69" s="99" t="s">
        <v>1689</v>
      </c>
      <c r="D69" s="116">
        <v>24</v>
      </c>
      <c r="E69" s="218"/>
      <c r="F69" s="218"/>
      <c r="G69" s="218"/>
      <c r="H69" s="218">
        <v>88</v>
      </c>
      <c r="I69" s="218"/>
      <c r="J69" s="218"/>
      <c r="K69" s="218"/>
      <c r="L69" s="218"/>
      <c r="M69" s="218"/>
      <c r="N69" s="218"/>
      <c r="O69" s="218"/>
      <c r="P69" s="218"/>
      <c r="Q69" s="145">
        <f t="shared" si="3"/>
        <v>88</v>
      </c>
      <c r="R69" s="151" t="str">
        <f t="shared" si="4"/>
        <v>NO</v>
      </c>
      <c r="S69" s="152" t="str">
        <f t="shared" si="5"/>
        <v>Inviable Sanitariamente</v>
      </c>
    </row>
    <row r="70" spans="1:70" ht="32.1" customHeight="1" x14ac:dyDescent="0.2">
      <c r="A70" s="84" t="s">
        <v>4129</v>
      </c>
      <c r="B70" s="99" t="s">
        <v>1690</v>
      </c>
      <c r="C70" s="99" t="s">
        <v>1691</v>
      </c>
      <c r="D70" s="116">
        <v>22</v>
      </c>
      <c r="E70" s="218"/>
      <c r="F70" s="218"/>
      <c r="G70" s="218"/>
      <c r="H70" s="218">
        <v>84</v>
      </c>
      <c r="I70" s="218"/>
      <c r="J70" s="218"/>
      <c r="K70" s="218"/>
      <c r="L70" s="218"/>
      <c r="M70" s="218"/>
      <c r="N70" s="218"/>
      <c r="O70" s="218"/>
      <c r="P70" s="218"/>
      <c r="Q70" s="145">
        <f t="shared" si="3"/>
        <v>84</v>
      </c>
      <c r="R70" s="151" t="str">
        <f t="shared" si="4"/>
        <v>NO</v>
      </c>
      <c r="S70" s="152" t="str">
        <f t="shared" si="5"/>
        <v>Inviable Sanitariamente</v>
      </c>
    </row>
    <row r="71" spans="1:70" ht="32.1" customHeight="1" x14ac:dyDescent="0.2">
      <c r="A71" s="84" t="s">
        <v>4129</v>
      </c>
      <c r="B71" s="99" t="s">
        <v>1692</v>
      </c>
      <c r="C71" s="99" t="s">
        <v>1693</v>
      </c>
      <c r="D71" s="116">
        <v>18</v>
      </c>
      <c r="E71" s="218"/>
      <c r="F71" s="218"/>
      <c r="G71" s="218"/>
      <c r="H71" s="218"/>
      <c r="I71" s="218"/>
      <c r="J71" s="218"/>
      <c r="K71" s="218">
        <v>48</v>
      </c>
      <c r="L71" s="218"/>
      <c r="M71" s="218"/>
      <c r="N71" s="218"/>
      <c r="O71" s="218"/>
      <c r="P71" s="218"/>
      <c r="Q71" s="145">
        <f t="shared" si="3"/>
        <v>48</v>
      </c>
      <c r="R71" s="151" t="str">
        <f t="shared" si="4"/>
        <v>NO</v>
      </c>
      <c r="S71" s="152" t="str">
        <f t="shared" si="5"/>
        <v>Alto</v>
      </c>
    </row>
    <row r="72" spans="1:70" ht="32.1" customHeight="1" x14ac:dyDescent="0.2">
      <c r="A72" s="84" t="s">
        <v>4129</v>
      </c>
      <c r="B72" s="99" t="s">
        <v>1694</v>
      </c>
      <c r="C72" s="99" t="s">
        <v>1695</v>
      </c>
      <c r="D72" s="116">
        <v>15</v>
      </c>
      <c r="E72" s="218"/>
      <c r="F72" s="218"/>
      <c r="G72" s="218"/>
      <c r="H72" s="218"/>
      <c r="I72" s="218"/>
      <c r="J72" s="218"/>
      <c r="K72" s="218"/>
      <c r="L72" s="218">
        <v>88</v>
      </c>
      <c r="M72" s="218"/>
      <c r="N72" s="218"/>
      <c r="O72" s="218"/>
      <c r="P72" s="218"/>
      <c r="Q72" s="145">
        <f t="shared" si="3"/>
        <v>88</v>
      </c>
      <c r="R72" s="151" t="str">
        <f t="shared" si="4"/>
        <v>NO</v>
      </c>
      <c r="S72" s="152" t="str">
        <f t="shared" si="5"/>
        <v>Inviable Sanitariamente</v>
      </c>
    </row>
    <row r="73" spans="1:70" ht="32.1" customHeight="1" x14ac:dyDescent="0.2">
      <c r="A73" s="84" t="s">
        <v>4129</v>
      </c>
      <c r="B73" s="99" t="s">
        <v>1696</v>
      </c>
      <c r="C73" s="99" t="s">
        <v>1697</v>
      </c>
      <c r="D73" s="116">
        <v>15</v>
      </c>
      <c r="E73" s="218"/>
      <c r="F73" s="218"/>
      <c r="G73" s="218"/>
      <c r="H73" s="218"/>
      <c r="I73" s="218"/>
      <c r="J73" s="218"/>
      <c r="K73" s="218"/>
      <c r="L73" s="218"/>
      <c r="M73" s="218">
        <v>9.6</v>
      </c>
      <c r="N73" s="218"/>
      <c r="O73" s="218"/>
      <c r="P73" s="218"/>
      <c r="Q73" s="145">
        <f t="shared" si="3"/>
        <v>9.6</v>
      </c>
      <c r="R73" s="151" t="str">
        <f t="shared" si="4"/>
        <v>NO</v>
      </c>
      <c r="S73" s="152" t="str">
        <f t="shared" si="5"/>
        <v>Bajo</v>
      </c>
    </row>
    <row r="74" spans="1:70" s="85" customFormat="1" ht="32.1" customHeight="1" x14ac:dyDescent="0.2">
      <c r="A74" s="84" t="s">
        <v>4129</v>
      </c>
      <c r="B74" s="99" t="s">
        <v>508</v>
      </c>
      <c r="C74" s="99" t="s">
        <v>1698</v>
      </c>
      <c r="D74" s="116">
        <v>25</v>
      </c>
      <c r="E74" s="218"/>
      <c r="F74" s="218"/>
      <c r="G74" s="218"/>
      <c r="H74" s="218"/>
      <c r="I74" s="218"/>
      <c r="J74" s="218"/>
      <c r="K74" s="218"/>
      <c r="L74" s="218"/>
      <c r="M74" s="218">
        <v>9.6</v>
      </c>
      <c r="N74" s="218"/>
      <c r="O74" s="218"/>
      <c r="P74" s="218"/>
      <c r="Q74" s="211">
        <f t="shared" si="3"/>
        <v>9.6</v>
      </c>
      <c r="R74" s="164" t="str">
        <f t="shared" si="4"/>
        <v>NO</v>
      </c>
      <c r="S74" s="152" t="str">
        <f t="shared" si="5"/>
        <v>Bajo</v>
      </c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</row>
    <row r="75" spans="1:70" s="85" customFormat="1" ht="32.1" customHeight="1" x14ac:dyDescent="0.2">
      <c r="A75" s="84" t="s">
        <v>4129</v>
      </c>
      <c r="B75" s="99" t="s">
        <v>1699</v>
      </c>
      <c r="C75" s="99" t="s">
        <v>1700</v>
      </c>
      <c r="D75" s="116">
        <v>25</v>
      </c>
      <c r="E75" s="218"/>
      <c r="F75" s="218"/>
      <c r="G75" s="218"/>
      <c r="H75" s="218"/>
      <c r="I75" s="218"/>
      <c r="J75" s="218"/>
      <c r="K75" s="218">
        <v>12</v>
      </c>
      <c r="L75" s="218"/>
      <c r="M75" s="218"/>
      <c r="N75" s="218"/>
      <c r="O75" s="218"/>
      <c r="P75" s="218"/>
      <c r="Q75" s="211">
        <f t="shared" ref="Q75:Q79" si="7">AVERAGE(E75:P75)</f>
        <v>12</v>
      </c>
      <c r="R75" s="164" t="str">
        <f t="shared" ref="R75:R79" si="8">IF(Q75&lt;5,"SI","NO")</f>
        <v>NO</v>
      </c>
      <c r="S75" s="152" t="str">
        <f t="shared" si="5"/>
        <v>Bajo</v>
      </c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</row>
    <row r="76" spans="1:70" s="85" customFormat="1" ht="32.1" customHeight="1" x14ac:dyDescent="0.2">
      <c r="A76" s="84" t="s">
        <v>4129</v>
      </c>
      <c r="B76" s="99" t="s">
        <v>1701</v>
      </c>
      <c r="C76" s="99" t="s">
        <v>1702</v>
      </c>
      <c r="D76" s="116">
        <v>27</v>
      </c>
      <c r="E76" s="218"/>
      <c r="F76" s="218"/>
      <c r="G76" s="218"/>
      <c r="H76" s="218"/>
      <c r="I76" s="218"/>
      <c r="J76" s="218"/>
      <c r="K76" s="218"/>
      <c r="L76" s="218">
        <v>88</v>
      </c>
      <c r="M76" s="218"/>
      <c r="N76" s="218"/>
      <c r="O76" s="218"/>
      <c r="P76" s="218"/>
      <c r="Q76" s="163">
        <f t="shared" si="7"/>
        <v>88</v>
      </c>
      <c r="R76" s="164" t="str">
        <f t="shared" si="8"/>
        <v>NO</v>
      </c>
      <c r="S76" s="152" t="str">
        <f t="shared" si="5"/>
        <v>Inviable Sanitariamente</v>
      </c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</row>
    <row r="77" spans="1:70" s="85" customFormat="1" ht="32.1" customHeight="1" x14ac:dyDescent="0.2">
      <c r="A77" s="84" t="s">
        <v>4129</v>
      </c>
      <c r="B77" s="99" t="s">
        <v>1703</v>
      </c>
      <c r="C77" s="99" t="s">
        <v>1704</v>
      </c>
      <c r="D77" s="116">
        <v>42</v>
      </c>
      <c r="E77" s="218"/>
      <c r="F77" s="218"/>
      <c r="G77" s="218"/>
      <c r="H77" s="218"/>
      <c r="I77" s="218"/>
      <c r="J77" s="218">
        <v>88</v>
      </c>
      <c r="K77" s="218"/>
      <c r="L77" s="218"/>
      <c r="M77" s="218"/>
      <c r="N77" s="218"/>
      <c r="O77" s="218"/>
      <c r="P77" s="218"/>
      <c r="Q77" s="163">
        <f t="shared" si="7"/>
        <v>88</v>
      </c>
      <c r="R77" s="164" t="str">
        <f t="shared" si="8"/>
        <v>NO</v>
      </c>
      <c r="S77" s="152" t="str">
        <f t="shared" si="5"/>
        <v>Inviable Sanitariamente</v>
      </c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</row>
    <row r="78" spans="1:70" s="85" customFormat="1" ht="32.1" customHeight="1" x14ac:dyDescent="0.2">
      <c r="A78" s="84" t="s">
        <v>4129</v>
      </c>
      <c r="B78" s="99" t="s">
        <v>1705</v>
      </c>
      <c r="C78" s="99" t="s">
        <v>1706</v>
      </c>
      <c r="D78" s="116">
        <v>21</v>
      </c>
      <c r="E78" s="218"/>
      <c r="F78" s="218"/>
      <c r="G78" s="218"/>
      <c r="H78" s="218"/>
      <c r="I78" s="218">
        <v>90</v>
      </c>
      <c r="J78" s="218"/>
      <c r="K78" s="218"/>
      <c r="L78" s="218"/>
      <c r="M78" s="218"/>
      <c r="N78" s="218"/>
      <c r="O78" s="218"/>
      <c r="P78" s="218"/>
      <c r="Q78" s="163">
        <f t="shared" si="7"/>
        <v>90</v>
      </c>
      <c r="R78" s="164" t="str">
        <f t="shared" si="8"/>
        <v>NO</v>
      </c>
      <c r="S78" s="152" t="str">
        <f t="shared" si="5"/>
        <v>Inviable Sanitariamente</v>
      </c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</row>
    <row r="79" spans="1:70" s="85" customFormat="1" ht="32.1" customHeight="1" x14ac:dyDescent="0.2">
      <c r="A79" s="84" t="s">
        <v>4129</v>
      </c>
      <c r="B79" s="99" t="s">
        <v>1707</v>
      </c>
      <c r="C79" s="99" t="s">
        <v>1708</v>
      </c>
      <c r="D79" s="116">
        <v>586</v>
      </c>
      <c r="E79" s="218">
        <v>0</v>
      </c>
      <c r="F79" s="218">
        <v>19.350000000000001</v>
      </c>
      <c r="G79" s="218">
        <v>19.350000000000001</v>
      </c>
      <c r="H79" s="218">
        <v>0</v>
      </c>
      <c r="I79" s="218">
        <v>19.350000000000001</v>
      </c>
      <c r="J79" s="218">
        <v>24.85</v>
      </c>
      <c r="K79" s="218">
        <v>0</v>
      </c>
      <c r="L79" s="218">
        <v>0</v>
      </c>
      <c r="M79" s="218">
        <v>19.350000000000001</v>
      </c>
      <c r="N79" s="218">
        <v>27.1</v>
      </c>
      <c r="O79" s="218"/>
      <c r="P79" s="218"/>
      <c r="Q79" s="211">
        <f t="shared" si="7"/>
        <v>12.934999999999999</v>
      </c>
      <c r="R79" s="164" t="str">
        <f t="shared" si="8"/>
        <v>NO</v>
      </c>
      <c r="S79" s="152" t="str">
        <f t="shared" si="5"/>
        <v>Bajo</v>
      </c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</row>
    <row r="80" spans="1:70" s="85" customFormat="1" ht="32.1" customHeight="1" x14ac:dyDescent="0.2">
      <c r="A80" s="91"/>
      <c r="B80" s="106"/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212"/>
      <c r="R80" s="213"/>
      <c r="S80" s="214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</row>
    <row r="81" spans="1:70" s="85" customFormat="1" ht="32.1" customHeight="1" x14ac:dyDescent="0.2">
      <c r="A81" s="512" t="s">
        <v>4430</v>
      </c>
      <c r="B81" s="512" t="s">
        <v>4478</v>
      </c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212"/>
      <c r="R81" s="213"/>
      <c r="S81" s="214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</row>
    <row r="82" spans="1:70" s="85" customFormat="1" ht="32.1" customHeight="1" x14ac:dyDescent="0.2">
      <c r="A82" s="516" t="s">
        <v>4358</v>
      </c>
      <c r="B82" s="517">
        <f>COUNTIF(E11:P79,"&lt;=5")</f>
        <v>60</v>
      </c>
      <c r="C82" s="106"/>
      <c r="D82" s="10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212"/>
      <c r="R82" s="213"/>
      <c r="S82" s="214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</row>
    <row r="83" spans="1:70" s="85" customFormat="1" ht="32.1" customHeight="1" x14ac:dyDescent="0.2">
      <c r="A83" s="502" t="s">
        <v>4359</v>
      </c>
      <c r="B83" s="514">
        <f>COUNTIFS(E11:P79,"&gt;5",E11:P79,"&lt;=14")</f>
        <v>18</v>
      </c>
      <c r="C83" s="106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212"/>
      <c r="R83" s="213"/>
      <c r="S83" s="214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</row>
    <row r="84" spans="1:70" s="85" customFormat="1" ht="32.1" customHeight="1" x14ac:dyDescent="0.2">
      <c r="A84" s="503" t="s">
        <v>4360</v>
      </c>
      <c r="B84" s="513">
        <f>COUNTIFS(E11:P79,"&gt;14",E11:P79,"&lt;=35")</f>
        <v>11</v>
      </c>
      <c r="C84" s="106"/>
      <c r="D84" s="10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212"/>
      <c r="R84" s="213"/>
      <c r="S84" s="214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</row>
    <row r="85" spans="1:70" s="85" customFormat="1" ht="32.1" customHeight="1" x14ac:dyDescent="0.2">
      <c r="A85" s="504" t="s">
        <v>4361</v>
      </c>
      <c r="B85" s="513">
        <f>COUNTIFS(E11:P79,"&gt;35",E11:P79,"&lt;=80")</f>
        <v>22</v>
      </c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215"/>
      <c r="R85" s="216"/>
      <c r="S85" s="21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</row>
    <row r="86" spans="1:70" ht="36.75" customHeight="1" x14ac:dyDescent="0.2">
      <c r="A86" s="505" t="s">
        <v>4362</v>
      </c>
      <c r="B86" s="513">
        <f>COUNTIFS(E11:P79,"&gt;80",E11:P79,"&lt;=100")</f>
        <v>18</v>
      </c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</row>
    <row r="87" spans="1:70" ht="30.75" customHeight="1" x14ac:dyDescent="0.2">
      <c r="A87" s="533" t="s">
        <v>4363</v>
      </c>
      <c r="B87" s="534">
        <f>COUNT(E11:P79)</f>
        <v>129</v>
      </c>
    </row>
    <row r="88" spans="1:70" ht="36.75" customHeight="1" x14ac:dyDescent="0.2">
      <c r="A88" s="508" t="s">
        <v>4366</v>
      </c>
      <c r="B88" s="510">
        <f>B87-B82</f>
        <v>69</v>
      </c>
    </row>
  </sheetData>
  <autoFilter ref="A10:BR79">
    <sortState ref="A12:BR79">
      <sortCondition ref="A10:A79"/>
    </sortState>
  </autoFilter>
  <customSheetViews>
    <customSheetView guid="{45C8AF51-29EC-46A5-AB7F-1F0634E55D82}" scale="60" showPageBreaks="1">
      <pane xSplit="2.2000000000000002" ySplit="7" topLeftCell="D51" activePane="bottomRight" state="frozenSplit"/>
      <selection pane="bottomRight" activeCell="A79" sqref="A59:A79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showPageBreaks="1">
      <pane xSplit="3" ySplit="7" topLeftCell="G8" activePane="bottomRight" state="frozenSplit"/>
      <selection pane="bottomRight" activeCell="A43" sqref="A43:S44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AEDE1BDB-8710-4CDA-8488-31F49D423ACE}" scale="60" showPageBreaks="1">
      <pane xSplit="3" ySplit="7" topLeftCell="S68" activePane="bottomRight" state="frozenSplit"/>
      <selection pane="bottomRight" activeCell="S92" sqref="S9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75DD7674-E7DE-4BB1-A36D-76AA33452CB3}" scale="60" showPageBreaks="1" showAutoFilter="1">
      <pane xSplit="3" ySplit="7" topLeftCell="D8" activePane="bottomRight" state="frozenSplit"/>
      <selection pane="bottomRight" activeCell="M74" sqref="M74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BR79">
        <sortState ref="A12:BR79">
          <sortCondition ref="A10:A79"/>
        </sortState>
      </autoFilter>
    </customSheetView>
  </customSheetViews>
  <mergeCells count="21">
    <mergeCell ref="A9:A10"/>
    <mergeCell ref="D9:D10"/>
    <mergeCell ref="E9:P9"/>
    <mergeCell ref="B9:B10"/>
    <mergeCell ref="S9:S10"/>
    <mergeCell ref="C9:C10"/>
    <mergeCell ref="R9:R10"/>
    <mergeCell ref="Q9:Q10"/>
    <mergeCell ref="Q5:R6"/>
    <mergeCell ref="S5:S6"/>
    <mergeCell ref="B1:D1"/>
    <mergeCell ref="B2:D2"/>
    <mergeCell ref="B4:D4"/>
    <mergeCell ref="B5:B6"/>
    <mergeCell ref="C5:C6"/>
    <mergeCell ref="D5:D6"/>
    <mergeCell ref="A7:B7"/>
    <mergeCell ref="E5:G6"/>
    <mergeCell ref="H5:J6"/>
    <mergeCell ref="K5:M6"/>
    <mergeCell ref="N5:P6"/>
  </mergeCells>
  <phoneticPr fontId="2" type="noConversion"/>
  <conditionalFormatting sqref="Q12:Q43 E11:P43 E45:P79 Q45:Q73">
    <cfRule type="containsBlanks" dxfId="3359" priority="890" stopIfTrue="1">
      <formula>LEN(TRIM(E11))=0</formula>
    </cfRule>
    <cfRule type="cellIs" dxfId="3358" priority="891" stopIfTrue="1" operator="between">
      <formula>80.1</formula>
      <formula>100</formula>
    </cfRule>
    <cfRule type="cellIs" dxfId="3357" priority="892" stopIfTrue="1" operator="between">
      <formula>35.1</formula>
      <formula>80</formula>
    </cfRule>
    <cfRule type="cellIs" dxfId="3356" priority="893" stopIfTrue="1" operator="between">
      <formula>14.1</formula>
      <formula>35</formula>
    </cfRule>
    <cfRule type="cellIs" dxfId="3355" priority="894" stopIfTrue="1" operator="between">
      <formula>5.1</formula>
      <formula>14</formula>
    </cfRule>
    <cfRule type="cellIs" dxfId="3354" priority="895" stopIfTrue="1" operator="between">
      <formula>0</formula>
      <formula>5</formula>
    </cfRule>
    <cfRule type="containsBlanks" dxfId="3353" priority="896" stopIfTrue="1">
      <formula>LEN(TRIM(E11))=0</formula>
    </cfRule>
  </conditionalFormatting>
  <conditionalFormatting sqref="J41">
    <cfRule type="containsBlanks" dxfId="3352" priority="681" stopIfTrue="1">
      <formula>LEN(TRIM(J41))=0</formula>
    </cfRule>
    <cfRule type="cellIs" dxfId="3351" priority="682" stopIfTrue="1" operator="between">
      <formula>79.1</formula>
      <formula>100</formula>
    </cfRule>
    <cfRule type="cellIs" dxfId="3350" priority="683" stopIfTrue="1" operator="between">
      <formula>34.1</formula>
      <formula>79</formula>
    </cfRule>
    <cfRule type="cellIs" dxfId="3349" priority="684" stopIfTrue="1" operator="between">
      <formula>13.1</formula>
      <formula>34</formula>
    </cfRule>
    <cfRule type="cellIs" dxfId="3348" priority="685" stopIfTrue="1" operator="between">
      <formula>5.1</formula>
      <formula>13</formula>
    </cfRule>
    <cfRule type="cellIs" dxfId="3347" priority="686" stopIfTrue="1" operator="between">
      <formula>0</formula>
      <formula>5</formula>
    </cfRule>
    <cfRule type="containsBlanks" dxfId="3346" priority="687" stopIfTrue="1">
      <formula>LEN(TRIM(J41))=0</formula>
    </cfRule>
  </conditionalFormatting>
  <conditionalFormatting sqref="L54">
    <cfRule type="containsBlanks" dxfId="3345" priority="583" stopIfTrue="1">
      <formula>LEN(TRIM(L54))=0</formula>
    </cfRule>
    <cfRule type="cellIs" dxfId="3344" priority="584" stopIfTrue="1" operator="between">
      <formula>79.1</formula>
      <formula>100</formula>
    </cfRule>
    <cfRule type="cellIs" dxfId="3343" priority="585" stopIfTrue="1" operator="between">
      <formula>34.1</formula>
      <formula>79</formula>
    </cfRule>
    <cfRule type="cellIs" dxfId="3342" priority="586" stopIfTrue="1" operator="between">
      <formula>13.1</formula>
      <formula>34</formula>
    </cfRule>
    <cfRule type="cellIs" dxfId="3341" priority="587" stopIfTrue="1" operator="between">
      <formula>5.1</formula>
      <formula>13</formula>
    </cfRule>
    <cfRule type="cellIs" dxfId="3340" priority="588" stopIfTrue="1" operator="between">
      <formula>0</formula>
      <formula>5</formula>
    </cfRule>
    <cfRule type="containsBlanks" dxfId="3339" priority="589" stopIfTrue="1">
      <formula>LEN(TRIM(L54))=0</formula>
    </cfRule>
  </conditionalFormatting>
  <conditionalFormatting sqref="O55:P55">
    <cfRule type="containsBlanks" dxfId="3338" priority="520" stopIfTrue="1">
      <formula>LEN(TRIM(O55))=0</formula>
    </cfRule>
    <cfRule type="cellIs" dxfId="3337" priority="521" stopIfTrue="1" operator="between">
      <formula>79.1</formula>
      <formula>100</formula>
    </cfRule>
    <cfRule type="cellIs" dxfId="3336" priority="522" stopIfTrue="1" operator="between">
      <formula>34.1</formula>
      <formula>79</formula>
    </cfRule>
    <cfRule type="cellIs" dxfId="3335" priority="523" stopIfTrue="1" operator="between">
      <formula>13.1</formula>
      <formula>34</formula>
    </cfRule>
    <cfRule type="cellIs" dxfId="3334" priority="524" stopIfTrue="1" operator="between">
      <formula>5.1</formula>
      <formula>13</formula>
    </cfRule>
    <cfRule type="cellIs" dxfId="3333" priority="525" stopIfTrue="1" operator="between">
      <formula>0</formula>
      <formula>5</formula>
    </cfRule>
    <cfRule type="containsBlanks" dxfId="3332" priority="526" stopIfTrue="1">
      <formula>LEN(TRIM(O55))=0</formula>
    </cfRule>
  </conditionalFormatting>
  <conditionalFormatting sqref="N55">
    <cfRule type="containsBlanks" dxfId="3331" priority="485" stopIfTrue="1">
      <formula>LEN(TRIM(N55))=0</formula>
    </cfRule>
    <cfRule type="cellIs" dxfId="3330" priority="486" stopIfTrue="1" operator="between">
      <formula>79.1</formula>
      <formula>100</formula>
    </cfRule>
    <cfRule type="cellIs" dxfId="3329" priority="487" stopIfTrue="1" operator="between">
      <formula>34.1</formula>
      <formula>79</formula>
    </cfRule>
    <cfRule type="cellIs" dxfId="3328" priority="488" stopIfTrue="1" operator="between">
      <formula>13.1</formula>
      <formula>34</formula>
    </cfRule>
    <cfRule type="cellIs" dxfId="3327" priority="489" stopIfTrue="1" operator="between">
      <formula>5.1</formula>
      <formula>13</formula>
    </cfRule>
    <cfRule type="cellIs" dxfId="3326" priority="490" stopIfTrue="1" operator="between">
      <formula>0</formula>
      <formula>5</formula>
    </cfRule>
    <cfRule type="containsBlanks" dxfId="3325" priority="491" stopIfTrue="1">
      <formula>LEN(TRIM(N55))=0</formula>
    </cfRule>
  </conditionalFormatting>
  <conditionalFormatting sqref="E60:F60 K58:P58 K60:P60 L59:P59 E63:F64 P71 K69:P70 N66:P66 O67:P67 K62:P65 L61:P61 P68">
    <cfRule type="containsBlanks" dxfId="3324" priority="611" stopIfTrue="1">
      <formula>LEN(TRIM(E58))=0</formula>
    </cfRule>
    <cfRule type="cellIs" dxfId="3323" priority="612" stopIfTrue="1" operator="between">
      <formula>79.1</formula>
      <formula>100</formula>
    </cfRule>
    <cfRule type="cellIs" dxfId="3322" priority="613" stopIfTrue="1" operator="between">
      <formula>34.1</formula>
      <formula>79</formula>
    </cfRule>
    <cfRule type="cellIs" dxfId="3321" priority="614" stopIfTrue="1" operator="between">
      <formula>13.1</formula>
      <formula>34</formula>
    </cfRule>
    <cfRule type="cellIs" dxfId="3320" priority="615" stopIfTrue="1" operator="between">
      <formula>5.1</formula>
      <formula>13</formula>
    </cfRule>
    <cfRule type="cellIs" dxfId="3319" priority="616" stopIfTrue="1" operator="between">
      <formula>0</formula>
      <formula>5</formula>
    </cfRule>
    <cfRule type="containsBlanks" dxfId="3318" priority="617" stopIfTrue="1">
      <formula>LEN(TRIM(E58))=0</formula>
    </cfRule>
  </conditionalFormatting>
  <conditionalFormatting sqref="O54:P54">
    <cfRule type="containsBlanks" dxfId="3317" priority="604" stopIfTrue="1">
      <formula>LEN(TRIM(O54))=0</formula>
    </cfRule>
    <cfRule type="cellIs" dxfId="3316" priority="605" stopIfTrue="1" operator="between">
      <formula>79.1</formula>
      <formula>100</formula>
    </cfRule>
    <cfRule type="cellIs" dxfId="3315" priority="606" stopIfTrue="1" operator="between">
      <formula>34.1</formula>
      <formula>79</formula>
    </cfRule>
    <cfRule type="cellIs" dxfId="3314" priority="607" stopIfTrue="1" operator="between">
      <formula>13.1</formula>
      <formula>34</formula>
    </cfRule>
    <cfRule type="cellIs" dxfId="3313" priority="608" stopIfTrue="1" operator="between">
      <formula>5.1</formula>
      <formula>13</formula>
    </cfRule>
    <cfRule type="cellIs" dxfId="3312" priority="609" stopIfTrue="1" operator="between">
      <formula>0</formula>
      <formula>5</formula>
    </cfRule>
    <cfRule type="containsBlanks" dxfId="3311" priority="610" stopIfTrue="1">
      <formula>LEN(TRIM(O54))=0</formula>
    </cfRule>
  </conditionalFormatting>
  <conditionalFormatting sqref="M54">
    <cfRule type="containsBlanks" dxfId="3310" priority="576" stopIfTrue="1">
      <formula>LEN(TRIM(M54))=0</formula>
    </cfRule>
    <cfRule type="cellIs" dxfId="3309" priority="577" stopIfTrue="1" operator="between">
      <formula>79.1</formula>
      <formula>100</formula>
    </cfRule>
    <cfRule type="cellIs" dxfId="3308" priority="578" stopIfTrue="1" operator="between">
      <formula>34.1</formula>
      <formula>79</formula>
    </cfRule>
    <cfRule type="cellIs" dxfId="3307" priority="579" stopIfTrue="1" operator="between">
      <formula>13.1</formula>
      <formula>34</formula>
    </cfRule>
    <cfRule type="cellIs" dxfId="3306" priority="580" stopIfTrue="1" operator="between">
      <formula>5.1</formula>
      <formula>13</formula>
    </cfRule>
    <cfRule type="cellIs" dxfId="3305" priority="581" stopIfTrue="1" operator="between">
      <formula>0</formula>
      <formula>5</formula>
    </cfRule>
    <cfRule type="containsBlanks" dxfId="3304" priority="582" stopIfTrue="1">
      <formula>LEN(TRIM(M54))=0</formula>
    </cfRule>
  </conditionalFormatting>
  <conditionalFormatting sqref="N54">
    <cfRule type="containsBlanks" dxfId="3303" priority="569" stopIfTrue="1">
      <formula>LEN(TRIM(N54))=0</formula>
    </cfRule>
    <cfRule type="cellIs" dxfId="3302" priority="570" stopIfTrue="1" operator="between">
      <formula>79.1</formula>
      <formula>100</formula>
    </cfRule>
    <cfRule type="cellIs" dxfId="3301" priority="571" stopIfTrue="1" operator="between">
      <formula>34.1</formula>
      <formula>79</formula>
    </cfRule>
    <cfRule type="cellIs" dxfId="3300" priority="572" stopIfTrue="1" operator="between">
      <formula>13.1</formula>
      <formula>34</formula>
    </cfRule>
    <cfRule type="cellIs" dxfId="3299" priority="573" stopIfTrue="1" operator="between">
      <formula>5.1</formula>
      <formula>13</formula>
    </cfRule>
    <cfRule type="cellIs" dxfId="3298" priority="574" stopIfTrue="1" operator="between">
      <formula>0</formula>
      <formula>5</formula>
    </cfRule>
    <cfRule type="containsBlanks" dxfId="3297" priority="575" stopIfTrue="1">
      <formula>LEN(TRIM(N54))=0</formula>
    </cfRule>
  </conditionalFormatting>
  <conditionalFormatting sqref="O53:P53">
    <cfRule type="containsBlanks" dxfId="3296" priority="562" stopIfTrue="1">
      <formula>LEN(TRIM(O53))=0</formula>
    </cfRule>
    <cfRule type="cellIs" dxfId="3295" priority="563" stopIfTrue="1" operator="between">
      <formula>79.1</formula>
      <formula>100</formula>
    </cfRule>
    <cfRule type="cellIs" dxfId="3294" priority="564" stopIfTrue="1" operator="between">
      <formula>34.1</formula>
      <formula>79</formula>
    </cfRule>
    <cfRule type="cellIs" dxfId="3293" priority="565" stopIfTrue="1" operator="between">
      <formula>13.1</formula>
      <formula>34</formula>
    </cfRule>
    <cfRule type="cellIs" dxfId="3292" priority="566" stopIfTrue="1" operator="between">
      <formula>5.1</formula>
      <formula>13</formula>
    </cfRule>
    <cfRule type="cellIs" dxfId="3291" priority="567" stopIfTrue="1" operator="between">
      <formula>0</formula>
      <formula>5</formula>
    </cfRule>
    <cfRule type="containsBlanks" dxfId="3290" priority="568" stopIfTrue="1">
      <formula>LEN(TRIM(O53))=0</formula>
    </cfRule>
  </conditionalFormatting>
  <conditionalFormatting sqref="J53">
    <cfRule type="containsBlanks" dxfId="3289" priority="555" stopIfTrue="1">
      <formula>LEN(TRIM(J53))=0</formula>
    </cfRule>
    <cfRule type="cellIs" dxfId="3288" priority="556" stopIfTrue="1" operator="between">
      <formula>79.1</formula>
      <formula>100</formula>
    </cfRule>
    <cfRule type="cellIs" dxfId="3287" priority="557" stopIfTrue="1" operator="between">
      <formula>34.1</formula>
      <formula>79</formula>
    </cfRule>
    <cfRule type="cellIs" dxfId="3286" priority="558" stopIfTrue="1" operator="between">
      <formula>13.1</formula>
      <formula>34</formula>
    </cfRule>
    <cfRule type="cellIs" dxfId="3285" priority="559" stopIfTrue="1" operator="between">
      <formula>5.1</formula>
      <formula>13</formula>
    </cfRule>
    <cfRule type="cellIs" dxfId="3284" priority="560" stopIfTrue="1" operator="between">
      <formula>0</formula>
      <formula>5</formula>
    </cfRule>
    <cfRule type="containsBlanks" dxfId="3283" priority="561" stopIfTrue="1">
      <formula>LEN(TRIM(J53))=0</formula>
    </cfRule>
  </conditionalFormatting>
  <conditionalFormatting sqref="K53">
    <cfRule type="containsBlanks" dxfId="3282" priority="548" stopIfTrue="1">
      <formula>LEN(TRIM(K53))=0</formula>
    </cfRule>
    <cfRule type="cellIs" dxfId="3281" priority="549" stopIfTrue="1" operator="between">
      <formula>79.1</formula>
      <formula>100</formula>
    </cfRule>
    <cfRule type="cellIs" dxfId="3280" priority="550" stopIfTrue="1" operator="between">
      <formula>34.1</formula>
      <formula>79</formula>
    </cfRule>
    <cfRule type="cellIs" dxfId="3279" priority="551" stopIfTrue="1" operator="between">
      <formula>13.1</formula>
      <formula>34</formula>
    </cfRule>
    <cfRule type="cellIs" dxfId="3278" priority="552" stopIfTrue="1" operator="between">
      <formula>5.1</formula>
      <formula>13</formula>
    </cfRule>
    <cfRule type="cellIs" dxfId="3277" priority="553" stopIfTrue="1" operator="between">
      <formula>0</formula>
      <formula>5</formula>
    </cfRule>
    <cfRule type="containsBlanks" dxfId="3276" priority="554" stopIfTrue="1">
      <formula>LEN(TRIM(K53))=0</formula>
    </cfRule>
  </conditionalFormatting>
  <conditionalFormatting sqref="L53">
    <cfRule type="containsBlanks" dxfId="3275" priority="541" stopIfTrue="1">
      <formula>LEN(TRIM(L53))=0</formula>
    </cfRule>
    <cfRule type="cellIs" dxfId="3274" priority="542" stopIfTrue="1" operator="between">
      <formula>79.1</formula>
      <formula>100</formula>
    </cfRule>
    <cfRule type="cellIs" dxfId="3273" priority="543" stopIfTrue="1" operator="between">
      <formula>34.1</formula>
      <formula>79</formula>
    </cfRule>
    <cfRule type="cellIs" dxfId="3272" priority="544" stopIfTrue="1" operator="between">
      <formula>13.1</formula>
      <formula>34</formula>
    </cfRule>
    <cfRule type="cellIs" dxfId="3271" priority="545" stopIfTrue="1" operator="between">
      <formula>5.1</formula>
      <formula>13</formula>
    </cfRule>
    <cfRule type="cellIs" dxfId="3270" priority="546" stopIfTrue="1" operator="between">
      <formula>0</formula>
      <formula>5</formula>
    </cfRule>
    <cfRule type="containsBlanks" dxfId="3269" priority="547" stopIfTrue="1">
      <formula>LEN(TRIM(L53))=0</formula>
    </cfRule>
  </conditionalFormatting>
  <conditionalFormatting sqref="M53">
    <cfRule type="containsBlanks" dxfId="3268" priority="534" stopIfTrue="1">
      <formula>LEN(TRIM(M53))=0</formula>
    </cfRule>
    <cfRule type="cellIs" dxfId="3267" priority="535" stopIfTrue="1" operator="between">
      <formula>79.1</formula>
      <formula>100</formula>
    </cfRule>
    <cfRule type="cellIs" dxfId="3266" priority="536" stopIfTrue="1" operator="between">
      <formula>34.1</formula>
      <formula>79</formula>
    </cfRule>
    <cfRule type="cellIs" dxfId="3265" priority="537" stopIfTrue="1" operator="between">
      <formula>13.1</formula>
      <formula>34</formula>
    </cfRule>
    <cfRule type="cellIs" dxfId="3264" priority="538" stopIfTrue="1" operator="between">
      <formula>5.1</formula>
      <formula>13</formula>
    </cfRule>
    <cfRule type="cellIs" dxfId="3263" priority="539" stopIfTrue="1" operator="between">
      <formula>0</formula>
      <formula>5</formula>
    </cfRule>
    <cfRule type="containsBlanks" dxfId="3262" priority="540" stopIfTrue="1">
      <formula>LEN(TRIM(M53))=0</formula>
    </cfRule>
  </conditionalFormatting>
  <conditionalFormatting sqref="N53">
    <cfRule type="containsBlanks" dxfId="3261" priority="527" stopIfTrue="1">
      <formula>LEN(TRIM(N53))=0</formula>
    </cfRule>
    <cfRule type="cellIs" dxfId="3260" priority="528" stopIfTrue="1" operator="between">
      <formula>79.1</formula>
      <formula>100</formula>
    </cfRule>
    <cfRule type="cellIs" dxfId="3259" priority="529" stopIfTrue="1" operator="between">
      <formula>34.1</formula>
      <formula>79</formula>
    </cfRule>
    <cfRule type="cellIs" dxfId="3258" priority="530" stopIfTrue="1" operator="between">
      <formula>13.1</formula>
      <formula>34</formula>
    </cfRule>
    <cfRule type="cellIs" dxfId="3257" priority="531" stopIfTrue="1" operator="between">
      <formula>5.1</formula>
      <formula>13</formula>
    </cfRule>
    <cfRule type="cellIs" dxfId="3256" priority="532" stopIfTrue="1" operator="between">
      <formula>0</formula>
      <formula>5</formula>
    </cfRule>
    <cfRule type="containsBlanks" dxfId="3255" priority="533" stopIfTrue="1">
      <formula>LEN(TRIM(N53))=0</formula>
    </cfRule>
  </conditionalFormatting>
  <conditionalFormatting sqref="I60">
    <cfRule type="containsBlanks" dxfId="3254" priority="408" stopIfTrue="1">
      <formula>LEN(TRIM(I60))=0</formula>
    </cfRule>
    <cfRule type="cellIs" dxfId="3253" priority="409" stopIfTrue="1" operator="between">
      <formula>79.1</formula>
      <formula>100</formula>
    </cfRule>
    <cfRule type="cellIs" dxfId="3252" priority="410" stopIfTrue="1" operator="between">
      <formula>34.1</formula>
      <formula>79</formula>
    </cfRule>
    <cfRule type="cellIs" dxfId="3251" priority="411" stopIfTrue="1" operator="between">
      <formula>13.1</formula>
      <formula>34</formula>
    </cfRule>
    <cfRule type="cellIs" dxfId="3250" priority="412" stopIfTrue="1" operator="between">
      <formula>5.1</formula>
      <formula>13</formula>
    </cfRule>
    <cfRule type="cellIs" dxfId="3249" priority="413" stopIfTrue="1" operator="between">
      <formula>0</formula>
      <formula>5</formula>
    </cfRule>
    <cfRule type="containsBlanks" dxfId="3248" priority="414" stopIfTrue="1">
      <formula>LEN(TRIM(I60))=0</formula>
    </cfRule>
  </conditionalFormatting>
  <conditionalFormatting sqref="J60 J63:J64">
    <cfRule type="containsBlanks" dxfId="3247" priority="401" stopIfTrue="1">
      <formula>LEN(TRIM(J60))=0</formula>
    </cfRule>
    <cfRule type="cellIs" dxfId="3246" priority="402" stopIfTrue="1" operator="between">
      <formula>79.1</formula>
      <formula>100</formula>
    </cfRule>
    <cfRule type="cellIs" dxfId="3245" priority="403" stopIfTrue="1" operator="between">
      <formula>34.1</formula>
      <formula>79</formula>
    </cfRule>
    <cfRule type="cellIs" dxfId="3244" priority="404" stopIfTrue="1" operator="between">
      <formula>13.1</formula>
      <formula>34</formula>
    </cfRule>
    <cfRule type="cellIs" dxfId="3243" priority="405" stopIfTrue="1" operator="between">
      <formula>5.1</formula>
      <formula>13</formula>
    </cfRule>
    <cfRule type="cellIs" dxfId="3242" priority="406" stopIfTrue="1" operator="between">
      <formula>0</formula>
      <formula>5</formula>
    </cfRule>
    <cfRule type="containsBlanks" dxfId="3241" priority="407" stopIfTrue="1">
      <formula>LEN(TRIM(J60))=0</formula>
    </cfRule>
  </conditionalFormatting>
  <conditionalFormatting sqref="M55">
    <cfRule type="containsBlanks" dxfId="3240" priority="492" stopIfTrue="1">
      <formula>LEN(TRIM(M55))=0</formula>
    </cfRule>
    <cfRule type="cellIs" dxfId="3239" priority="493" stopIfTrue="1" operator="between">
      <formula>79.1</formula>
      <formula>100</formula>
    </cfRule>
    <cfRule type="cellIs" dxfId="3238" priority="494" stopIfTrue="1" operator="between">
      <formula>34.1</formula>
      <formula>79</formula>
    </cfRule>
    <cfRule type="cellIs" dxfId="3237" priority="495" stopIfTrue="1" operator="between">
      <formula>13.1</formula>
      <formula>34</formula>
    </cfRule>
    <cfRule type="cellIs" dxfId="3236" priority="496" stopIfTrue="1" operator="between">
      <formula>5.1</formula>
      <formula>13</formula>
    </cfRule>
    <cfRule type="cellIs" dxfId="3235" priority="497" stopIfTrue="1" operator="between">
      <formula>0</formula>
      <formula>5</formula>
    </cfRule>
    <cfRule type="containsBlanks" dxfId="3234" priority="498" stopIfTrue="1">
      <formula>LEN(TRIM(M55))=0</formula>
    </cfRule>
  </conditionalFormatting>
  <conditionalFormatting sqref="K41:P41">
    <cfRule type="containsBlanks" dxfId="3233" priority="471" stopIfTrue="1">
      <formula>LEN(TRIM(K41))=0</formula>
    </cfRule>
    <cfRule type="cellIs" dxfId="3232" priority="472" stopIfTrue="1" operator="between">
      <formula>79.1</formula>
      <formula>100</formula>
    </cfRule>
    <cfRule type="cellIs" dxfId="3231" priority="473" stopIfTrue="1" operator="between">
      <formula>34.1</formula>
      <formula>79</formula>
    </cfRule>
    <cfRule type="cellIs" dxfId="3230" priority="474" stopIfTrue="1" operator="between">
      <formula>13.1</formula>
      <formula>34</formula>
    </cfRule>
    <cfRule type="cellIs" dxfId="3229" priority="475" stopIfTrue="1" operator="between">
      <formula>5.1</formula>
      <formula>13</formula>
    </cfRule>
    <cfRule type="cellIs" dxfId="3228" priority="476" stopIfTrue="1" operator="between">
      <formula>0</formula>
      <formula>5</formula>
    </cfRule>
    <cfRule type="containsBlanks" dxfId="3227" priority="477" stopIfTrue="1">
      <formula>LEN(TRIM(K41))=0</formula>
    </cfRule>
  </conditionalFormatting>
  <conditionalFormatting sqref="L48:P48">
    <cfRule type="containsBlanks" dxfId="3226" priority="464" stopIfTrue="1">
      <formula>LEN(TRIM(L48))=0</formula>
    </cfRule>
    <cfRule type="cellIs" dxfId="3225" priority="465" stopIfTrue="1" operator="between">
      <formula>79.1</formula>
      <formula>100</formula>
    </cfRule>
    <cfRule type="cellIs" dxfId="3224" priority="466" stopIfTrue="1" operator="between">
      <formula>34.1</formula>
      <formula>79</formula>
    </cfRule>
    <cfRule type="cellIs" dxfId="3223" priority="467" stopIfTrue="1" operator="between">
      <formula>13.1</formula>
      <formula>34</formula>
    </cfRule>
    <cfRule type="cellIs" dxfId="3222" priority="468" stopIfTrue="1" operator="between">
      <formula>5.1</formula>
      <formula>13</formula>
    </cfRule>
    <cfRule type="cellIs" dxfId="3221" priority="469" stopIfTrue="1" operator="between">
      <formula>0</formula>
      <formula>5</formula>
    </cfRule>
    <cfRule type="containsBlanks" dxfId="3220" priority="470" stopIfTrue="1">
      <formula>LEN(TRIM(L48))=0</formula>
    </cfRule>
  </conditionalFormatting>
  <conditionalFormatting sqref="K42:P42">
    <cfRule type="containsBlanks" dxfId="3219" priority="457" stopIfTrue="1">
      <formula>LEN(TRIM(K42))=0</formula>
    </cfRule>
    <cfRule type="cellIs" dxfId="3218" priority="458" stopIfTrue="1" operator="between">
      <formula>79.1</formula>
      <formula>100</formula>
    </cfRule>
    <cfRule type="cellIs" dxfId="3217" priority="459" stopIfTrue="1" operator="between">
      <formula>34.1</formula>
      <formula>79</formula>
    </cfRule>
    <cfRule type="cellIs" dxfId="3216" priority="460" stopIfTrue="1" operator="between">
      <formula>13.1</formula>
      <formula>34</formula>
    </cfRule>
    <cfRule type="cellIs" dxfId="3215" priority="461" stopIfTrue="1" operator="between">
      <formula>5.1</formula>
      <formula>13</formula>
    </cfRule>
    <cfRule type="cellIs" dxfId="3214" priority="462" stopIfTrue="1" operator="between">
      <formula>0</formula>
      <formula>5</formula>
    </cfRule>
    <cfRule type="containsBlanks" dxfId="3213" priority="463" stopIfTrue="1">
      <formula>LEN(TRIM(K42))=0</formula>
    </cfRule>
  </conditionalFormatting>
  <conditionalFormatting sqref="G60 I63:I64">
    <cfRule type="containsBlanks" dxfId="3212" priority="450" stopIfTrue="1">
      <formula>LEN(TRIM(G60))=0</formula>
    </cfRule>
    <cfRule type="cellIs" dxfId="3211" priority="451" stopIfTrue="1" operator="between">
      <formula>79.1</formula>
      <formula>100</formula>
    </cfRule>
    <cfRule type="cellIs" dxfId="3210" priority="452" stopIfTrue="1" operator="between">
      <formula>34.1</formula>
      <formula>79</formula>
    </cfRule>
    <cfRule type="cellIs" dxfId="3209" priority="453" stopIfTrue="1" operator="between">
      <formula>13.1</formula>
      <formula>34</formula>
    </cfRule>
    <cfRule type="cellIs" dxfId="3208" priority="454" stopIfTrue="1" operator="between">
      <formula>5.1</formula>
      <formula>13</formula>
    </cfRule>
    <cfRule type="cellIs" dxfId="3207" priority="455" stopIfTrue="1" operator="between">
      <formula>0</formula>
      <formula>5</formula>
    </cfRule>
    <cfRule type="containsBlanks" dxfId="3206" priority="456" stopIfTrue="1">
      <formula>LEN(TRIM(G60))=0</formula>
    </cfRule>
  </conditionalFormatting>
  <conditionalFormatting sqref="G63:G64">
    <cfRule type="containsBlanks" dxfId="3205" priority="429" stopIfTrue="1">
      <formula>LEN(TRIM(G63))=0</formula>
    </cfRule>
    <cfRule type="cellIs" dxfId="3204" priority="430" stopIfTrue="1" operator="between">
      <formula>79.1</formula>
      <formula>100</formula>
    </cfRule>
    <cfRule type="cellIs" dxfId="3203" priority="431" stopIfTrue="1" operator="between">
      <formula>34.1</formula>
      <formula>79</formula>
    </cfRule>
    <cfRule type="cellIs" dxfId="3202" priority="432" stopIfTrue="1" operator="between">
      <formula>13.1</formula>
      <formula>34</formula>
    </cfRule>
    <cfRule type="cellIs" dxfId="3201" priority="433" stopIfTrue="1" operator="between">
      <formula>5.1</formula>
      <formula>13</formula>
    </cfRule>
    <cfRule type="cellIs" dxfId="3200" priority="434" stopIfTrue="1" operator="between">
      <formula>0</formula>
      <formula>5</formula>
    </cfRule>
    <cfRule type="containsBlanks" dxfId="3199" priority="435" stopIfTrue="1">
      <formula>LEN(TRIM(G63))=0</formula>
    </cfRule>
  </conditionalFormatting>
  <conditionalFormatting sqref="H60 H63:H64">
    <cfRule type="containsBlanks" dxfId="3198" priority="422" stopIfTrue="1">
      <formula>LEN(TRIM(H60))=0</formula>
    </cfRule>
    <cfRule type="cellIs" dxfId="3197" priority="423" stopIfTrue="1" operator="between">
      <formula>79.1</formula>
      <formula>100</formula>
    </cfRule>
    <cfRule type="cellIs" dxfId="3196" priority="424" stopIfTrue="1" operator="between">
      <formula>34.1</formula>
      <formula>79</formula>
    </cfRule>
    <cfRule type="cellIs" dxfId="3195" priority="425" stopIfTrue="1" operator="between">
      <formula>13.1</formula>
      <formula>34</formula>
    </cfRule>
    <cfRule type="cellIs" dxfId="3194" priority="426" stopIfTrue="1" operator="between">
      <formula>5.1</formula>
      <formula>13</formula>
    </cfRule>
    <cfRule type="cellIs" dxfId="3193" priority="427" stopIfTrue="1" operator="between">
      <formula>0</formula>
      <formula>5</formula>
    </cfRule>
    <cfRule type="containsBlanks" dxfId="3192" priority="428" stopIfTrue="1">
      <formula>LEN(TRIM(H60))=0</formula>
    </cfRule>
  </conditionalFormatting>
  <conditionalFormatting sqref="R12:R73">
    <cfRule type="cellIs" dxfId="3191" priority="337" stopIfTrue="1" operator="equal">
      <formula>"NO"</formula>
    </cfRule>
  </conditionalFormatting>
  <conditionalFormatting sqref="E37:K37">
    <cfRule type="containsBlanks" dxfId="3190" priority="317" stopIfTrue="1">
      <formula>LEN(TRIM(E37))=0</formula>
    </cfRule>
    <cfRule type="cellIs" dxfId="3189" priority="318" stopIfTrue="1" operator="between">
      <formula>80.1</formula>
      <formula>100</formula>
    </cfRule>
    <cfRule type="cellIs" dxfId="3188" priority="319" stopIfTrue="1" operator="between">
      <formula>35.1</formula>
      <formula>80</formula>
    </cfRule>
    <cfRule type="cellIs" dxfId="3187" priority="320" stopIfTrue="1" operator="between">
      <formula>14.1</formula>
      <formula>35</formula>
    </cfRule>
    <cfRule type="cellIs" dxfId="3186" priority="321" stopIfTrue="1" operator="between">
      <formula>5.1</formula>
      <formula>14</formula>
    </cfRule>
    <cfRule type="cellIs" dxfId="3185" priority="322" stopIfTrue="1" operator="between">
      <formula>0</formula>
      <formula>5</formula>
    </cfRule>
    <cfRule type="containsBlanks" dxfId="3184" priority="323" stopIfTrue="1">
      <formula>LEN(TRIM(E37))=0</formula>
    </cfRule>
  </conditionalFormatting>
  <conditionalFormatting sqref="E33:K33">
    <cfRule type="containsBlanks" dxfId="3183" priority="310" stopIfTrue="1">
      <formula>LEN(TRIM(E33))=0</formula>
    </cfRule>
    <cfRule type="cellIs" dxfId="3182" priority="311" stopIfTrue="1" operator="between">
      <formula>80.1</formula>
      <formula>100</formula>
    </cfRule>
    <cfRule type="cellIs" dxfId="3181" priority="312" stopIfTrue="1" operator="between">
      <formula>35.1</formula>
      <formula>80</formula>
    </cfRule>
    <cfRule type="cellIs" dxfId="3180" priority="313" stopIfTrue="1" operator="between">
      <formula>14.1</formula>
      <formula>35</formula>
    </cfRule>
    <cfRule type="cellIs" dxfId="3179" priority="314" stopIfTrue="1" operator="between">
      <formula>5.1</formula>
      <formula>14</formula>
    </cfRule>
    <cfRule type="cellIs" dxfId="3178" priority="315" stopIfTrue="1" operator="between">
      <formula>0</formula>
      <formula>5</formula>
    </cfRule>
    <cfRule type="containsBlanks" dxfId="3177" priority="316" stopIfTrue="1">
      <formula>LEN(TRIM(E33))=0</formula>
    </cfRule>
  </conditionalFormatting>
  <conditionalFormatting sqref="E34:K34">
    <cfRule type="containsBlanks" dxfId="3176" priority="303" stopIfTrue="1">
      <formula>LEN(TRIM(E34))=0</formula>
    </cfRule>
    <cfRule type="cellIs" dxfId="3175" priority="304" stopIfTrue="1" operator="between">
      <formula>80.1</formula>
      <formula>100</formula>
    </cfRule>
    <cfRule type="cellIs" dxfId="3174" priority="305" stopIfTrue="1" operator="between">
      <formula>35.1</formula>
      <formula>80</formula>
    </cfRule>
    <cfRule type="cellIs" dxfId="3173" priority="306" stopIfTrue="1" operator="between">
      <formula>14.1</formula>
      <formula>35</formula>
    </cfRule>
    <cfRule type="cellIs" dxfId="3172" priority="307" stopIfTrue="1" operator="between">
      <formula>5.1</formula>
      <formula>14</formula>
    </cfRule>
    <cfRule type="cellIs" dxfId="3171" priority="308" stopIfTrue="1" operator="between">
      <formula>0</formula>
      <formula>5</formula>
    </cfRule>
    <cfRule type="containsBlanks" dxfId="3170" priority="309" stopIfTrue="1">
      <formula>LEN(TRIM(E34))=0</formula>
    </cfRule>
  </conditionalFormatting>
  <conditionalFormatting sqref="E36:K36">
    <cfRule type="containsBlanks" dxfId="3169" priority="296" stopIfTrue="1">
      <formula>LEN(TRIM(E36))=0</formula>
    </cfRule>
    <cfRule type="cellIs" dxfId="3168" priority="297" stopIfTrue="1" operator="between">
      <formula>80.1</formula>
      <formula>100</formula>
    </cfRule>
    <cfRule type="cellIs" dxfId="3167" priority="298" stopIfTrue="1" operator="between">
      <formula>35.1</formula>
      <formula>80</formula>
    </cfRule>
    <cfRule type="cellIs" dxfId="3166" priority="299" stopIfTrue="1" operator="between">
      <formula>14.1</formula>
      <formula>35</formula>
    </cfRule>
    <cfRule type="cellIs" dxfId="3165" priority="300" stopIfTrue="1" operator="between">
      <formula>5.1</formula>
      <formula>14</formula>
    </cfRule>
    <cfRule type="cellIs" dxfId="3164" priority="301" stopIfTrue="1" operator="between">
      <formula>0</formula>
      <formula>5</formula>
    </cfRule>
    <cfRule type="containsBlanks" dxfId="3163" priority="302" stopIfTrue="1">
      <formula>LEN(TRIM(E36))=0</formula>
    </cfRule>
  </conditionalFormatting>
  <conditionalFormatting sqref="E35:L35">
    <cfRule type="containsBlanks" dxfId="3162" priority="289" stopIfTrue="1">
      <formula>LEN(TRIM(E35))=0</formula>
    </cfRule>
    <cfRule type="cellIs" dxfId="3161" priority="290" stopIfTrue="1" operator="between">
      <formula>80.1</formula>
      <formula>100</formula>
    </cfRule>
    <cfRule type="cellIs" dxfId="3160" priority="291" stopIfTrue="1" operator="between">
      <formula>35.1</formula>
      <formula>80</formula>
    </cfRule>
    <cfRule type="cellIs" dxfId="3159" priority="292" stopIfTrue="1" operator="between">
      <formula>14.1</formula>
      <formula>35</formula>
    </cfRule>
    <cfRule type="cellIs" dxfId="3158" priority="293" stopIfTrue="1" operator="between">
      <formula>5.1</formula>
      <formula>14</formula>
    </cfRule>
    <cfRule type="cellIs" dxfId="3157" priority="294" stopIfTrue="1" operator="between">
      <formula>0</formula>
      <formula>5</formula>
    </cfRule>
    <cfRule type="containsBlanks" dxfId="3156" priority="295" stopIfTrue="1">
      <formula>LEN(TRIM(E35))=0</formula>
    </cfRule>
  </conditionalFormatting>
  <conditionalFormatting sqref="E30:L30">
    <cfRule type="containsBlanks" dxfId="3155" priority="282" stopIfTrue="1">
      <formula>LEN(TRIM(E30))=0</formula>
    </cfRule>
    <cfRule type="cellIs" dxfId="3154" priority="283" stopIfTrue="1" operator="between">
      <formula>80.1</formula>
      <formula>100</formula>
    </cfRule>
    <cfRule type="cellIs" dxfId="3153" priority="284" stopIfTrue="1" operator="between">
      <formula>35.1</formula>
      <formula>80</formula>
    </cfRule>
    <cfRule type="cellIs" dxfId="3152" priority="285" stopIfTrue="1" operator="between">
      <formula>14.1</formula>
      <formula>35</formula>
    </cfRule>
    <cfRule type="cellIs" dxfId="3151" priority="286" stopIfTrue="1" operator="between">
      <formula>5.1</formula>
      <formula>14</formula>
    </cfRule>
    <cfRule type="cellIs" dxfId="3150" priority="287" stopIfTrue="1" operator="between">
      <formula>0</formula>
      <formula>5</formula>
    </cfRule>
    <cfRule type="containsBlanks" dxfId="3149" priority="288" stopIfTrue="1">
      <formula>LEN(TRIM(E30))=0</formula>
    </cfRule>
  </conditionalFormatting>
  <conditionalFormatting sqref="E31:L31">
    <cfRule type="containsBlanks" dxfId="3148" priority="275" stopIfTrue="1">
      <formula>LEN(TRIM(E31))=0</formula>
    </cfRule>
    <cfRule type="cellIs" dxfId="3147" priority="276" stopIfTrue="1" operator="between">
      <formula>80.1</formula>
      <formula>100</formula>
    </cfRule>
    <cfRule type="cellIs" dxfId="3146" priority="277" stopIfTrue="1" operator="between">
      <formula>35.1</formula>
      <formula>80</formula>
    </cfRule>
    <cfRule type="cellIs" dxfId="3145" priority="278" stopIfTrue="1" operator="between">
      <formula>14.1</formula>
      <formula>35</formula>
    </cfRule>
    <cfRule type="cellIs" dxfId="3144" priority="279" stopIfTrue="1" operator="between">
      <formula>5.1</formula>
      <formula>14</formula>
    </cfRule>
    <cfRule type="cellIs" dxfId="3143" priority="280" stopIfTrue="1" operator="between">
      <formula>0</formula>
      <formula>5</formula>
    </cfRule>
    <cfRule type="containsBlanks" dxfId="3142" priority="281" stopIfTrue="1">
      <formula>LEN(TRIM(E31))=0</formula>
    </cfRule>
  </conditionalFormatting>
  <conditionalFormatting sqref="E25:L25">
    <cfRule type="containsBlanks" dxfId="3141" priority="268" stopIfTrue="1">
      <formula>LEN(TRIM(E25))=0</formula>
    </cfRule>
    <cfRule type="cellIs" dxfId="3140" priority="269" stopIfTrue="1" operator="between">
      <formula>80.1</formula>
      <formula>100</formula>
    </cfRule>
    <cfRule type="cellIs" dxfId="3139" priority="270" stopIfTrue="1" operator="between">
      <formula>35.1</formula>
      <formula>80</formula>
    </cfRule>
    <cfRule type="cellIs" dxfId="3138" priority="271" stopIfTrue="1" operator="between">
      <formula>14.1</formula>
      <formula>35</formula>
    </cfRule>
    <cfRule type="cellIs" dxfId="3137" priority="272" stopIfTrue="1" operator="between">
      <formula>5.1</formula>
      <formula>14</formula>
    </cfRule>
    <cfRule type="cellIs" dxfId="3136" priority="273" stopIfTrue="1" operator="between">
      <formula>0</formula>
      <formula>5</formula>
    </cfRule>
    <cfRule type="containsBlanks" dxfId="3135" priority="274" stopIfTrue="1">
      <formula>LEN(TRIM(E25))=0</formula>
    </cfRule>
  </conditionalFormatting>
  <conditionalFormatting sqref="E32:L32">
    <cfRule type="containsBlanks" dxfId="3134" priority="261" stopIfTrue="1">
      <formula>LEN(TRIM(E32))=0</formula>
    </cfRule>
    <cfRule type="cellIs" dxfId="3133" priority="262" stopIfTrue="1" operator="between">
      <formula>80.1</formula>
      <formula>100</formula>
    </cfRule>
    <cfRule type="cellIs" dxfId="3132" priority="263" stopIfTrue="1" operator="between">
      <formula>35.1</formula>
      <formula>80</formula>
    </cfRule>
    <cfRule type="cellIs" dxfId="3131" priority="264" stopIfTrue="1" operator="between">
      <formula>14.1</formula>
      <formula>35</formula>
    </cfRule>
    <cfRule type="cellIs" dxfId="3130" priority="265" stopIfTrue="1" operator="between">
      <formula>5.1</formula>
      <formula>14</formula>
    </cfRule>
    <cfRule type="cellIs" dxfId="3129" priority="266" stopIfTrue="1" operator="between">
      <formula>0</formula>
      <formula>5</formula>
    </cfRule>
    <cfRule type="containsBlanks" dxfId="3128" priority="267" stopIfTrue="1">
      <formula>LEN(TRIM(E32))=0</formula>
    </cfRule>
  </conditionalFormatting>
  <conditionalFormatting sqref="E39:N39">
    <cfRule type="containsBlanks" dxfId="3127" priority="254" stopIfTrue="1">
      <formula>LEN(TRIM(E39))=0</formula>
    </cfRule>
    <cfRule type="cellIs" dxfId="3126" priority="255" stopIfTrue="1" operator="between">
      <formula>80.1</formula>
      <formula>100</formula>
    </cfRule>
    <cfRule type="cellIs" dxfId="3125" priority="256" stopIfTrue="1" operator="between">
      <formula>35.1</formula>
      <formula>80</formula>
    </cfRule>
    <cfRule type="cellIs" dxfId="3124" priority="257" stopIfTrue="1" operator="between">
      <formula>14.1</formula>
      <formula>35</formula>
    </cfRule>
    <cfRule type="cellIs" dxfId="3123" priority="258" stopIfTrue="1" operator="between">
      <formula>5.1</formula>
      <formula>14</formula>
    </cfRule>
    <cfRule type="cellIs" dxfId="3122" priority="259" stopIfTrue="1" operator="between">
      <formula>0</formula>
      <formula>5</formula>
    </cfRule>
    <cfRule type="containsBlanks" dxfId="3121" priority="260" stopIfTrue="1">
      <formula>LEN(TRIM(E39))=0</formula>
    </cfRule>
  </conditionalFormatting>
  <conditionalFormatting sqref="E40:M40">
    <cfRule type="containsBlanks" dxfId="3120" priority="247" stopIfTrue="1">
      <formula>LEN(TRIM(E40))=0</formula>
    </cfRule>
    <cfRule type="cellIs" dxfId="3119" priority="248" stopIfTrue="1" operator="between">
      <formula>80.1</formula>
      <formula>100</formula>
    </cfRule>
    <cfRule type="cellIs" dxfId="3118" priority="249" stopIfTrue="1" operator="between">
      <formula>35.1</formula>
      <formula>80</formula>
    </cfRule>
    <cfRule type="cellIs" dxfId="3117" priority="250" stopIfTrue="1" operator="between">
      <formula>14.1</formula>
      <formula>35</formula>
    </cfRule>
    <cfRule type="cellIs" dxfId="3116" priority="251" stopIfTrue="1" operator="between">
      <formula>5.1</formula>
      <formula>14</formula>
    </cfRule>
    <cfRule type="cellIs" dxfId="3115" priority="252" stopIfTrue="1" operator="between">
      <formula>0</formula>
      <formula>5</formula>
    </cfRule>
    <cfRule type="containsBlanks" dxfId="3114" priority="253" stopIfTrue="1">
      <formula>LEN(TRIM(E40))=0</formula>
    </cfRule>
  </conditionalFormatting>
  <conditionalFormatting sqref="E38:M38">
    <cfRule type="containsBlanks" dxfId="3113" priority="240" stopIfTrue="1">
      <formula>LEN(TRIM(E38))=0</formula>
    </cfRule>
    <cfRule type="cellIs" dxfId="3112" priority="241" stopIfTrue="1" operator="between">
      <formula>80.1</formula>
      <formula>100</formula>
    </cfRule>
    <cfRule type="cellIs" dxfId="3111" priority="242" stopIfTrue="1" operator="between">
      <formula>35.1</formula>
      <formula>80</formula>
    </cfRule>
    <cfRule type="cellIs" dxfId="3110" priority="243" stopIfTrue="1" operator="between">
      <formula>14.1</formula>
      <formula>35</formula>
    </cfRule>
    <cfRule type="cellIs" dxfId="3109" priority="244" stopIfTrue="1" operator="between">
      <formula>5.1</formula>
      <formula>14</formula>
    </cfRule>
    <cfRule type="cellIs" dxfId="3108" priority="245" stopIfTrue="1" operator="between">
      <formula>0</formula>
      <formula>5</formula>
    </cfRule>
    <cfRule type="containsBlanks" dxfId="3107" priority="246" stopIfTrue="1">
      <formula>LEN(TRIM(E38))=0</formula>
    </cfRule>
  </conditionalFormatting>
  <conditionalFormatting sqref="E27:O27">
    <cfRule type="containsBlanks" dxfId="3106" priority="233" stopIfTrue="1">
      <formula>LEN(TRIM(E27))=0</formula>
    </cfRule>
    <cfRule type="cellIs" dxfId="3105" priority="234" stopIfTrue="1" operator="between">
      <formula>80.1</formula>
      <formula>100</formula>
    </cfRule>
    <cfRule type="cellIs" dxfId="3104" priority="235" stopIfTrue="1" operator="between">
      <formula>35.1</formula>
      <formula>80</formula>
    </cfRule>
    <cfRule type="cellIs" dxfId="3103" priority="236" stopIfTrue="1" operator="between">
      <formula>14.1</formula>
      <formula>35</formula>
    </cfRule>
    <cfRule type="cellIs" dxfId="3102" priority="237" stopIfTrue="1" operator="between">
      <formula>5.1</formula>
      <formula>14</formula>
    </cfRule>
    <cfRule type="cellIs" dxfId="3101" priority="238" stopIfTrue="1" operator="between">
      <formula>0</formula>
      <formula>5</formula>
    </cfRule>
    <cfRule type="containsBlanks" dxfId="3100" priority="239" stopIfTrue="1">
      <formula>LEN(TRIM(E27))=0</formula>
    </cfRule>
  </conditionalFormatting>
  <conditionalFormatting sqref="E26:G26">
    <cfRule type="containsBlanks" dxfId="3099" priority="226" stopIfTrue="1">
      <formula>LEN(TRIM(E26))=0</formula>
    </cfRule>
    <cfRule type="cellIs" dxfId="3098" priority="227" stopIfTrue="1" operator="between">
      <formula>80.1</formula>
      <formula>100</formula>
    </cfRule>
    <cfRule type="cellIs" dxfId="3097" priority="228" stopIfTrue="1" operator="between">
      <formula>35.1</formula>
      <formula>80</formula>
    </cfRule>
    <cfRule type="cellIs" dxfId="3096" priority="229" stopIfTrue="1" operator="between">
      <formula>14.1</formula>
      <formula>35</formula>
    </cfRule>
    <cfRule type="cellIs" dxfId="3095" priority="230" stopIfTrue="1" operator="between">
      <formula>5.1</formula>
      <formula>14</formula>
    </cfRule>
    <cfRule type="cellIs" dxfId="3094" priority="231" stopIfTrue="1" operator="between">
      <formula>0</formula>
      <formula>5</formula>
    </cfRule>
    <cfRule type="containsBlanks" dxfId="3093" priority="232" stopIfTrue="1">
      <formula>LEN(TRIM(E26))=0</formula>
    </cfRule>
  </conditionalFormatting>
  <conditionalFormatting sqref="E29:G29">
    <cfRule type="containsBlanks" dxfId="3092" priority="219" stopIfTrue="1">
      <formula>LEN(TRIM(E29))=0</formula>
    </cfRule>
    <cfRule type="cellIs" dxfId="3091" priority="220" stopIfTrue="1" operator="between">
      <formula>80.1</formula>
      <formula>100</formula>
    </cfRule>
    <cfRule type="cellIs" dxfId="3090" priority="221" stopIfTrue="1" operator="between">
      <formula>35.1</formula>
      <formula>80</formula>
    </cfRule>
    <cfRule type="cellIs" dxfId="3089" priority="222" stopIfTrue="1" operator="between">
      <formula>14.1</formula>
      <formula>35</formula>
    </cfRule>
    <cfRule type="cellIs" dxfId="3088" priority="223" stopIfTrue="1" operator="between">
      <formula>5.1</formula>
      <formula>14</formula>
    </cfRule>
    <cfRule type="cellIs" dxfId="3087" priority="224" stopIfTrue="1" operator="between">
      <formula>0</formula>
      <formula>5</formula>
    </cfRule>
    <cfRule type="containsBlanks" dxfId="3086" priority="225" stopIfTrue="1">
      <formula>LEN(TRIM(E29))=0</formula>
    </cfRule>
  </conditionalFormatting>
  <conditionalFormatting sqref="E41:I41">
    <cfRule type="containsBlanks" dxfId="3085" priority="212" stopIfTrue="1">
      <formula>LEN(TRIM(E41))=0</formula>
    </cfRule>
    <cfRule type="cellIs" dxfId="3084" priority="213" stopIfTrue="1" operator="between">
      <formula>79.1</formula>
      <formula>100</formula>
    </cfRule>
    <cfRule type="cellIs" dxfId="3083" priority="214" stopIfTrue="1" operator="between">
      <formula>34.1</formula>
      <formula>79</formula>
    </cfRule>
    <cfRule type="cellIs" dxfId="3082" priority="215" stopIfTrue="1" operator="between">
      <formula>13.1</formula>
      <formula>34</formula>
    </cfRule>
    <cfRule type="cellIs" dxfId="3081" priority="216" stopIfTrue="1" operator="between">
      <formula>5.1</formula>
      <formula>13</formula>
    </cfRule>
    <cfRule type="cellIs" dxfId="3080" priority="217" stopIfTrue="1" operator="between">
      <formula>0</formula>
      <formula>5</formula>
    </cfRule>
    <cfRule type="containsBlanks" dxfId="3079" priority="218" stopIfTrue="1">
      <formula>LEN(TRIM(E41))=0</formula>
    </cfRule>
  </conditionalFormatting>
  <conditionalFormatting sqref="E43:P43">
    <cfRule type="containsBlanks" dxfId="3078" priority="205" stopIfTrue="1">
      <formula>LEN(TRIM(E43))=0</formula>
    </cfRule>
    <cfRule type="cellIs" dxfId="3077" priority="206" stopIfTrue="1" operator="between">
      <formula>79.1</formula>
      <formula>100</formula>
    </cfRule>
    <cfRule type="cellIs" dxfId="3076" priority="207" stopIfTrue="1" operator="between">
      <formula>34.1</formula>
      <formula>79</formula>
    </cfRule>
    <cfRule type="cellIs" dxfId="3075" priority="208" stopIfTrue="1" operator="between">
      <formula>13.1</formula>
      <formula>34</formula>
    </cfRule>
    <cfRule type="cellIs" dxfId="3074" priority="209" stopIfTrue="1" operator="between">
      <formula>5.1</formula>
      <formula>13</formula>
    </cfRule>
    <cfRule type="cellIs" dxfId="3073" priority="210" stopIfTrue="1" operator="between">
      <formula>0</formula>
      <formula>5</formula>
    </cfRule>
    <cfRule type="containsBlanks" dxfId="3072" priority="211" stopIfTrue="1">
      <formula>LEN(TRIM(E43))=0</formula>
    </cfRule>
  </conditionalFormatting>
  <conditionalFormatting sqref="E42:J42">
    <cfRule type="containsBlanks" dxfId="3071" priority="198" stopIfTrue="1">
      <formula>LEN(TRIM(E42))=0</formula>
    </cfRule>
    <cfRule type="cellIs" dxfId="3070" priority="199" stopIfTrue="1" operator="between">
      <formula>79.1</formula>
      <formula>100</formula>
    </cfRule>
    <cfRule type="cellIs" dxfId="3069" priority="200" stopIfTrue="1" operator="between">
      <formula>34.1</formula>
      <formula>79</formula>
    </cfRule>
    <cfRule type="cellIs" dxfId="3068" priority="201" stopIfTrue="1" operator="between">
      <formula>13.1</formula>
      <formula>34</formula>
    </cfRule>
    <cfRule type="cellIs" dxfId="3067" priority="202" stopIfTrue="1" operator="between">
      <formula>5.1</formula>
      <formula>13</formula>
    </cfRule>
    <cfRule type="cellIs" dxfId="3066" priority="203" stopIfTrue="1" operator="between">
      <formula>0</formula>
      <formula>5</formula>
    </cfRule>
    <cfRule type="containsBlanks" dxfId="3065" priority="204" stopIfTrue="1">
      <formula>LEN(TRIM(E42))=0</formula>
    </cfRule>
  </conditionalFormatting>
  <conditionalFormatting sqref="E45:I45">
    <cfRule type="containsBlanks" dxfId="3064" priority="191" stopIfTrue="1">
      <formula>LEN(TRIM(E45))=0</formula>
    </cfRule>
    <cfRule type="cellIs" dxfId="3063" priority="192" stopIfTrue="1" operator="between">
      <formula>79.1</formula>
      <formula>100</formula>
    </cfRule>
    <cfRule type="cellIs" dxfId="3062" priority="193" stopIfTrue="1" operator="between">
      <formula>34.1</formula>
      <formula>79</formula>
    </cfRule>
    <cfRule type="cellIs" dxfId="3061" priority="194" stopIfTrue="1" operator="between">
      <formula>13.1</formula>
      <formula>34</formula>
    </cfRule>
    <cfRule type="cellIs" dxfId="3060" priority="195" stopIfTrue="1" operator="between">
      <formula>5.1</formula>
      <formula>13</formula>
    </cfRule>
    <cfRule type="cellIs" dxfId="3059" priority="196" stopIfTrue="1" operator="between">
      <formula>0</formula>
      <formula>5</formula>
    </cfRule>
    <cfRule type="containsBlanks" dxfId="3058" priority="197" stopIfTrue="1">
      <formula>LEN(TRIM(E45))=0</formula>
    </cfRule>
  </conditionalFormatting>
  <conditionalFormatting sqref="E46:H46">
    <cfRule type="containsBlanks" dxfId="3057" priority="184" stopIfTrue="1">
      <formula>LEN(TRIM(E46))=0</formula>
    </cfRule>
    <cfRule type="cellIs" dxfId="3056" priority="185" stopIfTrue="1" operator="between">
      <formula>79.1</formula>
      <formula>100</formula>
    </cfRule>
    <cfRule type="cellIs" dxfId="3055" priority="186" stopIfTrue="1" operator="between">
      <formula>34.1</formula>
      <formula>79</formula>
    </cfRule>
    <cfRule type="cellIs" dxfId="3054" priority="187" stopIfTrue="1" operator="between">
      <formula>13.1</formula>
      <formula>34</formula>
    </cfRule>
    <cfRule type="cellIs" dxfId="3053" priority="188" stopIfTrue="1" operator="between">
      <formula>5.1</formula>
      <formula>13</formula>
    </cfRule>
    <cfRule type="cellIs" dxfId="3052" priority="189" stopIfTrue="1" operator="between">
      <formula>0</formula>
      <formula>5</formula>
    </cfRule>
    <cfRule type="containsBlanks" dxfId="3051" priority="190" stopIfTrue="1">
      <formula>LEN(TRIM(E46))=0</formula>
    </cfRule>
  </conditionalFormatting>
  <conditionalFormatting sqref="E47:H47">
    <cfRule type="containsBlanks" dxfId="3050" priority="177" stopIfTrue="1">
      <formula>LEN(TRIM(E47))=0</formula>
    </cfRule>
    <cfRule type="cellIs" dxfId="3049" priority="178" stopIfTrue="1" operator="between">
      <formula>79.1</formula>
      <formula>100</formula>
    </cfRule>
    <cfRule type="cellIs" dxfId="3048" priority="179" stopIfTrue="1" operator="between">
      <formula>34.1</formula>
      <formula>79</formula>
    </cfRule>
    <cfRule type="cellIs" dxfId="3047" priority="180" stopIfTrue="1" operator="between">
      <formula>13.1</formula>
      <formula>34</formula>
    </cfRule>
    <cfRule type="cellIs" dxfId="3046" priority="181" stopIfTrue="1" operator="between">
      <formula>5.1</formula>
      <formula>13</formula>
    </cfRule>
    <cfRule type="cellIs" dxfId="3045" priority="182" stopIfTrue="1" operator="between">
      <formula>0</formula>
      <formula>5</formula>
    </cfRule>
    <cfRule type="containsBlanks" dxfId="3044" priority="183" stopIfTrue="1">
      <formula>LEN(TRIM(E47))=0</formula>
    </cfRule>
  </conditionalFormatting>
  <conditionalFormatting sqref="E51:P51">
    <cfRule type="containsBlanks" dxfId="3043" priority="170" stopIfTrue="1">
      <formula>LEN(TRIM(E51))=0</formula>
    </cfRule>
    <cfRule type="cellIs" dxfId="3042" priority="171" stopIfTrue="1" operator="between">
      <formula>80.1</formula>
      <formula>100</formula>
    </cfRule>
    <cfRule type="cellIs" dxfId="3041" priority="172" stopIfTrue="1" operator="between">
      <formula>35.1</formula>
      <formula>80</formula>
    </cfRule>
    <cfRule type="cellIs" dxfId="3040" priority="173" stopIfTrue="1" operator="between">
      <formula>14.1</formula>
      <formula>35</formula>
    </cfRule>
    <cfRule type="cellIs" dxfId="3039" priority="174" stopIfTrue="1" operator="between">
      <formula>5.1</formula>
      <formula>14</formula>
    </cfRule>
    <cfRule type="cellIs" dxfId="3038" priority="175" stopIfTrue="1" operator="between">
      <formula>0</formula>
      <formula>5</formula>
    </cfRule>
    <cfRule type="containsBlanks" dxfId="3037" priority="176" stopIfTrue="1">
      <formula>LEN(TRIM(E51))=0</formula>
    </cfRule>
  </conditionalFormatting>
  <conditionalFormatting sqref="E52:P52">
    <cfRule type="containsBlanks" dxfId="3036" priority="163" stopIfTrue="1">
      <formula>LEN(TRIM(E52))=0</formula>
    </cfRule>
    <cfRule type="cellIs" dxfId="3035" priority="164" stopIfTrue="1" operator="between">
      <formula>80.1</formula>
      <formula>100</formula>
    </cfRule>
    <cfRule type="cellIs" dxfId="3034" priority="165" stopIfTrue="1" operator="between">
      <formula>35.1</formula>
      <formula>80</formula>
    </cfRule>
    <cfRule type="cellIs" dxfId="3033" priority="166" stopIfTrue="1" operator="between">
      <formula>14.1</formula>
      <formula>35</formula>
    </cfRule>
    <cfRule type="cellIs" dxfId="3032" priority="167" stopIfTrue="1" operator="between">
      <formula>5.1</formula>
      <formula>14</formula>
    </cfRule>
    <cfRule type="cellIs" dxfId="3031" priority="168" stopIfTrue="1" operator="between">
      <formula>0</formula>
      <formula>5</formula>
    </cfRule>
    <cfRule type="containsBlanks" dxfId="3030" priority="169" stopIfTrue="1">
      <formula>LEN(TRIM(E52))=0</formula>
    </cfRule>
  </conditionalFormatting>
  <conditionalFormatting sqref="E50:P50">
    <cfRule type="containsBlanks" dxfId="3029" priority="156" stopIfTrue="1">
      <formula>LEN(TRIM(E50))=0</formula>
    </cfRule>
    <cfRule type="cellIs" dxfId="3028" priority="157" stopIfTrue="1" operator="between">
      <formula>80.1</formula>
      <formula>100</formula>
    </cfRule>
    <cfRule type="cellIs" dxfId="3027" priority="158" stopIfTrue="1" operator="between">
      <formula>35.1</formula>
      <formula>80</formula>
    </cfRule>
    <cfRule type="cellIs" dxfId="3026" priority="159" stopIfTrue="1" operator="between">
      <formula>14.1</formula>
      <formula>35</formula>
    </cfRule>
    <cfRule type="cellIs" dxfId="3025" priority="160" stopIfTrue="1" operator="between">
      <formula>5.1</formula>
      <formula>14</formula>
    </cfRule>
    <cfRule type="cellIs" dxfId="3024" priority="161" stopIfTrue="1" operator="between">
      <formula>0</formula>
      <formula>5</formula>
    </cfRule>
    <cfRule type="containsBlanks" dxfId="3023" priority="162" stopIfTrue="1">
      <formula>LEN(TRIM(E50))=0</formula>
    </cfRule>
  </conditionalFormatting>
  <conditionalFormatting sqref="E56:P56">
    <cfRule type="containsBlanks" dxfId="3022" priority="149" stopIfTrue="1">
      <formula>LEN(TRIM(E56))=0</formula>
    </cfRule>
    <cfRule type="cellIs" dxfId="3021" priority="150" stopIfTrue="1" operator="between">
      <formula>80.1</formula>
      <formula>100</formula>
    </cfRule>
    <cfRule type="cellIs" dxfId="3020" priority="151" stopIfTrue="1" operator="between">
      <formula>35.1</formula>
      <formula>80</formula>
    </cfRule>
    <cfRule type="cellIs" dxfId="3019" priority="152" stopIfTrue="1" operator="between">
      <formula>14.1</formula>
      <formula>35</formula>
    </cfRule>
    <cfRule type="cellIs" dxfId="3018" priority="153" stopIfTrue="1" operator="between">
      <formula>5.1</formula>
      <formula>14</formula>
    </cfRule>
    <cfRule type="cellIs" dxfId="3017" priority="154" stopIfTrue="1" operator="between">
      <formula>0</formula>
      <formula>5</formula>
    </cfRule>
    <cfRule type="containsBlanks" dxfId="3016" priority="155" stopIfTrue="1">
      <formula>LEN(TRIM(E56))=0</formula>
    </cfRule>
  </conditionalFormatting>
  <conditionalFormatting sqref="E49:G49">
    <cfRule type="containsBlanks" dxfId="3015" priority="142" stopIfTrue="1">
      <formula>LEN(TRIM(E49))=0</formula>
    </cfRule>
    <cfRule type="cellIs" dxfId="3014" priority="143" stopIfTrue="1" operator="between">
      <formula>80.1</formula>
      <formula>100</formula>
    </cfRule>
    <cfRule type="cellIs" dxfId="3013" priority="144" stopIfTrue="1" operator="between">
      <formula>35.1</formula>
      <formula>80</formula>
    </cfRule>
    <cfRule type="cellIs" dxfId="3012" priority="145" stopIfTrue="1" operator="between">
      <formula>14.1</formula>
      <formula>35</formula>
    </cfRule>
    <cfRule type="cellIs" dxfId="3011" priority="146" stopIfTrue="1" operator="between">
      <formula>5.1</formula>
      <formula>14</formula>
    </cfRule>
    <cfRule type="cellIs" dxfId="3010" priority="147" stopIfTrue="1" operator="between">
      <formula>0</formula>
      <formula>5</formula>
    </cfRule>
    <cfRule type="containsBlanks" dxfId="3009" priority="148" stopIfTrue="1">
      <formula>LEN(TRIM(E49))=0</formula>
    </cfRule>
  </conditionalFormatting>
  <conditionalFormatting sqref="E54:K54">
    <cfRule type="containsBlanks" dxfId="3008" priority="135" stopIfTrue="1">
      <formula>LEN(TRIM(E54))=0</formula>
    </cfRule>
    <cfRule type="cellIs" dxfId="3007" priority="136" stopIfTrue="1" operator="between">
      <formula>80.1</formula>
      <formula>100</formula>
    </cfRule>
    <cfRule type="cellIs" dxfId="3006" priority="137" stopIfTrue="1" operator="between">
      <formula>35.1</formula>
      <formula>80</formula>
    </cfRule>
    <cfRule type="cellIs" dxfId="3005" priority="138" stopIfTrue="1" operator="between">
      <formula>14.1</formula>
      <formula>35</formula>
    </cfRule>
    <cfRule type="cellIs" dxfId="3004" priority="139" stopIfTrue="1" operator="between">
      <formula>5.1</formula>
      <formula>14</formula>
    </cfRule>
    <cfRule type="cellIs" dxfId="3003" priority="140" stopIfTrue="1" operator="between">
      <formula>0</formula>
      <formula>5</formula>
    </cfRule>
    <cfRule type="containsBlanks" dxfId="3002" priority="141" stopIfTrue="1">
      <formula>LEN(TRIM(E54))=0</formula>
    </cfRule>
  </conditionalFormatting>
  <conditionalFormatting sqref="E68:O68">
    <cfRule type="containsBlanks" dxfId="3001" priority="30" stopIfTrue="1">
      <formula>LEN(TRIM(E68))=0</formula>
    </cfRule>
    <cfRule type="cellIs" dxfId="3000" priority="31" stopIfTrue="1" operator="between">
      <formula>80.1</formula>
      <formula>100</formula>
    </cfRule>
    <cfRule type="cellIs" dxfId="2999" priority="32" stopIfTrue="1" operator="between">
      <formula>35.1</formula>
      <formula>80</formula>
    </cfRule>
    <cfRule type="cellIs" dxfId="2998" priority="33" stopIfTrue="1" operator="between">
      <formula>14.1</formula>
      <formula>35</formula>
    </cfRule>
    <cfRule type="cellIs" dxfId="2997" priority="34" stopIfTrue="1" operator="between">
      <formula>5.1</formula>
      <formula>14</formula>
    </cfRule>
    <cfRule type="cellIs" dxfId="2996" priority="35" stopIfTrue="1" operator="between">
      <formula>0</formula>
      <formula>5</formula>
    </cfRule>
    <cfRule type="containsBlanks" dxfId="2995" priority="36" stopIfTrue="1">
      <formula>LEN(TRIM(E68))=0</formula>
    </cfRule>
  </conditionalFormatting>
  <conditionalFormatting sqref="E55:L55">
    <cfRule type="containsBlanks" dxfId="2994" priority="128" stopIfTrue="1">
      <formula>LEN(TRIM(E55))=0</formula>
    </cfRule>
    <cfRule type="cellIs" dxfId="2993" priority="129" stopIfTrue="1" operator="between">
      <formula>80.1</formula>
      <formula>100</formula>
    </cfRule>
    <cfRule type="cellIs" dxfId="2992" priority="130" stopIfTrue="1" operator="between">
      <formula>35.1</formula>
      <formula>80</formula>
    </cfRule>
    <cfRule type="cellIs" dxfId="2991" priority="131" stopIfTrue="1" operator="between">
      <formula>14.1</formula>
      <formula>35</formula>
    </cfRule>
    <cfRule type="cellIs" dxfId="2990" priority="132" stopIfTrue="1" operator="between">
      <formula>5.1</formula>
      <formula>14</formula>
    </cfRule>
    <cfRule type="cellIs" dxfId="2989" priority="133" stopIfTrue="1" operator="between">
      <formula>0</formula>
      <formula>5</formula>
    </cfRule>
    <cfRule type="containsBlanks" dxfId="2988" priority="134" stopIfTrue="1">
      <formula>LEN(TRIM(E55))=0</formula>
    </cfRule>
  </conditionalFormatting>
  <conditionalFormatting sqref="E53:I53">
    <cfRule type="containsBlanks" dxfId="2987" priority="121" stopIfTrue="1">
      <formula>LEN(TRIM(E53))=0</formula>
    </cfRule>
    <cfRule type="cellIs" dxfId="2986" priority="122" stopIfTrue="1" operator="between">
      <formula>80.1</formula>
      <formula>100</formula>
    </cfRule>
    <cfRule type="cellIs" dxfId="2985" priority="123" stopIfTrue="1" operator="between">
      <formula>35.1</formula>
      <formula>80</formula>
    </cfRule>
    <cfRule type="cellIs" dxfId="2984" priority="124" stopIfTrue="1" operator="between">
      <formula>14.1</formula>
      <formula>35</formula>
    </cfRule>
    <cfRule type="cellIs" dxfId="2983" priority="125" stopIfTrue="1" operator="between">
      <formula>5.1</formula>
      <formula>14</formula>
    </cfRule>
    <cfRule type="cellIs" dxfId="2982" priority="126" stopIfTrue="1" operator="between">
      <formula>0</formula>
      <formula>5</formula>
    </cfRule>
    <cfRule type="containsBlanks" dxfId="2981" priority="127" stopIfTrue="1">
      <formula>LEN(TRIM(E53))=0</formula>
    </cfRule>
  </conditionalFormatting>
  <conditionalFormatting sqref="E48:K48">
    <cfRule type="containsBlanks" dxfId="2980" priority="114" stopIfTrue="1">
      <formula>LEN(TRIM(E48))=0</formula>
    </cfRule>
    <cfRule type="cellIs" dxfId="2979" priority="115" stopIfTrue="1" operator="between">
      <formula>80.1</formula>
      <formula>100</formula>
    </cfRule>
    <cfRule type="cellIs" dxfId="2978" priority="116" stopIfTrue="1" operator="between">
      <formula>35.1</formula>
      <formula>80</formula>
    </cfRule>
    <cfRule type="cellIs" dxfId="2977" priority="117" stopIfTrue="1" operator="between">
      <formula>14.1</formula>
      <formula>35</formula>
    </cfRule>
    <cfRule type="cellIs" dxfId="2976" priority="118" stopIfTrue="1" operator="between">
      <formula>5.1</formula>
      <formula>14</formula>
    </cfRule>
    <cfRule type="cellIs" dxfId="2975" priority="119" stopIfTrue="1" operator="between">
      <formula>0</formula>
      <formula>5</formula>
    </cfRule>
    <cfRule type="containsBlanks" dxfId="2974" priority="120" stopIfTrue="1">
      <formula>LEN(TRIM(E48))=0</formula>
    </cfRule>
  </conditionalFormatting>
  <conditionalFormatting sqref="E58:J58">
    <cfRule type="containsBlanks" dxfId="2973" priority="107" stopIfTrue="1">
      <formula>LEN(TRIM(E58))=0</formula>
    </cfRule>
    <cfRule type="cellIs" dxfId="2972" priority="108" stopIfTrue="1" operator="between">
      <formula>80.1</formula>
      <formula>100</formula>
    </cfRule>
    <cfRule type="cellIs" dxfId="2971" priority="109" stopIfTrue="1" operator="between">
      <formula>35.1</formula>
      <formula>80</formula>
    </cfRule>
    <cfRule type="cellIs" dxfId="2970" priority="110" stopIfTrue="1" operator="between">
      <formula>14.1</formula>
      <formula>35</formula>
    </cfRule>
    <cfRule type="cellIs" dxfId="2969" priority="111" stopIfTrue="1" operator="between">
      <formula>5.1</formula>
      <formula>14</formula>
    </cfRule>
    <cfRule type="cellIs" dxfId="2968" priority="112" stopIfTrue="1" operator="between">
      <formula>0</formula>
      <formula>5</formula>
    </cfRule>
    <cfRule type="containsBlanks" dxfId="2967" priority="113" stopIfTrue="1">
      <formula>LEN(TRIM(E58))=0</formula>
    </cfRule>
  </conditionalFormatting>
  <conditionalFormatting sqref="E59:K59">
    <cfRule type="containsBlanks" dxfId="2966" priority="100" stopIfTrue="1">
      <formula>LEN(TRIM(E59))=0</formula>
    </cfRule>
    <cfRule type="cellIs" dxfId="2965" priority="101" stopIfTrue="1" operator="between">
      <formula>80.1</formula>
      <formula>100</formula>
    </cfRule>
    <cfRule type="cellIs" dxfId="2964" priority="102" stopIfTrue="1" operator="between">
      <formula>35.1</formula>
      <formula>80</formula>
    </cfRule>
    <cfRule type="cellIs" dxfId="2963" priority="103" stopIfTrue="1" operator="between">
      <formula>14.1</formula>
      <formula>35</formula>
    </cfRule>
    <cfRule type="cellIs" dxfId="2962" priority="104" stopIfTrue="1" operator="between">
      <formula>5.1</formula>
      <formula>14</formula>
    </cfRule>
    <cfRule type="cellIs" dxfId="2961" priority="105" stopIfTrue="1" operator="between">
      <formula>0</formula>
      <formula>5</formula>
    </cfRule>
    <cfRule type="containsBlanks" dxfId="2960" priority="106" stopIfTrue="1">
      <formula>LEN(TRIM(E59))=0</formula>
    </cfRule>
  </conditionalFormatting>
  <conditionalFormatting sqref="E62:J62">
    <cfRule type="containsBlanks" dxfId="2959" priority="93" stopIfTrue="1">
      <formula>LEN(TRIM(E62))=0</formula>
    </cfRule>
    <cfRule type="cellIs" dxfId="2958" priority="94" stopIfTrue="1" operator="between">
      <formula>80.1</formula>
      <formula>100</formula>
    </cfRule>
    <cfRule type="cellIs" dxfId="2957" priority="95" stopIfTrue="1" operator="between">
      <formula>35.1</formula>
      <formula>80</formula>
    </cfRule>
    <cfRule type="cellIs" dxfId="2956" priority="96" stopIfTrue="1" operator="between">
      <formula>14.1</formula>
      <formula>35</formula>
    </cfRule>
    <cfRule type="cellIs" dxfId="2955" priority="97" stopIfTrue="1" operator="between">
      <formula>5.1</formula>
      <formula>14</formula>
    </cfRule>
    <cfRule type="cellIs" dxfId="2954" priority="98" stopIfTrue="1" operator="between">
      <formula>0</formula>
      <formula>5</formula>
    </cfRule>
    <cfRule type="containsBlanks" dxfId="2953" priority="99" stopIfTrue="1">
      <formula>LEN(TRIM(E62))=0</formula>
    </cfRule>
  </conditionalFormatting>
  <conditionalFormatting sqref="E71:O71">
    <cfRule type="containsBlanks" dxfId="2952" priority="86" stopIfTrue="1">
      <formula>LEN(TRIM(E71))=0</formula>
    </cfRule>
    <cfRule type="cellIs" dxfId="2951" priority="87" stopIfTrue="1" operator="between">
      <formula>80.1</formula>
      <formula>100</formula>
    </cfRule>
    <cfRule type="cellIs" dxfId="2950" priority="88" stopIfTrue="1" operator="between">
      <formula>35.1</formula>
      <formula>80</formula>
    </cfRule>
    <cfRule type="cellIs" dxfId="2949" priority="89" stopIfTrue="1" operator="between">
      <formula>14.1</formula>
      <formula>35</formula>
    </cfRule>
    <cfRule type="cellIs" dxfId="2948" priority="90" stopIfTrue="1" operator="between">
      <formula>5.1</formula>
      <formula>14</formula>
    </cfRule>
    <cfRule type="cellIs" dxfId="2947" priority="91" stopIfTrue="1" operator="between">
      <formula>0</formula>
      <formula>5</formula>
    </cfRule>
    <cfRule type="containsBlanks" dxfId="2946" priority="92" stopIfTrue="1">
      <formula>LEN(TRIM(E71))=0</formula>
    </cfRule>
  </conditionalFormatting>
  <conditionalFormatting sqref="E65:J65">
    <cfRule type="containsBlanks" dxfId="2945" priority="79" stopIfTrue="1">
      <formula>LEN(TRIM(E65))=0</formula>
    </cfRule>
    <cfRule type="cellIs" dxfId="2944" priority="80" stopIfTrue="1" operator="between">
      <formula>80.1</formula>
      <formula>100</formula>
    </cfRule>
    <cfRule type="cellIs" dxfId="2943" priority="81" stopIfTrue="1" operator="between">
      <formula>35.1</formula>
      <formula>80</formula>
    </cfRule>
    <cfRule type="cellIs" dxfId="2942" priority="82" stopIfTrue="1" operator="between">
      <formula>14.1</formula>
      <formula>35</formula>
    </cfRule>
    <cfRule type="cellIs" dxfId="2941" priority="83" stopIfTrue="1" operator="between">
      <formula>5.1</formula>
      <formula>14</formula>
    </cfRule>
    <cfRule type="cellIs" dxfId="2940" priority="84" stopIfTrue="1" operator="between">
      <formula>0</formula>
      <formula>5</formula>
    </cfRule>
    <cfRule type="containsBlanks" dxfId="2939" priority="85" stopIfTrue="1">
      <formula>LEN(TRIM(E65))=0</formula>
    </cfRule>
  </conditionalFormatting>
  <conditionalFormatting sqref="E66:M66">
    <cfRule type="containsBlanks" dxfId="2938" priority="72" stopIfTrue="1">
      <formula>LEN(TRIM(E66))=0</formula>
    </cfRule>
    <cfRule type="cellIs" dxfId="2937" priority="73" stopIfTrue="1" operator="between">
      <formula>80.1</formula>
      <formula>100</formula>
    </cfRule>
    <cfRule type="cellIs" dxfId="2936" priority="74" stopIfTrue="1" operator="between">
      <formula>35.1</formula>
      <formula>80</formula>
    </cfRule>
    <cfRule type="cellIs" dxfId="2935" priority="75" stopIfTrue="1" operator="between">
      <formula>14.1</formula>
      <formula>35</formula>
    </cfRule>
    <cfRule type="cellIs" dxfId="2934" priority="76" stopIfTrue="1" operator="between">
      <formula>5.1</formula>
      <formula>14</formula>
    </cfRule>
    <cfRule type="cellIs" dxfId="2933" priority="77" stopIfTrue="1" operator="between">
      <formula>0</formula>
      <formula>5</formula>
    </cfRule>
    <cfRule type="containsBlanks" dxfId="2932" priority="78" stopIfTrue="1">
      <formula>LEN(TRIM(E66))=0</formula>
    </cfRule>
  </conditionalFormatting>
  <conditionalFormatting sqref="E67:N67">
    <cfRule type="containsBlanks" dxfId="2931" priority="65" stopIfTrue="1">
      <formula>LEN(TRIM(E67))=0</formula>
    </cfRule>
    <cfRule type="cellIs" dxfId="2930" priority="66" stopIfTrue="1" operator="between">
      <formula>80.1</formula>
      <formula>100</formula>
    </cfRule>
    <cfRule type="cellIs" dxfId="2929" priority="67" stopIfTrue="1" operator="between">
      <formula>35.1</formula>
      <formula>80</formula>
    </cfRule>
    <cfRule type="cellIs" dxfId="2928" priority="68" stopIfTrue="1" operator="between">
      <formula>14.1</formula>
      <formula>35</formula>
    </cfRule>
    <cfRule type="cellIs" dxfId="2927" priority="69" stopIfTrue="1" operator="between">
      <formula>5.1</formula>
      <formula>14</formula>
    </cfRule>
    <cfRule type="cellIs" dxfId="2926" priority="70" stopIfTrue="1" operator="between">
      <formula>0</formula>
      <formula>5</formula>
    </cfRule>
    <cfRule type="containsBlanks" dxfId="2925" priority="71" stopIfTrue="1">
      <formula>LEN(TRIM(E67))=0</formula>
    </cfRule>
  </conditionalFormatting>
  <conditionalFormatting sqref="E69:J70">
    <cfRule type="containsBlanks" dxfId="2924" priority="51" stopIfTrue="1">
      <formula>LEN(TRIM(E69))=0</formula>
    </cfRule>
    <cfRule type="cellIs" dxfId="2923" priority="52" stopIfTrue="1" operator="between">
      <formula>80.1</formula>
      <formula>100</formula>
    </cfRule>
    <cfRule type="cellIs" dxfId="2922" priority="53" stopIfTrue="1" operator="between">
      <formula>35.1</formula>
      <formula>80</formula>
    </cfRule>
    <cfRule type="cellIs" dxfId="2921" priority="54" stopIfTrue="1" operator="between">
      <formula>14.1</formula>
      <formula>35</formula>
    </cfRule>
    <cfRule type="cellIs" dxfId="2920" priority="55" stopIfTrue="1" operator="between">
      <formula>5.1</formula>
      <formula>14</formula>
    </cfRule>
    <cfRule type="cellIs" dxfId="2919" priority="56" stopIfTrue="1" operator="between">
      <formula>0</formula>
      <formula>5</formula>
    </cfRule>
    <cfRule type="containsBlanks" dxfId="2918" priority="57" stopIfTrue="1">
      <formula>LEN(TRIM(E69))=0</formula>
    </cfRule>
  </conditionalFormatting>
  <conditionalFormatting sqref="E61:K61">
    <cfRule type="containsBlanks" dxfId="2917" priority="44" stopIfTrue="1">
      <formula>LEN(TRIM(E61))=0</formula>
    </cfRule>
    <cfRule type="cellIs" dxfId="2916" priority="45" stopIfTrue="1" operator="between">
      <formula>80.1</formula>
      <formula>100</formula>
    </cfRule>
    <cfRule type="cellIs" dxfId="2915" priority="46" stopIfTrue="1" operator="between">
      <formula>35.1</formula>
      <formula>80</formula>
    </cfRule>
    <cfRule type="cellIs" dxfId="2914" priority="47" stopIfTrue="1" operator="between">
      <formula>14.1</formula>
      <formula>35</formula>
    </cfRule>
    <cfRule type="cellIs" dxfId="2913" priority="48" stopIfTrue="1" operator="between">
      <formula>5.1</formula>
      <formula>14</formula>
    </cfRule>
    <cfRule type="cellIs" dxfId="2912" priority="49" stopIfTrue="1" operator="between">
      <formula>0</formula>
      <formula>5</formula>
    </cfRule>
    <cfRule type="containsBlanks" dxfId="2911" priority="50" stopIfTrue="1">
      <formula>LEN(TRIM(E61))=0</formula>
    </cfRule>
  </conditionalFormatting>
  <conditionalFormatting sqref="E72:M72">
    <cfRule type="containsBlanks" dxfId="2910" priority="37" stopIfTrue="1">
      <formula>LEN(TRIM(E72))=0</formula>
    </cfRule>
    <cfRule type="cellIs" dxfId="2909" priority="38" stopIfTrue="1" operator="between">
      <formula>80.1</formula>
      <formula>100</formula>
    </cfRule>
    <cfRule type="cellIs" dxfId="2908" priority="39" stopIfTrue="1" operator="between">
      <formula>35.1</formula>
      <formula>80</formula>
    </cfRule>
    <cfRule type="cellIs" dxfId="2907" priority="40" stopIfTrue="1" operator="between">
      <formula>14.1</formula>
      <formula>35</formula>
    </cfRule>
    <cfRule type="cellIs" dxfId="2906" priority="41" stopIfTrue="1" operator="between">
      <formula>5.1</formula>
      <formula>14</formula>
    </cfRule>
    <cfRule type="cellIs" dxfId="2905" priority="42" stopIfTrue="1" operator="between">
      <formula>0</formula>
      <formula>5</formula>
    </cfRule>
    <cfRule type="containsBlanks" dxfId="2904" priority="43" stopIfTrue="1">
      <formula>LEN(TRIM(E72))=0</formula>
    </cfRule>
  </conditionalFormatting>
  <conditionalFormatting sqref="R11">
    <cfRule type="cellIs" dxfId="2903" priority="29" stopIfTrue="1" operator="equal">
      <formula>"NO"</formula>
    </cfRule>
  </conditionalFormatting>
  <conditionalFormatting sqref="S11:S79">
    <cfRule type="cellIs" dxfId="2902" priority="28" stopIfTrue="1" operator="equal">
      <formula>"INVIABLE SANITARIAMENTE"</formula>
    </cfRule>
  </conditionalFormatting>
  <conditionalFormatting sqref="Q11">
    <cfRule type="containsBlanks" dxfId="2901" priority="21" stopIfTrue="1">
      <formula>LEN(TRIM(Q11))=0</formula>
    </cfRule>
    <cfRule type="cellIs" dxfId="2900" priority="22" stopIfTrue="1" operator="between">
      <formula>80.1</formula>
      <formula>100</formula>
    </cfRule>
    <cfRule type="cellIs" dxfId="2899" priority="23" stopIfTrue="1" operator="between">
      <formula>35.1</formula>
      <formula>80</formula>
    </cfRule>
    <cfRule type="cellIs" dxfId="2898" priority="24" stopIfTrue="1" operator="between">
      <formula>14.1</formula>
      <formula>35</formula>
    </cfRule>
    <cfRule type="cellIs" dxfId="2897" priority="25" stopIfTrue="1" operator="between">
      <formula>5.1</formula>
      <formula>14</formula>
    </cfRule>
    <cfRule type="cellIs" dxfId="2896" priority="26" stopIfTrue="1" operator="between">
      <formula>0</formula>
      <formula>5</formula>
    </cfRule>
    <cfRule type="containsBlanks" dxfId="2895" priority="27" stopIfTrue="1">
      <formula>LEN(TRIM(Q11))=0</formula>
    </cfRule>
  </conditionalFormatting>
  <conditionalFormatting sqref="S11:S79">
    <cfRule type="containsText" dxfId="2894" priority="16" stopIfTrue="1" operator="containsText" text="INVIABLE SANITARIAMENTE">
      <formula>NOT(ISERROR(SEARCH("INVIABLE SANITARIAMENTE",S11)))</formula>
    </cfRule>
    <cfRule type="containsText" dxfId="2893" priority="17" stopIfTrue="1" operator="containsText" text="ALTO">
      <formula>NOT(ISERROR(SEARCH("ALTO",S11)))</formula>
    </cfRule>
    <cfRule type="containsText" dxfId="2892" priority="18" stopIfTrue="1" operator="containsText" text="MEDIO">
      <formula>NOT(ISERROR(SEARCH("MEDIO",S11)))</formula>
    </cfRule>
    <cfRule type="containsText" dxfId="2891" priority="19" stopIfTrue="1" operator="containsText" text="BAJO">
      <formula>NOT(ISERROR(SEARCH("BAJO",S11)))</formula>
    </cfRule>
    <cfRule type="containsText" dxfId="2890" priority="20" stopIfTrue="1" operator="containsText" text="SIN RIESGO">
      <formula>NOT(ISERROR(SEARCH("SIN RIESGO",S11)))</formula>
    </cfRule>
  </conditionalFormatting>
  <conditionalFormatting sqref="S11:S79">
    <cfRule type="containsText" dxfId="2889" priority="15" stopIfTrue="1" operator="containsText" text="SIN RIESGO">
      <formula>NOT(ISERROR(SEARCH("SIN RIESGO",S11)))</formula>
    </cfRule>
  </conditionalFormatting>
  <conditionalFormatting sqref="E44:Q44">
    <cfRule type="containsBlanks" dxfId="2888" priority="8" stopIfTrue="1">
      <formula>LEN(TRIM(E44))=0</formula>
    </cfRule>
    <cfRule type="cellIs" dxfId="2887" priority="9" stopIfTrue="1" operator="between">
      <formula>80.1</formula>
      <formula>100</formula>
    </cfRule>
    <cfRule type="cellIs" dxfId="2886" priority="10" stopIfTrue="1" operator="between">
      <formula>35.1</formula>
      <formula>80</formula>
    </cfRule>
    <cfRule type="cellIs" dxfId="2885" priority="11" stopIfTrue="1" operator="between">
      <formula>14.1</formula>
      <formula>35</formula>
    </cfRule>
    <cfRule type="cellIs" dxfId="2884" priority="12" stopIfTrue="1" operator="between">
      <formula>5.1</formula>
      <formula>14</formula>
    </cfRule>
    <cfRule type="cellIs" dxfId="2883" priority="13" stopIfTrue="1" operator="between">
      <formula>0</formula>
      <formula>5</formula>
    </cfRule>
    <cfRule type="containsBlanks" dxfId="2882" priority="14" stopIfTrue="1">
      <formula>LEN(TRIM(E44))=0</formula>
    </cfRule>
  </conditionalFormatting>
  <conditionalFormatting sqref="E44:P44">
    <cfRule type="containsBlanks" dxfId="2881" priority="1" stopIfTrue="1">
      <formula>LEN(TRIM(E44))=0</formula>
    </cfRule>
    <cfRule type="cellIs" dxfId="2880" priority="2" stopIfTrue="1" operator="between">
      <formula>79.1</formula>
      <formula>100</formula>
    </cfRule>
    <cfRule type="cellIs" dxfId="2879" priority="3" stopIfTrue="1" operator="between">
      <formula>34.1</formula>
      <formula>79</formula>
    </cfRule>
    <cfRule type="cellIs" dxfId="2878" priority="4" stopIfTrue="1" operator="between">
      <formula>13.1</formula>
      <formula>34</formula>
    </cfRule>
    <cfRule type="cellIs" dxfId="2877" priority="5" stopIfTrue="1" operator="between">
      <formula>5.1</formula>
      <formula>13</formula>
    </cfRule>
    <cfRule type="cellIs" dxfId="2876" priority="6" stopIfTrue="1" operator="between">
      <formula>0</formula>
      <formula>5</formula>
    </cfRule>
    <cfRule type="containsBlanks" dxfId="2875" priority="7" stopIfTrue="1">
      <formula>LEN(TRIM(E44))=0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</sheetPr>
  <dimension ref="A1:XFD339"/>
  <sheetViews>
    <sheetView zoomScale="60" zoomScaleNormal="80" workbookViewId="0">
      <pane xSplit="3" ySplit="11" topLeftCell="D12" activePane="bottomRight" state="frozenSplit"/>
      <selection pane="topRight" activeCell="D1" sqref="D1"/>
      <selection pane="bottomLeft" activeCell="A12" sqref="A12"/>
      <selection pane="bottomRight" activeCell="A12" sqref="A12"/>
    </sheetView>
  </sheetViews>
  <sheetFormatPr baseColWidth="10" defaultColWidth="0" defaultRowHeight="12.75" zeroHeight="1" x14ac:dyDescent="0.2"/>
  <cols>
    <col min="1" max="1" width="36" style="35" customWidth="1"/>
    <col min="2" max="2" width="51.7109375" style="12" customWidth="1"/>
    <col min="3" max="3" width="50.140625" style="12" customWidth="1"/>
    <col min="4" max="4" width="22.28515625" style="12" customWidth="1"/>
    <col min="5" max="18" width="10.7109375" customWidth="1"/>
    <col min="19" max="19" width="43.42578125" bestFit="1" customWidth="1"/>
    <col min="20" max="20" width="9.85546875" hidden="1" customWidth="1"/>
    <col min="21" max="16384" width="11.42578125" hidden="1"/>
  </cols>
  <sheetData>
    <row r="1" spans="1:23" s="7" customFormat="1" ht="18" customHeight="1" x14ac:dyDescent="0.2">
      <c r="A1" s="54"/>
      <c r="B1" s="559" t="s">
        <v>258</v>
      </c>
      <c r="C1" s="559"/>
      <c r="D1" s="559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39" t="s">
        <v>546</v>
      </c>
      <c r="T1" s="3"/>
      <c r="U1" s="5"/>
      <c r="V1" s="6"/>
      <c r="W1" s="6"/>
    </row>
    <row r="2" spans="1:23" s="9" customFormat="1" ht="18" customHeight="1" x14ac:dyDescent="0.2">
      <c r="A2" s="54"/>
      <c r="B2" s="560" t="s">
        <v>259</v>
      </c>
      <c r="C2" s="560"/>
      <c r="D2" s="56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4"/>
      <c r="S2" s="40" t="s">
        <v>260</v>
      </c>
      <c r="T2" s="3"/>
      <c r="U2" s="8"/>
      <c r="V2" s="6"/>
      <c r="W2" s="6"/>
    </row>
    <row r="3" spans="1:23" s="7" customFormat="1" ht="18" customHeight="1" x14ac:dyDescent="0.25">
      <c r="A3" s="54"/>
      <c r="B3" s="64" t="s">
        <v>4413</v>
      </c>
      <c r="C3" s="64"/>
      <c r="D3" s="6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05"/>
      <c r="S3" s="40" t="s">
        <v>547</v>
      </c>
      <c r="T3" s="3"/>
      <c r="U3" s="5"/>
      <c r="V3" s="6"/>
      <c r="W3" s="6"/>
    </row>
    <row r="4" spans="1:23" s="7" customFormat="1" ht="18" customHeight="1" x14ac:dyDescent="0.2">
      <c r="A4" s="54"/>
      <c r="B4" s="559" t="s">
        <v>548</v>
      </c>
      <c r="C4" s="559"/>
      <c r="D4" s="55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261</v>
      </c>
      <c r="T4" s="3"/>
      <c r="U4" s="5"/>
      <c r="V4" s="6"/>
      <c r="W4" s="6"/>
    </row>
    <row r="5" spans="1:23" s="32" customFormat="1" ht="15" customHeight="1" x14ac:dyDescent="0.2">
      <c r="A5" s="42"/>
      <c r="B5" s="565"/>
      <c r="C5" s="561"/>
      <c r="D5" s="564" t="s">
        <v>266</v>
      </c>
      <c r="E5" s="556" t="s">
        <v>255</v>
      </c>
      <c r="F5" s="556"/>
      <c r="G5" s="556"/>
      <c r="H5" s="551" t="s">
        <v>263</v>
      </c>
      <c r="I5" s="551"/>
      <c r="J5" s="551"/>
      <c r="K5" s="558" t="s">
        <v>264</v>
      </c>
      <c r="L5" s="558"/>
      <c r="M5" s="558"/>
      <c r="N5" s="555" t="s">
        <v>474</v>
      </c>
      <c r="O5" s="555"/>
      <c r="P5" s="555"/>
      <c r="Q5" s="549" t="s">
        <v>265</v>
      </c>
      <c r="R5" s="549"/>
      <c r="S5" s="550" t="s">
        <v>267</v>
      </c>
    </row>
    <row r="6" spans="1:23" s="32" customFormat="1" ht="12.75" customHeight="1" x14ac:dyDescent="0.2">
      <c r="A6" s="42"/>
      <c r="B6" s="565"/>
      <c r="C6" s="561"/>
      <c r="D6" s="564"/>
      <c r="E6" s="556"/>
      <c r="F6" s="556"/>
      <c r="G6" s="556"/>
      <c r="H6" s="551"/>
      <c r="I6" s="551"/>
      <c r="J6" s="551"/>
      <c r="K6" s="558"/>
      <c r="L6" s="558"/>
      <c r="M6" s="558"/>
      <c r="N6" s="555"/>
      <c r="O6" s="555"/>
      <c r="P6" s="555"/>
      <c r="Q6" s="549"/>
      <c r="R6" s="549"/>
      <c r="S6" s="550"/>
    </row>
    <row r="7" spans="1:23" s="32" customFormat="1" ht="8.25" customHeight="1" x14ac:dyDescent="0.2">
      <c r="A7" s="562"/>
      <c r="B7" s="562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1"/>
    </row>
    <row r="8" spans="1:23" s="32" customFormat="1" ht="6" customHeight="1" x14ac:dyDescent="0.2">
      <c r="A8" s="562"/>
      <c r="B8" s="562"/>
      <c r="C8" s="43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1"/>
    </row>
    <row r="9" spans="1:23" s="32" customFormat="1" ht="27" customHeight="1" x14ac:dyDescent="0.2">
      <c r="A9" s="52" t="s">
        <v>269</v>
      </c>
      <c r="B9" s="5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0"/>
    </row>
    <row r="10" spans="1:23" s="10" customFormat="1" ht="18" customHeight="1" x14ac:dyDescent="0.2">
      <c r="A10" s="563" t="s">
        <v>37</v>
      </c>
      <c r="B10" s="547" t="s">
        <v>38</v>
      </c>
      <c r="C10" s="547" t="s">
        <v>262</v>
      </c>
      <c r="D10" s="572" t="s">
        <v>454</v>
      </c>
      <c r="E10" s="547" t="s">
        <v>33</v>
      </c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70" t="s">
        <v>34</v>
      </c>
      <c r="R10" s="570" t="s">
        <v>36</v>
      </c>
      <c r="S10" s="547" t="s">
        <v>35</v>
      </c>
      <c r="T10" s="11"/>
    </row>
    <row r="11" spans="1:23" s="10" customFormat="1" ht="24" customHeight="1" x14ac:dyDescent="0.2">
      <c r="A11" s="563"/>
      <c r="B11" s="547"/>
      <c r="C11" s="547"/>
      <c r="D11" s="573"/>
      <c r="E11" s="419" t="s">
        <v>21</v>
      </c>
      <c r="F11" s="419" t="s">
        <v>22</v>
      </c>
      <c r="G11" s="419" t="s">
        <v>23</v>
      </c>
      <c r="H11" s="419" t="s">
        <v>24</v>
      </c>
      <c r="I11" s="419" t="s">
        <v>25</v>
      </c>
      <c r="J11" s="419" t="s">
        <v>26</v>
      </c>
      <c r="K11" s="419" t="s">
        <v>27</v>
      </c>
      <c r="L11" s="419" t="s">
        <v>28</v>
      </c>
      <c r="M11" s="419" t="s">
        <v>29</v>
      </c>
      <c r="N11" s="419" t="s">
        <v>30</v>
      </c>
      <c r="O11" s="419" t="s">
        <v>31</v>
      </c>
      <c r="P11" s="419" t="s">
        <v>32</v>
      </c>
      <c r="Q11" s="570"/>
      <c r="R11" s="570"/>
      <c r="S11" s="547"/>
      <c r="T11" s="11"/>
    </row>
    <row r="12" spans="1:23" ht="32.1" customHeight="1" x14ac:dyDescent="0.2">
      <c r="A12" s="127" t="s">
        <v>197</v>
      </c>
      <c r="B12" s="128" t="s">
        <v>688</v>
      </c>
      <c r="C12" s="128" t="s">
        <v>689</v>
      </c>
      <c r="D12" s="121">
        <v>40</v>
      </c>
      <c r="E12" s="81"/>
      <c r="F12" s="81"/>
      <c r="G12" s="81"/>
      <c r="H12" s="81"/>
      <c r="I12" s="81"/>
      <c r="J12" s="81"/>
      <c r="K12" s="81"/>
      <c r="L12" s="81"/>
      <c r="M12" s="81"/>
      <c r="N12" s="81">
        <v>38</v>
      </c>
      <c r="O12" s="81"/>
      <c r="P12" s="81"/>
      <c r="Q12" s="81">
        <f t="shared" ref="Q12:Q29" si="0">AVERAGE(E12:P12)</f>
        <v>38</v>
      </c>
      <c r="R12" s="151" t="str">
        <f t="shared" ref="R12:R29" si="1">IF(Q12&lt;5,"SI","NO")</f>
        <v>NO</v>
      </c>
      <c r="S12" s="536" t="str">
        <f t="shared" ref="S12:S75" si="2">IF(Q12&lt;5,"Sin Riesgo",IF(Q12 &lt;=14,"Bajo",IF(Q12&lt;=35,"Medio",IF(Q12&lt;=80,"Alto","Inviable Sanitariamente"))))</f>
        <v>Alto</v>
      </c>
      <c r="T12" s="1"/>
    </row>
    <row r="13" spans="1:23" ht="32.1" customHeight="1" x14ac:dyDescent="0.2">
      <c r="A13" s="127" t="s">
        <v>197</v>
      </c>
      <c r="B13" s="128" t="s">
        <v>690</v>
      </c>
      <c r="C13" s="128" t="s">
        <v>691</v>
      </c>
      <c r="D13" s="121">
        <v>120</v>
      </c>
      <c r="E13" s="81"/>
      <c r="F13" s="81"/>
      <c r="G13" s="81">
        <v>97.5</v>
      </c>
      <c r="H13" s="81"/>
      <c r="I13" s="81"/>
      <c r="J13" s="81"/>
      <c r="K13" s="81"/>
      <c r="L13" s="81"/>
      <c r="M13" s="81">
        <v>69</v>
      </c>
      <c r="N13" s="81"/>
      <c r="O13" s="81"/>
      <c r="P13" s="81"/>
      <c r="Q13" s="81">
        <f t="shared" si="0"/>
        <v>83.25</v>
      </c>
      <c r="R13" s="151" t="str">
        <f t="shared" si="1"/>
        <v>NO</v>
      </c>
      <c r="S13" s="536" t="str">
        <f t="shared" si="2"/>
        <v>Inviable Sanitariamente</v>
      </c>
      <c r="T13" s="1"/>
    </row>
    <row r="14" spans="1:23" ht="32.1" customHeight="1" x14ac:dyDescent="0.2">
      <c r="A14" s="127" t="s">
        <v>197</v>
      </c>
      <c r="B14" s="128" t="s">
        <v>692</v>
      </c>
      <c r="C14" s="128" t="s">
        <v>693</v>
      </c>
      <c r="D14" s="121">
        <v>104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>
        <v>97.35</v>
      </c>
      <c r="P14" s="81"/>
      <c r="Q14" s="81">
        <f t="shared" si="0"/>
        <v>97.35</v>
      </c>
      <c r="R14" s="151" t="str">
        <f t="shared" si="1"/>
        <v>NO</v>
      </c>
      <c r="S14" s="536" t="str">
        <f t="shared" si="2"/>
        <v>Inviable Sanitariamente</v>
      </c>
      <c r="T14" s="1"/>
    </row>
    <row r="15" spans="1:23" ht="32.1" customHeight="1" x14ac:dyDescent="0.2">
      <c r="A15" s="127" t="s">
        <v>197</v>
      </c>
      <c r="B15" s="128" t="s">
        <v>694</v>
      </c>
      <c r="C15" s="128" t="s">
        <v>695</v>
      </c>
      <c r="D15" s="121">
        <v>33</v>
      </c>
      <c r="E15" s="81"/>
      <c r="F15" s="81"/>
      <c r="G15" s="81"/>
      <c r="H15" s="81"/>
      <c r="I15" s="81"/>
      <c r="J15" s="81"/>
      <c r="K15" s="81"/>
      <c r="L15" s="81"/>
      <c r="M15" s="81"/>
      <c r="N15" s="81">
        <v>53.1</v>
      </c>
      <c r="O15" s="81"/>
      <c r="P15" s="81"/>
      <c r="Q15" s="81">
        <f t="shared" si="0"/>
        <v>53.1</v>
      </c>
      <c r="R15" s="151" t="str">
        <f t="shared" si="1"/>
        <v>NO</v>
      </c>
      <c r="S15" s="536" t="str">
        <f t="shared" si="2"/>
        <v>Alto</v>
      </c>
      <c r="T15" s="1"/>
    </row>
    <row r="16" spans="1:23" ht="32.1" customHeight="1" x14ac:dyDescent="0.2">
      <c r="A16" s="127" t="s">
        <v>197</v>
      </c>
      <c r="B16" s="128" t="s">
        <v>696</v>
      </c>
      <c r="C16" s="128" t="s">
        <v>697</v>
      </c>
      <c r="D16" s="121">
        <v>30</v>
      </c>
      <c r="E16" s="81"/>
      <c r="F16" s="81"/>
      <c r="G16" s="81"/>
      <c r="H16" s="81"/>
      <c r="I16" s="81"/>
      <c r="J16" s="81"/>
      <c r="K16" s="81"/>
      <c r="L16" s="81"/>
      <c r="M16" s="81"/>
      <c r="N16" s="81">
        <v>31.5</v>
      </c>
      <c r="O16" s="81"/>
      <c r="P16" s="81"/>
      <c r="Q16" s="81">
        <f t="shared" si="0"/>
        <v>31.5</v>
      </c>
      <c r="R16" s="151" t="str">
        <f t="shared" si="1"/>
        <v>NO</v>
      </c>
      <c r="S16" s="536" t="str">
        <f t="shared" si="2"/>
        <v>Medio</v>
      </c>
      <c r="T16" s="1"/>
    </row>
    <row r="17" spans="1:20" ht="32.1" customHeight="1" x14ac:dyDescent="0.2">
      <c r="A17" s="127" t="s">
        <v>197</v>
      </c>
      <c r="B17" s="128" t="s">
        <v>698</v>
      </c>
      <c r="C17" s="128" t="s">
        <v>699</v>
      </c>
      <c r="D17" s="121">
        <v>27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>
        <v>0</v>
      </c>
      <c r="P17" s="81"/>
      <c r="Q17" s="81">
        <f t="shared" si="0"/>
        <v>0</v>
      </c>
      <c r="R17" s="151" t="str">
        <f t="shared" si="1"/>
        <v>SI</v>
      </c>
      <c r="S17" s="536" t="str">
        <f t="shared" si="2"/>
        <v>Sin Riesgo</v>
      </c>
      <c r="T17" s="1"/>
    </row>
    <row r="18" spans="1:20" s="32" customFormat="1" ht="30" customHeight="1" x14ac:dyDescent="0.2">
      <c r="A18" s="289" t="s">
        <v>4130</v>
      </c>
      <c r="B18" s="289" t="s">
        <v>710</v>
      </c>
      <c r="C18" s="289" t="s">
        <v>4391</v>
      </c>
      <c r="D18" s="116" t="s">
        <v>255</v>
      </c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7" t="e">
        <f t="shared" si="0"/>
        <v>#DIV/0!</v>
      </c>
      <c r="R18" s="478" t="e">
        <f t="shared" si="1"/>
        <v>#DIV/0!</v>
      </c>
      <c r="S18" s="536" t="e">
        <f t="shared" si="2"/>
        <v>#DIV/0!</v>
      </c>
    </row>
    <row r="19" spans="1:20" ht="32.1" customHeight="1" x14ac:dyDescent="0.2">
      <c r="A19" s="127" t="s">
        <v>4130</v>
      </c>
      <c r="B19" s="129" t="s">
        <v>702</v>
      </c>
      <c r="C19" s="129" t="s">
        <v>703</v>
      </c>
      <c r="D19" s="121">
        <v>53</v>
      </c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81" t="e">
        <f t="shared" si="0"/>
        <v>#DIV/0!</v>
      </c>
      <c r="R19" s="151" t="e">
        <f t="shared" si="1"/>
        <v>#DIV/0!</v>
      </c>
      <c r="S19" s="536" t="e">
        <f t="shared" si="2"/>
        <v>#DIV/0!</v>
      </c>
      <c r="T19" s="1"/>
    </row>
    <row r="20" spans="1:20" ht="30" customHeight="1" x14ac:dyDescent="0.2">
      <c r="A20" s="127" t="s">
        <v>4130</v>
      </c>
      <c r="B20" s="129" t="s">
        <v>704</v>
      </c>
      <c r="C20" s="129" t="s">
        <v>705</v>
      </c>
      <c r="D20" s="116">
        <v>113</v>
      </c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81" t="e">
        <f t="shared" si="0"/>
        <v>#DIV/0!</v>
      </c>
      <c r="R20" s="151" t="e">
        <f t="shared" si="1"/>
        <v>#DIV/0!</v>
      </c>
      <c r="S20" s="536" t="e">
        <f t="shared" si="2"/>
        <v>#DIV/0!</v>
      </c>
      <c r="T20" s="1"/>
    </row>
    <row r="21" spans="1:20" ht="32.1" customHeight="1" x14ac:dyDescent="0.2">
      <c r="A21" s="127" t="s">
        <v>4130</v>
      </c>
      <c r="B21" s="129" t="s">
        <v>706</v>
      </c>
      <c r="C21" s="129" t="s">
        <v>707</v>
      </c>
      <c r="D21" s="116">
        <v>23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>
        <v>0</v>
      </c>
      <c r="P21" s="81"/>
      <c r="Q21" s="81">
        <f t="shared" si="0"/>
        <v>0</v>
      </c>
      <c r="R21" s="151" t="str">
        <f t="shared" si="1"/>
        <v>SI</v>
      </c>
      <c r="S21" s="536" t="str">
        <f t="shared" si="2"/>
        <v>Sin Riesgo</v>
      </c>
      <c r="T21" s="1"/>
    </row>
    <row r="22" spans="1:20" ht="32.1" customHeight="1" x14ac:dyDescent="0.2">
      <c r="A22" s="127" t="s">
        <v>199</v>
      </c>
      <c r="B22" s="129" t="s">
        <v>712</v>
      </c>
      <c r="C22" s="129" t="s">
        <v>713</v>
      </c>
      <c r="D22" s="121">
        <v>44</v>
      </c>
      <c r="E22" s="81"/>
      <c r="F22" s="81"/>
      <c r="G22" s="81"/>
      <c r="H22" s="81"/>
      <c r="I22" s="81"/>
      <c r="J22" s="81"/>
      <c r="K22" s="81"/>
      <c r="L22" s="81">
        <v>97.35</v>
      </c>
      <c r="M22" s="81"/>
      <c r="N22" s="81"/>
      <c r="O22" s="81"/>
      <c r="P22" s="81"/>
      <c r="Q22" s="81">
        <f t="shared" si="0"/>
        <v>97.35</v>
      </c>
      <c r="R22" s="151" t="str">
        <f t="shared" si="1"/>
        <v>NO</v>
      </c>
      <c r="S22" s="536" t="str">
        <f t="shared" si="2"/>
        <v>Inviable Sanitariamente</v>
      </c>
      <c r="T22" s="1"/>
    </row>
    <row r="23" spans="1:20" ht="32.1" customHeight="1" x14ac:dyDescent="0.2">
      <c r="A23" s="127" t="s">
        <v>199</v>
      </c>
      <c r="B23" s="133" t="s">
        <v>714</v>
      </c>
      <c r="C23" s="129" t="s">
        <v>715</v>
      </c>
      <c r="D23" s="121">
        <v>25</v>
      </c>
      <c r="E23" s="81"/>
      <c r="F23" s="81"/>
      <c r="G23" s="81"/>
      <c r="H23" s="81">
        <v>97.3</v>
      </c>
      <c r="I23" s="81"/>
      <c r="J23" s="81"/>
      <c r="K23" s="81"/>
      <c r="L23" s="81"/>
      <c r="M23" s="81"/>
      <c r="N23" s="81"/>
      <c r="O23" s="81">
        <v>97.35</v>
      </c>
      <c r="P23" s="81"/>
      <c r="Q23" s="81">
        <f t="shared" si="0"/>
        <v>97.324999999999989</v>
      </c>
      <c r="R23" s="151" t="str">
        <f t="shared" si="1"/>
        <v>NO</v>
      </c>
      <c r="S23" s="536" t="str">
        <f t="shared" si="2"/>
        <v>Inviable Sanitariamente</v>
      </c>
      <c r="T23" s="1"/>
    </row>
    <row r="24" spans="1:20" ht="32.1" customHeight="1" x14ac:dyDescent="0.2">
      <c r="A24" s="127" t="s">
        <v>199</v>
      </c>
      <c r="B24" s="133" t="s">
        <v>702</v>
      </c>
      <c r="C24" s="133" t="s">
        <v>716</v>
      </c>
      <c r="D24" s="121">
        <v>37</v>
      </c>
      <c r="E24" s="81"/>
      <c r="F24" s="81"/>
      <c r="G24" s="81">
        <v>97.3</v>
      </c>
      <c r="H24" s="81"/>
      <c r="I24" s="81"/>
      <c r="J24" s="81"/>
      <c r="K24" s="81"/>
      <c r="L24" s="81"/>
      <c r="M24" s="81"/>
      <c r="N24" s="81"/>
      <c r="O24" s="81">
        <v>97.35</v>
      </c>
      <c r="P24" s="81"/>
      <c r="Q24" s="81">
        <f t="shared" si="0"/>
        <v>97.324999999999989</v>
      </c>
      <c r="R24" s="151" t="str">
        <f t="shared" si="1"/>
        <v>NO</v>
      </c>
      <c r="S24" s="536" t="str">
        <f t="shared" si="2"/>
        <v>Inviable Sanitariamente</v>
      </c>
      <c r="T24" s="1"/>
    </row>
    <row r="25" spans="1:20" ht="32.1" customHeight="1" x14ac:dyDescent="0.2">
      <c r="A25" s="127" t="s">
        <v>200</v>
      </c>
      <c r="B25" s="429" t="s">
        <v>818</v>
      </c>
      <c r="C25" s="429" t="s">
        <v>819</v>
      </c>
      <c r="D25" s="121">
        <v>4900</v>
      </c>
      <c r="E25" s="81"/>
      <c r="F25" s="81"/>
      <c r="G25" s="81"/>
      <c r="H25" s="81"/>
      <c r="I25" s="81"/>
      <c r="J25" s="81"/>
      <c r="K25" s="81"/>
      <c r="L25" s="81"/>
      <c r="M25" s="81">
        <v>96.51</v>
      </c>
      <c r="N25" s="81"/>
      <c r="O25" s="81"/>
      <c r="P25" s="81"/>
      <c r="Q25" s="81">
        <f t="shared" si="0"/>
        <v>96.51</v>
      </c>
      <c r="R25" s="151" t="str">
        <f t="shared" si="1"/>
        <v>NO</v>
      </c>
      <c r="S25" s="536" t="str">
        <f t="shared" si="2"/>
        <v>Inviable Sanitariamente</v>
      </c>
      <c r="T25" s="1"/>
    </row>
    <row r="26" spans="1:20" ht="32.1" customHeight="1" x14ac:dyDescent="0.2">
      <c r="A26" s="127" t="s">
        <v>200</v>
      </c>
      <c r="B26" s="429" t="s">
        <v>820</v>
      </c>
      <c r="C26" s="429" t="s">
        <v>821</v>
      </c>
      <c r="D26" s="121">
        <v>300</v>
      </c>
      <c r="E26" s="81"/>
      <c r="F26" s="81"/>
      <c r="G26" s="81"/>
      <c r="H26" s="81"/>
      <c r="I26" s="81"/>
      <c r="J26" s="81"/>
      <c r="K26" s="81"/>
      <c r="L26" s="81"/>
      <c r="M26" s="81"/>
      <c r="N26" s="81">
        <v>96.51</v>
      </c>
      <c r="O26" s="81"/>
      <c r="P26" s="81"/>
      <c r="Q26" s="81">
        <f t="shared" si="0"/>
        <v>96.51</v>
      </c>
      <c r="R26" s="151" t="str">
        <f t="shared" si="1"/>
        <v>NO</v>
      </c>
      <c r="S26" s="536" t="str">
        <f t="shared" si="2"/>
        <v>Inviable Sanitariamente</v>
      </c>
      <c r="T26" s="1"/>
    </row>
    <row r="27" spans="1:20" ht="32.1" customHeight="1" x14ac:dyDescent="0.2">
      <c r="A27" s="127" t="s">
        <v>200</v>
      </c>
      <c r="B27" s="429" t="s">
        <v>822</v>
      </c>
      <c r="C27" s="429" t="s">
        <v>823</v>
      </c>
      <c r="D27" s="121">
        <v>60</v>
      </c>
      <c r="E27" s="81"/>
      <c r="F27" s="81"/>
      <c r="G27" s="81"/>
      <c r="H27" s="81"/>
      <c r="I27" s="81"/>
      <c r="J27" s="81"/>
      <c r="K27" s="81"/>
      <c r="L27" s="81"/>
      <c r="M27" s="81">
        <v>96.51</v>
      </c>
      <c r="N27" s="81"/>
      <c r="O27" s="81"/>
      <c r="P27" s="81"/>
      <c r="Q27" s="81">
        <f t="shared" si="0"/>
        <v>96.51</v>
      </c>
      <c r="R27" s="151" t="str">
        <f t="shared" si="1"/>
        <v>NO</v>
      </c>
      <c r="S27" s="536" t="str">
        <f t="shared" si="2"/>
        <v>Inviable Sanitariamente</v>
      </c>
      <c r="T27" s="1"/>
    </row>
    <row r="28" spans="1:20" ht="32.1" customHeight="1" x14ac:dyDescent="0.2">
      <c r="A28" s="127" t="s">
        <v>200</v>
      </c>
      <c r="B28" s="429" t="s">
        <v>824</v>
      </c>
      <c r="C28" s="429" t="s">
        <v>825</v>
      </c>
      <c r="D28" s="121">
        <v>50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 t="e">
        <f t="shared" si="0"/>
        <v>#DIV/0!</v>
      </c>
      <c r="R28" s="151" t="e">
        <f t="shared" si="1"/>
        <v>#DIV/0!</v>
      </c>
      <c r="S28" s="536" t="e">
        <f t="shared" si="2"/>
        <v>#DIV/0!</v>
      </c>
      <c r="T28" s="1"/>
    </row>
    <row r="29" spans="1:20" ht="32.1" customHeight="1" x14ac:dyDescent="0.2">
      <c r="A29" s="127" t="s">
        <v>200</v>
      </c>
      <c r="B29" s="429" t="s">
        <v>826</v>
      </c>
      <c r="C29" s="429" t="s">
        <v>827</v>
      </c>
      <c r="D29" s="121">
        <v>72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 t="e">
        <f t="shared" si="0"/>
        <v>#DIV/0!</v>
      </c>
      <c r="R29" s="151" t="e">
        <f t="shared" si="1"/>
        <v>#DIV/0!</v>
      </c>
      <c r="S29" s="536" t="e">
        <f t="shared" si="2"/>
        <v>#DIV/0!</v>
      </c>
      <c r="T29" s="1"/>
    </row>
    <row r="30" spans="1:20" ht="32.1" customHeight="1" x14ac:dyDescent="0.2">
      <c r="A30" s="127" t="s">
        <v>200</v>
      </c>
      <c r="B30" s="429" t="s">
        <v>828</v>
      </c>
      <c r="C30" s="429" t="s">
        <v>829</v>
      </c>
      <c r="D30" s="121">
        <v>80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 t="e">
        <f t="shared" ref="Q30:Q61" si="3">AVERAGE(E30:P30)</f>
        <v>#DIV/0!</v>
      </c>
      <c r="R30" s="151" t="e">
        <f t="shared" ref="R30:R61" si="4">IF(Q30&lt;5,"SI","NO")</f>
        <v>#DIV/0!</v>
      </c>
      <c r="S30" s="536" t="e">
        <f t="shared" si="2"/>
        <v>#DIV/0!</v>
      </c>
      <c r="T30" s="1"/>
    </row>
    <row r="31" spans="1:20" ht="32.1" customHeight="1" x14ac:dyDescent="0.2">
      <c r="A31" s="127" t="s">
        <v>200</v>
      </c>
      <c r="B31" s="128" t="s">
        <v>830</v>
      </c>
      <c r="C31" s="99" t="s">
        <v>831</v>
      </c>
      <c r="D31" s="116">
        <v>40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 t="e">
        <f t="shared" si="3"/>
        <v>#DIV/0!</v>
      </c>
      <c r="R31" s="151" t="e">
        <f t="shared" si="4"/>
        <v>#DIV/0!</v>
      </c>
      <c r="S31" s="536" t="e">
        <f t="shared" si="2"/>
        <v>#DIV/0!</v>
      </c>
      <c r="T31" s="1"/>
    </row>
    <row r="32" spans="1:20" ht="32.1" customHeight="1" x14ac:dyDescent="0.2">
      <c r="A32" s="127" t="s">
        <v>201</v>
      </c>
      <c r="B32" s="429" t="s">
        <v>832</v>
      </c>
      <c r="C32" s="429" t="s">
        <v>833</v>
      </c>
      <c r="D32" s="121">
        <v>172</v>
      </c>
      <c r="E32" s="81"/>
      <c r="F32" s="81">
        <v>97.3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>
        <f t="shared" si="3"/>
        <v>97.3</v>
      </c>
      <c r="R32" s="151" t="str">
        <f t="shared" si="4"/>
        <v>NO</v>
      </c>
      <c r="S32" s="536" t="str">
        <f t="shared" si="2"/>
        <v>Inviable Sanitariamente</v>
      </c>
      <c r="T32" s="1"/>
    </row>
    <row r="33" spans="1:20" ht="32.1" customHeight="1" x14ac:dyDescent="0.2">
      <c r="A33" s="127" t="s">
        <v>201</v>
      </c>
      <c r="B33" s="429" t="s">
        <v>834</v>
      </c>
      <c r="C33" s="429" t="s">
        <v>835</v>
      </c>
      <c r="D33" s="121">
        <v>75</v>
      </c>
      <c r="E33" s="81"/>
      <c r="F33" s="81">
        <v>97.3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>
        <f t="shared" si="3"/>
        <v>97.3</v>
      </c>
      <c r="R33" s="151" t="str">
        <f t="shared" si="4"/>
        <v>NO</v>
      </c>
      <c r="S33" s="536" t="str">
        <f t="shared" si="2"/>
        <v>Inviable Sanitariamente</v>
      </c>
      <c r="T33" s="1"/>
    </row>
    <row r="34" spans="1:20" ht="32.1" customHeight="1" x14ac:dyDescent="0.2">
      <c r="A34" s="127" t="s">
        <v>201</v>
      </c>
      <c r="B34" s="429" t="s">
        <v>836</v>
      </c>
      <c r="C34" s="429" t="s">
        <v>837</v>
      </c>
      <c r="D34" s="121">
        <v>102</v>
      </c>
      <c r="E34" s="81"/>
      <c r="F34" s="81"/>
      <c r="G34" s="81"/>
      <c r="H34" s="81"/>
      <c r="I34" s="81"/>
      <c r="J34" s="81">
        <v>97.3</v>
      </c>
      <c r="K34" s="81"/>
      <c r="L34" s="81"/>
      <c r="M34" s="81"/>
      <c r="N34" s="81"/>
      <c r="O34" s="81"/>
      <c r="P34" s="81"/>
      <c r="Q34" s="81">
        <f t="shared" si="3"/>
        <v>97.3</v>
      </c>
      <c r="R34" s="151" t="str">
        <f t="shared" si="4"/>
        <v>NO</v>
      </c>
      <c r="S34" s="536" t="str">
        <f t="shared" si="2"/>
        <v>Inviable Sanitariamente</v>
      </c>
      <c r="T34" s="1"/>
    </row>
    <row r="35" spans="1:20" ht="32.1" customHeight="1" x14ac:dyDescent="0.2">
      <c r="A35" s="127" t="s">
        <v>201</v>
      </c>
      <c r="B35" s="429" t="s">
        <v>838</v>
      </c>
      <c r="C35" s="429" t="s">
        <v>839</v>
      </c>
      <c r="D35" s="121">
        <v>57</v>
      </c>
      <c r="E35" s="81">
        <v>97.3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>
        <f t="shared" si="3"/>
        <v>97.3</v>
      </c>
      <c r="R35" s="151" t="str">
        <f t="shared" si="4"/>
        <v>NO</v>
      </c>
      <c r="S35" s="536" t="str">
        <f t="shared" si="2"/>
        <v>Inviable Sanitariamente</v>
      </c>
      <c r="T35" s="1"/>
    </row>
    <row r="36" spans="1:20" ht="32.1" customHeight="1" x14ac:dyDescent="0.2">
      <c r="A36" s="127" t="s">
        <v>201</v>
      </c>
      <c r="B36" s="429" t="s">
        <v>840</v>
      </c>
      <c r="C36" s="429" t="s">
        <v>841</v>
      </c>
      <c r="D36" s="121">
        <v>60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 t="e">
        <f t="shared" si="3"/>
        <v>#DIV/0!</v>
      </c>
      <c r="R36" s="151" t="e">
        <f t="shared" si="4"/>
        <v>#DIV/0!</v>
      </c>
      <c r="S36" s="536" t="e">
        <f t="shared" si="2"/>
        <v>#DIV/0!</v>
      </c>
      <c r="T36" s="1"/>
    </row>
    <row r="37" spans="1:20" ht="32.1" customHeight="1" x14ac:dyDescent="0.2">
      <c r="A37" s="127" t="s">
        <v>201</v>
      </c>
      <c r="B37" s="429" t="s">
        <v>842</v>
      </c>
      <c r="C37" s="429" t="s">
        <v>843</v>
      </c>
      <c r="D37" s="121">
        <v>25</v>
      </c>
      <c r="E37" s="81"/>
      <c r="F37" s="81"/>
      <c r="G37" s="81"/>
      <c r="H37" s="81"/>
      <c r="I37" s="81">
        <v>97.3</v>
      </c>
      <c r="J37" s="81"/>
      <c r="K37" s="81"/>
      <c r="L37" s="81"/>
      <c r="M37" s="81"/>
      <c r="N37" s="81"/>
      <c r="O37" s="81"/>
      <c r="P37" s="81"/>
      <c r="Q37" s="81">
        <f t="shared" si="3"/>
        <v>97.3</v>
      </c>
      <c r="R37" s="151" t="str">
        <f t="shared" si="4"/>
        <v>NO</v>
      </c>
      <c r="S37" s="536" t="str">
        <f t="shared" si="2"/>
        <v>Inviable Sanitariamente</v>
      </c>
      <c r="T37" s="1"/>
    </row>
    <row r="38" spans="1:20" ht="32.1" customHeight="1" x14ac:dyDescent="0.2">
      <c r="A38" s="127" t="s">
        <v>201</v>
      </c>
      <c r="B38" s="429" t="s">
        <v>844</v>
      </c>
      <c r="C38" s="429" t="s">
        <v>845</v>
      </c>
      <c r="D38" s="121">
        <v>34</v>
      </c>
      <c r="E38" s="81"/>
      <c r="F38" s="81"/>
      <c r="G38" s="81">
        <v>97.3</v>
      </c>
      <c r="H38" s="81"/>
      <c r="I38" s="81"/>
      <c r="J38" s="81"/>
      <c r="K38" s="81"/>
      <c r="L38" s="81"/>
      <c r="M38" s="81"/>
      <c r="N38" s="81"/>
      <c r="O38" s="81"/>
      <c r="P38" s="81"/>
      <c r="Q38" s="81">
        <f t="shared" si="3"/>
        <v>97.3</v>
      </c>
      <c r="R38" s="151" t="str">
        <f t="shared" si="4"/>
        <v>NO</v>
      </c>
      <c r="S38" s="536" t="str">
        <f t="shared" si="2"/>
        <v>Inviable Sanitariamente</v>
      </c>
      <c r="T38" s="1"/>
    </row>
    <row r="39" spans="1:20" ht="32.1" customHeight="1" x14ac:dyDescent="0.2">
      <c r="A39" s="127" t="s">
        <v>201</v>
      </c>
      <c r="B39" s="429" t="s">
        <v>483</v>
      </c>
      <c r="C39" s="429" t="s">
        <v>846</v>
      </c>
      <c r="D39" s="116">
        <v>40</v>
      </c>
      <c r="E39" s="81">
        <v>97.3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>
        <f t="shared" si="3"/>
        <v>97.3</v>
      </c>
      <c r="R39" s="151" t="str">
        <f t="shared" si="4"/>
        <v>NO</v>
      </c>
      <c r="S39" s="536" t="str">
        <f t="shared" si="2"/>
        <v>Inviable Sanitariamente</v>
      </c>
      <c r="T39" s="1"/>
    </row>
    <row r="40" spans="1:20" ht="32.1" customHeight="1" x14ac:dyDescent="0.2">
      <c r="A40" s="127" t="s">
        <v>201</v>
      </c>
      <c r="B40" s="429" t="s">
        <v>847</v>
      </c>
      <c r="C40" s="429" t="s">
        <v>848</v>
      </c>
      <c r="D40" s="121">
        <v>23</v>
      </c>
      <c r="E40" s="81"/>
      <c r="F40" s="81"/>
      <c r="G40" s="81"/>
      <c r="H40" s="81"/>
      <c r="I40" s="81"/>
      <c r="J40" s="81">
        <v>97.3</v>
      </c>
      <c r="K40" s="81"/>
      <c r="L40" s="81"/>
      <c r="M40" s="81"/>
      <c r="N40" s="81"/>
      <c r="O40" s="81"/>
      <c r="P40" s="81"/>
      <c r="Q40" s="81">
        <f t="shared" si="3"/>
        <v>97.3</v>
      </c>
      <c r="R40" s="151" t="str">
        <f t="shared" si="4"/>
        <v>NO</v>
      </c>
      <c r="S40" s="536" t="str">
        <f t="shared" si="2"/>
        <v>Inviable Sanitariamente</v>
      </c>
      <c r="T40" s="1"/>
    </row>
    <row r="41" spans="1:20" ht="32.1" customHeight="1" x14ac:dyDescent="0.2">
      <c r="A41" s="127" t="s">
        <v>201</v>
      </c>
      <c r="B41" s="429" t="s">
        <v>849</v>
      </c>
      <c r="C41" s="429" t="s">
        <v>850</v>
      </c>
      <c r="D41" s="121">
        <v>42</v>
      </c>
      <c r="E41" s="81">
        <v>97.3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>
        <f t="shared" si="3"/>
        <v>97.3</v>
      </c>
      <c r="R41" s="151" t="str">
        <f t="shared" si="4"/>
        <v>NO</v>
      </c>
      <c r="S41" s="536" t="str">
        <f t="shared" si="2"/>
        <v>Inviable Sanitariamente</v>
      </c>
      <c r="T41" s="1"/>
    </row>
    <row r="42" spans="1:20" ht="32.1" customHeight="1" x14ac:dyDescent="0.2">
      <c r="A42" s="127" t="s">
        <v>201</v>
      </c>
      <c r="B42" s="429" t="s">
        <v>851</v>
      </c>
      <c r="C42" s="429" t="s">
        <v>852</v>
      </c>
      <c r="D42" s="116">
        <v>40</v>
      </c>
      <c r="E42" s="81">
        <v>97.3</v>
      </c>
      <c r="F42" s="81"/>
      <c r="G42" s="81"/>
      <c r="H42" s="81">
        <v>97.3</v>
      </c>
      <c r="I42" s="81"/>
      <c r="J42" s="81"/>
      <c r="K42" s="81"/>
      <c r="L42" s="81"/>
      <c r="M42" s="81"/>
      <c r="N42" s="81"/>
      <c r="O42" s="81"/>
      <c r="P42" s="81"/>
      <c r="Q42" s="81">
        <f t="shared" si="3"/>
        <v>97.3</v>
      </c>
      <c r="R42" s="151" t="str">
        <f t="shared" si="4"/>
        <v>NO</v>
      </c>
      <c r="S42" s="536" t="str">
        <f t="shared" si="2"/>
        <v>Inviable Sanitariamente</v>
      </c>
      <c r="T42" s="1"/>
    </row>
    <row r="43" spans="1:20" ht="32.1" customHeight="1" x14ac:dyDescent="0.2">
      <c r="A43" s="127" t="s">
        <v>201</v>
      </c>
      <c r="B43" s="429" t="s">
        <v>853</v>
      </c>
      <c r="C43" s="429" t="s">
        <v>854</v>
      </c>
      <c r="D43" s="121">
        <v>25</v>
      </c>
      <c r="E43" s="81">
        <v>97.3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>
        <f t="shared" si="3"/>
        <v>97.3</v>
      </c>
      <c r="R43" s="151" t="str">
        <f t="shared" si="4"/>
        <v>NO</v>
      </c>
      <c r="S43" s="536" t="str">
        <f t="shared" si="2"/>
        <v>Inviable Sanitariamente</v>
      </c>
      <c r="T43" s="1"/>
    </row>
    <row r="44" spans="1:20" ht="32.1" customHeight="1" x14ac:dyDescent="0.2">
      <c r="A44" s="127" t="s">
        <v>201</v>
      </c>
      <c r="B44" s="429" t="s">
        <v>855</v>
      </c>
      <c r="C44" s="429" t="s">
        <v>856</v>
      </c>
      <c r="D44" s="121">
        <v>44</v>
      </c>
      <c r="E44" s="81"/>
      <c r="F44" s="81"/>
      <c r="G44" s="81">
        <v>97.3</v>
      </c>
      <c r="H44" s="81"/>
      <c r="I44" s="81"/>
      <c r="J44" s="81"/>
      <c r="K44" s="81"/>
      <c r="L44" s="81"/>
      <c r="M44" s="81"/>
      <c r="N44" s="81"/>
      <c r="O44" s="81"/>
      <c r="P44" s="81"/>
      <c r="Q44" s="81">
        <f t="shared" si="3"/>
        <v>97.3</v>
      </c>
      <c r="R44" s="151" t="str">
        <f t="shared" si="4"/>
        <v>NO</v>
      </c>
      <c r="S44" s="536" t="str">
        <f t="shared" si="2"/>
        <v>Inviable Sanitariamente</v>
      </c>
      <c r="T44" s="1"/>
    </row>
    <row r="45" spans="1:20" ht="32.1" customHeight="1" x14ac:dyDescent="0.2">
      <c r="A45" s="127" t="s">
        <v>201</v>
      </c>
      <c r="B45" s="429" t="s">
        <v>857</v>
      </c>
      <c r="C45" s="429" t="s">
        <v>858</v>
      </c>
      <c r="D45" s="116">
        <v>56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 t="e">
        <f t="shared" si="3"/>
        <v>#DIV/0!</v>
      </c>
      <c r="R45" s="151" t="e">
        <f t="shared" si="4"/>
        <v>#DIV/0!</v>
      </c>
      <c r="S45" s="536" t="e">
        <f t="shared" si="2"/>
        <v>#DIV/0!</v>
      </c>
      <c r="T45" s="1"/>
    </row>
    <row r="46" spans="1:20" ht="32.1" customHeight="1" x14ac:dyDescent="0.2">
      <c r="A46" s="127" t="s">
        <v>201</v>
      </c>
      <c r="B46" s="429" t="s">
        <v>859</v>
      </c>
      <c r="C46" s="429" t="s">
        <v>860</v>
      </c>
      <c r="D46" s="121">
        <v>1313</v>
      </c>
      <c r="E46" s="81"/>
      <c r="F46" s="81"/>
      <c r="G46" s="81"/>
      <c r="H46" s="81"/>
      <c r="I46" s="81"/>
      <c r="J46" s="81">
        <v>97.3</v>
      </c>
      <c r="K46" s="81"/>
      <c r="L46" s="81"/>
      <c r="M46" s="81"/>
      <c r="N46" s="81"/>
      <c r="O46" s="81"/>
      <c r="P46" s="81"/>
      <c r="Q46" s="81">
        <f t="shared" si="3"/>
        <v>97.3</v>
      </c>
      <c r="R46" s="151" t="str">
        <f t="shared" si="4"/>
        <v>NO</v>
      </c>
      <c r="S46" s="536" t="str">
        <f t="shared" si="2"/>
        <v>Inviable Sanitariamente</v>
      </c>
      <c r="T46" s="1"/>
    </row>
    <row r="47" spans="1:20" ht="32.1" customHeight="1" x14ac:dyDescent="0.2">
      <c r="A47" s="127" t="s">
        <v>201</v>
      </c>
      <c r="B47" s="429" t="s">
        <v>861</v>
      </c>
      <c r="C47" s="429" t="s">
        <v>862</v>
      </c>
      <c r="D47" s="121">
        <v>19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 t="e">
        <f t="shared" si="3"/>
        <v>#DIV/0!</v>
      </c>
      <c r="R47" s="151" t="e">
        <f t="shared" si="4"/>
        <v>#DIV/0!</v>
      </c>
      <c r="S47" s="536" t="e">
        <f t="shared" si="2"/>
        <v>#DIV/0!</v>
      </c>
      <c r="T47" s="1"/>
    </row>
    <row r="48" spans="1:20" ht="32.1" customHeight="1" x14ac:dyDescent="0.2">
      <c r="A48" s="127" t="s">
        <v>201</v>
      </c>
      <c r="B48" s="429" t="s">
        <v>863</v>
      </c>
      <c r="C48" s="429" t="s">
        <v>864</v>
      </c>
      <c r="D48" s="121">
        <v>23</v>
      </c>
      <c r="E48" s="81"/>
      <c r="F48" s="81"/>
      <c r="G48" s="81">
        <v>97.3</v>
      </c>
      <c r="H48" s="81"/>
      <c r="I48" s="81"/>
      <c r="J48" s="81"/>
      <c r="K48" s="81"/>
      <c r="L48" s="81"/>
      <c r="M48" s="81"/>
      <c r="N48" s="81"/>
      <c r="O48" s="81"/>
      <c r="P48" s="81"/>
      <c r="Q48" s="81">
        <f t="shared" si="3"/>
        <v>97.3</v>
      </c>
      <c r="R48" s="151" t="str">
        <f t="shared" si="4"/>
        <v>NO</v>
      </c>
      <c r="S48" s="536" t="str">
        <f t="shared" si="2"/>
        <v>Inviable Sanitariamente</v>
      </c>
      <c r="T48" s="1"/>
    </row>
    <row r="49" spans="1:20" ht="32.1" customHeight="1" x14ac:dyDescent="0.2">
      <c r="A49" s="127" t="s">
        <v>201</v>
      </c>
      <c r="B49" s="128" t="s">
        <v>865</v>
      </c>
      <c r="C49" s="99" t="s">
        <v>866</v>
      </c>
      <c r="D49" s="121">
        <v>47</v>
      </c>
      <c r="E49" s="81">
        <v>97.3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>
        <f t="shared" si="3"/>
        <v>97.3</v>
      </c>
      <c r="R49" s="151" t="str">
        <f t="shared" si="4"/>
        <v>NO</v>
      </c>
      <c r="S49" s="536" t="str">
        <f t="shared" si="2"/>
        <v>Inviable Sanitariamente</v>
      </c>
      <c r="T49" s="1"/>
    </row>
    <row r="50" spans="1:20" ht="32.1" customHeight="1" x14ac:dyDescent="0.2">
      <c r="A50" s="127" t="s">
        <v>201</v>
      </c>
      <c r="B50" s="429" t="s">
        <v>867</v>
      </c>
      <c r="C50" s="429" t="s">
        <v>868</v>
      </c>
      <c r="D50" s="121">
        <v>44</v>
      </c>
      <c r="E50" s="81"/>
      <c r="F50" s="81"/>
      <c r="G50" s="81"/>
      <c r="H50" s="81"/>
      <c r="I50" s="81">
        <v>97.3</v>
      </c>
      <c r="J50" s="81"/>
      <c r="K50" s="81"/>
      <c r="L50" s="81"/>
      <c r="M50" s="81"/>
      <c r="N50" s="81"/>
      <c r="O50" s="81"/>
      <c r="P50" s="81"/>
      <c r="Q50" s="81">
        <f t="shared" si="3"/>
        <v>97.3</v>
      </c>
      <c r="R50" s="151" t="str">
        <f t="shared" si="4"/>
        <v>NO</v>
      </c>
      <c r="S50" s="536" t="str">
        <f t="shared" si="2"/>
        <v>Inviable Sanitariamente</v>
      </c>
      <c r="T50" s="1"/>
    </row>
    <row r="51" spans="1:20" ht="32.1" customHeight="1" x14ac:dyDescent="0.2">
      <c r="A51" s="127" t="s">
        <v>201</v>
      </c>
      <c r="B51" s="429" t="s">
        <v>869</v>
      </c>
      <c r="C51" s="429" t="s">
        <v>870</v>
      </c>
      <c r="D51" s="121">
        <v>45</v>
      </c>
      <c r="E51" s="81"/>
      <c r="F51" s="81"/>
      <c r="G51" s="81"/>
      <c r="H51" s="81"/>
      <c r="I51" s="81">
        <v>97.3</v>
      </c>
      <c r="J51" s="81"/>
      <c r="K51" s="81"/>
      <c r="L51" s="81"/>
      <c r="M51" s="81"/>
      <c r="N51" s="81"/>
      <c r="O51" s="81"/>
      <c r="P51" s="81"/>
      <c r="Q51" s="81">
        <f t="shared" si="3"/>
        <v>97.3</v>
      </c>
      <c r="R51" s="151" t="str">
        <f t="shared" si="4"/>
        <v>NO</v>
      </c>
      <c r="S51" s="536" t="str">
        <f t="shared" si="2"/>
        <v>Inviable Sanitariamente</v>
      </c>
      <c r="T51" s="1"/>
    </row>
    <row r="52" spans="1:20" ht="32.1" customHeight="1" x14ac:dyDescent="0.2">
      <c r="A52" s="127" t="s">
        <v>201</v>
      </c>
      <c r="B52" s="429" t="s">
        <v>871</v>
      </c>
      <c r="C52" s="429" t="s">
        <v>872</v>
      </c>
      <c r="D52" s="121">
        <v>43</v>
      </c>
      <c r="E52" s="81"/>
      <c r="F52" s="81"/>
      <c r="G52" s="81"/>
      <c r="H52" s="81">
        <v>97.3</v>
      </c>
      <c r="I52" s="81"/>
      <c r="J52" s="81"/>
      <c r="K52" s="81"/>
      <c r="L52" s="81"/>
      <c r="M52" s="81"/>
      <c r="N52" s="81"/>
      <c r="O52" s="81"/>
      <c r="P52" s="81"/>
      <c r="Q52" s="81">
        <f t="shared" si="3"/>
        <v>97.3</v>
      </c>
      <c r="R52" s="151" t="str">
        <f t="shared" si="4"/>
        <v>NO</v>
      </c>
      <c r="S52" s="536" t="str">
        <f t="shared" si="2"/>
        <v>Inviable Sanitariamente</v>
      </c>
      <c r="T52" s="1"/>
    </row>
    <row r="53" spans="1:20" ht="32.1" customHeight="1" x14ac:dyDescent="0.2">
      <c r="A53" s="127" t="s">
        <v>201</v>
      </c>
      <c r="B53" s="128" t="s">
        <v>873</v>
      </c>
      <c r="C53" s="429" t="s">
        <v>874</v>
      </c>
      <c r="D53" s="121">
        <v>95</v>
      </c>
      <c r="E53" s="81"/>
      <c r="F53" s="81"/>
      <c r="G53" s="81"/>
      <c r="H53" s="81">
        <v>97.3</v>
      </c>
      <c r="I53" s="81"/>
      <c r="J53" s="81"/>
      <c r="K53" s="81"/>
      <c r="L53" s="81"/>
      <c r="M53" s="81"/>
      <c r="N53" s="81"/>
      <c r="O53" s="81"/>
      <c r="P53" s="81"/>
      <c r="Q53" s="81">
        <f t="shared" si="3"/>
        <v>97.3</v>
      </c>
      <c r="R53" s="151" t="str">
        <f t="shared" si="4"/>
        <v>NO</v>
      </c>
      <c r="S53" s="536" t="str">
        <f t="shared" si="2"/>
        <v>Inviable Sanitariamente</v>
      </c>
      <c r="T53" s="1"/>
    </row>
    <row r="54" spans="1:20" ht="32.1" customHeight="1" x14ac:dyDescent="0.2">
      <c r="A54" s="127" t="s">
        <v>201</v>
      </c>
      <c r="B54" s="429" t="s">
        <v>875</v>
      </c>
      <c r="C54" s="429" t="s">
        <v>876</v>
      </c>
      <c r="D54" s="121">
        <v>40</v>
      </c>
      <c r="E54" s="81">
        <v>97.3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>
        <f t="shared" si="3"/>
        <v>97.3</v>
      </c>
      <c r="R54" s="151" t="str">
        <f t="shared" si="4"/>
        <v>NO</v>
      </c>
      <c r="S54" s="536" t="str">
        <f t="shared" si="2"/>
        <v>Inviable Sanitariamente</v>
      </c>
      <c r="T54" s="1"/>
    </row>
    <row r="55" spans="1:20" ht="32.1" customHeight="1" x14ac:dyDescent="0.2">
      <c r="A55" s="127" t="s">
        <v>201</v>
      </c>
      <c r="B55" s="429" t="s">
        <v>877</v>
      </c>
      <c r="C55" s="429" t="s">
        <v>878</v>
      </c>
      <c r="D55" s="121">
        <v>64</v>
      </c>
      <c r="E55" s="81"/>
      <c r="F55" s="81"/>
      <c r="G55" s="81"/>
      <c r="H55" s="81"/>
      <c r="I55" s="81"/>
      <c r="J55" s="81">
        <v>97.3</v>
      </c>
      <c r="K55" s="81"/>
      <c r="L55" s="81"/>
      <c r="M55" s="81"/>
      <c r="N55" s="81"/>
      <c r="O55" s="81"/>
      <c r="P55" s="81"/>
      <c r="Q55" s="81">
        <f t="shared" si="3"/>
        <v>97.3</v>
      </c>
      <c r="R55" s="151" t="str">
        <f t="shared" si="4"/>
        <v>NO</v>
      </c>
      <c r="S55" s="536" t="str">
        <f t="shared" si="2"/>
        <v>Inviable Sanitariamente</v>
      </c>
      <c r="T55" s="1"/>
    </row>
    <row r="56" spans="1:20" ht="32.1" customHeight="1" x14ac:dyDescent="0.2">
      <c r="A56" s="127" t="s">
        <v>201</v>
      </c>
      <c r="B56" s="128" t="s">
        <v>49</v>
      </c>
      <c r="C56" s="429" t="s">
        <v>879</v>
      </c>
      <c r="D56" s="121">
        <v>52</v>
      </c>
      <c r="E56" s="81"/>
      <c r="F56" s="81"/>
      <c r="G56" s="81"/>
      <c r="H56" s="81"/>
      <c r="I56" s="81"/>
      <c r="J56" s="81">
        <v>97.3</v>
      </c>
      <c r="K56" s="81"/>
      <c r="L56" s="81"/>
      <c r="M56" s="81"/>
      <c r="N56" s="81"/>
      <c r="O56" s="81"/>
      <c r="P56" s="81"/>
      <c r="Q56" s="81">
        <f t="shared" si="3"/>
        <v>97.3</v>
      </c>
      <c r="R56" s="151" t="str">
        <f t="shared" si="4"/>
        <v>NO</v>
      </c>
      <c r="S56" s="536" t="str">
        <f t="shared" si="2"/>
        <v>Inviable Sanitariamente</v>
      </c>
      <c r="T56" s="1"/>
    </row>
    <row r="57" spans="1:20" ht="32.1" customHeight="1" x14ac:dyDescent="0.2">
      <c r="A57" s="127" t="s">
        <v>201</v>
      </c>
      <c r="B57" s="429" t="s">
        <v>880</v>
      </c>
      <c r="C57" s="429" t="s">
        <v>881</v>
      </c>
      <c r="D57" s="121">
        <v>31</v>
      </c>
      <c r="E57" s="81">
        <v>97.3</v>
      </c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>
        <f t="shared" si="3"/>
        <v>97.3</v>
      </c>
      <c r="R57" s="151" t="str">
        <f t="shared" si="4"/>
        <v>NO</v>
      </c>
      <c r="S57" s="536" t="str">
        <f t="shared" si="2"/>
        <v>Inviable Sanitariamente</v>
      </c>
      <c r="T57" s="1"/>
    </row>
    <row r="58" spans="1:20" ht="32.1" customHeight="1" x14ac:dyDescent="0.2">
      <c r="A58" s="127" t="s">
        <v>201</v>
      </c>
      <c r="B58" s="429" t="s">
        <v>882</v>
      </c>
      <c r="C58" s="429" t="s">
        <v>883</v>
      </c>
      <c r="D58" s="121">
        <v>60</v>
      </c>
      <c r="E58" s="81">
        <v>97.3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>
        <f t="shared" si="3"/>
        <v>97.3</v>
      </c>
      <c r="R58" s="151" t="str">
        <f t="shared" si="4"/>
        <v>NO</v>
      </c>
      <c r="S58" s="536" t="str">
        <f t="shared" si="2"/>
        <v>Inviable Sanitariamente</v>
      </c>
      <c r="T58" s="1"/>
    </row>
    <row r="59" spans="1:20" ht="32.1" customHeight="1" x14ac:dyDescent="0.2">
      <c r="A59" s="127" t="s">
        <v>201</v>
      </c>
      <c r="B59" s="128" t="s">
        <v>884</v>
      </c>
      <c r="C59" s="128" t="s">
        <v>885</v>
      </c>
      <c r="D59" s="121">
        <v>120</v>
      </c>
      <c r="E59" s="81"/>
      <c r="F59" s="81"/>
      <c r="G59" s="81"/>
      <c r="H59" s="81"/>
      <c r="I59" s="81"/>
      <c r="J59" s="81">
        <v>97.3</v>
      </c>
      <c r="K59" s="81"/>
      <c r="L59" s="81"/>
      <c r="M59" s="81"/>
      <c r="N59" s="81"/>
      <c r="O59" s="81"/>
      <c r="P59" s="81"/>
      <c r="Q59" s="81">
        <f t="shared" si="3"/>
        <v>97.3</v>
      </c>
      <c r="R59" s="151" t="str">
        <f t="shared" si="4"/>
        <v>NO</v>
      </c>
      <c r="S59" s="536" t="str">
        <f t="shared" si="2"/>
        <v>Inviable Sanitariamente</v>
      </c>
      <c r="T59" s="1"/>
    </row>
    <row r="60" spans="1:20" ht="32.1" customHeight="1" x14ac:dyDescent="0.2">
      <c r="A60" s="127" t="s">
        <v>201</v>
      </c>
      <c r="B60" s="128" t="s">
        <v>884</v>
      </c>
      <c r="C60" s="128" t="s">
        <v>886</v>
      </c>
      <c r="D60" s="121">
        <v>430</v>
      </c>
      <c r="E60" s="81"/>
      <c r="F60" s="81"/>
      <c r="G60" s="81"/>
      <c r="H60" s="81"/>
      <c r="I60" s="81"/>
      <c r="J60" s="81">
        <v>97.3</v>
      </c>
      <c r="K60" s="81"/>
      <c r="L60" s="81"/>
      <c r="M60" s="81"/>
      <c r="N60" s="81"/>
      <c r="O60" s="81"/>
      <c r="P60" s="81"/>
      <c r="Q60" s="81">
        <f t="shared" si="3"/>
        <v>97.3</v>
      </c>
      <c r="R60" s="151" t="str">
        <f t="shared" si="4"/>
        <v>NO</v>
      </c>
      <c r="S60" s="536" t="str">
        <f t="shared" si="2"/>
        <v>Inviable Sanitariamente</v>
      </c>
      <c r="T60" s="1"/>
    </row>
    <row r="61" spans="1:20" ht="32.1" customHeight="1" x14ac:dyDescent="0.2">
      <c r="A61" s="127" t="s">
        <v>201</v>
      </c>
      <c r="B61" s="128" t="s">
        <v>887</v>
      </c>
      <c r="C61" s="128" t="s">
        <v>888</v>
      </c>
      <c r="D61" s="121">
        <v>60</v>
      </c>
      <c r="E61" s="81"/>
      <c r="F61" s="81"/>
      <c r="G61" s="81">
        <v>97.3</v>
      </c>
      <c r="H61" s="81"/>
      <c r="I61" s="81"/>
      <c r="J61" s="81"/>
      <c r="K61" s="81"/>
      <c r="L61" s="81"/>
      <c r="M61" s="81"/>
      <c r="N61" s="81"/>
      <c r="O61" s="81"/>
      <c r="P61" s="81"/>
      <c r="Q61" s="81">
        <f t="shared" si="3"/>
        <v>97.3</v>
      </c>
      <c r="R61" s="151" t="str">
        <f t="shared" si="4"/>
        <v>NO</v>
      </c>
      <c r="S61" s="536" t="str">
        <f t="shared" si="2"/>
        <v>Inviable Sanitariamente</v>
      </c>
      <c r="T61" s="1"/>
    </row>
    <row r="62" spans="1:20" ht="32.1" customHeight="1" x14ac:dyDescent="0.2">
      <c r="A62" s="127" t="s">
        <v>201</v>
      </c>
      <c r="B62" s="128" t="s">
        <v>889</v>
      </c>
      <c r="C62" s="128" t="s">
        <v>890</v>
      </c>
      <c r="D62" s="121">
        <v>44</v>
      </c>
      <c r="E62" s="81">
        <v>97.3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>
        <f t="shared" ref="Q62:Q93" si="5">AVERAGE(E62:P62)</f>
        <v>97.3</v>
      </c>
      <c r="R62" s="151" t="str">
        <f t="shared" ref="R62:R93" si="6">IF(Q62&lt;5,"SI","NO")</f>
        <v>NO</v>
      </c>
      <c r="S62" s="536" t="str">
        <f t="shared" si="2"/>
        <v>Inviable Sanitariamente</v>
      </c>
      <c r="T62" s="1"/>
    </row>
    <row r="63" spans="1:20" ht="32.1" customHeight="1" x14ac:dyDescent="0.2">
      <c r="A63" s="127" t="s">
        <v>201</v>
      </c>
      <c r="B63" s="128" t="s">
        <v>891</v>
      </c>
      <c r="C63" s="128" t="s">
        <v>892</v>
      </c>
      <c r="D63" s="121">
        <v>26</v>
      </c>
      <c r="E63" s="81">
        <v>97.3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>
        <f t="shared" si="5"/>
        <v>97.3</v>
      </c>
      <c r="R63" s="151" t="str">
        <f t="shared" si="6"/>
        <v>NO</v>
      </c>
      <c r="S63" s="536" t="str">
        <f t="shared" si="2"/>
        <v>Inviable Sanitariamente</v>
      </c>
      <c r="T63" s="1"/>
    </row>
    <row r="64" spans="1:20" ht="32.1" customHeight="1" x14ac:dyDescent="0.2">
      <c r="A64" s="127" t="s">
        <v>201</v>
      </c>
      <c r="B64" s="127" t="s">
        <v>893</v>
      </c>
      <c r="C64" s="182" t="s">
        <v>894</v>
      </c>
      <c r="D64" s="121">
        <v>55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 t="e">
        <f t="shared" si="5"/>
        <v>#DIV/0!</v>
      </c>
      <c r="R64" s="151" t="e">
        <f t="shared" si="6"/>
        <v>#DIV/0!</v>
      </c>
      <c r="S64" s="536" t="e">
        <f t="shared" si="2"/>
        <v>#DIV/0!</v>
      </c>
      <c r="T64" s="1"/>
    </row>
    <row r="65" spans="1:20" ht="32.1" customHeight="1" x14ac:dyDescent="0.2">
      <c r="A65" s="127" t="s">
        <v>7</v>
      </c>
      <c r="B65" s="129" t="s">
        <v>8</v>
      </c>
      <c r="C65" s="129" t="s">
        <v>895</v>
      </c>
      <c r="D65" s="149">
        <v>28</v>
      </c>
      <c r="E65" s="81"/>
      <c r="F65" s="81"/>
      <c r="G65" s="81"/>
      <c r="H65" s="81">
        <v>97.3</v>
      </c>
      <c r="I65" s="81"/>
      <c r="J65" s="81"/>
      <c r="K65" s="81"/>
      <c r="L65" s="81"/>
      <c r="M65" s="81"/>
      <c r="N65" s="81">
        <v>97.3</v>
      </c>
      <c r="O65" s="81"/>
      <c r="P65" s="81"/>
      <c r="Q65" s="81">
        <f t="shared" si="5"/>
        <v>97.3</v>
      </c>
      <c r="R65" s="151" t="str">
        <f t="shared" si="6"/>
        <v>NO</v>
      </c>
      <c r="S65" s="536" t="str">
        <f t="shared" si="2"/>
        <v>Inviable Sanitariamente</v>
      </c>
      <c r="T65" s="1"/>
    </row>
    <row r="66" spans="1:20" ht="32.1" customHeight="1" x14ac:dyDescent="0.2">
      <c r="A66" s="127" t="s">
        <v>7</v>
      </c>
      <c r="B66" s="129" t="s">
        <v>896</v>
      </c>
      <c r="C66" s="129" t="s">
        <v>897</v>
      </c>
      <c r="D66" s="149">
        <v>28</v>
      </c>
      <c r="E66" s="81"/>
      <c r="F66" s="81"/>
      <c r="G66" s="81"/>
      <c r="H66" s="81"/>
      <c r="I66" s="81"/>
      <c r="J66" s="81">
        <v>97.3</v>
      </c>
      <c r="K66" s="81"/>
      <c r="L66" s="81"/>
      <c r="M66" s="81"/>
      <c r="N66" s="81"/>
      <c r="O66" s="81"/>
      <c r="P66" s="81"/>
      <c r="Q66" s="81">
        <f t="shared" si="5"/>
        <v>97.3</v>
      </c>
      <c r="R66" s="151" t="str">
        <f t="shared" si="6"/>
        <v>NO</v>
      </c>
      <c r="S66" s="536" t="str">
        <f t="shared" si="2"/>
        <v>Inviable Sanitariamente</v>
      </c>
      <c r="T66" s="1"/>
    </row>
    <row r="67" spans="1:20" ht="32.1" customHeight="1" x14ac:dyDescent="0.2">
      <c r="A67" s="127" t="s">
        <v>7</v>
      </c>
      <c r="B67" s="129" t="s">
        <v>898</v>
      </c>
      <c r="C67" s="129" t="s">
        <v>899</v>
      </c>
      <c r="D67" s="149">
        <v>17</v>
      </c>
      <c r="E67" s="81"/>
      <c r="F67" s="81"/>
      <c r="G67" s="81"/>
      <c r="H67" s="81">
        <v>100</v>
      </c>
      <c r="I67" s="81"/>
      <c r="J67" s="81"/>
      <c r="K67" s="81"/>
      <c r="L67" s="81"/>
      <c r="M67" s="81"/>
      <c r="N67" s="81"/>
      <c r="O67" s="81">
        <v>76.92</v>
      </c>
      <c r="P67" s="81"/>
      <c r="Q67" s="81">
        <f t="shared" si="5"/>
        <v>88.460000000000008</v>
      </c>
      <c r="R67" s="151" t="str">
        <f t="shared" si="6"/>
        <v>NO</v>
      </c>
      <c r="S67" s="536" t="str">
        <f t="shared" si="2"/>
        <v>Inviable Sanitariamente</v>
      </c>
      <c r="T67" s="1"/>
    </row>
    <row r="68" spans="1:20" ht="32.1" customHeight="1" x14ac:dyDescent="0.2">
      <c r="A68" s="127" t="s">
        <v>7</v>
      </c>
      <c r="B68" s="129" t="s">
        <v>900</v>
      </c>
      <c r="C68" s="129" t="s">
        <v>901</v>
      </c>
      <c r="D68" s="149">
        <v>28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 t="e">
        <f t="shared" si="5"/>
        <v>#DIV/0!</v>
      </c>
      <c r="R68" s="151" t="e">
        <f t="shared" si="6"/>
        <v>#DIV/0!</v>
      </c>
      <c r="S68" s="536" t="e">
        <f t="shared" si="2"/>
        <v>#DIV/0!</v>
      </c>
      <c r="T68" s="1"/>
    </row>
    <row r="69" spans="1:20" ht="32.1" customHeight="1" x14ac:dyDescent="0.2">
      <c r="A69" s="127" t="s">
        <v>7</v>
      </c>
      <c r="B69" s="129" t="s">
        <v>902</v>
      </c>
      <c r="C69" s="129" t="s">
        <v>903</v>
      </c>
      <c r="D69" s="149">
        <v>120</v>
      </c>
      <c r="E69" s="81"/>
      <c r="F69" s="81"/>
      <c r="G69" s="81">
        <v>97.9</v>
      </c>
      <c r="H69" s="81"/>
      <c r="I69" s="81"/>
      <c r="J69" s="81"/>
      <c r="K69" s="81"/>
      <c r="L69" s="81"/>
      <c r="M69" s="81"/>
      <c r="N69" s="81"/>
      <c r="O69" s="81">
        <v>76.92</v>
      </c>
      <c r="P69" s="81"/>
      <c r="Q69" s="81">
        <f t="shared" si="5"/>
        <v>87.41</v>
      </c>
      <c r="R69" s="151" t="str">
        <f t="shared" si="6"/>
        <v>NO</v>
      </c>
      <c r="S69" s="536" t="str">
        <f t="shared" si="2"/>
        <v>Inviable Sanitariamente</v>
      </c>
      <c r="T69" s="1"/>
    </row>
    <row r="70" spans="1:20" ht="32.1" customHeight="1" x14ac:dyDescent="0.2">
      <c r="A70" s="127" t="s">
        <v>7</v>
      </c>
      <c r="B70" s="129" t="s">
        <v>904</v>
      </c>
      <c r="C70" s="129" t="s">
        <v>905</v>
      </c>
      <c r="D70" s="149">
        <v>55</v>
      </c>
      <c r="E70" s="81"/>
      <c r="F70" s="81"/>
      <c r="G70" s="81"/>
      <c r="H70" s="81">
        <v>97.35</v>
      </c>
      <c r="I70" s="81"/>
      <c r="J70" s="81"/>
      <c r="K70" s="81"/>
      <c r="L70" s="81"/>
      <c r="M70" s="81"/>
      <c r="N70" s="81"/>
      <c r="O70" s="81">
        <v>97.35</v>
      </c>
      <c r="P70" s="81"/>
      <c r="Q70" s="81">
        <f t="shared" si="5"/>
        <v>97.35</v>
      </c>
      <c r="R70" s="151" t="str">
        <f t="shared" si="6"/>
        <v>NO</v>
      </c>
      <c r="S70" s="536" t="str">
        <f t="shared" si="2"/>
        <v>Inviable Sanitariamente</v>
      </c>
      <c r="T70" s="1"/>
    </row>
    <row r="71" spans="1:20" ht="32.1" customHeight="1" x14ac:dyDescent="0.2">
      <c r="A71" s="127" t="s">
        <v>7</v>
      </c>
      <c r="B71" s="129" t="s">
        <v>906</v>
      </c>
      <c r="C71" s="129" t="s">
        <v>907</v>
      </c>
      <c r="D71" s="149">
        <v>23</v>
      </c>
      <c r="E71" s="81"/>
      <c r="F71" s="81"/>
      <c r="G71" s="81"/>
      <c r="H71" s="81">
        <v>100</v>
      </c>
      <c r="I71" s="81"/>
      <c r="J71" s="81"/>
      <c r="K71" s="81"/>
      <c r="L71" s="81"/>
      <c r="M71" s="81">
        <v>97.9</v>
      </c>
      <c r="N71" s="81"/>
      <c r="O71" s="81"/>
      <c r="P71" s="81"/>
      <c r="Q71" s="81">
        <f t="shared" si="5"/>
        <v>98.95</v>
      </c>
      <c r="R71" s="151" t="str">
        <f t="shared" si="6"/>
        <v>NO</v>
      </c>
      <c r="S71" s="536" t="str">
        <f t="shared" si="2"/>
        <v>Inviable Sanitariamente</v>
      </c>
      <c r="T71" s="2"/>
    </row>
    <row r="72" spans="1:20" ht="32.1" customHeight="1" x14ac:dyDescent="0.2">
      <c r="A72" s="127" t="s">
        <v>7</v>
      </c>
      <c r="B72" s="129" t="s">
        <v>908</v>
      </c>
      <c r="C72" s="129" t="s">
        <v>909</v>
      </c>
      <c r="D72" s="150">
        <v>32</v>
      </c>
      <c r="E72" s="81"/>
      <c r="F72" s="81"/>
      <c r="G72" s="81"/>
      <c r="H72" s="81"/>
      <c r="I72" s="81"/>
      <c r="J72" s="81">
        <v>76.900000000000006</v>
      </c>
      <c r="K72" s="81"/>
      <c r="L72" s="81"/>
      <c r="M72" s="81"/>
      <c r="N72" s="81"/>
      <c r="O72" s="81"/>
      <c r="P72" s="81"/>
      <c r="Q72" s="81">
        <f t="shared" si="5"/>
        <v>76.900000000000006</v>
      </c>
      <c r="R72" s="151" t="str">
        <f t="shared" si="6"/>
        <v>NO</v>
      </c>
      <c r="S72" s="536" t="str">
        <f t="shared" si="2"/>
        <v>Alto</v>
      </c>
      <c r="T72" s="2"/>
    </row>
    <row r="73" spans="1:20" ht="32.1" customHeight="1" x14ac:dyDescent="0.2">
      <c r="A73" s="127" t="s">
        <v>7</v>
      </c>
      <c r="B73" s="129" t="s">
        <v>910</v>
      </c>
      <c r="C73" s="129" t="s">
        <v>911</v>
      </c>
      <c r="D73" s="149">
        <v>27</v>
      </c>
      <c r="E73" s="81"/>
      <c r="F73" s="81"/>
      <c r="G73" s="81"/>
      <c r="H73" s="81"/>
      <c r="I73" s="81"/>
      <c r="J73" s="81"/>
      <c r="K73" s="81">
        <v>76.900000000000006</v>
      </c>
      <c r="L73" s="81"/>
      <c r="M73" s="81"/>
      <c r="N73" s="81"/>
      <c r="O73" s="81">
        <v>77</v>
      </c>
      <c r="P73" s="81"/>
      <c r="Q73" s="81">
        <f t="shared" si="5"/>
        <v>76.95</v>
      </c>
      <c r="R73" s="151" t="str">
        <f t="shared" si="6"/>
        <v>NO</v>
      </c>
      <c r="S73" s="536" t="str">
        <f t="shared" si="2"/>
        <v>Alto</v>
      </c>
      <c r="T73" s="2"/>
    </row>
    <row r="74" spans="1:20" ht="32.1" customHeight="1" x14ac:dyDescent="0.2">
      <c r="A74" s="127" t="s">
        <v>7</v>
      </c>
      <c r="B74" s="129" t="s">
        <v>912</v>
      </c>
      <c r="C74" s="129" t="s">
        <v>913</v>
      </c>
      <c r="D74" s="149">
        <v>154</v>
      </c>
      <c r="E74" s="81">
        <v>0</v>
      </c>
      <c r="F74" s="81"/>
      <c r="G74" s="81">
        <v>0</v>
      </c>
      <c r="H74" s="81"/>
      <c r="I74" s="81">
        <v>0</v>
      </c>
      <c r="J74" s="81"/>
      <c r="K74" s="81"/>
      <c r="L74" s="81">
        <v>0</v>
      </c>
      <c r="M74" s="81"/>
      <c r="N74" s="81"/>
      <c r="O74" s="81">
        <v>0</v>
      </c>
      <c r="P74" s="81"/>
      <c r="Q74" s="81">
        <f t="shared" si="5"/>
        <v>0</v>
      </c>
      <c r="R74" s="151" t="str">
        <f t="shared" si="6"/>
        <v>SI</v>
      </c>
      <c r="S74" s="536" t="str">
        <f t="shared" si="2"/>
        <v>Sin Riesgo</v>
      </c>
      <c r="T74" s="2"/>
    </row>
    <row r="75" spans="1:20" ht="32.1" customHeight="1" x14ac:dyDescent="0.2">
      <c r="A75" s="127" t="s">
        <v>7</v>
      </c>
      <c r="B75" s="129" t="s">
        <v>914</v>
      </c>
      <c r="C75" s="129" t="s">
        <v>915</v>
      </c>
      <c r="D75" s="150">
        <v>54</v>
      </c>
      <c r="E75" s="81"/>
      <c r="F75" s="81"/>
      <c r="G75" s="81">
        <v>0</v>
      </c>
      <c r="H75" s="81"/>
      <c r="I75" s="81"/>
      <c r="J75" s="81">
        <v>0</v>
      </c>
      <c r="K75" s="81">
        <v>0</v>
      </c>
      <c r="L75" s="81"/>
      <c r="M75" s="81"/>
      <c r="N75" s="81"/>
      <c r="O75" s="81">
        <v>0</v>
      </c>
      <c r="P75" s="81"/>
      <c r="Q75" s="81">
        <f t="shared" si="5"/>
        <v>0</v>
      </c>
      <c r="R75" s="151" t="str">
        <f t="shared" si="6"/>
        <v>SI</v>
      </c>
      <c r="S75" s="536" t="str">
        <f t="shared" si="2"/>
        <v>Sin Riesgo</v>
      </c>
      <c r="T75" s="2"/>
    </row>
    <row r="76" spans="1:20" ht="32.1" customHeight="1" x14ac:dyDescent="0.2">
      <c r="A76" s="127" t="s">
        <v>7</v>
      </c>
      <c r="B76" s="129" t="s">
        <v>10</v>
      </c>
      <c r="C76" s="129" t="s">
        <v>916</v>
      </c>
      <c r="D76" s="149">
        <v>48</v>
      </c>
      <c r="E76" s="81"/>
      <c r="F76" s="81">
        <v>76.900000000000006</v>
      </c>
      <c r="G76" s="81"/>
      <c r="H76" s="81"/>
      <c r="I76" s="81"/>
      <c r="J76" s="81"/>
      <c r="K76" s="81">
        <v>76.900000000000006</v>
      </c>
      <c r="L76" s="81"/>
      <c r="M76" s="81"/>
      <c r="N76" s="81"/>
      <c r="O76" s="81"/>
      <c r="P76" s="81"/>
      <c r="Q76" s="81">
        <f t="shared" si="5"/>
        <v>76.900000000000006</v>
      </c>
      <c r="R76" s="151" t="str">
        <f t="shared" si="6"/>
        <v>NO</v>
      </c>
      <c r="S76" s="536" t="str">
        <f t="shared" ref="S76:S121" si="7">IF(Q76&lt;5,"Sin Riesgo",IF(Q76 &lt;=14,"Bajo",IF(Q76&lt;=35,"Medio",IF(Q76&lt;=80,"Alto","Inviable Sanitariamente"))))</f>
        <v>Alto</v>
      </c>
      <c r="T76" s="2"/>
    </row>
    <row r="77" spans="1:20" ht="32.1" customHeight="1" x14ac:dyDescent="0.2">
      <c r="A77" s="127" t="s">
        <v>7</v>
      </c>
      <c r="B77" s="129" t="s">
        <v>917</v>
      </c>
      <c r="C77" s="129" t="s">
        <v>918</v>
      </c>
      <c r="D77" s="149">
        <v>34</v>
      </c>
      <c r="E77" s="81"/>
      <c r="F77" s="81"/>
      <c r="G77" s="81"/>
      <c r="H77" s="81"/>
      <c r="I77" s="81"/>
      <c r="J77" s="81">
        <v>98</v>
      </c>
      <c r="K77" s="81"/>
      <c r="L77" s="81"/>
      <c r="M77" s="81"/>
      <c r="N77" s="81"/>
      <c r="O77" s="81"/>
      <c r="P77" s="81"/>
      <c r="Q77" s="81">
        <f t="shared" si="5"/>
        <v>98</v>
      </c>
      <c r="R77" s="151" t="str">
        <f t="shared" si="6"/>
        <v>NO</v>
      </c>
      <c r="S77" s="536" t="str">
        <f t="shared" si="7"/>
        <v>Inviable Sanitariamente</v>
      </c>
      <c r="T77" s="2"/>
    </row>
    <row r="78" spans="1:20" ht="32.1" customHeight="1" x14ac:dyDescent="0.2">
      <c r="A78" s="127" t="s">
        <v>7</v>
      </c>
      <c r="B78" s="100" t="s">
        <v>919</v>
      </c>
      <c r="C78" s="100" t="s">
        <v>920</v>
      </c>
      <c r="D78" s="149">
        <v>44</v>
      </c>
      <c r="E78" s="81"/>
      <c r="F78" s="81"/>
      <c r="G78" s="81">
        <v>97.9</v>
      </c>
      <c r="H78" s="81"/>
      <c r="I78" s="81"/>
      <c r="J78" s="81"/>
      <c r="K78" s="81"/>
      <c r="L78" s="81">
        <v>97.9</v>
      </c>
      <c r="M78" s="81"/>
      <c r="N78" s="81"/>
      <c r="O78" s="81"/>
      <c r="P78" s="81"/>
      <c r="Q78" s="81">
        <f t="shared" si="5"/>
        <v>97.9</v>
      </c>
      <c r="R78" s="151" t="str">
        <f t="shared" si="6"/>
        <v>NO</v>
      </c>
      <c r="S78" s="536" t="str">
        <f t="shared" si="7"/>
        <v>Inviable Sanitariamente</v>
      </c>
      <c r="T78" s="2"/>
    </row>
    <row r="79" spans="1:20" ht="32.1" customHeight="1" x14ac:dyDescent="0.2">
      <c r="A79" s="127" t="s">
        <v>7</v>
      </c>
      <c r="B79" s="129" t="s">
        <v>921</v>
      </c>
      <c r="C79" s="129" t="s">
        <v>922</v>
      </c>
      <c r="D79" s="149">
        <v>29</v>
      </c>
      <c r="E79" s="81">
        <v>100</v>
      </c>
      <c r="F79" s="81"/>
      <c r="G79" s="81">
        <v>97.9</v>
      </c>
      <c r="H79" s="81"/>
      <c r="I79" s="81"/>
      <c r="J79" s="81">
        <v>42</v>
      </c>
      <c r="K79" s="81"/>
      <c r="L79" s="81"/>
      <c r="M79" s="81"/>
      <c r="N79" s="81">
        <v>76.92</v>
      </c>
      <c r="O79" s="81"/>
      <c r="P79" s="81"/>
      <c r="Q79" s="81">
        <f t="shared" si="5"/>
        <v>79.204999999999998</v>
      </c>
      <c r="R79" s="151" t="str">
        <f t="shared" si="6"/>
        <v>NO</v>
      </c>
      <c r="S79" s="536" t="str">
        <f t="shared" si="7"/>
        <v>Alto</v>
      </c>
      <c r="T79" s="2"/>
    </row>
    <row r="80" spans="1:20" ht="32.1" customHeight="1" x14ac:dyDescent="0.2">
      <c r="A80" s="127" t="s">
        <v>7</v>
      </c>
      <c r="B80" s="129" t="s">
        <v>923</v>
      </c>
      <c r="C80" s="129" t="s">
        <v>924</v>
      </c>
      <c r="D80" s="149">
        <v>269</v>
      </c>
      <c r="E80" s="81"/>
      <c r="F80" s="81">
        <v>0</v>
      </c>
      <c r="G80" s="81"/>
      <c r="H80" s="81"/>
      <c r="I80" s="81"/>
      <c r="J80" s="81">
        <v>21</v>
      </c>
      <c r="K80" s="81"/>
      <c r="L80" s="81"/>
      <c r="M80" s="81"/>
      <c r="N80" s="81"/>
      <c r="O80" s="81">
        <v>41.96</v>
      </c>
      <c r="P80" s="81"/>
      <c r="Q80" s="81">
        <f t="shared" si="5"/>
        <v>20.986666666666668</v>
      </c>
      <c r="R80" s="151" t="str">
        <f t="shared" si="6"/>
        <v>NO</v>
      </c>
      <c r="S80" s="536" t="str">
        <f t="shared" si="7"/>
        <v>Medio</v>
      </c>
      <c r="T80" s="2"/>
    </row>
    <row r="81" spans="1:20" ht="32.1" customHeight="1" x14ac:dyDescent="0.2">
      <c r="A81" s="127" t="s">
        <v>7</v>
      </c>
      <c r="B81" s="129" t="s">
        <v>925</v>
      </c>
      <c r="C81" s="129" t="s">
        <v>926</v>
      </c>
      <c r="D81" s="121">
        <v>175</v>
      </c>
      <c r="E81" s="81">
        <v>21</v>
      </c>
      <c r="F81" s="81"/>
      <c r="G81" s="81">
        <v>0</v>
      </c>
      <c r="H81" s="81"/>
      <c r="I81" s="81">
        <v>41.9</v>
      </c>
      <c r="J81" s="81"/>
      <c r="K81" s="81">
        <v>0</v>
      </c>
      <c r="L81" s="81"/>
      <c r="M81" s="81">
        <v>0</v>
      </c>
      <c r="N81" s="81"/>
      <c r="O81" s="81">
        <v>0</v>
      </c>
      <c r="P81" s="81"/>
      <c r="Q81" s="81">
        <f t="shared" si="5"/>
        <v>10.483333333333333</v>
      </c>
      <c r="R81" s="151" t="str">
        <f t="shared" si="6"/>
        <v>NO</v>
      </c>
      <c r="S81" s="536" t="str">
        <f t="shared" si="7"/>
        <v>Bajo</v>
      </c>
      <c r="T81" s="2"/>
    </row>
    <row r="82" spans="1:20" ht="32.1" customHeight="1" x14ac:dyDescent="0.2">
      <c r="A82" s="127" t="s">
        <v>202</v>
      </c>
      <c r="B82" s="128" t="s">
        <v>927</v>
      </c>
      <c r="C82" s="129" t="s">
        <v>928</v>
      </c>
      <c r="D82" s="121">
        <v>320</v>
      </c>
      <c r="E82" s="81"/>
      <c r="F82" s="81"/>
      <c r="G82" s="81">
        <v>0</v>
      </c>
      <c r="H82" s="81"/>
      <c r="I82" s="81">
        <v>97.3</v>
      </c>
      <c r="J82" s="81"/>
      <c r="K82" s="81">
        <v>60</v>
      </c>
      <c r="L82" s="81">
        <v>97.3</v>
      </c>
      <c r="M82" s="81"/>
      <c r="N82" s="81">
        <v>0</v>
      </c>
      <c r="O82" s="81"/>
      <c r="P82" s="81">
        <v>0</v>
      </c>
      <c r="Q82" s="81">
        <f t="shared" si="5"/>
        <v>42.433333333333337</v>
      </c>
      <c r="R82" s="151" t="str">
        <f t="shared" si="6"/>
        <v>NO</v>
      </c>
      <c r="S82" s="536" t="str">
        <f t="shared" si="7"/>
        <v>Alto</v>
      </c>
      <c r="T82" s="2"/>
    </row>
    <row r="83" spans="1:20" ht="32.1" customHeight="1" x14ac:dyDescent="0.2">
      <c r="A83" s="127" t="s">
        <v>202</v>
      </c>
      <c r="B83" s="129" t="s">
        <v>929</v>
      </c>
      <c r="C83" s="129" t="s">
        <v>930</v>
      </c>
      <c r="D83" s="121">
        <v>67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 t="e">
        <f t="shared" si="5"/>
        <v>#DIV/0!</v>
      </c>
      <c r="R83" s="151" t="e">
        <f t="shared" si="6"/>
        <v>#DIV/0!</v>
      </c>
      <c r="S83" s="536" t="e">
        <f t="shared" si="7"/>
        <v>#DIV/0!</v>
      </c>
      <c r="T83" s="2"/>
    </row>
    <row r="84" spans="1:20" ht="32.1" customHeight="1" x14ac:dyDescent="0.2">
      <c r="A84" s="127" t="s">
        <v>202</v>
      </c>
      <c r="B84" s="129" t="s">
        <v>931</v>
      </c>
      <c r="C84" s="129" t="s">
        <v>932</v>
      </c>
      <c r="D84" s="155">
        <v>268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 t="e">
        <f t="shared" si="5"/>
        <v>#DIV/0!</v>
      </c>
      <c r="R84" s="151" t="e">
        <f t="shared" si="6"/>
        <v>#DIV/0!</v>
      </c>
      <c r="S84" s="536" t="e">
        <f t="shared" si="7"/>
        <v>#DIV/0!</v>
      </c>
      <c r="T84" s="2"/>
    </row>
    <row r="85" spans="1:20" ht="32.1" customHeight="1" x14ac:dyDescent="0.2">
      <c r="A85" s="127" t="s">
        <v>202</v>
      </c>
      <c r="B85" s="129" t="s">
        <v>933</v>
      </c>
      <c r="C85" s="129" t="s">
        <v>934</v>
      </c>
      <c r="D85" s="121">
        <v>2400</v>
      </c>
      <c r="E85" s="81">
        <v>0</v>
      </c>
      <c r="F85" s="81">
        <v>21.2</v>
      </c>
      <c r="G85" s="81">
        <v>45.7</v>
      </c>
      <c r="H85" s="81">
        <v>8.1</v>
      </c>
      <c r="I85" s="81">
        <v>11.47</v>
      </c>
      <c r="J85" s="81">
        <v>1.47</v>
      </c>
      <c r="K85" s="81">
        <v>9.6999999999999993</v>
      </c>
      <c r="L85" s="81">
        <v>0</v>
      </c>
      <c r="M85" s="81">
        <v>8.8000000000000007</v>
      </c>
      <c r="N85" s="81">
        <v>0</v>
      </c>
      <c r="O85" s="81">
        <v>0</v>
      </c>
      <c r="P85" s="81">
        <v>26.5</v>
      </c>
      <c r="Q85" s="81">
        <f t="shared" si="5"/>
        <v>11.078333333333333</v>
      </c>
      <c r="R85" s="151" t="str">
        <f t="shared" si="6"/>
        <v>NO</v>
      </c>
      <c r="S85" s="536" t="str">
        <f t="shared" si="7"/>
        <v>Bajo</v>
      </c>
      <c r="T85" s="2"/>
    </row>
    <row r="86" spans="1:20" ht="32.1" customHeight="1" x14ac:dyDescent="0.2">
      <c r="A86" s="127" t="s">
        <v>202</v>
      </c>
      <c r="B86" s="129" t="s">
        <v>935</v>
      </c>
      <c r="C86" s="129" t="s">
        <v>936</v>
      </c>
      <c r="D86" s="121">
        <v>33</v>
      </c>
      <c r="E86" s="81"/>
      <c r="F86" s="81"/>
      <c r="G86" s="81"/>
      <c r="H86" s="81"/>
      <c r="I86" s="81"/>
      <c r="J86" s="81"/>
      <c r="K86" s="81"/>
      <c r="L86" s="81"/>
      <c r="M86" s="81">
        <v>97.3</v>
      </c>
      <c r="N86" s="81"/>
      <c r="O86" s="81"/>
      <c r="P86" s="81"/>
      <c r="Q86" s="81">
        <f t="shared" si="5"/>
        <v>97.3</v>
      </c>
      <c r="R86" s="151" t="str">
        <f t="shared" si="6"/>
        <v>NO</v>
      </c>
      <c r="S86" s="536" t="str">
        <f t="shared" si="7"/>
        <v>Inviable Sanitariamente</v>
      </c>
      <c r="T86" s="2"/>
    </row>
    <row r="87" spans="1:20" ht="32.1" customHeight="1" x14ac:dyDescent="0.2">
      <c r="A87" s="127" t="s">
        <v>202</v>
      </c>
      <c r="B87" s="129" t="s">
        <v>937</v>
      </c>
      <c r="C87" s="129" t="s">
        <v>938</v>
      </c>
      <c r="D87" s="121">
        <v>44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 t="e">
        <f t="shared" si="5"/>
        <v>#DIV/0!</v>
      </c>
      <c r="R87" s="151" t="e">
        <f t="shared" si="6"/>
        <v>#DIV/0!</v>
      </c>
      <c r="S87" s="536" t="e">
        <f t="shared" si="7"/>
        <v>#DIV/0!</v>
      </c>
      <c r="T87" s="2"/>
    </row>
    <row r="88" spans="1:20" ht="32.1" customHeight="1" x14ac:dyDescent="0.2">
      <c r="A88" s="127" t="s">
        <v>202</v>
      </c>
      <c r="B88" s="129" t="s">
        <v>939</v>
      </c>
      <c r="C88" s="129" t="s">
        <v>940</v>
      </c>
      <c r="D88" s="121">
        <v>100</v>
      </c>
      <c r="E88" s="81"/>
      <c r="F88" s="81">
        <v>100</v>
      </c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>
        <f t="shared" si="5"/>
        <v>100</v>
      </c>
      <c r="R88" s="151" t="str">
        <f t="shared" si="6"/>
        <v>NO</v>
      </c>
      <c r="S88" s="536" t="str">
        <f t="shared" si="7"/>
        <v>Inviable Sanitariamente</v>
      </c>
      <c r="T88" s="2"/>
    </row>
    <row r="89" spans="1:20" ht="32.1" customHeight="1" x14ac:dyDescent="0.2">
      <c r="A89" s="127" t="s">
        <v>202</v>
      </c>
      <c r="B89" s="129" t="s">
        <v>941</v>
      </c>
      <c r="C89" s="129" t="s">
        <v>942</v>
      </c>
      <c r="D89" s="116">
        <v>584</v>
      </c>
      <c r="E89" s="81"/>
      <c r="F89" s="81">
        <v>0</v>
      </c>
      <c r="G89" s="81"/>
      <c r="H89" s="81">
        <v>97.3</v>
      </c>
      <c r="I89" s="81"/>
      <c r="J89" s="81"/>
      <c r="K89" s="81">
        <v>60</v>
      </c>
      <c r="L89" s="81">
        <v>97.3</v>
      </c>
      <c r="M89" s="81"/>
      <c r="N89" s="81">
        <v>0</v>
      </c>
      <c r="O89" s="81"/>
      <c r="P89" s="81">
        <v>0</v>
      </c>
      <c r="Q89" s="81">
        <f t="shared" si="5"/>
        <v>42.433333333333337</v>
      </c>
      <c r="R89" s="151" t="str">
        <f t="shared" si="6"/>
        <v>NO</v>
      </c>
      <c r="S89" s="536" t="str">
        <f t="shared" si="7"/>
        <v>Alto</v>
      </c>
      <c r="T89" s="2"/>
    </row>
    <row r="90" spans="1:20" ht="32.1" customHeight="1" x14ac:dyDescent="0.2">
      <c r="A90" s="127" t="s">
        <v>202</v>
      </c>
      <c r="B90" s="129" t="s">
        <v>632</v>
      </c>
      <c r="C90" s="100" t="s">
        <v>943</v>
      </c>
      <c r="D90" s="121">
        <v>320</v>
      </c>
      <c r="E90" s="81"/>
      <c r="F90" s="81"/>
      <c r="G90" s="81"/>
      <c r="H90" s="81"/>
      <c r="I90" s="81">
        <v>1.3</v>
      </c>
      <c r="J90" s="81">
        <v>1.3</v>
      </c>
      <c r="K90" s="81">
        <v>6.8</v>
      </c>
      <c r="L90" s="81"/>
      <c r="M90" s="81"/>
      <c r="N90" s="81">
        <v>6.8</v>
      </c>
      <c r="O90" s="81"/>
      <c r="P90" s="81">
        <v>6.8</v>
      </c>
      <c r="Q90" s="81">
        <f t="shared" si="5"/>
        <v>4.5999999999999996</v>
      </c>
      <c r="R90" s="151" t="str">
        <f t="shared" si="6"/>
        <v>SI</v>
      </c>
      <c r="S90" s="536" t="str">
        <f t="shared" si="7"/>
        <v>Sin Riesgo</v>
      </c>
      <c r="T90" s="2"/>
    </row>
    <row r="91" spans="1:20" ht="32.1" customHeight="1" x14ac:dyDescent="0.2">
      <c r="A91" s="127" t="s">
        <v>202</v>
      </c>
      <c r="B91" s="129" t="s">
        <v>944</v>
      </c>
      <c r="C91" s="100" t="s">
        <v>945</v>
      </c>
      <c r="D91" s="121">
        <v>65</v>
      </c>
      <c r="E91" s="81"/>
      <c r="F91" s="81"/>
      <c r="G91" s="81"/>
      <c r="H91" s="81"/>
      <c r="I91" s="81"/>
      <c r="J91" s="81"/>
      <c r="K91" s="81">
        <v>97.3</v>
      </c>
      <c r="L91" s="81"/>
      <c r="M91" s="81"/>
      <c r="N91" s="81"/>
      <c r="O91" s="81"/>
      <c r="P91" s="81"/>
      <c r="Q91" s="81">
        <f t="shared" si="5"/>
        <v>97.3</v>
      </c>
      <c r="R91" s="151" t="str">
        <f t="shared" si="6"/>
        <v>NO</v>
      </c>
      <c r="S91" s="536" t="str">
        <f t="shared" si="7"/>
        <v>Inviable Sanitariamente</v>
      </c>
      <c r="T91" s="2"/>
    </row>
    <row r="92" spans="1:20" ht="32.1" customHeight="1" x14ac:dyDescent="0.2">
      <c r="A92" s="127" t="s">
        <v>202</v>
      </c>
      <c r="B92" s="129" t="s">
        <v>946</v>
      </c>
      <c r="C92" s="100" t="s">
        <v>947</v>
      </c>
      <c r="D92" s="116">
        <v>70</v>
      </c>
      <c r="E92" s="81"/>
      <c r="F92" s="81"/>
      <c r="G92" s="81"/>
      <c r="H92" s="81"/>
      <c r="I92" s="81"/>
      <c r="J92" s="81"/>
      <c r="K92" s="81"/>
      <c r="L92" s="81">
        <v>97.3</v>
      </c>
      <c r="M92" s="81"/>
      <c r="N92" s="81"/>
      <c r="O92" s="81"/>
      <c r="P92" s="81"/>
      <c r="Q92" s="81">
        <f t="shared" si="5"/>
        <v>97.3</v>
      </c>
      <c r="R92" s="151" t="str">
        <f t="shared" si="6"/>
        <v>NO</v>
      </c>
      <c r="S92" s="536" t="str">
        <f t="shared" si="7"/>
        <v>Inviable Sanitariamente</v>
      </c>
      <c r="T92" s="2"/>
    </row>
    <row r="93" spans="1:20" ht="32.1" customHeight="1" x14ac:dyDescent="0.2">
      <c r="A93" s="127" t="s">
        <v>202</v>
      </c>
      <c r="B93" s="127" t="s">
        <v>243</v>
      </c>
      <c r="C93" s="156" t="s">
        <v>948</v>
      </c>
      <c r="D93" s="121">
        <v>310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 t="e">
        <f t="shared" si="5"/>
        <v>#DIV/0!</v>
      </c>
      <c r="R93" s="151" t="e">
        <f t="shared" si="6"/>
        <v>#DIV/0!</v>
      </c>
      <c r="S93" s="536" t="e">
        <f t="shared" si="7"/>
        <v>#DIV/0!</v>
      </c>
      <c r="T93" s="2"/>
    </row>
    <row r="94" spans="1:20" s="12" customFormat="1" ht="32.1" customHeight="1" x14ac:dyDescent="0.2">
      <c r="A94" s="127" t="s">
        <v>4131</v>
      </c>
      <c r="B94" s="129" t="s">
        <v>949</v>
      </c>
      <c r="C94" s="129" t="s">
        <v>950</v>
      </c>
      <c r="D94" s="121">
        <v>79</v>
      </c>
      <c r="E94" s="81"/>
      <c r="F94" s="81"/>
      <c r="G94" s="81"/>
      <c r="H94" s="81">
        <v>100</v>
      </c>
      <c r="I94" s="81"/>
      <c r="J94" s="81"/>
      <c r="K94" s="81"/>
      <c r="L94" s="81"/>
      <c r="M94" s="81"/>
      <c r="N94" s="81"/>
      <c r="O94" s="81"/>
      <c r="P94" s="81"/>
      <c r="Q94" s="81">
        <f t="shared" ref="Q94:Q121" si="8">AVERAGE(E94:P94)</f>
        <v>100</v>
      </c>
      <c r="R94" s="151" t="str">
        <f t="shared" ref="R94:R121" si="9">IF(Q94&lt;5,"SI","NO")</f>
        <v>NO</v>
      </c>
      <c r="S94" s="536" t="str">
        <f t="shared" si="7"/>
        <v>Inviable Sanitariamente</v>
      </c>
      <c r="T94" s="1"/>
    </row>
    <row r="95" spans="1:20" s="12" customFormat="1" ht="32.1" customHeight="1" x14ac:dyDescent="0.2">
      <c r="A95" s="127" t="s">
        <v>4131</v>
      </c>
      <c r="B95" s="129" t="s">
        <v>951</v>
      </c>
      <c r="C95" s="129" t="s">
        <v>952</v>
      </c>
      <c r="D95" s="121">
        <v>79</v>
      </c>
      <c r="E95" s="81"/>
      <c r="F95" s="81"/>
      <c r="G95" s="81"/>
      <c r="H95" s="81"/>
      <c r="I95" s="81"/>
      <c r="J95" s="81"/>
      <c r="K95" s="81"/>
      <c r="L95" s="81"/>
      <c r="M95" s="81">
        <v>53</v>
      </c>
      <c r="N95" s="81"/>
      <c r="O95" s="81"/>
      <c r="P95" s="81"/>
      <c r="Q95" s="81">
        <f t="shared" si="8"/>
        <v>53</v>
      </c>
      <c r="R95" s="151" t="str">
        <f t="shared" si="9"/>
        <v>NO</v>
      </c>
      <c r="S95" s="536" t="str">
        <f t="shared" si="7"/>
        <v>Alto</v>
      </c>
      <c r="T95" s="1"/>
    </row>
    <row r="96" spans="1:20" s="12" customFormat="1" ht="32.1" customHeight="1" x14ac:dyDescent="0.2">
      <c r="A96" s="127" t="s">
        <v>4131</v>
      </c>
      <c r="B96" s="129" t="s">
        <v>953</v>
      </c>
      <c r="C96" s="129" t="s">
        <v>954</v>
      </c>
      <c r="D96" s="121">
        <v>80</v>
      </c>
      <c r="E96" s="81"/>
      <c r="F96" s="81"/>
      <c r="G96" s="81"/>
      <c r="H96" s="81"/>
      <c r="I96" s="81"/>
      <c r="J96" s="81"/>
      <c r="K96" s="81"/>
      <c r="L96" s="81"/>
      <c r="M96" s="81"/>
      <c r="N96" s="81">
        <v>53</v>
      </c>
      <c r="O96" s="81"/>
      <c r="P96" s="81"/>
      <c r="Q96" s="81">
        <f t="shared" si="8"/>
        <v>53</v>
      </c>
      <c r="R96" s="151" t="str">
        <f t="shared" si="9"/>
        <v>NO</v>
      </c>
      <c r="S96" s="536" t="str">
        <f t="shared" si="7"/>
        <v>Alto</v>
      </c>
      <c r="T96" s="1"/>
    </row>
    <row r="97" spans="1:20" s="12" customFormat="1" ht="32.1" customHeight="1" x14ac:dyDescent="0.2">
      <c r="A97" s="127" t="s">
        <v>4131</v>
      </c>
      <c r="B97" s="129" t="s">
        <v>955</v>
      </c>
      <c r="C97" s="129" t="s">
        <v>956</v>
      </c>
      <c r="D97" s="121">
        <v>286</v>
      </c>
      <c r="E97" s="81"/>
      <c r="F97" s="81"/>
      <c r="G97" s="81"/>
      <c r="H97" s="81">
        <v>0</v>
      </c>
      <c r="I97" s="81"/>
      <c r="J97" s="81"/>
      <c r="K97" s="81"/>
      <c r="L97" s="81"/>
      <c r="M97" s="81"/>
      <c r="N97" s="81"/>
      <c r="O97" s="81"/>
      <c r="P97" s="81"/>
      <c r="Q97" s="81">
        <f t="shared" si="8"/>
        <v>0</v>
      </c>
      <c r="R97" s="151" t="str">
        <f t="shared" si="9"/>
        <v>SI</v>
      </c>
      <c r="S97" s="536" t="str">
        <f t="shared" si="7"/>
        <v>Sin Riesgo</v>
      </c>
      <c r="T97" s="1"/>
    </row>
    <row r="98" spans="1:20" s="123" customFormat="1" ht="32.1" customHeight="1" x14ac:dyDescent="0.2">
      <c r="A98" s="127" t="s">
        <v>4132</v>
      </c>
      <c r="B98" s="128" t="s">
        <v>957</v>
      </c>
      <c r="C98" s="99" t="s">
        <v>958</v>
      </c>
      <c r="D98" s="157">
        <v>60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>
        <v>97</v>
      </c>
      <c r="Q98" s="81">
        <f t="shared" si="8"/>
        <v>97</v>
      </c>
      <c r="R98" s="151" t="str">
        <f t="shared" si="9"/>
        <v>NO</v>
      </c>
      <c r="S98" s="536" t="str">
        <f t="shared" si="7"/>
        <v>Inviable Sanitariamente</v>
      </c>
      <c r="T98" s="158"/>
    </row>
    <row r="99" spans="1:20" s="123" customFormat="1" ht="32.1" customHeight="1" x14ac:dyDescent="0.2">
      <c r="A99" s="127" t="s">
        <v>4132</v>
      </c>
      <c r="B99" s="128" t="s">
        <v>959</v>
      </c>
      <c r="C99" s="128" t="s">
        <v>960</v>
      </c>
      <c r="D99" s="157">
        <v>48</v>
      </c>
      <c r="E99" s="81"/>
      <c r="F99" s="81"/>
      <c r="G99" s="81"/>
      <c r="H99" s="81">
        <v>97</v>
      </c>
      <c r="I99" s="81"/>
      <c r="J99" s="81"/>
      <c r="K99" s="81"/>
      <c r="L99" s="81"/>
      <c r="M99" s="81"/>
      <c r="N99" s="81"/>
      <c r="O99" s="81"/>
      <c r="P99" s="81"/>
      <c r="Q99" s="81">
        <f t="shared" si="8"/>
        <v>97</v>
      </c>
      <c r="R99" s="151" t="str">
        <f t="shared" si="9"/>
        <v>NO</v>
      </c>
      <c r="S99" s="536" t="str">
        <f t="shared" si="7"/>
        <v>Inviable Sanitariamente</v>
      </c>
      <c r="T99" s="158"/>
    </row>
    <row r="100" spans="1:20" s="123" customFormat="1" ht="32.1" customHeight="1" x14ac:dyDescent="0.2">
      <c r="A100" s="127" t="s">
        <v>4132</v>
      </c>
      <c r="B100" s="128" t="s">
        <v>961</v>
      </c>
      <c r="C100" s="128" t="s">
        <v>962</v>
      </c>
      <c r="D100" s="157">
        <v>110</v>
      </c>
      <c r="E100" s="81"/>
      <c r="F100" s="81"/>
      <c r="G100" s="81">
        <v>97</v>
      </c>
      <c r="H100" s="81"/>
      <c r="I100" s="81"/>
      <c r="J100" s="81"/>
      <c r="K100" s="81"/>
      <c r="L100" s="81"/>
      <c r="M100" s="81">
        <v>97</v>
      </c>
      <c r="N100" s="81"/>
      <c r="O100" s="81"/>
      <c r="P100" s="81"/>
      <c r="Q100" s="81">
        <f t="shared" si="8"/>
        <v>97</v>
      </c>
      <c r="R100" s="151" t="str">
        <f t="shared" si="9"/>
        <v>NO</v>
      </c>
      <c r="S100" s="536" t="str">
        <f t="shared" si="7"/>
        <v>Inviable Sanitariamente</v>
      </c>
      <c r="T100" s="158"/>
    </row>
    <row r="101" spans="1:20" s="123" customFormat="1" ht="32.1" customHeight="1" x14ac:dyDescent="0.2">
      <c r="A101" s="127" t="s">
        <v>4132</v>
      </c>
      <c r="B101" s="128" t="s">
        <v>963</v>
      </c>
      <c r="C101" s="128" t="s">
        <v>964</v>
      </c>
      <c r="D101" s="157">
        <v>89</v>
      </c>
      <c r="E101" s="81">
        <v>97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>
        <f t="shared" si="8"/>
        <v>97</v>
      </c>
      <c r="R101" s="151" t="str">
        <f t="shared" si="9"/>
        <v>NO</v>
      </c>
      <c r="S101" s="536" t="str">
        <f t="shared" si="7"/>
        <v>Inviable Sanitariamente</v>
      </c>
      <c r="T101" s="158"/>
    </row>
    <row r="102" spans="1:20" s="123" customFormat="1" ht="32.1" customHeight="1" x14ac:dyDescent="0.2">
      <c r="A102" s="127" t="s">
        <v>4132</v>
      </c>
      <c r="B102" s="128" t="s">
        <v>965</v>
      </c>
      <c r="C102" s="128" t="s">
        <v>966</v>
      </c>
      <c r="D102" s="157">
        <v>20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>
        <v>97</v>
      </c>
      <c r="Q102" s="81">
        <f t="shared" si="8"/>
        <v>97</v>
      </c>
      <c r="R102" s="151" t="str">
        <f t="shared" si="9"/>
        <v>NO</v>
      </c>
      <c r="S102" s="536" t="str">
        <f t="shared" si="7"/>
        <v>Inviable Sanitariamente</v>
      </c>
      <c r="T102" s="158"/>
    </row>
    <row r="103" spans="1:20" s="123" customFormat="1" ht="32.1" customHeight="1" x14ac:dyDescent="0.2">
      <c r="A103" s="127" t="s">
        <v>4132</v>
      </c>
      <c r="B103" s="128" t="s">
        <v>967</v>
      </c>
      <c r="C103" s="128" t="s">
        <v>968</v>
      </c>
      <c r="D103" s="157">
        <v>104</v>
      </c>
      <c r="E103" s="81"/>
      <c r="F103" s="81"/>
      <c r="G103" s="81"/>
      <c r="H103" s="81"/>
      <c r="I103" s="81">
        <v>97</v>
      </c>
      <c r="J103" s="81"/>
      <c r="K103" s="81"/>
      <c r="L103" s="81"/>
      <c r="M103" s="81"/>
      <c r="N103" s="81"/>
      <c r="O103" s="81"/>
      <c r="P103" s="81"/>
      <c r="Q103" s="81">
        <f t="shared" si="8"/>
        <v>97</v>
      </c>
      <c r="R103" s="151" t="str">
        <f t="shared" si="9"/>
        <v>NO</v>
      </c>
      <c r="S103" s="536" t="str">
        <f t="shared" si="7"/>
        <v>Inviable Sanitariamente</v>
      </c>
      <c r="T103" s="158"/>
    </row>
    <row r="104" spans="1:20" s="123" customFormat="1" ht="32.1" customHeight="1" x14ac:dyDescent="0.2">
      <c r="A104" s="127" t="s">
        <v>4132</v>
      </c>
      <c r="B104" s="128" t="s">
        <v>849</v>
      </c>
      <c r="C104" s="128" t="s">
        <v>969</v>
      </c>
      <c r="D104" s="157">
        <v>55</v>
      </c>
      <c r="E104" s="81"/>
      <c r="F104" s="81"/>
      <c r="G104" s="81"/>
      <c r="H104" s="81"/>
      <c r="I104" s="81"/>
      <c r="J104" s="81"/>
      <c r="K104" s="81">
        <v>97</v>
      </c>
      <c r="L104" s="81"/>
      <c r="M104" s="81"/>
      <c r="N104" s="81"/>
      <c r="O104" s="81"/>
      <c r="P104" s="81"/>
      <c r="Q104" s="81">
        <f t="shared" si="8"/>
        <v>97</v>
      </c>
      <c r="R104" s="151" t="str">
        <f t="shared" si="9"/>
        <v>NO</v>
      </c>
      <c r="S104" s="536" t="str">
        <f t="shared" si="7"/>
        <v>Inviable Sanitariamente</v>
      </c>
      <c r="T104" s="158"/>
    </row>
    <row r="105" spans="1:20" s="123" customFormat="1" ht="32.1" customHeight="1" x14ac:dyDescent="0.2">
      <c r="A105" s="127" t="s">
        <v>4132</v>
      </c>
      <c r="B105" s="128" t="s">
        <v>970</v>
      </c>
      <c r="C105" s="128" t="s">
        <v>971</v>
      </c>
      <c r="D105" s="159">
        <v>60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>
        <v>97</v>
      </c>
      <c r="O105" s="81"/>
      <c r="P105" s="81"/>
      <c r="Q105" s="81">
        <f t="shared" si="8"/>
        <v>97</v>
      </c>
      <c r="R105" s="151" t="str">
        <f t="shared" si="9"/>
        <v>NO</v>
      </c>
      <c r="S105" s="536" t="str">
        <f t="shared" si="7"/>
        <v>Inviable Sanitariamente</v>
      </c>
      <c r="T105" s="158"/>
    </row>
    <row r="106" spans="1:20" s="119" customFormat="1" ht="30" customHeight="1" x14ac:dyDescent="0.2">
      <c r="A106" s="127" t="s">
        <v>4132</v>
      </c>
      <c r="B106" s="128" t="s">
        <v>972</v>
      </c>
      <c r="C106" s="128" t="s">
        <v>973</v>
      </c>
      <c r="D106" s="157">
        <v>30</v>
      </c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>
        <v>97</v>
      </c>
      <c r="P106" s="81"/>
      <c r="Q106" s="81">
        <f t="shared" si="8"/>
        <v>97</v>
      </c>
      <c r="R106" s="151" t="str">
        <f t="shared" si="9"/>
        <v>NO</v>
      </c>
      <c r="S106" s="536" t="str">
        <f t="shared" si="7"/>
        <v>Inviable Sanitariamente</v>
      </c>
    </row>
    <row r="107" spans="1:20" s="119" customFormat="1" ht="30" customHeight="1" x14ac:dyDescent="0.2">
      <c r="A107" s="127" t="s">
        <v>4132</v>
      </c>
      <c r="B107" s="128" t="s">
        <v>974</v>
      </c>
      <c r="C107" s="128" t="s">
        <v>975</v>
      </c>
      <c r="D107" s="157">
        <v>104</v>
      </c>
      <c r="E107" s="81"/>
      <c r="F107" s="81"/>
      <c r="G107" s="81">
        <v>0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>
        <f t="shared" si="8"/>
        <v>0</v>
      </c>
      <c r="R107" s="151" t="str">
        <f t="shared" si="9"/>
        <v>SI</v>
      </c>
      <c r="S107" s="536" t="str">
        <f t="shared" si="7"/>
        <v>Sin Riesgo</v>
      </c>
    </row>
    <row r="108" spans="1:20" s="119" customFormat="1" ht="30" customHeight="1" x14ac:dyDescent="0.2">
      <c r="A108" s="127" t="s">
        <v>4133</v>
      </c>
      <c r="B108" s="100" t="s">
        <v>1009</v>
      </c>
      <c r="C108" s="100" t="s">
        <v>1010</v>
      </c>
      <c r="D108" s="121">
        <v>264</v>
      </c>
      <c r="E108" s="81"/>
      <c r="F108" s="81"/>
      <c r="G108" s="81">
        <v>0</v>
      </c>
      <c r="H108" s="81"/>
      <c r="I108" s="81">
        <v>0</v>
      </c>
      <c r="J108" s="81">
        <v>0</v>
      </c>
      <c r="K108" s="81"/>
      <c r="L108" s="81">
        <v>0</v>
      </c>
      <c r="M108" s="81"/>
      <c r="N108" s="81"/>
      <c r="O108" s="81"/>
      <c r="P108" s="81"/>
      <c r="Q108" s="81">
        <f t="shared" si="8"/>
        <v>0</v>
      </c>
      <c r="R108" s="151" t="str">
        <f t="shared" si="9"/>
        <v>SI</v>
      </c>
      <c r="S108" s="536" t="str">
        <f t="shared" si="7"/>
        <v>Sin Riesgo</v>
      </c>
    </row>
    <row r="109" spans="1:20" s="119" customFormat="1" ht="32.1" customHeight="1" x14ac:dyDescent="0.2">
      <c r="A109" s="127" t="s">
        <v>4133</v>
      </c>
      <c r="B109" s="129" t="s">
        <v>1011</v>
      </c>
      <c r="C109" s="129" t="s">
        <v>1012</v>
      </c>
      <c r="D109" s="121">
        <v>176</v>
      </c>
      <c r="E109" s="81"/>
      <c r="F109" s="81"/>
      <c r="G109" s="81"/>
      <c r="H109" s="81"/>
      <c r="I109" s="81"/>
      <c r="J109" s="81">
        <v>97.3</v>
      </c>
      <c r="K109" s="81"/>
      <c r="L109" s="81">
        <v>97.9</v>
      </c>
      <c r="M109" s="81"/>
      <c r="N109" s="81"/>
      <c r="O109" s="81">
        <v>97.3</v>
      </c>
      <c r="P109" s="81"/>
      <c r="Q109" s="81">
        <f t="shared" si="8"/>
        <v>97.5</v>
      </c>
      <c r="R109" s="151" t="str">
        <f t="shared" si="9"/>
        <v>NO</v>
      </c>
      <c r="S109" s="536" t="str">
        <f t="shared" si="7"/>
        <v>Inviable Sanitariamente</v>
      </c>
    </row>
    <row r="110" spans="1:20" s="119" customFormat="1" ht="32.1" customHeight="1" x14ac:dyDescent="0.2">
      <c r="A110" s="127" t="s">
        <v>4133</v>
      </c>
      <c r="B110" s="129" t="s">
        <v>1013</v>
      </c>
      <c r="C110" s="129" t="s">
        <v>1014</v>
      </c>
      <c r="D110" s="121">
        <v>137</v>
      </c>
      <c r="E110" s="81"/>
      <c r="F110" s="81"/>
      <c r="G110" s="81"/>
      <c r="H110" s="81"/>
      <c r="I110" s="81"/>
      <c r="J110" s="81">
        <v>97.3</v>
      </c>
      <c r="K110" s="81"/>
      <c r="L110" s="81">
        <v>97.9</v>
      </c>
      <c r="M110" s="81"/>
      <c r="N110" s="81"/>
      <c r="O110" s="81">
        <v>97.3</v>
      </c>
      <c r="P110" s="81"/>
      <c r="Q110" s="81">
        <f t="shared" si="8"/>
        <v>97.5</v>
      </c>
      <c r="R110" s="151" t="str">
        <f t="shared" si="9"/>
        <v>NO</v>
      </c>
      <c r="S110" s="536" t="str">
        <f t="shared" si="7"/>
        <v>Inviable Sanitariamente</v>
      </c>
    </row>
    <row r="111" spans="1:20" s="13" customFormat="1" ht="32.1" customHeight="1" x14ac:dyDescent="0.2">
      <c r="A111" s="127" t="s">
        <v>4133</v>
      </c>
      <c r="B111" s="160" t="s">
        <v>1015</v>
      </c>
      <c r="C111" s="160" t="s">
        <v>1016</v>
      </c>
      <c r="D111" s="121">
        <v>318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>
        <v>50</v>
      </c>
      <c r="P111" s="81"/>
      <c r="Q111" s="81">
        <f t="shared" si="8"/>
        <v>50</v>
      </c>
      <c r="R111" s="151" t="str">
        <f t="shared" si="9"/>
        <v>NO</v>
      </c>
      <c r="S111" s="536" t="str">
        <f t="shared" si="7"/>
        <v>Alto</v>
      </c>
    </row>
    <row r="112" spans="1:20" s="119" customFormat="1" ht="32.1" customHeight="1" x14ac:dyDescent="0.2">
      <c r="A112" s="127" t="s">
        <v>4133</v>
      </c>
      <c r="B112" s="160" t="s">
        <v>1017</v>
      </c>
      <c r="C112" s="160" t="s">
        <v>1018</v>
      </c>
      <c r="D112" s="121">
        <v>109</v>
      </c>
      <c r="E112" s="81"/>
      <c r="F112" s="81"/>
      <c r="G112" s="81"/>
      <c r="H112" s="81"/>
      <c r="I112" s="81">
        <v>97.3</v>
      </c>
      <c r="J112" s="81"/>
      <c r="K112" s="81"/>
      <c r="L112" s="81"/>
      <c r="M112" s="81"/>
      <c r="N112" s="81"/>
      <c r="O112" s="81"/>
      <c r="P112" s="81"/>
      <c r="Q112" s="81">
        <f t="shared" si="8"/>
        <v>97.3</v>
      </c>
      <c r="R112" s="151" t="str">
        <f t="shared" si="9"/>
        <v>NO</v>
      </c>
      <c r="S112" s="536" t="str">
        <f t="shared" si="7"/>
        <v>Inviable Sanitariamente</v>
      </c>
    </row>
    <row r="113" spans="1:16384" s="119" customFormat="1" ht="32.1" customHeight="1" x14ac:dyDescent="0.2">
      <c r="A113" s="127" t="s">
        <v>4133</v>
      </c>
      <c r="B113" s="160" t="s">
        <v>244</v>
      </c>
      <c r="C113" s="160" t="s">
        <v>1019</v>
      </c>
      <c r="D113" s="121">
        <v>30</v>
      </c>
      <c r="E113" s="81"/>
      <c r="F113" s="81"/>
      <c r="G113" s="81"/>
      <c r="H113" s="81"/>
      <c r="I113" s="81"/>
      <c r="J113" s="81">
        <v>97.9</v>
      </c>
      <c r="K113" s="81"/>
      <c r="L113" s="81"/>
      <c r="M113" s="81"/>
      <c r="N113" s="81"/>
      <c r="O113" s="81"/>
      <c r="P113" s="81"/>
      <c r="Q113" s="81">
        <f t="shared" si="8"/>
        <v>97.9</v>
      </c>
      <c r="R113" s="151" t="str">
        <f t="shared" si="9"/>
        <v>NO</v>
      </c>
      <c r="S113" s="536" t="str">
        <f t="shared" si="7"/>
        <v>Inviable Sanitariamente</v>
      </c>
    </row>
    <row r="114" spans="1:16384" s="119" customFormat="1" ht="32.1" customHeight="1" x14ac:dyDescent="0.2">
      <c r="A114" s="127" t="s">
        <v>4133</v>
      </c>
      <c r="B114" s="160" t="s">
        <v>1020</v>
      </c>
      <c r="C114" s="160" t="s">
        <v>1021</v>
      </c>
      <c r="D114" s="121">
        <v>30</v>
      </c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 t="e">
        <f t="shared" si="8"/>
        <v>#DIV/0!</v>
      </c>
      <c r="R114" s="151" t="e">
        <f t="shared" si="9"/>
        <v>#DIV/0!</v>
      </c>
      <c r="S114" s="536" t="e">
        <f t="shared" si="7"/>
        <v>#DIV/0!</v>
      </c>
    </row>
    <row r="115" spans="1:16384" s="119" customFormat="1" ht="32.1" customHeight="1" x14ac:dyDescent="0.2">
      <c r="A115" s="127" t="s">
        <v>4133</v>
      </c>
      <c r="B115" s="160" t="s">
        <v>1022</v>
      </c>
      <c r="C115" s="160" t="s">
        <v>1023</v>
      </c>
      <c r="D115" s="121">
        <v>30</v>
      </c>
      <c r="E115" s="81"/>
      <c r="F115" s="81"/>
      <c r="G115" s="81"/>
      <c r="H115" s="81"/>
      <c r="I115" s="81"/>
      <c r="J115" s="81">
        <v>97.3</v>
      </c>
      <c r="K115" s="81"/>
      <c r="L115" s="81"/>
      <c r="M115" s="81"/>
      <c r="N115" s="81"/>
      <c r="O115" s="81"/>
      <c r="P115" s="81"/>
      <c r="Q115" s="81">
        <f t="shared" si="8"/>
        <v>97.3</v>
      </c>
      <c r="R115" s="151" t="str">
        <f t="shared" si="9"/>
        <v>NO</v>
      </c>
      <c r="S115" s="536" t="str">
        <f t="shared" si="7"/>
        <v>Inviable Sanitariamente</v>
      </c>
    </row>
    <row r="116" spans="1:16384" s="119" customFormat="1" ht="32.1" customHeight="1" x14ac:dyDescent="0.2">
      <c r="A116" s="127" t="s">
        <v>4133</v>
      </c>
      <c r="B116" s="160" t="s">
        <v>1024</v>
      </c>
      <c r="C116" s="160" t="s">
        <v>1025</v>
      </c>
      <c r="D116" s="143">
        <v>65</v>
      </c>
      <c r="E116" s="81"/>
      <c r="F116" s="81"/>
      <c r="G116" s="81"/>
      <c r="H116" s="81"/>
      <c r="I116" s="81"/>
      <c r="J116" s="81">
        <v>76.900000000000006</v>
      </c>
      <c r="K116" s="81"/>
      <c r="L116" s="81"/>
      <c r="M116" s="81"/>
      <c r="N116" s="81"/>
      <c r="O116" s="81"/>
      <c r="P116" s="81"/>
      <c r="Q116" s="81">
        <f t="shared" si="8"/>
        <v>76.900000000000006</v>
      </c>
      <c r="R116" s="151" t="str">
        <f t="shared" si="9"/>
        <v>NO</v>
      </c>
      <c r="S116" s="536" t="str">
        <f t="shared" si="7"/>
        <v>Alto</v>
      </c>
    </row>
    <row r="117" spans="1:16384" s="119" customFormat="1" ht="32.1" customHeight="1" x14ac:dyDescent="0.2">
      <c r="A117" s="127" t="s">
        <v>4133</v>
      </c>
      <c r="B117" s="160" t="s">
        <v>1026</v>
      </c>
      <c r="C117" s="160" t="s">
        <v>1027</v>
      </c>
      <c r="D117" s="121">
        <v>196</v>
      </c>
      <c r="E117" s="81"/>
      <c r="F117" s="81"/>
      <c r="G117" s="81">
        <v>46.9</v>
      </c>
      <c r="H117" s="81"/>
      <c r="I117" s="81">
        <v>0</v>
      </c>
      <c r="J117" s="81"/>
      <c r="K117" s="81"/>
      <c r="L117" s="81"/>
      <c r="M117" s="81"/>
      <c r="N117" s="81"/>
      <c r="O117" s="81"/>
      <c r="P117" s="81"/>
      <c r="Q117" s="81">
        <f t="shared" si="8"/>
        <v>23.45</v>
      </c>
      <c r="R117" s="151" t="str">
        <f t="shared" si="9"/>
        <v>NO</v>
      </c>
      <c r="S117" s="536" t="str">
        <f t="shared" si="7"/>
        <v>Medio</v>
      </c>
    </row>
    <row r="118" spans="1:16384" s="119" customFormat="1" ht="32.1" customHeight="1" x14ac:dyDescent="0.2">
      <c r="A118" s="127" t="s">
        <v>4133</v>
      </c>
      <c r="B118" s="160" t="s">
        <v>692</v>
      </c>
      <c r="C118" s="160" t="s">
        <v>1028</v>
      </c>
      <c r="D118" s="121">
        <v>36</v>
      </c>
      <c r="E118" s="81"/>
      <c r="F118" s="81"/>
      <c r="G118" s="81"/>
      <c r="H118" s="81"/>
      <c r="I118" s="81"/>
      <c r="J118" s="81">
        <v>97.3</v>
      </c>
      <c r="K118" s="81"/>
      <c r="L118" s="81"/>
      <c r="M118" s="81"/>
      <c r="N118" s="81"/>
      <c r="O118" s="81"/>
      <c r="P118" s="81"/>
      <c r="Q118" s="81">
        <f t="shared" si="8"/>
        <v>97.3</v>
      </c>
      <c r="R118" s="151" t="str">
        <f t="shared" si="9"/>
        <v>NO</v>
      </c>
      <c r="S118" s="536" t="str">
        <f t="shared" si="7"/>
        <v>Inviable Sanitariamente</v>
      </c>
    </row>
    <row r="119" spans="1:16384" s="119" customFormat="1" ht="32.1" customHeight="1" x14ac:dyDescent="0.2">
      <c r="A119" s="127" t="s">
        <v>4133</v>
      </c>
      <c r="B119" s="160" t="s">
        <v>1029</v>
      </c>
      <c r="C119" s="160" t="s">
        <v>1030</v>
      </c>
      <c r="D119" s="143">
        <v>24</v>
      </c>
      <c r="E119" s="81"/>
      <c r="F119" s="81"/>
      <c r="G119" s="81"/>
      <c r="H119" s="81"/>
      <c r="I119" s="81"/>
      <c r="J119" s="81">
        <v>76.92</v>
      </c>
      <c r="K119" s="81"/>
      <c r="L119" s="81"/>
      <c r="M119" s="81"/>
      <c r="N119" s="81"/>
      <c r="O119" s="81"/>
      <c r="P119" s="81"/>
      <c r="Q119" s="81">
        <f t="shared" si="8"/>
        <v>76.92</v>
      </c>
      <c r="R119" s="151" t="str">
        <f t="shared" si="9"/>
        <v>NO</v>
      </c>
      <c r="S119" s="536" t="str">
        <f t="shared" si="7"/>
        <v>Alto</v>
      </c>
    </row>
    <row r="120" spans="1:16384" s="119" customFormat="1" ht="32.1" customHeight="1" x14ac:dyDescent="0.2">
      <c r="A120" s="127" t="s">
        <v>4133</v>
      </c>
      <c r="B120" s="160" t="s">
        <v>708</v>
      </c>
      <c r="C120" s="160" t="s">
        <v>1031</v>
      </c>
      <c r="D120" s="121">
        <v>15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 t="e">
        <f t="shared" si="8"/>
        <v>#DIV/0!</v>
      </c>
      <c r="R120" s="151" t="e">
        <f t="shared" si="9"/>
        <v>#DIV/0!</v>
      </c>
      <c r="S120" s="536" t="e">
        <f t="shared" si="7"/>
        <v>#DIV/0!</v>
      </c>
    </row>
    <row r="121" spans="1:16384" s="119" customFormat="1" ht="32.1" customHeight="1" x14ac:dyDescent="0.2">
      <c r="A121" s="127" t="s">
        <v>4133</v>
      </c>
      <c r="B121" s="160" t="s">
        <v>1032</v>
      </c>
      <c r="C121" s="160" t="s">
        <v>1033</v>
      </c>
      <c r="D121" s="121">
        <v>35</v>
      </c>
      <c r="E121" s="81"/>
      <c r="F121" s="81"/>
      <c r="G121" s="81"/>
      <c r="H121" s="81"/>
      <c r="I121" s="81"/>
      <c r="J121" s="81">
        <v>0</v>
      </c>
      <c r="K121" s="81"/>
      <c r="L121" s="81"/>
      <c r="M121" s="81"/>
      <c r="N121" s="81"/>
      <c r="O121" s="81"/>
      <c r="P121" s="81"/>
      <c r="Q121" s="81">
        <f t="shared" si="8"/>
        <v>0</v>
      </c>
      <c r="R121" s="151" t="str">
        <f t="shared" si="9"/>
        <v>SI</v>
      </c>
      <c r="S121" s="536" t="str">
        <f t="shared" si="7"/>
        <v>Sin Riesgo</v>
      </c>
    </row>
    <row r="122" spans="1:16384" s="119" customFormat="1" ht="32.1" customHeight="1" x14ac:dyDescent="0.2">
      <c r="A122" s="134"/>
      <c r="B122" s="437"/>
      <c r="C122" s="437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216"/>
      <c r="S122" s="217"/>
      <c r="T122" s="432"/>
      <c r="U122" s="432"/>
      <c r="V122" s="432"/>
      <c r="W122" s="432"/>
      <c r="X122" s="432"/>
      <c r="Y122" s="432"/>
      <c r="Z122" s="432"/>
      <c r="AA122" s="432"/>
      <c r="AB122" s="432"/>
      <c r="AC122" s="432"/>
      <c r="AD122" s="432"/>
      <c r="AE122" s="432"/>
      <c r="AF122" s="432"/>
      <c r="AG122" s="432"/>
      <c r="AH122" s="432"/>
      <c r="AI122" s="432"/>
      <c r="AJ122" s="432"/>
      <c r="AK122" s="432"/>
      <c r="AL122" s="432"/>
      <c r="AM122" s="432"/>
      <c r="AN122" s="432"/>
      <c r="AO122" s="432"/>
      <c r="AP122" s="432"/>
      <c r="AQ122" s="432"/>
      <c r="AR122" s="432"/>
      <c r="AS122" s="432"/>
      <c r="AT122" s="432"/>
      <c r="AU122" s="432"/>
      <c r="AV122" s="432"/>
      <c r="AW122" s="432"/>
      <c r="AX122" s="432"/>
      <c r="AY122" s="432"/>
      <c r="AZ122" s="432"/>
      <c r="BA122" s="432"/>
      <c r="BB122" s="432"/>
      <c r="BC122" s="432"/>
      <c r="BD122" s="432"/>
      <c r="BE122" s="432"/>
      <c r="BF122" s="432"/>
      <c r="BG122" s="432"/>
      <c r="BH122" s="432"/>
      <c r="BI122" s="432"/>
      <c r="BJ122" s="432"/>
      <c r="BK122" s="432"/>
      <c r="BL122" s="432"/>
      <c r="BM122" s="432"/>
      <c r="BN122" s="432"/>
      <c r="BO122" s="432"/>
      <c r="BP122" s="432"/>
      <c r="BQ122" s="432"/>
      <c r="BR122" s="432"/>
      <c r="BS122" s="432"/>
      <c r="BT122" s="432"/>
      <c r="BU122" s="432"/>
      <c r="BV122" s="432"/>
      <c r="BW122" s="432"/>
      <c r="BX122" s="432"/>
      <c r="BY122" s="432"/>
      <c r="BZ122" s="432"/>
      <c r="CA122" s="432"/>
      <c r="CB122" s="432"/>
      <c r="CC122" s="432"/>
      <c r="CD122" s="432"/>
      <c r="CE122" s="432"/>
      <c r="CF122" s="432"/>
      <c r="CG122" s="432"/>
      <c r="CH122" s="432"/>
      <c r="CI122" s="432"/>
      <c r="CJ122" s="432"/>
      <c r="CK122" s="432"/>
      <c r="CL122" s="432"/>
      <c r="CM122" s="432"/>
      <c r="CN122" s="432"/>
      <c r="CO122" s="432"/>
      <c r="CP122" s="432"/>
      <c r="CQ122" s="432"/>
      <c r="CR122" s="432"/>
      <c r="CS122" s="432"/>
      <c r="CT122" s="432"/>
      <c r="CU122" s="432"/>
      <c r="CV122" s="432"/>
      <c r="CW122" s="432"/>
      <c r="CX122" s="432"/>
      <c r="CY122" s="432"/>
      <c r="CZ122" s="432"/>
      <c r="DA122" s="432"/>
      <c r="DB122" s="432"/>
      <c r="DC122" s="432"/>
      <c r="DD122" s="432"/>
      <c r="DE122" s="432"/>
      <c r="DF122" s="432"/>
      <c r="DG122" s="432"/>
      <c r="DH122" s="432"/>
      <c r="DI122" s="432"/>
      <c r="DJ122" s="432"/>
      <c r="DK122" s="432"/>
      <c r="DL122" s="432"/>
      <c r="DM122" s="432"/>
      <c r="DN122" s="432"/>
      <c r="DO122" s="432"/>
      <c r="DP122" s="432"/>
      <c r="DQ122" s="432"/>
      <c r="DR122" s="432"/>
      <c r="DS122" s="432"/>
      <c r="DT122" s="432"/>
      <c r="DU122" s="432"/>
      <c r="DV122" s="432"/>
      <c r="DW122" s="432"/>
      <c r="DX122" s="432"/>
      <c r="DY122" s="432"/>
      <c r="DZ122" s="432"/>
      <c r="EA122" s="432"/>
      <c r="EB122" s="432"/>
      <c r="EC122" s="432"/>
      <c r="ED122" s="432"/>
      <c r="EE122" s="432"/>
      <c r="EF122" s="432"/>
      <c r="EG122" s="432"/>
      <c r="EH122" s="432"/>
      <c r="EI122" s="432"/>
      <c r="EJ122" s="432"/>
      <c r="EK122" s="432"/>
      <c r="EL122" s="432"/>
      <c r="EM122" s="432"/>
      <c r="EN122" s="432"/>
      <c r="EO122" s="432"/>
      <c r="EP122" s="432"/>
      <c r="EQ122" s="432"/>
      <c r="ER122" s="432"/>
      <c r="ES122" s="432"/>
      <c r="ET122" s="432"/>
      <c r="EU122" s="432"/>
      <c r="EV122" s="432"/>
      <c r="EW122" s="432"/>
      <c r="EX122" s="432"/>
      <c r="EY122" s="432"/>
      <c r="EZ122" s="432"/>
      <c r="FA122" s="432"/>
      <c r="FB122" s="432"/>
      <c r="FC122" s="432"/>
      <c r="FD122" s="432"/>
      <c r="FE122" s="432"/>
      <c r="FF122" s="432"/>
      <c r="FG122" s="432"/>
      <c r="FH122" s="432"/>
      <c r="FI122" s="432"/>
      <c r="FJ122" s="432"/>
      <c r="FK122" s="432"/>
      <c r="FL122" s="432"/>
      <c r="FM122" s="432"/>
      <c r="FN122" s="432"/>
      <c r="FO122" s="432"/>
      <c r="FP122" s="432"/>
      <c r="FQ122" s="432"/>
      <c r="FR122" s="432"/>
      <c r="FS122" s="432"/>
      <c r="FT122" s="432"/>
      <c r="FU122" s="432"/>
      <c r="FV122" s="432"/>
      <c r="FW122" s="432"/>
      <c r="FX122" s="432"/>
      <c r="FY122" s="432"/>
      <c r="FZ122" s="432"/>
      <c r="GA122" s="432"/>
      <c r="GB122" s="432"/>
      <c r="GC122" s="432"/>
      <c r="GD122" s="432"/>
      <c r="GE122" s="432"/>
      <c r="GF122" s="432"/>
      <c r="GG122" s="432"/>
      <c r="GH122" s="432"/>
      <c r="GI122" s="432"/>
      <c r="GJ122" s="432"/>
      <c r="GK122" s="432"/>
      <c r="GL122" s="432"/>
      <c r="GM122" s="432"/>
      <c r="GN122" s="432"/>
      <c r="GO122" s="432"/>
      <c r="GP122" s="432"/>
      <c r="GQ122" s="432"/>
      <c r="GR122" s="432"/>
      <c r="GS122" s="432"/>
      <c r="GT122" s="432"/>
      <c r="GU122" s="432"/>
      <c r="GV122" s="432"/>
      <c r="GW122" s="432"/>
      <c r="GX122" s="432"/>
      <c r="GY122" s="432"/>
      <c r="GZ122" s="432"/>
      <c r="HA122" s="432"/>
      <c r="HB122" s="432"/>
      <c r="HC122" s="432"/>
      <c r="HD122" s="432"/>
      <c r="HE122" s="432"/>
      <c r="HF122" s="432"/>
      <c r="HG122" s="432"/>
      <c r="HH122" s="432"/>
      <c r="HI122" s="432"/>
      <c r="HJ122" s="432"/>
      <c r="HK122" s="432"/>
      <c r="HL122" s="432"/>
      <c r="HM122" s="432"/>
      <c r="HN122" s="432"/>
      <c r="HO122" s="432"/>
      <c r="HP122" s="432"/>
      <c r="HQ122" s="432"/>
      <c r="HR122" s="432"/>
      <c r="HS122" s="432"/>
      <c r="HT122" s="432"/>
      <c r="HU122" s="432"/>
      <c r="HV122" s="432"/>
      <c r="HW122" s="432"/>
      <c r="HX122" s="432"/>
      <c r="HY122" s="432"/>
      <c r="HZ122" s="432"/>
      <c r="IA122" s="432"/>
      <c r="IB122" s="432"/>
      <c r="IC122" s="432"/>
      <c r="ID122" s="432"/>
      <c r="IE122" s="432"/>
      <c r="IF122" s="432"/>
      <c r="IG122" s="432"/>
      <c r="IH122" s="432"/>
      <c r="II122" s="432"/>
      <c r="IJ122" s="432"/>
      <c r="IK122" s="432"/>
      <c r="IL122" s="432"/>
      <c r="IM122" s="432"/>
      <c r="IN122" s="432"/>
      <c r="IO122" s="432"/>
      <c r="IP122" s="432"/>
      <c r="IQ122" s="432"/>
      <c r="IR122" s="432"/>
      <c r="IS122" s="432"/>
      <c r="IT122" s="432"/>
      <c r="IU122" s="432"/>
      <c r="IV122" s="432"/>
      <c r="IW122" s="432"/>
      <c r="IX122" s="432"/>
      <c r="IY122" s="432"/>
      <c r="IZ122" s="432"/>
      <c r="JA122" s="432"/>
      <c r="JB122" s="432"/>
      <c r="JC122" s="432"/>
      <c r="JD122" s="432"/>
      <c r="JE122" s="432"/>
      <c r="JF122" s="432"/>
      <c r="JG122" s="432"/>
      <c r="JH122" s="432"/>
      <c r="JI122" s="432"/>
      <c r="JJ122" s="432"/>
      <c r="JK122" s="432"/>
      <c r="JL122" s="432"/>
      <c r="JM122" s="432"/>
      <c r="JN122" s="432"/>
      <c r="JO122" s="432"/>
      <c r="JP122" s="432"/>
      <c r="JQ122" s="432"/>
      <c r="JR122" s="432"/>
      <c r="JS122" s="432"/>
      <c r="JT122" s="432"/>
      <c r="JU122" s="432"/>
      <c r="JV122" s="432"/>
      <c r="JW122" s="432"/>
      <c r="JX122" s="432"/>
      <c r="JY122" s="432"/>
      <c r="JZ122" s="432"/>
      <c r="KA122" s="432"/>
      <c r="KB122" s="432"/>
      <c r="KC122" s="432"/>
      <c r="KD122" s="432"/>
      <c r="KE122" s="432"/>
      <c r="KF122" s="432"/>
      <c r="KG122" s="432"/>
      <c r="KH122" s="432"/>
      <c r="KI122" s="432"/>
      <c r="KJ122" s="432"/>
      <c r="KK122" s="432"/>
      <c r="KL122" s="432"/>
      <c r="KM122" s="432"/>
      <c r="KN122" s="432"/>
      <c r="KO122" s="432"/>
      <c r="KP122" s="432"/>
      <c r="KQ122" s="432"/>
      <c r="KR122" s="432"/>
      <c r="KS122" s="432"/>
      <c r="KT122" s="432"/>
      <c r="KU122" s="432"/>
      <c r="KV122" s="432"/>
      <c r="KW122" s="432"/>
      <c r="KX122" s="432"/>
      <c r="KY122" s="432"/>
      <c r="KZ122" s="432"/>
      <c r="LA122" s="432"/>
      <c r="LB122" s="432"/>
      <c r="LC122" s="432"/>
      <c r="LD122" s="432"/>
      <c r="LE122" s="432"/>
      <c r="LF122" s="432"/>
      <c r="LG122" s="432"/>
      <c r="LH122" s="432"/>
      <c r="LI122" s="432"/>
      <c r="LJ122" s="432"/>
      <c r="LK122" s="432"/>
      <c r="LL122" s="432"/>
      <c r="LM122" s="432"/>
      <c r="LN122" s="432"/>
      <c r="LO122" s="432"/>
      <c r="LP122" s="432"/>
      <c r="LQ122" s="432"/>
      <c r="LR122" s="432"/>
      <c r="LS122" s="432"/>
      <c r="LT122" s="432"/>
      <c r="LU122" s="432"/>
      <c r="LV122" s="432"/>
      <c r="LW122" s="432"/>
      <c r="LX122" s="432"/>
      <c r="LY122" s="432"/>
      <c r="LZ122" s="432"/>
      <c r="MA122" s="432"/>
      <c r="MB122" s="432"/>
      <c r="MC122" s="432"/>
      <c r="MD122" s="432"/>
      <c r="ME122" s="432"/>
      <c r="MF122" s="432"/>
      <c r="MG122" s="432"/>
      <c r="MH122" s="432"/>
      <c r="MI122" s="432"/>
      <c r="MJ122" s="432"/>
      <c r="MK122" s="432"/>
      <c r="ML122" s="432"/>
      <c r="MM122" s="432"/>
      <c r="MN122" s="432"/>
      <c r="MO122" s="432"/>
      <c r="MP122" s="432"/>
      <c r="MQ122" s="432"/>
      <c r="MR122" s="432"/>
      <c r="MS122" s="432"/>
      <c r="MT122" s="432"/>
      <c r="MU122" s="432"/>
      <c r="MV122" s="432"/>
      <c r="MW122" s="432"/>
      <c r="MX122" s="432"/>
      <c r="MY122" s="432"/>
      <c r="MZ122" s="432"/>
      <c r="NA122" s="432"/>
      <c r="NB122" s="432"/>
      <c r="NC122" s="432"/>
      <c r="ND122" s="432"/>
      <c r="NE122" s="432"/>
      <c r="NF122" s="432"/>
      <c r="NG122" s="432"/>
      <c r="NH122" s="432"/>
      <c r="NI122" s="432"/>
      <c r="NJ122" s="432"/>
      <c r="NK122" s="432"/>
      <c r="NL122" s="432"/>
      <c r="NM122" s="432"/>
      <c r="NN122" s="432"/>
      <c r="NO122" s="432"/>
      <c r="NP122" s="432"/>
      <c r="NQ122" s="432"/>
      <c r="NR122" s="432"/>
      <c r="NS122" s="432"/>
      <c r="NT122" s="432"/>
      <c r="NU122" s="432"/>
      <c r="NV122" s="432"/>
      <c r="NW122" s="432"/>
      <c r="NX122" s="432"/>
      <c r="NY122" s="432"/>
      <c r="NZ122" s="432"/>
      <c r="OA122" s="432"/>
      <c r="OB122" s="432"/>
      <c r="OC122" s="432"/>
      <c r="OD122" s="432"/>
      <c r="OE122" s="432"/>
      <c r="OF122" s="432"/>
      <c r="OG122" s="432"/>
      <c r="OH122" s="432"/>
      <c r="OI122" s="432"/>
      <c r="OJ122" s="432"/>
      <c r="OK122" s="432"/>
      <c r="OL122" s="432"/>
      <c r="OM122" s="432"/>
      <c r="ON122" s="432"/>
      <c r="OO122" s="432"/>
      <c r="OP122" s="432"/>
      <c r="OQ122" s="432"/>
      <c r="OR122" s="432"/>
      <c r="OS122" s="432"/>
      <c r="OT122" s="432"/>
      <c r="OU122" s="432"/>
      <c r="OV122" s="432"/>
      <c r="OW122" s="432"/>
      <c r="OX122" s="432"/>
      <c r="OY122" s="432"/>
      <c r="OZ122" s="432"/>
      <c r="PA122" s="432"/>
      <c r="PB122" s="432"/>
      <c r="PC122" s="432"/>
      <c r="PD122" s="432"/>
      <c r="PE122" s="432"/>
      <c r="PF122" s="432"/>
      <c r="PG122" s="432"/>
      <c r="PH122" s="432"/>
      <c r="PI122" s="432"/>
      <c r="PJ122" s="432"/>
      <c r="PK122" s="432"/>
      <c r="PL122" s="432"/>
      <c r="PM122" s="432"/>
      <c r="PN122" s="432"/>
      <c r="PO122" s="432"/>
      <c r="PP122" s="432"/>
      <c r="PQ122" s="432"/>
      <c r="PR122" s="432"/>
      <c r="PS122" s="432"/>
      <c r="PT122" s="432"/>
      <c r="PU122" s="432"/>
      <c r="PV122" s="432"/>
      <c r="PW122" s="432"/>
      <c r="PX122" s="432"/>
      <c r="PY122" s="432"/>
      <c r="PZ122" s="432"/>
      <c r="QA122" s="432"/>
      <c r="QB122" s="432"/>
      <c r="QC122" s="432"/>
      <c r="QD122" s="432"/>
      <c r="QE122" s="432"/>
      <c r="QF122" s="432"/>
      <c r="QG122" s="432"/>
      <c r="QH122" s="432"/>
      <c r="QI122" s="432"/>
      <c r="QJ122" s="432"/>
      <c r="QK122" s="432"/>
      <c r="QL122" s="432"/>
      <c r="QM122" s="432"/>
      <c r="QN122" s="432"/>
      <c r="QO122" s="432"/>
      <c r="QP122" s="432"/>
      <c r="QQ122" s="432"/>
      <c r="QR122" s="432"/>
      <c r="QS122" s="432"/>
      <c r="QT122" s="432"/>
      <c r="QU122" s="432"/>
      <c r="QV122" s="432"/>
      <c r="QW122" s="432"/>
      <c r="QX122" s="432"/>
      <c r="QY122" s="432"/>
      <c r="QZ122" s="432"/>
      <c r="RA122" s="432"/>
      <c r="RB122" s="432"/>
      <c r="RC122" s="432"/>
      <c r="RD122" s="432"/>
      <c r="RE122" s="432"/>
      <c r="RF122" s="432"/>
      <c r="RG122" s="432"/>
      <c r="RH122" s="432"/>
      <c r="RI122" s="432"/>
      <c r="RJ122" s="432"/>
      <c r="RK122" s="432"/>
      <c r="RL122" s="432"/>
      <c r="RM122" s="432"/>
      <c r="RN122" s="432"/>
      <c r="RO122" s="432"/>
      <c r="RP122" s="432"/>
      <c r="RQ122" s="432"/>
      <c r="RR122" s="432"/>
      <c r="RS122" s="432"/>
      <c r="RT122" s="432"/>
      <c r="RU122" s="432"/>
      <c r="RV122" s="432"/>
      <c r="RW122" s="432"/>
      <c r="RX122" s="432"/>
      <c r="RY122" s="432"/>
      <c r="RZ122" s="432"/>
      <c r="SA122" s="432"/>
      <c r="SB122" s="432"/>
      <c r="SC122" s="432"/>
      <c r="SD122" s="432"/>
      <c r="SE122" s="432"/>
      <c r="SF122" s="432"/>
      <c r="SG122" s="432"/>
      <c r="SH122" s="432"/>
      <c r="SI122" s="432"/>
      <c r="SJ122" s="432"/>
      <c r="SK122" s="432"/>
      <c r="SL122" s="432"/>
      <c r="SM122" s="432"/>
      <c r="SN122" s="432"/>
      <c r="SO122" s="432"/>
      <c r="SP122" s="432"/>
      <c r="SQ122" s="432"/>
      <c r="SR122" s="432"/>
      <c r="SS122" s="432"/>
      <c r="ST122" s="432"/>
      <c r="SU122" s="432"/>
      <c r="SV122" s="432"/>
      <c r="SW122" s="432"/>
      <c r="SX122" s="432"/>
      <c r="SY122" s="432"/>
      <c r="SZ122" s="432"/>
      <c r="TA122" s="432"/>
      <c r="TB122" s="432"/>
      <c r="TC122" s="432"/>
      <c r="TD122" s="432"/>
      <c r="TE122" s="432"/>
      <c r="TF122" s="432"/>
      <c r="TG122" s="432"/>
      <c r="TH122" s="432"/>
      <c r="TI122" s="432"/>
      <c r="TJ122" s="432"/>
      <c r="TK122" s="432"/>
      <c r="TL122" s="432"/>
      <c r="TM122" s="432"/>
      <c r="TN122" s="432"/>
      <c r="TO122" s="432"/>
      <c r="TP122" s="432"/>
      <c r="TQ122" s="432"/>
      <c r="TR122" s="432"/>
      <c r="TS122" s="432"/>
      <c r="TT122" s="432"/>
      <c r="TU122" s="432"/>
      <c r="TV122" s="432"/>
      <c r="TW122" s="432"/>
      <c r="TX122" s="432"/>
      <c r="TY122" s="432"/>
      <c r="TZ122" s="432"/>
      <c r="UA122" s="432"/>
      <c r="UB122" s="432"/>
      <c r="UC122" s="432"/>
      <c r="UD122" s="432"/>
      <c r="UE122" s="432"/>
      <c r="UF122" s="432"/>
      <c r="UG122" s="432"/>
      <c r="UH122" s="432"/>
      <c r="UI122" s="432"/>
      <c r="UJ122" s="432"/>
      <c r="UK122" s="432"/>
      <c r="UL122" s="432"/>
      <c r="UM122" s="432"/>
      <c r="UN122" s="432"/>
      <c r="UO122" s="432"/>
      <c r="UP122" s="432"/>
      <c r="UQ122" s="432"/>
      <c r="UR122" s="432"/>
      <c r="US122" s="432"/>
      <c r="UT122" s="432"/>
      <c r="UU122" s="432"/>
      <c r="UV122" s="432"/>
      <c r="UW122" s="432"/>
      <c r="UX122" s="432"/>
      <c r="UY122" s="432"/>
      <c r="UZ122" s="432"/>
      <c r="VA122" s="432"/>
      <c r="VB122" s="432"/>
      <c r="VC122" s="432"/>
      <c r="VD122" s="432"/>
      <c r="VE122" s="432"/>
      <c r="VF122" s="432"/>
      <c r="VG122" s="432"/>
      <c r="VH122" s="432"/>
      <c r="VI122" s="432"/>
      <c r="VJ122" s="432"/>
      <c r="VK122" s="432"/>
      <c r="VL122" s="432"/>
      <c r="VM122" s="432"/>
      <c r="VN122" s="432"/>
      <c r="VO122" s="432"/>
      <c r="VP122" s="432"/>
      <c r="VQ122" s="432"/>
      <c r="VR122" s="432"/>
      <c r="VS122" s="432"/>
      <c r="VT122" s="432"/>
      <c r="VU122" s="432"/>
      <c r="VV122" s="432"/>
      <c r="VW122" s="432"/>
      <c r="VX122" s="432"/>
      <c r="VY122" s="432"/>
      <c r="VZ122" s="432"/>
      <c r="WA122" s="432"/>
      <c r="WB122" s="432"/>
      <c r="WC122" s="432"/>
      <c r="WD122" s="432"/>
      <c r="WE122" s="432"/>
      <c r="WF122" s="432"/>
      <c r="WG122" s="432"/>
      <c r="WH122" s="432"/>
      <c r="WI122" s="432"/>
      <c r="WJ122" s="432"/>
      <c r="WK122" s="432"/>
      <c r="WL122" s="432"/>
      <c r="WM122" s="432"/>
      <c r="WN122" s="432"/>
      <c r="WO122" s="432"/>
      <c r="WP122" s="432"/>
      <c r="WQ122" s="432"/>
      <c r="WR122" s="432"/>
      <c r="WS122" s="432"/>
      <c r="WT122" s="432"/>
      <c r="WU122" s="432"/>
      <c r="WV122" s="432"/>
      <c r="WW122" s="432"/>
      <c r="WX122" s="432"/>
      <c r="WY122" s="432"/>
      <c r="WZ122" s="432"/>
      <c r="XA122" s="432"/>
      <c r="XB122" s="432"/>
      <c r="XC122" s="432"/>
      <c r="XD122" s="432"/>
      <c r="XE122" s="432"/>
      <c r="XF122" s="432"/>
      <c r="XG122" s="432"/>
      <c r="XH122" s="432"/>
      <c r="XI122" s="432"/>
      <c r="XJ122" s="432"/>
      <c r="XK122" s="432"/>
      <c r="XL122" s="432"/>
      <c r="XM122" s="432"/>
      <c r="XN122" s="432"/>
      <c r="XO122" s="432"/>
      <c r="XP122" s="432"/>
      <c r="XQ122" s="432"/>
      <c r="XR122" s="432"/>
      <c r="XS122" s="432"/>
      <c r="XT122" s="432"/>
      <c r="XU122" s="432"/>
      <c r="XV122" s="432"/>
      <c r="XW122" s="432"/>
      <c r="XX122" s="432"/>
      <c r="XY122" s="432"/>
      <c r="XZ122" s="432"/>
      <c r="YA122" s="432"/>
      <c r="YB122" s="432"/>
      <c r="YC122" s="432"/>
      <c r="YD122" s="432"/>
      <c r="YE122" s="432"/>
      <c r="YF122" s="432"/>
      <c r="YG122" s="432"/>
      <c r="YH122" s="432"/>
      <c r="YI122" s="432"/>
      <c r="YJ122" s="432"/>
      <c r="YK122" s="432"/>
      <c r="YL122" s="432"/>
      <c r="YM122" s="432"/>
      <c r="YN122" s="432"/>
      <c r="YO122" s="432"/>
      <c r="YP122" s="432"/>
      <c r="YQ122" s="432"/>
      <c r="YR122" s="432"/>
      <c r="YS122" s="432"/>
      <c r="YT122" s="432"/>
      <c r="YU122" s="432"/>
      <c r="YV122" s="432"/>
      <c r="YW122" s="432"/>
      <c r="YX122" s="432"/>
      <c r="YY122" s="432"/>
      <c r="YZ122" s="432"/>
      <c r="ZA122" s="432"/>
      <c r="ZB122" s="432"/>
      <c r="ZC122" s="432"/>
      <c r="ZD122" s="432"/>
      <c r="ZE122" s="432"/>
      <c r="ZF122" s="432"/>
      <c r="ZG122" s="432"/>
      <c r="ZH122" s="432"/>
      <c r="ZI122" s="432"/>
      <c r="ZJ122" s="432"/>
      <c r="ZK122" s="432"/>
      <c r="ZL122" s="432"/>
      <c r="ZM122" s="432"/>
      <c r="ZN122" s="432"/>
      <c r="ZO122" s="432"/>
      <c r="ZP122" s="432"/>
      <c r="ZQ122" s="432"/>
      <c r="ZR122" s="432"/>
      <c r="ZS122" s="432"/>
      <c r="ZT122" s="432"/>
      <c r="ZU122" s="432"/>
      <c r="ZV122" s="432"/>
      <c r="ZW122" s="432"/>
      <c r="ZX122" s="432"/>
      <c r="ZY122" s="432"/>
      <c r="ZZ122" s="432"/>
      <c r="AAA122" s="432"/>
      <c r="AAB122" s="432"/>
      <c r="AAC122" s="432"/>
      <c r="AAD122" s="432"/>
      <c r="AAE122" s="432"/>
      <c r="AAF122" s="432"/>
      <c r="AAG122" s="432"/>
      <c r="AAH122" s="432"/>
      <c r="AAI122" s="432"/>
      <c r="AAJ122" s="432"/>
      <c r="AAK122" s="432"/>
      <c r="AAL122" s="432"/>
      <c r="AAM122" s="432"/>
      <c r="AAN122" s="432"/>
      <c r="AAO122" s="432"/>
      <c r="AAP122" s="432"/>
      <c r="AAQ122" s="432"/>
      <c r="AAR122" s="432"/>
      <c r="AAS122" s="432"/>
      <c r="AAT122" s="432"/>
      <c r="AAU122" s="432"/>
      <c r="AAV122" s="432"/>
      <c r="AAW122" s="432"/>
      <c r="AAX122" s="432"/>
      <c r="AAY122" s="432"/>
      <c r="AAZ122" s="432"/>
      <c r="ABA122" s="432"/>
      <c r="ABB122" s="432"/>
      <c r="ABC122" s="432"/>
      <c r="ABD122" s="432"/>
      <c r="ABE122" s="432"/>
      <c r="ABF122" s="432"/>
      <c r="ABG122" s="432"/>
      <c r="ABH122" s="432"/>
      <c r="ABI122" s="432"/>
      <c r="ABJ122" s="432"/>
      <c r="ABK122" s="432"/>
      <c r="ABL122" s="432"/>
      <c r="ABM122" s="432"/>
      <c r="ABN122" s="432"/>
      <c r="ABO122" s="432"/>
      <c r="ABP122" s="432"/>
      <c r="ABQ122" s="432"/>
      <c r="ABR122" s="432"/>
      <c r="ABS122" s="432"/>
      <c r="ABT122" s="432"/>
      <c r="ABU122" s="432"/>
      <c r="ABV122" s="432"/>
      <c r="ABW122" s="432"/>
      <c r="ABX122" s="432"/>
      <c r="ABY122" s="432"/>
      <c r="ABZ122" s="432"/>
      <c r="ACA122" s="432"/>
      <c r="ACB122" s="432"/>
      <c r="ACC122" s="432"/>
      <c r="ACD122" s="432"/>
      <c r="ACE122" s="432"/>
      <c r="ACF122" s="432"/>
      <c r="ACG122" s="432"/>
      <c r="ACH122" s="432"/>
      <c r="ACI122" s="432"/>
      <c r="ACJ122" s="432"/>
      <c r="ACK122" s="432"/>
      <c r="ACL122" s="432"/>
      <c r="ACM122" s="432"/>
      <c r="ACN122" s="432"/>
      <c r="ACO122" s="432"/>
      <c r="ACP122" s="432"/>
      <c r="ACQ122" s="432"/>
      <c r="ACR122" s="432"/>
      <c r="ACS122" s="432"/>
      <c r="ACT122" s="432"/>
      <c r="ACU122" s="432"/>
      <c r="ACV122" s="432"/>
      <c r="ACW122" s="432"/>
      <c r="ACX122" s="432"/>
      <c r="ACY122" s="432"/>
      <c r="ACZ122" s="432"/>
      <c r="ADA122" s="432"/>
      <c r="ADB122" s="432"/>
      <c r="ADC122" s="432"/>
      <c r="ADD122" s="432"/>
      <c r="ADE122" s="432"/>
      <c r="ADF122" s="432"/>
      <c r="ADG122" s="432"/>
      <c r="ADH122" s="432"/>
      <c r="ADI122" s="432"/>
      <c r="ADJ122" s="432"/>
      <c r="ADK122" s="432"/>
      <c r="ADL122" s="432"/>
      <c r="ADM122" s="432"/>
      <c r="ADN122" s="432"/>
      <c r="ADO122" s="432"/>
      <c r="ADP122" s="432"/>
      <c r="ADQ122" s="432"/>
      <c r="ADR122" s="432"/>
      <c r="ADS122" s="432"/>
      <c r="ADT122" s="432"/>
      <c r="ADU122" s="432"/>
      <c r="ADV122" s="432"/>
      <c r="ADW122" s="432"/>
      <c r="ADX122" s="432"/>
      <c r="ADY122" s="432"/>
      <c r="ADZ122" s="432"/>
      <c r="AEA122" s="432"/>
      <c r="AEB122" s="432"/>
      <c r="AEC122" s="432"/>
      <c r="AED122" s="432"/>
      <c r="AEE122" s="432"/>
      <c r="AEF122" s="432"/>
      <c r="AEG122" s="432"/>
      <c r="AEH122" s="432"/>
      <c r="AEI122" s="432"/>
      <c r="AEJ122" s="432"/>
      <c r="AEK122" s="432"/>
      <c r="AEL122" s="432"/>
      <c r="AEM122" s="432"/>
      <c r="AEN122" s="432"/>
      <c r="AEO122" s="432"/>
      <c r="AEP122" s="432"/>
      <c r="AEQ122" s="432"/>
      <c r="AER122" s="432"/>
      <c r="AES122" s="432"/>
      <c r="AET122" s="432"/>
      <c r="AEU122" s="432"/>
      <c r="AEV122" s="432"/>
      <c r="AEW122" s="432"/>
      <c r="AEX122" s="432"/>
      <c r="AEY122" s="432"/>
      <c r="AEZ122" s="432"/>
      <c r="AFA122" s="432"/>
      <c r="AFB122" s="432"/>
      <c r="AFC122" s="432"/>
      <c r="AFD122" s="432"/>
      <c r="AFE122" s="432"/>
      <c r="AFF122" s="432"/>
      <c r="AFG122" s="432"/>
      <c r="AFH122" s="432"/>
      <c r="AFI122" s="432"/>
      <c r="AFJ122" s="432"/>
      <c r="AFK122" s="432"/>
      <c r="AFL122" s="432"/>
      <c r="AFM122" s="432"/>
      <c r="AFN122" s="432"/>
      <c r="AFO122" s="432"/>
      <c r="AFP122" s="432"/>
      <c r="AFQ122" s="432"/>
      <c r="AFR122" s="432"/>
      <c r="AFS122" s="432"/>
      <c r="AFT122" s="432"/>
      <c r="AFU122" s="432"/>
      <c r="AFV122" s="432"/>
      <c r="AFW122" s="432"/>
      <c r="AFX122" s="432"/>
      <c r="AFY122" s="432"/>
      <c r="AFZ122" s="432"/>
      <c r="AGA122" s="432"/>
      <c r="AGB122" s="432"/>
      <c r="AGC122" s="432"/>
      <c r="AGD122" s="432"/>
      <c r="AGE122" s="432"/>
      <c r="AGF122" s="432"/>
      <c r="AGG122" s="432"/>
      <c r="AGH122" s="432"/>
      <c r="AGI122" s="432"/>
      <c r="AGJ122" s="432"/>
      <c r="AGK122" s="432"/>
      <c r="AGL122" s="432"/>
      <c r="AGM122" s="432"/>
      <c r="AGN122" s="432"/>
      <c r="AGO122" s="432"/>
      <c r="AGP122" s="432"/>
      <c r="AGQ122" s="432"/>
      <c r="AGR122" s="432"/>
      <c r="AGS122" s="432"/>
      <c r="AGT122" s="432"/>
      <c r="AGU122" s="432"/>
      <c r="AGV122" s="432"/>
      <c r="AGW122" s="432"/>
      <c r="AGX122" s="432"/>
      <c r="AGY122" s="432"/>
      <c r="AGZ122" s="432"/>
      <c r="AHA122" s="432"/>
      <c r="AHB122" s="432"/>
      <c r="AHC122" s="432"/>
      <c r="AHD122" s="432"/>
      <c r="AHE122" s="432"/>
      <c r="AHF122" s="432"/>
      <c r="AHG122" s="432"/>
      <c r="AHH122" s="432"/>
      <c r="AHI122" s="432"/>
      <c r="AHJ122" s="432"/>
      <c r="AHK122" s="432"/>
      <c r="AHL122" s="432"/>
      <c r="AHM122" s="432"/>
      <c r="AHN122" s="432"/>
      <c r="AHO122" s="432"/>
      <c r="AHP122" s="432"/>
      <c r="AHQ122" s="432"/>
      <c r="AHR122" s="432"/>
      <c r="AHS122" s="432"/>
      <c r="AHT122" s="432"/>
      <c r="AHU122" s="432"/>
      <c r="AHV122" s="432"/>
      <c r="AHW122" s="432"/>
      <c r="AHX122" s="432"/>
      <c r="AHY122" s="432"/>
      <c r="AHZ122" s="432"/>
      <c r="AIA122" s="432"/>
      <c r="AIB122" s="432"/>
      <c r="AIC122" s="432"/>
      <c r="AID122" s="432"/>
      <c r="AIE122" s="432"/>
      <c r="AIF122" s="432"/>
      <c r="AIG122" s="432"/>
      <c r="AIH122" s="432"/>
      <c r="AII122" s="432"/>
      <c r="AIJ122" s="432"/>
      <c r="AIK122" s="432"/>
      <c r="AIL122" s="432"/>
      <c r="AIM122" s="432"/>
      <c r="AIN122" s="432"/>
      <c r="AIO122" s="432"/>
      <c r="AIP122" s="432"/>
      <c r="AIQ122" s="432"/>
      <c r="AIR122" s="432"/>
      <c r="AIS122" s="432"/>
      <c r="AIT122" s="432"/>
      <c r="AIU122" s="432"/>
      <c r="AIV122" s="432"/>
      <c r="AIW122" s="432"/>
      <c r="AIX122" s="432"/>
      <c r="AIY122" s="432"/>
      <c r="AIZ122" s="432"/>
      <c r="AJA122" s="432"/>
      <c r="AJB122" s="432"/>
      <c r="AJC122" s="432"/>
      <c r="AJD122" s="432"/>
      <c r="AJE122" s="432"/>
      <c r="AJF122" s="432"/>
      <c r="AJG122" s="432"/>
      <c r="AJH122" s="432"/>
      <c r="AJI122" s="432"/>
      <c r="AJJ122" s="432"/>
      <c r="AJK122" s="432"/>
      <c r="AJL122" s="432"/>
      <c r="AJM122" s="432"/>
      <c r="AJN122" s="432"/>
      <c r="AJO122" s="432"/>
      <c r="AJP122" s="432"/>
      <c r="AJQ122" s="432"/>
      <c r="AJR122" s="432"/>
      <c r="AJS122" s="432"/>
      <c r="AJT122" s="432"/>
      <c r="AJU122" s="432"/>
      <c r="AJV122" s="432"/>
      <c r="AJW122" s="432"/>
      <c r="AJX122" s="432"/>
      <c r="AJY122" s="432"/>
      <c r="AJZ122" s="432"/>
      <c r="AKA122" s="432"/>
      <c r="AKB122" s="432"/>
      <c r="AKC122" s="432"/>
      <c r="AKD122" s="432"/>
      <c r="AKE122" s="432"/>
      <c r="AKF122" s="432"/>
      <c r="AKG122" s="432"/>
      <c r="AKH122" s="432"/>
      <c r="AKI122" s="432"/>
      <c r="AKJ122" s="432"/>
      <c r="AKK122" s="432"/>
      <c r="AKL122" s="432"/>
      <c r="AKM122" s="432"/>
      <c r="AKN122" s="432"/>
      <c r="AKO122" s="432"/>
      <c r="AKP122" s="432"/>
      <c r="AKQ122" s="432"/>
      <c r="AKR122" s="432"/>
      <c r="AKS122" s="432"/>
      <c r="AKT122" s="432"/>
      <c r="AKU122" s="432"/>
      <c r="AKV122" s="432"/>
      <c r="AKW122" s="432"/>
      <c r="AKX122" s="432"/>
      <c r="AKY122" s="432"/>
      <c r="AKZ122" s="432"/>
      <c r="ALA122" s="432"/>
      <c r="ALB122" s="432"/>
      <c r="ALC122" s="432"/>
      <c r="ALD122" s="432"/>
      <c r="ALE122" s="432"/>
      <c r="ALF122" s="432"/>
      <c r="ALG122" s="432"/>
      <c r="ALH122" s="432"/>
      <c r="ALI122" s="432"/>
      <c r="ALJ122" s="432"/>
      <c r="ALK122" s="432"/>
      <c r="ALL122" s="432"/>
      <c r="ALM122" s="432"/>
      <c r="ALN122" s="432"/>
      <c r="ALO122" s="432"/>
      <c r="ALP122" s="432"/>
      <c r="ALQ122" s="432"/>
      <c r="ALR122" s="432"/>
      <c r="ALS122" s="432"/>
      <c r="ALT122" s="432"/>
      <c r="ALU122" s="432"/>
      <c r="ALV122" s="432"/>
      <c r="ALW122" s="432"/>
      <c r="ALX122" s="432"/>
      <c r="ALY122" s="432"/>
      <c r="ALZ122" s="432"/>
      <c r="AMA122" s="432"/>
      <c r="AMB122" s="432"/>
      <c r="AMC122" s="432"/>
      <c r="AMD122" s="432"/>
      <c r="AME122" s="432"/>
      <c r="AMF122" s="432"/>
      <c r="AMG122" s="432"/>
      <c r="AMH122" s="432"/>
      <c r="AMI122" s="432"/>
      <c r="AMJ122" s="432"/>
      <c r="AMK122" s="432"/>
      <c r="AML122" s="432"/>
      <c r="AMM122" s="432"/>
      <c r="AMN122" s="432"/>
      <c r="AMO122" s="432"/>
      <c r="AMP122" s="432"/>
      <c r="AMQ122" s="432"/>
      <c r="AMR122" s="432"/>
      <c r="AMS122" s="432"/>
      <c r="AMT122" s="432"/>
      <c r="AMU122" s="432"/>
      <c r="AMV122" s="432"/>
      <c r="AMW122" s="432"/>
      <c r="AMX122" s="432"/>
      <c r="AMY122" s="432"/>
      <c r="AMZ122" s="432"/>
      <c r="ANA122" s="432"/>
      <c r="ANB122" s="432"/>
      <c r="ANC122" s="432"/>
      <c r="AND122" s="432"/>
      <c r="ANE122" s="432"/>
      <c r="ANF122" s="432"/>
      <c r="ANG122" s="432"/>
      <c r="ANH122" s="432"/>
      <c r="ANI122" s="432"/>
      <c r="ANJ122" s="432"/>
      <c r="ANK122" s="432"/>
      <c r="ANL122" s="432"/>
      <c r="ANM122" s="432"/>
      <c r="ANN122" s="432"/>
      <c r="ANO122" s="432"/>
      <c r="ANP122" s="432"/>
      <c r="ANQ122" s="432"/>
      <c r="ANR122" s="432"/>
      <c r="ANS122" s="432"/>
      <c r="ANT122" s="432"/>
      <c r="ANU122" s="432"/>
      <c r="ANV122" s="432"/>
      <c r="ANW122" s="432"/>
      <c r="ANX122" s="432"/>
      <c r="ANY122" s="432"/>
      <c r="ANZ122" s="432"/>
      <c r="AOA122" s="432"/>
      <c r="AOB122" s="432"/>
      <c r="AOC122" s="432"/>
      <c r="AOD122" s="432"/>
      <c r="AOE122" s="432"/>
      <c r="AOF122" s="432"/>
      <c r="AOG122" s="432"/>
      <c r="AOH122" s="432"/>
      <c r="AOI122" s="432"/>
      <c r="AOJ122" s="432"/>
      <c r="AOK122" s="432"/>
      <c r="AOL122" s="432"/>
      <c r="AOM122" s="432"/>
      <c r="AON122" s="432"/>
      <c r="AOO122" s="432"/>
      <c r="AOP122" s="432"/>
      <c r="AOQ122" s="432"/>
      <c r="AOR122" s="432"/>
      <c r="AOS122" s="432"/>
      <c r="AOT122" s="432"/>
      <c r="AOU122" s="432"/>
      <c r="AOV122" s="432"/>
      <c r="AOW122" s="432"/>
      <c r="AOX122" s="432"/>
      <c r="AOY122" s="432"/>
      <c r="AOZ122" s="432"/>
      <c r="APA122" s="432"/>
      <c r="APB122" s="432"/>
      <c r="APC122" s="432"/>
      <c r="APD122" s="432"/>
      <c r="APE122" s="432"/>
      <c r="APF122" s="432"/>
      <c r="APG122" s="432"/>
      <c r="APH122" s="432"/>
      <c r="API122" s="432"/>
      <c r="APJ122" s="432"/>
      <c r="APK122" s="432"/>
      <c r="APL122" s="432"/>
      <c r="APM122" s="432"/>
      <c r="APN122" s="432"/>
      <c r="APO122" s="432"/>
      <c r="APP122" s="432"/>
      <c r="APQ122" s="432"/>
      <c r="APR122" s="432"/>
      <c r="APS122" s="432"/>
      <c r="APT122" s="432"/>
      <c r="APU122" s="432"/>
      <c r="APV122" s="432"/>
      <c r="APW122" s="432"/>
      <c r="APX122" s="432"/>
      <c r="APY122" s="432"/>
      <c r="APZ122" s="432"/>
      <c r="AQA122" s="432"/>
      <c r="AQB122" s="432"/>
      <c r="AQC122" s="432"/>
      <c r="AQD122" s="432"/>
      <c r="AQE122" s="432"/>
      <c r="AQF122" s="432"/>
      <c r="AQG122" s="432"/>
      <c r="AQH122" s="432"/>
      <c r="AQI122" s="432"/>
      <c r="AQJ122" s="432"/>
      <c r="AQK122" s="432"/>
      <c r="AQL122" s="432"/>
      <c r="AQM122" s="432"/>
      <c r="AQN122" s="432"/>
      <c r="AQO122" s="432"/>
      <c r="AQP122" s="432"/>
      <c r="AQQ122" s="432"/>
      <c r="AQR122" s="432"/>
      <c r="AQS122" s="432"/>
      <c r="AQT122" s="432"/>
      <c r="AQU122" s="432"/>
      <c r="AQV122" s="432"/>
      <c r="AQW122" s="432"/>
      <c r="AQX122" s="432"/>
      <c r="AQY122" s="432"/>
      <c r="AQZ122" s="432"/>
      <c r="ARA122" s="432"/>
      <c r="ARB122" s="432"/>
      <c r="ARC122" s="432"/>
      <c r="ARD122" s="432"/>
      <c r="ARE122" s="432"/>
      <c r="ARF122" s="432"/>
      <c r="ARG122" s="432"/>
      <c r="ARH122" s="432"/>
      <c r="ARI122" s="432"/>
      <c r="ARJ122" s="432"/>
      <c r="ARK122" s="432"/>
      <c r="ARL122" s="432"/>
      <c r="ARM122" s="432"/>
      <c r="ARN122" s="432"/>
      <c r="ARO122" s="432"/>
      <c r="ARP122" s="432"/>
      <c r="ARQ122" s="432"/>
      <c r="ARR122" s="432"/>
      <c r="ARS122" s="432"/>
      <c r="ART122" s="432"/>
      <c r="ARU122" s="432"/>
      <c r="ARV122" s="432"/>
      <c r="ARW122" s="432"/>
      <c r="ARX122" s="432"/>
      <c r="ARY122" s="432"/>
      <c r="ARZ122" s="432"/>
      <c r="ASA122" s="432"/>
      <c r="ASB122" s="432"/>
      <c r="ASC122" s="432"/>
      <c r="ASD122" s="432"/>
      <c r="ASE122" s="432"/>
      <c r="ASF122" s="432"/>
      <c r="ASG122" s="432"/>
      <c r="ASH122" s="432"/>
      <c r="ASI122" s="432"/>
      <c r="ASJ122" s="432"/>
      <c r="ASK122" s="432"/>
      <c r="ASL122" s="432"/>
      <c r="ASM122" s="432"/>
      <c r="ASN122" s="432"/>
      <c r="ASO122" s="432"/>
      <c r="ASP122" s="432"/>
      <c r="ASQ122" s="432"/>
      <c r="ASR122" s="432"/>
      <c r="ASS122" s="432"/>
      <c r="AST122" s="432"/>
      <c r="ASU122" s="432"/>
      <c r="ASV122" s="432"/>
      <c r="ASW122" s="432"/>
      <c r="ASX122" s="432"/>
      <c r="ASY122" s="432"/>
      <c r="ASZ122" s="432"/>
      <c r="ATA122" s="432"/>
      <c r="ATB122" s="432"/>
      <c r="ATC122" s="432"/>
      <c r="ATD122" s="432"/>
      <c r="ATE122" s="432"/>
      <c r="ATF122" s="432"/>
      <c r="ATG122" s="432"/>
      <c r="ATH122" s="432"/>
      <c r="ATI122" s="432"/>
      <c r="ATJ122" s="432"/>
      <c r="ATK122" s="432"/>
      <c r="ATL122" s="432"/>
      <c r="ATM122" s="432"/>
      <c r="ATN122" s="432"/>
      <c r="ATO122" s="432"/>
      <c r="ATP122" s="432"/>
      <c r="ATQ122" s="432"/>
      <c r="ATR122" s="432"/>
      <c r="ATS122" s="432"/>
      <c r="ATT122" s="432"/>
      <c r="ATU122" s="432"/>
      <c r="ATV122" s="432"/>
      <c r="ATW122" s="432"/>
      <c r="ATX122" s="432"/>
      <c r="ATY122" s="432"/>
      <c r="ATZ122" s="432"/>
      <c r="AUA122" s="432"/>
      <c r="AUB122" s="432"/>
      <c r="AUC122" s="432"/>
      <c r="AUD122" s="432"/>
      <c r="AUE122" s="432"/>
      <c r="AUF122" s="432"/>
      <c r="AUG122" s="432"/>
      <c r="AUH122" s="432"/>
      <c r="AUI122" s="432"/>
      <c r="AUJ122" s="432"/>
      <c r="AUK122" s="432"/>
      <c r="AUL122" s="432"/>
      <c r="AUM122" s="432"/>
      <c r="AUN122" s="432"/>
      <c r="AUO122" s="432"/>
      <c r="AUP122" s="432"/>
      <c r="AUQ122" s="432"/>
      <c r="AUR122" s="432"/>
      <c r="AUS122" s="432"/>
      <c r="AUT122" s="432"/>
      <c r="AUU122" s="432"/>
      <c r="AUV122" s="432"/>
      <c r="AUW122" s="432"/>
      <c r="AUX122" s="432"/>
      <c r="AUY122" s="432"/>
      <c r="AUZ122" s="432"/>
      <c r="AVA122" s="432"/>
      <c r="AVB122" s="432"/>
      <c r="AVC122" s="432"/>
      <c r="AVD122" s="432"/>
      <c r="AVE122" s="432"/>
      <c r="AVF122" s="432"/>
      <c r="AVG122" s="432"/>
      <c r="AVH122" s="432"/>
      <c r="AVI122" s="432"/>
      <c r="AVJ122" s="432"/>
      <c r="AVK122" s="432"/>
      <c r="AVL122" s="432"/>
      <c r="AVM122" s="432"/>
      <c r="AVN122" s="432"/>
      <c r="AVO122" s="432"/>
      <c r="AVP122" s="432"/>
      <c r="AVQ122" s="432"/>
      <c r="AVR122" s="432"/>
      <c r="AVS122" s="432"/>
      <c r="AVT122" s="432"/>
      <c r="AVU122" s="432"/>
      <c r="AVV122" s="432"/>
      <c r="AVW122" s="432"/>
      <c r="AVX122" s="432"/>
      <c r="AVY122" s="432"/>
      <c r="AVZ122" s="432"/>
      <c r="AWA122" s="432"/>
      <c r="AWB122" s="432"/>
      <c r="AWC122" s="432"/>
      <c r="AWD122" s="432"/>
      <c r="AWE122" s="432"/>
      <c r="AWF122" s="432"/>
      <c r="AWG122" s="432"/>
      <c r="AWH122" s="432"/>
      <c r="AWI122" s="432"/>
      <c r="AWJ122" s="432"/>
      <c r="AWK122" s="432"/>
      <c r="AWL122" s="432"/>
      <c r="AWM122" s="432"/>
      <c r="AWN122" s="432"/>
      <c r="AWO122" s="432"/>
      <c r="AWP122" s="432"/>
      <c r="AWQ122" s="432"/>
      <c r="AWR122" s="432"/>
      <c r="AWS122" s="432"/>
      <c r="AWT122" s="432"/>
      <c r="AWU122" s="432"/>
      <c r="AWV122" s="432"/>
      <c r="AWW122" s="432"/>
      <c r="AWX122" s="432"/>
      <c r="AWY122" s="432"/>
      <c r="AWZ122" s="432"/>
      <c r="AXA122" s="432"/>
      <c r="AXB122" s="432"/>
      <c r="AXC122" s="432"/>
      <c r="AXD122" s="432"/>
      <c r="AXE122" s="432"/>
      <c r="AXF122" s="432"/>
      <c r="AXG122" s="432"/>
      <c r="AXH122" s="432"/>
      <c r="AXI122" s="432"/>
      <c r="AXJ122" s="432"/>
      <c r="AXK122" s="432"/>
      <c r="AXL122" s="432"/>
      <c r="AXM122" s="432"/>
      <c r="AXN122" s="432"/>
      <c r="AXO122" s="432"/>
      <c r="AXP122" s="432"/>
      <c r="AXQ122" s="432"/>
      <c r="AXR122" s="432"/>
      <c r="AXS122" s="432"/>
      <c r="AXT122" s="432"/>
      <c r="AXU122" s="432"/>
      <c r="AXV122" s="432"/>
      <c r="AXW122" s="432"/>
      <c r="AXX122" s="432"/>
      <c r="AXY122" s="432"/>
      <c r="AXZ122" s="432"/>
      <c r="AYA122" s="432"/>
      <c r="AYB122" s="432"/>
      <c r="AYC122" s="432"/>
      <c r="AYD122" s="432"/>
      <c r="AYE122" s="432"/>
      <c r="AYF122" s="432"/>
      <c r="AYG122" s="432"/>
      <c r="AYH122" s="432"/>
      <c r="AYI122" s="432"/>
      <c r="AYJ122" s="432"/>
      <c r="AYK122" s="432"/>
      <c r="AYL122" s="432"/>
      <c r="AYM122" s="432"/>
      <c r="AYN122" s="432"/>
      <c r="AYO122" s="432"/>
      <c r="AYP122" s="432"/>
      <c r="AYQ122" s="432"/>
      <c r="AYR122" s="432"/>
      <c r="AYS122" s="432"/>
      <c r="AYT122" s="432"/>
      <c r="AYU122" s="432"/>
      <c r="AYV122" s="432"/>
      <c r="AYW122" s="432"/>
      <c r="AYX122" s="432"/>
      <c r="AYY122" s="432"/>
      <c r="AYZ122" s="432"/>
      <c r="AZA122" s="432"/>
      <c r="AZB122" s="432"/>
      <c r="AZC122" s="432"/>
      <c r="AZD122" s="432"/>
      <c r="AZE122" s="432"/>
      <c r="AZF122" s="432"/>
      <c r="AZG122" s="432"/>
      <c r="AZH122" s="432"/>
      <c r="AZI122" s="432"/>
      <c r="AZJ122" s="432"/>
      <c r="AZK122" s="432"/>
      <c r="AZL122" s="432"/>
      <c r="AZM122" s="432"/>
      <c r="AZN122" s="432"/>
      <c r="AZO122" s="432"/>
      <c r="AZP122" s="432"/>
      <c r="AZQ122" s="432"/>
      <c r="AZR122" s="432"/>
      <c r="AZS122" s="432"/>
      <c r="AZT122" s="432"/>
      <c r="AZU122" s="432"/>
      <c r="AZV122" s="432"/>
      <c r="AZW122" s="432"/>
      <c r="AZX122" s="432"/>
      <c r="AZY122" s="432"/>
      <c r="AZZ122" s="432"/>
      <c r="BAA122" s="432"/>
      <c r="BAB122" s="432"/>
      <c r="BAC122" s="432"/>
      <c r="BAD122" s="432"/>
      <c r="BAE122" s="432"/>
      <c r="BAF122" s="432"/>
      <c r="BAG122" s="432"/>
      <c r="BAH122" s="432"/>
      <c r="BAI122" s="432"/>
      <c r="BAJ122" s="432"/>
      <c r="BAK122" s="432"/>
      <c r="BAL122" s="432"/>
      <c r="BAM122" s="432"/>
      <c r="BAN122" s="432"/>
      <c r="BAO122" s="432"/>
      <c r="BAP122" s="432"/>
      <c r="BAQ122" s="432"/>
      <c r="BAR122" s="432"/>
      <c r="BAS122" s="432"/>
      <c r="BAT122" s="432"/>
      <c r="BAU122" s="432"/>
      <c r="BAV122" s="432"/>
      <c r="BAW122" s="432"/>
      <c r="BAX122" s="432"/>
      <c r="BAY122" s="432"/>
      <c r="BAZ122" s="432"/>
      <c r="BBA122" s="432"/>
      <c r="BBB122" s="432"/>
      <c r="BBC122" s="432"/>
      <c r="BBD122" s="432"/>
      <c r="BBE122" s="432"/>
      <c r="BBF122" s="432"/>
      <c r="BBG122" s="432"/>
      <c r="BBH122" s="432"/>
      <c r="BBI122" s="432"/>
      <c r="BBJ122" s="432"/>
      <c r="BBK122" s="432"/>
      <c r="BBL122" s="432"/>
      <c r="BBM122" s="432"/>
      <c r="BBN122" s="432"/>
      <c r="BBO122" s="432"/>
      <c r="BBP122" s="432"/>
      <c r="BBQ122" s="432"/>
      <c r="BBR122" s="432"/>
      <c r="BBS122" s="432"/>
      <c r="BBT122" s="432"/>
      <c r="BBU122" s="432"/>
      <c r="BBV122" s="432"/>
      <c r="BBW122" s="432"/>
      <c r="BBX122" s="432"/>
      <c r="BBY122" s="432"/>
      <c r="BBZ122" s="432"/>
      <c r="BCA122" s="432"/>
      <c r="BCB122" s="432"/>
      <c r="BCC122" s="432"/>
      <c r="BCD122" s="432"/>
      <c r="BCE122" s="432"/>
      <c r="BCF122" s="432"/>
      <c r="BCG122" s="432"/>
      <c r="BCH122" s="432"/>
      <c r="BCI122" s="432"/>
      <c r="BCJ122" s="432"/>
      <c r="BCK122" s="432"/>
      <c r="BCL122" s="432"/>
      <c r="BCM122" s="432"/>
      <c r="BCN122" s="432"/>
      <c r="BCO122" s="432"/>
      <c r="BCP122" s="432"/>
      <c r="BCQ122" s="432"/>
      <c r="BCR122" s="432"/>
      <c r="BCS122" s="432"/>
      <c r="BCT122" s="432"/>
      <c r="BCU122" s="432"/>
      <c r="BCV122" s="432"/>
      <c r="BCW122" s="432"/>
      <c r="BCX122" s="432"/>
      <c r="BCY122" s="432"/>
      <c r="BCZ122" s="432"/>
      <c r="BDA122" s="432"/>
      <c r="BDB122" s="432"/>
      <c r="BDC122" s="432"/>
      <c r="BDD122" s="432"/>
      <c r="BDE122" s="432"/>
      <c r="BDF122" s="432"/>
      <c r="BDG122" s="432"/>
      <c r="BDH122" s="432"/>
      <c r="BDI122" s="432"/>
      <c r="BDJ122" s="432"/>
      <c r="BDK122" s="432"/>
      <c r="BDL122" s="432"/>
      <c r="BDM122" s="432"/>
      <c r="BDN122" s="432"/>
      <c r="BDO122" s="432"/>
      <c r="BDP122" s="432"/>
      <c r="BDQ122" s="432"/>
      <c r="BDR122" s="432"/>
      <c r="BDS122" s="432"/>
      <c r="BDT122" s="432"/>
      <c r="BDU122" s="432"/>
      <c r="BDV122" s="432"/>
      <c r="BDW122" s="432"/>
      <c r="BDX122" s="432"/>
      <c r="BDY122" s="432"/>
      <c r="BDZ122" s="432"/>
      <c r="BEA122" s="432"/>
      <c r="BEB122" s="432"/>
      <c r="BEC122" s="432"/>
      <c r="BED122" s="432"/>
      <c r="BEE122" s="432"/>
      <c r="BEF122" s="432"/>
      <c r="BEG122" s="432"/>
      <c r="BEH122" s="432"/>
      <c r="BEI122" s="432"/>
      <c r="BEJ122" s="432"/>
      <c r="BEK122" s="432"/>
      <c r="BEL122" s="432"/>
      <c r="BEM122" s="432"/>
      <c r="BEN122" s="432"/>
      <c r="BEO122" s="432"/>
      <c r="BEP122" s="432"/>
      <c r="BEQ122" s="432"/>
      <c r="BER122" s="432"/>
      <c r="BES122" s="432"/>
      <c r="BET122" s="432"/>
      <c r="BEU122" s="432"/>
      <c r="BEV122" s="432"/>
      <c r="BEW122" s="432"/>
      <c r="BEX122" s="432"/>
      <c r="BEY122" s="432"/>
      <c r="BEZ122" s="432"/>
      <c r="BFA122" s="432"/>
      <c r="BFB122" s="432"/>
      <c r="BFC122" s="432"/>
      <c r="BFD122" s="432"/>
      <c r="BFE122" s="432"/>
      <c r="BFF122" s="432"/>
      <c r="BFG122" s="432"/>
      <c r="BFH122" s="432"/>
      <c r="BFI122" s="432"/>
      <c r="BFJ122" s="432"/>
      <c r="BFK122" s="432"/>
      <c r="BFL122" s="432"/>
      <c r="BFM122" s="432"/>
      <c r="BFN122" s="432"/>
      <c r="BFO122" s="432"/>
      <c r="BFP122" s="432"/>
      <c r="BFQ122" s="432"/>
      <c r="BFR122" s="432"/>
      <c r="BFS122" s="432"/>
      <c r="BFT122" s="432"/>
      <c r="BFU122" s="432"/>
      <c r="BFV122" s="432"/>
      <c r="BFW122" s="432"/>
      <c r="BFX122" s="432"/>
      <c r="BFY122" s="432"/>
      <c r="BFZ122" s="432"/>
      <c r="BGA122" s="432"/>
      <c r="BGB122" s="432"/>
      <c r="BGC122" s="432"/>
      <c r="BGD122" s="432"/>
      <c r="BGE122" s="432"/>
      <c r="BGF122" s="432"/>
      <c r="BGG122" s="432"/>
      <c r="BGH122" s="432"/>
      <c r="BGI122" s="432"/>
      <c r="BGJ122" s="432"/>
      <c r="BGK122" s="432"/>
      <c r="BGL122" s="432"/>
      <c r="BGM122" s="432"/>
      <c r="BGN122" s="432"/>
      <c r="BGO122" s="432"/>
      <c r="BGP122" s="432"/>
      <c r="BGQ122" s="432"/>
      <c r="BGR122" s="432"/>
      <c r="BGS122" s="432"/>
      <c r="BGT122" s="432"/>
      <c r="BGU122" s="432"/>
      <c r="BGV122" s="432"/>
      <c r="BGW122" s="432"/>
      <c r="BGX122" s="432"/>
      <c r="BGY122" s="432"/>
      <c r="BGZ122" s="432"/>
      <c r="BHA122" s="432"/>
      <c r="BHB122" s="432"/>
      <c r="BHC122" s="432"/>
      <c r="BHD122" s="432"/>
      <c r="BHE122" s="432"/>
      <c r="BHF122" s="432"/>
      <c r="BHG122" s="432"/>
      <c r="BHH122" s="432"/>
      <c r="BHI122" s="432"/>
      <c r="BHJ122" s="432"/>
      <c r="BHK122" s="432"/>
      <c r="BHL122" s="432"/>
      <c r="BHM122" s="432"/>
      <c r="BHN122" s="432"/>
      <c r="BHO122" s="432"/>
      <c r="BHP122" s="432"/>
      <c r="BHQ122" s="432"/>
      <c r="BHR122" s="432"/>
      <c r="BHS122" s="432"/>
      <c r="BHT122" s="432"/>
      <c r="BHU122" s="432"/>
      <c r="BHV122" s="432"/>
      <c r="BHW122" s="432"/>
      <c r="BHX122" s="432"/>
      <c r="BHY122" s="432"/>
      <c r="BHZ122" s="432"/>
      <c r="BIA122" s="432"/>
      <c r="BIB122" s="432"/>
      <c r="BIC122" s="432"/>
      <c r="BID122" s="432"/>
      <c r="BIE122" s="432"/>
      <c r="BIF122" s="432"/>
      <c r="BIG122" s="432"/>
      <c r="BIH122" s="432"/>
      <c r="BII122" s="432"/>
      <c r="BIJ122" s="432"/>
      <c r="BIK122" s="432"/>
      <c r="BIL122" s="432"/>
      <c r="BIM122" s="432"/>
      <c r="BIN122" s="432"/>
      <c r="BIO122" s="432"/>
      <c r="BIP122" s="432"/>
      <c r="BIQ122" s="432"/>
      <c r="BIR122" s="432"/>
      <c r="BIS122" s="432"/>
      <c r="BIT122" s="432"/>
      <c r="BIU122" s="432"/>
      <c r="BIV122" s="432"/>
      <c r="BIW122" s="432"/>
      <c r="BIX122" s="432"/>
      <c r="BIY122" s="432"/>
      <c r="BIZ122" s="432"/>
      <c r="BJA122" s="432"/>
      <c r="BJB122" s="432"/>
      <c r="BJC122" s="432"/>
      <c r="BJD122" s="432"/>
      <c r="BJE122" s="432"/>
      <c r="BJF122" s="432"/>
      <c r="BJG122" s="432"/>
      <c r="BJH122" s="432"/>
      <c r="BJI122" s="432"/>
      <c r="BJJ122" s="432"/>
      <c r="BJK122" s="432"/>
      <c r="BJL122" s="432"/>
      <c r="BJM122" s="432"/>
      <c r="BJN122" s="432"/>
      <c r="BJO122" s="432"/>
      <c r="BJP122" s="432"/>
      <c r="BJQ122" s="432"/>
      <c r="BJR122" s="432"/>
      <c r="BJS122" s="432"/>
      <c r="BJT122" s="432"/>
      <c r="BJU122" s="432"/>
      <c r="BJV122" s="432"/>
      <c r="BJW122" s="432"/>
      <c r="BJX122" s="432"/>
      <c r="BJY122" s="432"/>
      <c r="BJZ122" s="432"/>
      <c r="BKA122" s="432"/>
      <c r="BKB122" s="432"/>
      <c r="BKC122" s="432"/>
      <c r="BKD122" s="432"/>
      <c r="BKE122" s="432"/>
      <c r="BKF122" s="432"/>
      <c r="BKG122" s="432"/>
      <c r="BKH122" s="432"/>
      <c r="BKI122" s="432"/>
      <c r="BKJ122" s="432"/>
      <c r="BKK122" s="432"/>
      <c r="BKL122" s="432"/>
      <c r="BKM122" s="432"/>
      <c r="BKN122" s="432"/>
      <c r="BKO122" s="432"/>
      <c r="BKP122" s="432"/>
      <c r="BKQ122" s="432"/>
      <c r="BKR122" s="432"/>
      <c r="BKS122" s="432"/>
      <c r="BKT122" s="432"/>
      <c r="BKU122" s="432"/>
      <c r="BKV122" s="432"/>
      <c r="BKW122" s="432"/>
      <c r="BKX122" s="432"/>
      <c r="BKY122" s="432"/>
      <c r="BKZ122" s="432"/>
      <c r="BLA122" s="432"/>
      <c r="BLB122" s="432"/>
      <c r="BLC122" s="432"/>
      <c r="BLD122" s="432"/>
      <c r="BLE122" s="432"/>
      <c r="BLF122" s="432"/>
      <c r="BLG122" s="432"/>
      <c r="BLH122" s="432"/>
      <c r="BLI122" s="432"/>
      <c r="BLJ122" s="432"/>
      <c r="BLK122" s="432"/>
      <c r="BLL122" s="432"/>
      <c r="BLM122" s="432"/>
      <c r="BLN122" s="432"/>
      <c r="BLO122" s="432"/>
      <c r="BLP122" s="432"/>
      <c r="BLQ122" s="432"/>
      <c r="BLR122" s="432"/>
      <c r="BLS122" s="432"/>
      <c r="BLT122" s="432"/>
      <c r="BLU122" s="432"/>
      <c r="BLV122" s="432"/>
      <c r="BLW122" s="432"/>
      <c r="BLX122" s="432"/>
      <c r="BLY122" s="432"/>
      <c r="BLZ122" s="432"/>
      <c r="BMA122" s="432"/>
      <c r="BMB122" s="432"/>
      <c r="BMC122" s="432"/>
      <c r="BMD122" s="432"/>
      <c r="BME122" s="432"/>
      <c r="BMF122" s="432"/>
      <c r="BMG122" s="432"/>
      <c r="BMH122" s="432"/>
      <c r="BMI122" s="432"/>
      <c r="BMJ122" s="432"/>
      <c r="BMK122" s="432"/>
      <c r="BML122" s="432"/>
      <c r="BMM122" s="432"/>
      <c r="BMN122" s="432"/>
      <c r="BMO122" s="432"/>
      <c r="BMP122" s="432"/>
      <c r="BMQ122" s="432"/>
      <c r="BMR122" s="432"/>
      <c r="BMS122" s="432"/>
      <c r="BMT122" s="432"/>
      <c r="BMU122" s="432"/>
      <c r="BMV122" s="432"/>
      <c r="BMW122" s="432"/>
      <c r="BMX122" s="432"/>
      <c r="BMY122" s="432"/>
      <c r="BMZ122" s="432"/>
      <c r="BNA122" s="432"/>
      <c r="BNB122" s="432"/>
      <c r="BNC122" s="432"/>
      <c r="BND122" s="432"/>
      <c r="BNE122" s="432"/>
      <c r="BNF122" s="432"/>
      <c r="BNG122" s="432"/>
      <c r="BNH122" s="432"/>
      <c r="BNI122" s="432"/>
      <c r="BNJ122" s="432"/>
      <c r="BNK122" s="432"/>
      <c r="BNL122" s="432"/>
      <c r="BNM122" s="432"/>
      <c r="BNN122" s="432"/>
      <c r="BNO122" s="432"/>
      <c r="BNP122" s="432"/>
      <c r="BNQ122" s="432"/>
      <c r="BNR122" s="432"/>
      <c r="BNS122" s="432"/>
      <c r="BNT122" s="432"/>
      <c r="BNU122" s="432"/>
      <c r="BNV122" s="432"/>
      <c r="BNW122" s="432"/>
      <c r="BNX122" s="432"/>
      <c r="BNY122" s="432"/>
      <c r="BNZ122" s="432"/>
      <c r="BOA122" s="432"/>
      <c r="BOB122" s="432"/>
      <c r="BOC122" s="432"/>
      <c r="BOD122" s="432"/>
      <c r="BOE122" s="432"/>
      <c r="BOF122" s="432"/>
      <c r="BOG122" s="432"/>
      <c r="BOH122" s="432"/>
      <c r="BOI122" s="432"/>
      <c r="BOJ122" s="432"/>
      <c r="BOK122" s="432"/>
      <c r="BOL122" s="432"/>
      <c r="BOM122" s="432"/>
      <c r="BON122" s="432"/>
      <c r="BOO122" s="432"/>
      <c r="BOP122" s="432"/>
      <c r="BOQ122" s="432"/>
      <c r="BOR122" s="432"/>
      <c r="BOS122" s="432"/>
      <c r="BOT122" s="432"/>
      <c r="BOU122" s="432"/>
      <c r="BOV122" s="432"/>
      <c r="BOW122" s="432"/>
      <c r="BOX122" s="432"/>
      <c r="BOY122" s="432"/>
      <c r="BOZ122" s="432"/>
      <c r="BPA122" s="432"/>
      <c r="BPB122" s="432"/>
      <c r="BPC122" s="432"/>
      <c r="BPD122" s="432"/>
      <c r="BPE122" s="432"/>
      <c r="BPF122" s="432"/>
      <c r="BPG122" s="432"/>
      <c r="BPH122" s="432"/>
      <c r="BPI122" s="432"/>
      <c r="BPJ122" s="432"/>
      <c r="BPK122" s="432"/>
      <c r="BPL122" s="432"/>
      <c r="BPM122" s="432"/>
      <c r="BPN122" s="432"/>
      <c r="BPO122" s="432"/>
      <c r="BPP122" s="432"/>
      <c r="BPQ122" s="432"/>
      <c r="BPR122" s="432"/>
      <c r="BPS122" s="432"/>
      <c r="BPT122" s="432"/>
      <c r="BPU122" s="432"/>
      <c r="BPV122" s="432"/>
      <c r="BPW122" s="432"/>
      <c r="BPX122" s="432"/>
      <c r="BPY122" s="432"/>
      <c r="BPZ122" s="432"/>
      <c r="BQA122" s="432"/>
      <c r="BQB122" s="432"/>
      <c r="BQC122" s="432"/>
      <c r="BQD122" s="432"/>
      <c r="BQE122" s="432"/>
      <c r="BQF122" s="432"/>
      <c r="BQG122" s="432"/>
      <c r="BQH122" s="432"/>
      <c r="BQI122" s="432"/>
      <c r="BQJ122" s="432"/>
      <c r="BQK122" s="432"/>
      <c r="BQL122" s="432"/>
      <c r="BQM122" s="432"/>
      <c r="BQN122" s="432"/>
      <c r="BQO122" s="432"/>
      <c r="BQP122" s="432"/>
      <c r="BQQ122" s="432"/>
      <c r="BQR122" s="432"/>
      <c r="BQS122" s="432"/>
      <c r="BQT122" s="432"/>
      <c r="BQU122" s="432"/>
      <c r="BQV122" s="432"/>
      <c r="BQW122" s="432"/>
      <c r="BQX122" s="432"/>
      <c r="BQY122" s="432"/>
      <c r="BQZ122" s="432"/>
      <c r="BRA122" s="432"/>
      <c r="BRB122" s="432"/>
      <c r="BRC122" s="432"/>
      <c r="BRD122" s="432"/>
      <c r="BRE122" s="432"/>
      <c r="BRF122" s="432"/>
      <c r="BRG122" s="432"/>
      <c r="BRH122" s="432"/>
      <c r="BRI122" s="432"/>
      <c r="BRJ122" s="432"/>
      <c r="BRK122" s="432"/>
      <c r="BRL122" s="432"/>
      <c r="BRM122" s="432"/>
      <c r="BRN122" s="432"/>
      <c r="BRO122" s="432"/>
      <c r="BRP122" s="432"/>
      <c r="BRQ122" s="432"/>
      <c r="BRR122" s="432"/>
      <c r="BRS122" s="432"/>
      <c r="BRT122" s="432"/>
      <c r="BRU122" s="432"/>
      <c r="BRV122" s="432"/>
      <c r="BRW122" s="432"/>
      <c r="BRX122" s="432"/>
      <c r="BRY122" s="432"/>
      <c r="BRZ122" s="432"/>
      <c r="BSA122" s="432"/>
      <c r="BSB122" s="432"/>
      <c r="BSC122" s="432"/>
      <c r="BSD122" s="432"/>
      <c r="BSE122" s="432"/>
      <c r="BSF122" s="432"/>
      <c r="BSG122" s="432"/>
      <c r="BSH122" s="432"/>
      <c r="BSI122" s="432"/>
      <c r="BSJ122" s="432"/>
      <c r="BSK122" s="432"/>
      <c r="BSL122" s="432"/>
      <c r="BSM122" s="432"/>
      <c r="BSN122" s="432"/>
      <c r="BSO122" s="432"/>
      <c r="BSP122" s="432"/>
      <c r="BSQ122" s="432"/>
      <c r="BSR122" s="432"/>
      <c r="BSS122" s="432"/>
      <c r="BST122" s="432"/>
      <c r="BSU122" s="432"/>
      <c r="BSV122" s="432"/>
      <c r="BSW122" s="432"/>
      <c r="BSX122" s="432"/>
      <c r="BSY122" s="432"/>
      <c r="BSZ122" s="432"/>
      <c r="BTA122" s="432"/>
      <c r="BTB122" s="432"/>
      <c r="BTC122" s="432"/>
      <c r="BTD122" s="432"/>
      <c r="BTE122" s="432"/>
      <c r="BTF122" s="432"/>
      <c r="BTG122" s="432"/>
      <c r="BTH122" s="432"/>
      <c r="BTI122" s="432"/>
      <c r="BTJ122" s="432"/>
      <c r="BTK122" s="432"/>
      <c r="BTL122" s="432"/>
      <c r="BTM122" s="432"/>
      <c r="BTN122" s="432"/>
      <c r="BTO122" s="432"/>
      <c r="BTP122" s="432"/>
      <c r="BTQ122" s="432"/>
      <c r="BTR122" s="432"/>
      <c r="BTS122" s="432"/>
      <c r="BTT122" s="432"/>
      <c r="BTU122" s="432"/>
      <c r="BTV122" s="432"/>
      <c r="BTW122" s="432"/>
      <c r="BTX122" s="432"/>
      <c r="BTY122" s="432"/>
      <c r="BTZ122" s="432"/>
      <c r="BUA122" s="432"/>
      <c r="BUB122" s="432"/>
      <c r="BUC122" s="432"/>
      <c r="BUD122" s="432"/>
      <c r="BUE122" s="432"/>
      <c r="BUF122" s="432"/>
      <c r="BUG122" s="432"/>
      <c r="BUH122" s="432"/>
      <c r="BUI122" s="432"/>
      <c r="BUJ122" s="432"/>
      <c r="BUK122" s="432"/>
      <c r="BUL122" s="432"/>
      <c r="BUM122" s="432"/>
      <c r="BUN122" s="432"/>
      <c r="BUO122" s="432"/>
      <c r="BUP122" s="432"/>
      <c r="BUQ122" s="432"/>
      <c r="BUR122" s="432"/>
      <c r="BUS122" s="432"/>
      <c r="BUT122" s="432"/>
      <c r="BUU122" s="432"/>
      <c r="BUV122" s="432"/>
      <c r="BUW122" s="432"/>
      <c r="BUX122" s="432"/>
      <c r="BUY122" s="432"/>
      <c r="BUZ122" s="432"/>
      <c r="BVA122" s="432"/>
      <c r="BVB122" s="432"/>
      <c r="BVC122" s="432"/>
      <c r="BVD122" s="432"/>
      <c r="BVE122" s="432"/>
      <c r="BVF122" s="432"/>
      <c r="BVG122" s="432"/>
      <c r="BVH122" s="432"/>
      <c r="BVI122" s="432"/>
      <c r="BVJ122" s="432"/>
      <c r="BVK122" s="432"/>
      <c r="BVL122" s="432"/>
      <c r="BVM122" s="432"/>
      <c r="BVN122" s="432"/>
      <c r="BVO122" s="432"/>
      <c r="BVP122" s="432"/>
      <c r="BVQ122" s="432"/>
      <c r="BVR122" s="432"/>
      <c r="BVS122" s="432"/>
      <c r="BVT122" s="432"/>
      <c r="BVU122" s="432"/>
      <c r="BVV122" s="432"/>
      <c r="BVW122" s="432"/>
      <c r="BVX122" s="432"/>
      <c r="BVY122" s="432"/>
      <c r="BVZ122" s="432"/>
      <c r="BWA122" s="432"/>
      <c r="BWB122" s="432"/>
      <c r="BWC122" s="432"/>
      <c r="BWD122" s="432"/>
      <c r="BWE122" s="432"/>
      <c r="BWF122" s="432"/>
      <c r="BWG122" s="432"/>
      <c r="BWH122" s="432"/>
      <c r="BWI122" s="432"/>
      <c r="BWJ122" s="432"/>
      <c r="BWK122" s="432"/>
      <c r="BWL122" s="432"/>
      <c r="BWM122" s="432"/>
      <c r="BWN122" s="432"/>
      <c r="BWO122" s="432"/>
      <c r="BWP122" s="432"/>
      <c r="BWQ122" s="432"/>
      <c r="BWR122" s="432"/>
      <c r="BWS122" s="432"/>
      <c r="BWT122" s="432"/>
      <c r="BWU122" s="432"/>
      <c r="BWV122" s="432"/>
      <c r="BWW122" s="432"/>
      <c r="BWX122" s="432"/>
      <c r="BWY122" s="432"/>
      <c r="BWZ122" s="432"/>
      <c r="BXA122" s="432"/>
      <c r="BXB122" s="432"/>
      <c r="BXC122" s="432"/>
      <c r="BXD122" s="432"/>
      <c r="BXE122" s="432"/>
      <c r="BXF122" s="432"/>
      <c r="BXG122" s="432"/>
      <c r="BXH122" s="432"/>
      <c r="BXI122" s="432"/>
      <c r="BXJ122" s="432"/>
      <c r="BXK122" s="432"/>
      <c r="BXL122" s="432"/>
      <c r="BXM122" s="432"/>
      <c r="BXN122" s="432"/>
      <c r="BXO122" s="432"/>
      <c r="BXP122" s="432"/>
      <c r="BXQ122" s="432"/>
      <c r="BXR122" s="432"/>
      <c r="BXS122" s="432"/>
      <c r="BXT122" s="432"/>
      <c r="BXU122" s="432"/>
      <c r="BXV122" s="432"/>
      <c r="BXW122" s="432"/>
      <c r="BXX122" s="432"/>
      <c r="BXY122" s="432"/>
      <c r="BXZ122" s="432"/>
      <c r="BYA122" s="432"/>
      <c r="BYB122" s="432"/>
      <c r="BYC122" s="432"/>
      <c r="BYD122" s="432"/>
      <c r="BYE122" s="432"/>
      <c r="BYF122" s="432"/>
      <c r="BYG122" s="432"/>
      <c r="BYH122" s="432"/>
      <c r="BYI122" s="432"/>
      <c r="BYJ122" s="432"/>
      <c r="BYK122" s="432"/>
      <c r="BYL122" s="432"/>
      <c r="BYM122" s="432"/>
      <c r="BYN122" s="432"/>
      <c r="BYO122" s="432"/>
      <c r="BYP122" s="432"/>
      <c r="BYQ122" s="432"/>
      <c r="BYR122" s="432"/>
      <c r="BYS122" s="432"/>
      <c r="BYT122" s="432"/>
      <c r="BYU122" s="432"/>
      <c r="BYV122" s="432"/>
      <c r="BYW122" s="432"/>
      <c r="BYX122" s="432"/>
      <c r="BYY122" s="432"/>
      <c r="BYZ122" s="432"/>
      <c r="BZA122" s="432"/>
      <c r="BZB122" s="432"/>
      <c r="BZC122" s="432"/>
      <c r="BZD122" s="432"/>
      <c r="BZE122" s="432"/>
      <c r="BZF122" s="432"/>
      <c r="BZG122" s="432"/>
      <c r="BZH122" s="432"/>
      <c r="BZI122" s="432"/>
      <c r="BZJ122" s="432"/>
      <c r="BZK122" s="432"/>
      <c r="BZL122" s="432"/>
      <c r="BZM122" s="432"/>
      <c r="BZN122" s="432"/>
      <c r="BZO122" s="432"/>
      <c r="BZP122" s="432"/>
      <c r="BZQ122" s="432"/>
      <c r="BZR122" s="432"/>
      <c r="BZS122" s="432"/>
      <c r="BZT122" s="432"/>
      <c r="BZU122" s="432"/>
      <c r="BZV122" s="432"/>
      <c r="BZW122" s="432"/>
      <c r="BZX122" s="432"/>
      <c r="BZY122" s="432"/>
      <c r="BZZ122" s="432"/>
      <c r="CAA122" s="432"/>
      <c r="CAB122" s="432"/>
      <c r="CAC122" s="432"/>
      <c r="CAD122" s="432"/>
      <c r="CAE122" s="432"/>
      <c r="CAF122" s="432"/>
      <c r="CAG122" s="432"/>
      <c r="CAH122" s="432"/>
      <c r="CAI122" s="432"/>
      <c r="CAJ122" s="432"/>
      <c r="CAK122" s="432"/>
      <c r="CAL122" s="432"/>
      <c r="CAM122" s="432"/>
      <c r="CAN122" s="432"/>
      <c r="CAO122" s="432"/>
      <c r="CAP122" s="432"/>
      <c r="CAQ122" s="432"/>
      <c r="CAR122" s="432"/>
      <c r="CAS122" s="432"/>
      <c r="CAT122" s="432"/>
      <c r="CAU122" s="432"/>
      <c r="CAV122" s="432"/>
      <c r="CAW122" s="432"/>
      <c r="CAX122" s="432"/>
      <c r="CAY122" s="432"/>
      <c r="CAZ122" s="432"/>
      <c r="CBA122" s="432"/>
      <c r="CBB122" s="432"/>
      <c r="CBC122" s="432"/>
      <c r="CBD122" s="432"/>
      <c r="CBE122" s="432"/>
      <c r="CBF122" s="432"/>
      <c r="CBG122" s="432"/>
      <c r="CBH122" s="432"/>
      <c r="CBI122" s="432"/>
      <c r="CBJ122" s="432"/>
      <c r="CBK122" s="432"/>
      <c r="CBL122" s="432"/>
      <c r="CBM122" s="432"/>
      <c r="CBN122" s="432"/>
      <c r="CBO122" s="432"/>
      <c r="CBP122" s="432"/>
      <c r="CBQ122" s="432"/>
      <c r="CBR122" s="432"/>
      <c r="CBS122" s="432"/>
      <c r="CBT122" s="432"/>
      <c r="CBU122" s="432"/>
      <c r="CBV122" s="432"/>
      <c r="CBW122" s="432"/>
      <c r="CBX122" s="432"/>
      <c r="CBY122" s="432"/>
      <c r="CBZ122" s="432"/>
      <c r="CCA122" s="432"/>
      <c r="CCB122" s="432"/>
      <c r="CCC122" s="432"/>
      <c r="CCD122" s="432"/>
      <c r="CCE122" s="432"/>
      <c r="CCF122" s="432"/>
      <c r="CCG122" s="432"/>
      <c r="CCH122" s="432"/>
      <c r="CCI122" s="432"/>
      <c r="CCJ122" s="432"/>
      <c r="CCK122" s="432"/>
      <c r="CCL122" s="432"/>
      <c r="CCM122" s="432"/>
      <c r="CCN122" s="432"/>
      <c r="CCO122" s="432"/>
      <c r="CCP122" s="432"/>
      <c r="CCQ122" s="432"/>
      <c r="CCR122" s="432"/>
      <c r="CCS122" s="432"/>
      <c r="CCT122" s="432"/>
      <c r="CCU122" s="432"/>
      <c r="CCV122" s="432"/>
      <c r="CCW122" s="432"/>
      <c r="CCX122" s="432"/>
      <c r="CCY122" s="432"/>
      <c r="CCZ122" s="432"/>
      <c r="CDA122" s="432"/>
      <c r="CDB122" s="432"/>
      <c r="CDC122" s="432"/>
      <c r="CDD122" s="432"/>
      <c r="CDE122" s="432"/>
      <c r="CDF122" s="432"/>
      <c r="CDG122" s="432"/>
      <c r="CDH122" s="432"/>
      <c r="CDI122" s="432"/>
      <c r="CDJ122" s="432"/>
      <c r="CDK122" s="432"/>
      <c r="CDL122" s="432"/>
      <c r="CDM122" s="432"/>
      <c r="CDN122" s="432"/>
      <c r="CDO122" s="432"/>
      <c r="CDP122" s="432"/>
      <c r="CDQ122" s="432"/>
      <c r="CDR122" s="432"/>
      <c r="CDS122" s="432"/>
      <c r="CDT122" s="432"/>
      <c r="CDU122" s="432"/>
      <c r="CDV122" s="432"/>
      <c r="CDW122" s="432"/>
      <c r="CDX122" s="432"/>
      <c r="CDY122" s="432"/>
      <c r="CDZ122" s="432"/>
      <c r="CEA122" s="432"/>
      <c r="CEB122" s="432"/>
      <c r="CEC122" s="432"/>
      <c r="CED122" s="432"/>
      <c r="CEE122" s="432"/>
      <c r="CEF122" s="432"/>
      <c r="CEG122" s="432"/>
      <c r="CEH122" s="432"/>
      <c r="CEI122" s="432"/>
      <c r="CEJ122" s="432"/>
      <c r="CEK122" s="432"/>
      <c r="CEL122" s="432"/>
      <c r="CEM122" s="432"/>
      <c r="CEN122" s="432"/>
      <c r="CEO122" s="432"/>
      <c r="CEP122" s="432"/>
      <c r="CEQ122" s="432"/>
      <c r="CER122" s="432"/>
      <c r="CES122" s="432"/>
      <c r="CET122" s="432"/>
      <c r="CEU122" s="432"/>
      <c r="CEV122" s="432"/>
      <c r="CEW122" s="432"/>
      <c r="CEX122" s="432"/>
      <c r="CEY122" s="432"/>
      <c r="CEZ122" s="432"/>
      <c r="CFA122" s="432"/>
      <c r="CFB122" s="432"/>
      <c r="CFC122" s="432"/>
      <c r="CFD122" s="432"/>
      <c r="CFE122" s="432"/>
      <c r="CFF122" s="432"/>
      <c r="CFG122" s="432"/>
      <c r="CFH122" s="432"/>
      <c r="CFI122" s="432"/>
      <c r="CFJ122" s="432"/>
      <c r="CFK122" s="432"/>
      <c r="CFL122" s="432"/>
      <c r="CFM122" s="432"/>
      <c r="CFN122" s="432"/>
      <c r="CFO122" s="432"/>
      <c r="CFP122" s="432"/>
      <c r="CFQ122" s="432"/>
      <c r="CFR122" s="432"/>
      <c r="CFS122" s="432"/>
      <c r="CFT122" s="432"/>
      <c r="CFU122" s="432"/>
      <c r="CFV122" s="432"/>
      <c r="CFW122" s="432"/>
      <c r="CFX122" s="432"/>
      <c r="CFY122" s="432"/>
      <c r="CFZ122" s="432"/>
      <c r="CGA122" s="432"/>
      <c r="CGB122" s="432"/>
      <c r="CGC122" s="432"/>
      <c r="CGD122" s="432"/>
      <c r="CGE122" s="432"/>
      <c r="CGF122" s="432"/>
      <c r="CGG122" s="432"/>
      <c r="CGH122" s="432"/>
      <c r="CGI122" s="432"/>
      <c r="CGJ122" s="432"/>
      <c r="CGK122" s="432"/>
      <c r="CGL122" s="432"/>
      <c r="CGM122" s="432"/>
      <c r="CGN122" s="432"/>
      <c r="CGO122" s="432"/>
      <c r="CGP122" s="432"/>
      <c r="CGQ122" s="432"/>
      <c r="CGR122" s="432"/>
      <c r="CGS122" s="432"/>
      <c r="CGT122" s="432"/>
      <c r="CGU122" s="432"/>
      <c r="CGV122" s="432"/>
      <c r="CGW122" s="432"/>
      <c r="CGX122" s="432"/>
      <c r="CGY122" s="432"/>
      <c r="CGZ122" s="432"/>
      <c r="CHA122" s="432"/>
      <c r="CHB122" s="432"/>
      <c r="CHC122" s="432"/>
      <c r="CHD122" s="432"/>
      <c r="CHE122" s="432"/>
      <c r="CHF122" s="432"/>
      <c r="CHG122" s="432"/>
      <c r="CHH122" s="432"/>
      <c r="CHI122" s="432"/>
      <c r="CHJ122" s="432"/>
      <c r="CHK122" s="432"/>
      <c r="CHL122" s="432"/>
      <c r="CHM122" s="432"/>
      <c r="CHN122" s="432"/>
      <c r="CHO122" s="432"/>
      <c r="CHP122" s="432"/>
      <c r="CHQ122" s="432"/>
      <c r="CHR122" s="432"/>
      <c r="CHS122" s="432"/>
      <c r="CHT122" s="432"/>
      <c r="CHU122" s="432"/>
      <c r="CHV122" s="432"/>
      <c r="CHW122" s="432"/>
      <c r="CHX122" s="432"/>
      <c r="CHY122" s="432"/>
      <c r="CHZ122" s="432"/>
      <c r="CIA122" s="432"/>
      <c r="CIB122" s="432"/>
      <c r="CIC122" s="432"/>
      <c r="CID122" s="432"/>
      <c r="CIE122" s="432"/>
      <c r="CIF122" s="432"/>
      <c r="CIG122" s="432"/>
      <c r="CIH122" s="432"/>
      <c r="CII122" s="432"/>
      <c r="CIJ122" s="432"/>
      <c r="CIK122" s="432"/>
      <c r="CIL122" s="432"/>
      <c r="CIM122" s="432"/>
      <c r="CIN122" s="432"/>
      <c r="CIO122" s="432"/>
      <c r="CIP122" s="432"/>
      <c r="CIQ122" s="432"/>
      <c r="CIR122" s="432"/>
      <c r="CIS122" s="432"/>
      <c r="CIT122" s="432"/>
      <c r="CIU122" s="432"/>
      <c r="CIV122" s="432"/>
      <c r="CIW122" s="432"/>
      <c r="CIX122" s="432"/>
      <c r="CIY122" s="432"/>
      <c r="CIZ122" s="432"/>
      <c r="CJA122" s="432"/>
      <c r="CJB122" s="432"/>
      <c r="CJC122" s="432"/>
      <c r="CJD122" s="432"/>
      <c r="CJE122" s="432"/>
      <c r="CJF122" s="432"/>
      <c r="CJG122" s="432"/>
      <c r="CJH122" s="432"/>
      <c r="CJI122" s="432"/>
      <c r="CJJ122" s="432"/>
      <c r="CJK122" s="432"/>
      <c r="CJL122" s="432"/>
      <c r="CJM122" s="432"/>
      <c r="CJN122" s="432"/>
      <c r="CJO122" s="432"/>
      <c r="CJP122" s="432"/>
      <c r="CJQ122" s="432"/>
      <c r="CJR122" s="432"/>
      <c r="CJS122" s="432"/>
      <c r="CJT122" s="432"/>
      <c r="CJU122" s="432"/>
      <c r="CJV122" s="432"/>
      <c r="CJW122" s="432"/>
      <c r="CJX122" s="432"/>
      <c r="CJY122" s="432"/>
      <c r="CJZ122" s="432"/>
      <c r="CKA122" s="432"/>
      <c r="CKB122" s="432"/>
      <c r="CKC122" s="432"/>
      <c r="CKD122" s="432"/>
      <c r="CKE122" s="432"/>
      <c r="CKF122" s="432"/>
      <c r="CKG122" s="432"/>
      <c r="CKH122" s="432"/>
      <c r="CKI122" s="432"/>
      <c r="CKJ122" s="432"/>
      <c r="CKK122" s="432"/>
      <c r="CKL122" s="432"/>
      <c r="CKM122" s="432"/>
      <c r="CKN122" s="432"/>
      <c r="CKO122" s="432"/>
      <c r="CKP122" s="432"/>
      <c r="CKQ122" s="432"/>
      <c r="CKR122" s="432"/>
      <c r="CKS122" s="432"/>
      <c r="CKT122" s="432"/>
      <c r="CKU122" s="432"/>
      <c r="CKV122" s="432"/>
      <c r="CKW122" s="432"/>
      <c r="CKX122" s="432"/>
      <c r="CKY122" s="432"/>
      <c r="CKZ122" s="432"/>
      <c r="CLA122" s="432"/>
      <c r="CLB122" s="432"/>
      <c r="CLC122" s="432"/>
      <c r="CLD122" s="432"/>
      <c r="CLE122" s="432"/>
      <c r="CLF122" s="432"/>
      <c r="CLG122" s="432"/>
      <c r="CLH122" s="432"/>
      <c r="CLI122" s="432"/>
      <c r="CLJ122" s="432"/>
      <c r="CLK122" s="432"/>
      <c r="CLL122" s="432"/>
      <c r="CLM122" s="432"/>
      <c r="CLN122" s="432"/>
      <c r="CLO122" s="432"/>
      <c r="CLP122" s="432"/>
      <c r="CLQ122" s="432"/>
      <c r="CLR122" s="432"/>
      <c r="CLS122" s="432"/>
      <c r="CLT122" s="432"/>
      <c r="CLU122" s="432"/>
      <c r="CLV122" s="432"/>
      <c r="CLW122" s="432"/>
      <c r="CLX122" s="432"/>
      <c r="CLY122" s="432"/>
      <c r="CLZ122" s="432"/>
      <c r="CMA122" s="432"/>
      <c r="CMB122" s="432"/>
      <c r="CMC122" s="432"/>
      <c r="CMD122" s="432"/>
      <c r="CME122" s="432"/>
      <c r="CMF122" s="432"/>
      <c r="CMG122" s="432"/>
      <c r="CMH122" s="432"/>
      <c r="CMI122" s="432"/>
      <c r="CMJ122" s="432"/>
      <c r="CMK122" s="432"/>
      <c r="CML122" s="432"/>
      <c r="CMM122" s="432"/>
      <c r="CMN122" s="432"/>
      <c r="CMO122" s="432"/>
      <c r="CMP122" s="432"/>
      <c r="CMQ122" s="432"/>
      <c r="CMR122" s="432"/>
      <c r="CMS122" s="432"/>
      <c r="CMT122" s="432"/>
      <c r="CMU122" s="432"/>
      <c r="CMV122" s="432"/>
      <c r="CMW122" s="432"/>
      <c r="CMX122" s="432"/>
      <c r="CMY122" s="432"/>
      <c r="CMZ122" s="432"/>
      <c r="CNA122" s="432"/>
      <c r="CNB122" s="432"/>
      <c r="CNC122" s="432"/>
      <c r="CND122" s="432"/>
      <c r="CNE122" s="432"/>
      <c r="CNF122" s="432"/>
      <c r="CNG122" s="432"/>
      <c r="CNH122" s="432"/>
      <c r="CNI122" s="432"/>
      <c r="CNJ122" s="432"/>
      <c r="CNK122" s="432"/>
      <c r="CNL122" s="432"/>
      <c r="CNM122" s="432"/>
      <c r="CNN122" s="432"/>
      <c r="CNO122" s="432"/>
      <c r="CNP122" s="432"/>
      <c r="CNQ122" s="432"/>
      <c r="CNR122" s="432"/>
      <c r="CNS122" s="432"/>
      <c r="CNT122" s="432"/>
      <c r="CNU122" s="432"/>
      <c r="CNV122" s="432"/>
      <c r="CNW122" s="432"/>
      <c r="CNX122" s="432"/>
      <c r="CNY122" s="432"/>
      <c r="CNZ122" s="432"/>
      <c r="COA122" s="432"/>
      <c r="COB122" s="432"/>
      <c r="COC122" s="432"/>
      <c r="COD122" s="432"/>
      <c r="COE122" s="432"/>
      <c r="COF122" s="432"/>
      <c r="COG122" s="432"/>
      <c r="COH122" s="432"/>
      <c r="COI122" s="432"/>
      <c r="COJ122" s="432"/>
      <c r="COK122" s="432"/>
      <c r="COL122" s="432"/>
      <c r="COM122" s="432"/>
      <c r="CON122" s="432"/>
      <c r="COO122" s="432"/>
      <c r="COP122" s="432"/>
      <c r="COQ122" s="432"/>
      <c r="COR122" s="432"/>
      <c r="COS122" s="432"/>
      <c r="COT122" s="432"/>
      <c r="COU122" s="432"/>
      <c r="COV122" s="432"/>
      <c r="COW122" s="432"/>
      <c r="COX122" s="432"/>
      <c r="COY122" s="432"/>
      <c r="COZ122" s="432"/>
      <c r="CPA122" s="432"/>
      <c r="CPB122" s="432"/>
      <c r="CPC122" s="432"/>
      <c r="CPD122" s="432"/>
      <c r="CPE122" s="432"/>
      <c r="CPF122" s="432"/>
      <c r="CPG122" s="432"/>
      <c r="CPH122" s="432"/>
      <c r="CPI122" s="432"/>
      <c r="CPJ122" s="432"/>
      <c r="CPK122" s="432"/>
      <c r="CPL122" s="432"/>
      <c r="CPM122" s="432"/>
      <c r="CPN122" s="432"/>
      <c r="CPO122" s="432"/>
      <c r="CPP122" s="432"/>
      <c r="CPQ122" s="432"/>
      <c r="CPR122" s="432"/>
      <c r="CPS122" s="432"/>
      <c r="CPT122" s="432"/>
      <c r="CPU122" s="432"/>
      <c r="CPV122" s="432"/>
      <c r="CPW122" s="432"/>
      <c r="CPX122" s="432"/>
      <c r="CPY122" s="432"/>
      <c r="CPZ122" s="432"/>
      <c r="CQA122" s="432"/>
      <c r="CQB122" s="432"/>
      <c r="CQC122" s="432"/>
      <c r="CQD122" s="432"/>
      <c r="CQE122" s="432"/>
      <c r="CQF122" s="432"/>
      <c r="CQG122" s="432"/>
      <c r="CQH122" s="432"/>
      <c r="CQI122" s="432"/>
      <c r="CQJ122" s="432"/>
      <c r="CQK122" s="432"/>
      <c r="CQL122" s="432"/>
      <c r="CQM122" s="432"/>
      <c r="CQN122" s="432"/>
      <c r="CQO122" s="432"/>
      <c r="CQP122" s="432"/>
      <c r="CQQ122" s="432"/>
      <c r="CQR122" s="432"/>
      <c r="CQS122" s="432"/>
      <c r="CQT122" s="432"/>
      <c r="CQU122" s="432"/>
      <c r="CQV122" s="432"/>
      <c r="CQW122" s="432"/>
      <c r="CQX122" s="432"/>
      <c r="CQY122" s="432"/>
      <c r="CQZ122" s="432"/>
      <c r="CRA122" s="432"/>
      <c r="CRB122" s="432"/>
      <c r="CRC122" s="432"/>
      <c r="CRD122" s="432"/>
      <c r="CRE122" s="432"/>
      <c r="CRF122" s="432"/>
      <c r="CRG122" s="432"/>
      <c r="CRH122" s="432"/>
      <c r="CRI122" s="432"/>
      <c r="CRJ122" s="432"/>
      <c r="CRK122" s="432"/>
      <c r="CRL122" s="432"/>
      <c r="CRM122" s="432"/>
      <c r="CRN122" s="432"/>
      <c r="CRO122" s="432"/>
      <c r="CRP122" s="432"/>
      <c r="CRQ122" s="432"/>
      <c r="CRR122" s="432"/>
      <c r="CRS122" s="432"/>
      <c r="CRT122" s="432"/>
      <c r="CRU122" s="432"/>
      <c r="CRV122" s="432"/>
      <c r="CRW122" s="432"/>
      <c r="CRX122" s="432"/>
      <c r="CRY122" s="432"/>
      <c r="CRZ122" s="432"/>
      <c r="CSA122" s="432"/>
      <c r="CSB122" s="432"/>
      <c r="CSC122" s="432"/>
      <c r="CSD122" s="432"/>
      <c r="CSE122" s="432"/>
      <c r="CSF122" s="432"/>
      <c r="CSG122" s="432"/>
      <c r="CSH122" s="432"/>
      <c r="CSI122" s="432"/>
      <c r="CSJ122" s="432"/>
      <c r="CSK122" s="432"/>
      <c r="CSL122" s="432"/>
      <c r="CSM122" s="432"/>
      <c r="CSN122" s="432"/>
      <c r="CSO122" s="432"/>
      <c r="CSP122" s="432"/>
      <c r="CSQ122" s="432"/>
      <c r="CSR122" s="432"/>
      <c r="CSS122" s="432"/>
      <c r="CST122" s="432"/>
      <c r="CSU122" s="432"/>
      <c r="CSV122" s="432"/>
      <c r="CSW122" s="432"/>
      <c r="CSX122" s="432"/>
      <c r="CSY122" s="432"/>
      <c r="CSZ122" s="432"/>
      <c r="CTA122" s="432"/>
      <c r="CTB122" s="432"/>
      <c r="CTC122" s="432"/>
      <c r="CTD122" s="432"/>
      <c r="CTE122" s="432"/>
      <c r="CTF122" s="432"/>
      <c r="CTG122" s="432"/>
      <c r="CTH122" s="432"/>
      <c r="CTI122" s="432"/>
      <c r="CTJ122" s="432"/>
      <c r="CTK122" s="432"/>
      <c r="CTL122" s="432"/>
      <c r="CTM122" s="432"/>
      <c r="CTN122" s="432"/>
      <c r="CTO122" s="432"/>
      <c r="CTP122" s="432"/>
      <c r="CTQ122" s="432"/>
      <c r="CTR122" s="432"/>
      <c r="CTS122" s="432"/>
      <c r="CTT122" s="432"/>
      <c r="CTU122" s="432"/>
      <c r="CTV122" s="432"/>
      <c r="CTW122" s="432"/>
      <c r="CTX122" s="432"/>
      <c r="CTY122" s="432"/>
      <c r="CTZ122" s="432"/>
      <c r="CUA122" s="432"/>
      <c r="CUB122" s="432"/>
      <c r="CUC122" s="432"/>
      <c r="CUD122" s="432"/>
      <c r="CUE122" s="432"/>
      <c r="CUF122" s="432"/>
      <c r="CUG122" s="432"/>
      <c r="CUH122" s="432"/>
      <c r="CUI122" s="432"/>
      <c r="CUJ122" s="432"/>
      <c r="CUK122" s="432"/>
      <c r="CUL122" s="432"/>
      <c r="CUM122" s="432"/>
      <c r="CUN122" s="432"/>
      <c r="CUO122" s="432"/>
      <c r="CUP122" s="432"/>
      <c r="CUQ122" s="432"/>
      <c r="CUR122" s="432"/>
      <c r="CUS122" s="432"/>
      <c r="CUT122" s="432"/>
      <c r="CUU122" s="432"/>
      <c r="CUV122" s="432"/>
      <c r="CUW122" s="432"/>
      <c r="CUX122" s="432"/>
      <c r="CUY122" s="432"/>
      <c r="CUZ122" s="432"/>
      <c r="CVA122" s="432"/>
      <c r="CVB122" s="432"/>
      <c r="CVC122" s="432"/>
      <c r="CVD122" s="432"/>
      <c r="CVE122" s="432"/>
      <c r="CVF122" s="432"/>
      <c r="CVG122" s="432"/>
      <c r="CVH122" s="432"/>
      <c r="CVI122" s="432"/>
      <c r="CVJ122" s="432"/>
      <c r="CVK122" s="432"/>
      <c r="CVL122" s="432"/>
      <c r="CVM122" s="432"/>
      <c r="CVN122" s="432"/>
      <c r="CVO122" s="432"/>
      <c r="CVP122" s="432"/>
      <c r="CVQ122" s="432"/>
      <c r="CVR122" s="432"/>
      <c r="CVS122" s="432"/>
      <c r="CVT122" s="432"/>
      <c r="CVU122" s="432"/>
      <c r="CVV122" s="432"/>
      <c r="CVW122" s="432"/>
      <c r="CVX122" s="432"/>
      <c r="CVY122" s="432"/>
      <c r="CVZ122" s="432"/>
      <c r="CWA122" s="432"/>
      <c r="CWB122" s="432"/>
      <c r="CWC122" s="432"/>
      <c r="CWD122" s="432"/>
      <c r="CWE122" s="432"/>
      <c r="CWF122" s="432"/>
      <c r="CWG122" s="432"/>
      <c r="CWH122" s="432"/>
      <c r="CWI122" s="432"/>
      <c r="CWJ122" s="432"/>
      <c r="CWK122" s="432"/>
      <c r="CWL122" s="432"/>
      <c r="CWM122" s="432"/>
      <c r="CWN122" s="432"/>
      <c r="CWO122" s="432"/>
      <c r="CWP122" s="432"/>
      <c r="CWQ122" s="432"/>
      <c r="CWR122" s="432"/>
      <c r="CWS122" s="432"/>
      <c r="CWT122" s="432"/>
      <c r="CWU122" s="432"/>
      <c r="CWV122" s="432"/>
      <c r="CWW122" s="432"/>
      <c r="CWX122" s="432"/>
      <c r="CWY122" s="432"/>
      <c r="CWZ122" s="432"/>
      <c r="CXA122" s="432"/>
      <c r="CXB122" s="432"/>
      <c r="CXC122" s="432"/>
      <c r="CXD122" s="432"/>
      <c r="CXE122" s="432"/>
      <c r="CXF122" s="432"/>
      <c r="CXG122" s="432"/>
      <c r="CXH122" s="432"/>
      <c r="CXI122" s="432"/>
      <c r="CXJ122" s="432"/>
      <c r="CXK122" s="432"/>
      <c r="CXL122" s="432"/>
      <c r="CXM122" s="432"/>
      <c r="CXN122" s="432"/>
      <c r="CXO122" s="432"/>
      <c r="CXP122" s="432"/>
      <c r="CXQ122" s="432"/>
      <c r="CXR122" s="432"/>
      <c r="CXS122" s="432"/>
      <c r="CXT122" s="432"/>
      <c r="CXU122" s="432"/>
      <c r="CXV122" s="432"/>
      <c r="CXW122" s="432"/>
      <c r="CXX122" s="432"/>
      <c r="CXY122" s="432"/>
      <c r="CXZ122" s="432"/>
      <c r="CYA122" s="432"/>
      <c r="CYB122" s="432"/>
      <c r="CYC122" s="432"/>
      <c r="CYD122" s="432"/>
      <c r="CYE122" s="432"/>
      <c r="CYF122" s="432"/>
      <c r="CYG122" s="432"/>
      <c r="CYH122" s="432"/>
      <c r="CYI122" s="432"/>
      <c r="CYJ122" s="432"/>
      <c r="CYK122" s="432"/>
      <c r="CYL122" s="432"/>
      <c r="CYM122" s="432"/>
      <c r="CYN122" s="432"/>
      <c r="CYO122" s="432"/>
      <c r="CYP122" s="432"/>
      <c r="CYQ122" s="432"/>
      <c r="CYR122" s="432"/>
      <c r="CYS122" s="432"/>
      <c r="CYT122" s="432"/>
      <c r="CYU122" s="432"/>
      <c r="CYV122" s="432"/>
      <c r="CYW122" s="432"/>
      <c r="CYX122" s="432"/>
      <c r="CYY122" s="432"/>
      <c r="CYZ122" s="432"/>
      <c r="CZA122" s="432"/>
      <c r="CZB122" s="432"/>
      <c r="CZC122" s="432"/>
      <c r="CZD122" s="432"/>
      <c r="CZE122" s="432"/>
      <c r="CZF122" s="432"/>
      <c r="CZG122" s="432"/>
      <c r="CZH122" s="432"/>
      <c r="CZI122" s="432"/>
      <c r="CZJ122" s="432"/>
      <c r="CZK122" s="432"/>
      <c r="CZL122" s="432"/>
      <c r="CZM122" s="432"/>
      <c r="CZN122" s="432"/>
      <c r="CZO122" s="432"/>
      <c r="CZP122" s="432"/>
      <c r="CZQ122" s="432"/>
      <c r="CZR122" s="432"/>
      <c r="CZS122" s="432"/>
      <c r="CZT122" s="432"/>
      <c r="CZU122" s="432"/>
      <c r="CZV122" s="432"/>
      <c r="CZW122" s="432"/>
      <c r="CZX122" s="432"/>
      <c r="CZY122" s="432"/>
      <c r="CZZ122" s="432"/>
      <c r="DAA122" s="432"/>
      <c r="DAB122" s="432"/>
      <c r="DAC122" s="432"/>
      <c r="DAD122" s="432"/>
      <c r="DAE122" s="432"/>
      <c r="DAF122" s="432"/>
      <c r="DAG122" s="432"/>
      <c r="DAH122" s="432"/>
      <c r="DAI122" s="432"/>
      <c r="DAJ122" s="432"/>
      <c r="DAK122" s="432"/>
      <c r="DAL122" s="432"/>
      <c r="DAM122" s="432"/>
      <c r="DAN122" s="432"/>
      <c r="DAO122" s="432"/>
      <c r="DAP122" s="432"/>
      <c r="DAQ122" s="432"/>
      <c r="DAR122" s="432"/>
      <c r="DAS122" s="432"/>
      <c r="DAT122" s="432"/>
      <c r="DAU122" s="432"/>
      <c r="DAV122" s="432"/>
      <c r="DAW122" s="432"/>
      <c r="DAX122" s="432"/>
      <c r="DAY122" s="432"/>
      <c r="DAZ122" s="432"/>
      <c r="DBA122" s="432"/>
      <c r="DBB122" s="432"/>
      <c r="DBC122" s="432"/>
      <c r="DBD122" s="432"/>
      <c r="DBE122" s="432"/>
      <c r="DBF122" s="432"/>
      <c r="DBG122" s="432"/>
      <c r="DBH122" s="432"/>
      <c r="DBI122" s="432"/>
      <c r="DBJ122" s="432"/>
      <c r="DBK122" s="432"/>
      <c r="DBL122" s="432"/>
      <c r="DBM122" s="432"/>
      <c r="DBN122" s="432"/>
      <c r="DBO122" s="432"/>
      <c r="DBP122" s="432"/>
      <c r="DBQ122" s="432"/>
      <c r="DBR122" s="432"/>
      <c r="DBS122" s="432"/>
      <c r="DBT122" s="432"/>
      <c r="DBU122" s="432"/>
      <c r="DBV122" s="432"/>
      <c r="DBW122" s="432"/>
      <c r="DBX122" s="432"/>
      <c r="DBY122" s="432"/>
      <c r="DBZ122" s="432"/>
      <c r="DCA122" s="432"/>
      <c r="DCB122" s="432"/>
      <c r="DCC122" s="432"/>
      <c r="DCD122" s="432"/>
      <c r="DCE122" s="432"/>
      <c r="DCF122" s="432"/>
      <c r="DCG122" s="432"/>
      <c r="DCH122" s="432"/>
      <c r="DCI122" s="432"/>
      <c r="DCJ122" s="432"/>
      <c r="DCK122" s="432"/>
      <c r="DCL122" s="432"/>
      <c r="DCM122" s="432"/>
      <c r="DCN122" s="432"/>
      <c r="DCO122" s="432"/>
      <c r="DCP122" s="432"/>
      <c r="DCQ122" s="432"/>
      <c r="DCR122" s="432"/>
      <c r="DCS122" s="432"/>
      <c r="DCT122" s="432"/>
      <c r="DCU122" s="432"/>
      <c r="DCV122" s="432"/>
      <c r="DCW122" s="432"/>
      <c r="DCX122" s="432"/>
      <c r="DCY122" s="432"/>
      <c r="DCZ122" s="432"/>
      <c r="DDA122" s="432"/>
      <c r="DDB122" s="432"/>
      <c r="DDC122" s="432"/>
      <c r="DDD122" s="432"/>
      <c r="DDE122" s="432"/>
      <c r="DDF122" s="432"/>
      <c r="DDG122" s="432"/>
      <c r="DDH122" s="432"/>
      <c r="DDI122" s="432"/>
      <c r="DDJ122" s="432"/>
      <c r="DDK122" s="432"/>
      <c r="DDL122" s="432"/>
      <c r="DDM122" s="432"/>
      <c r="DDN122" s="432"/>
      <c r="DDO122" s="432"/>
      <c r="DDP122" s="432"/>
      <c r="DDQ122" s="432"/>
      <c r="DDR122" s="432"/>
      <c r="DDS122" s="432"/>
      <c r="DDT122" s="432"/>
      <c r="DDU122" s="432"/>
      <c r="DDV122" s="432"/>
      <c r="DDW122" s="432"/>
      <c r="DDX122" s="432"/>
      <c r="DDY122" s="432"/>
      <c r="DDZ122" s="432"/>
      <c r="DEA122" s="432"/>
      <c r="DEB122" s="432"/>
      <c r="DEC122" s="432"/>
      <c r="DED122" s="432"/>
      <c r="DEE122" s="432"/>
      <c r="DEF122" s="432"/>
      <c r="DEG122" s="432"/>
      <c r="DEH122" s="432"/>
      <c r="DEI122" s="432"/>
      <c r="DEJ122" s="432"/>
      <c r="DEK122" s="432"/>
      <c r="DEL122" s="432"/>
      <c r="DEM122" s="432"/>
      <c r="DEN122" s="432"/>
      <c r="DEO122" s="432"/>
      <c r="DEP122" s="432"/>
      <c r="DEQ122" s="432"/>
      <c r="DER122" s="432"/>
      <c r="DES122" s="432"/>
      <c r="DET122" s="432"/>
      <c r="DEU122" s="432"/>
      <c r="DEV122" s="432"/>
      <c r="DEW122" s="432"/>
      <c r="DEX122" s="432"/>
      <c r="DEY122" s="432"/>
      <c r="DEZ122" s="432"/>
      <c r="DFA122" s="432"/>
      <c r="DFB122" s="432"/>
      <c r="DFC122" s="432"/>
      <c r="DFD122" s="432"/>
      <c r="DFE122" s="432"/>
      <c r="DFF122" s="432"/>
      <c r="DFG122" s="432"/>
      <c r="DFH122" s="432"/>
      <c r="DFI122" s="432"/>
      <c r="DFJ122" s="432"/>
      <c r="DFK122" s="432"/>
      <c r="DFL122" s="432"/>
      <c r="DFM122" s="432"/>
      <c r="DFN122" s="432"/>
      <c r="DFO122" s="432"/>
      <c r="DFP122" s="432"/>
      <c r="DFQ122" s="432"/>
      <c r="DFR122" s="432"/>
      <c r="DFS122" s="432"/>
      <c r="DFT122" s="432"/>
      <c r="DFU122" s="432"/>
      <c r="DFV122" s="432"/>
      <c r="DFW122" s="432"/>
      <c r="DFX122" s="432"/>
      <c r="DFY122" s="432"/>
      <c r="DFZ122" s="432"/>
      <c r="DGA122" s="432"/>
      <c r="DGB122" s="432"/>
      <c r="DGC122" s="432"/>
      <c r="DGD122" s="432"/>
      <c r="DGE122" s="432"/>
      <c r="DGF122" s="432"/>
      <c r="DGG122" s="432"/>
      <c r="DGH122" s="432"/>
      <c r="DGI122" s="432"/>
      <c r="DGJ122" s="432"/>
      <c r="DGK122" s="432"/>
      <c r="DGL122" s="432"/>
      <c r="DGM122" s="432"/>
      <c r="DGN122" s="432"/>
      <c r="DGO122" s="432"/>
      <c r="DGP122" s="432"/>
      <c r="DGQ122" s="432"/>
      <c r="DGR122" s="432"/>
      <c r="DGS122" s="432"/>
      <c r="DGT122" s="432"/>
      <c r="DGU122" s="432"/>
      <c r="DGV122" s="432"/>
      <c r="DGW122" s="432"/>
      <c r="DGX122" s="432"/>
      <c r="DGY122" s="432"/>
      <c r="DGZ122" s="432"/>
      <c r="DHA122" s="432"/>
      <c r="DHB122" s="432"/>
      <c r="DHC122" s="432"/>
      <c r="DHD122" s="432"/>
      <c r="DHE122" s="432"/>
      <c r="DHF122" s="432"/>
      <c r="DHG122" s="432"/>
      <c r="DHH122" s="432"/>
      <c r="DHI122" s="432"/>
      <c r="DHJ122" s="432"/>
      <c r="DHK122" s="432"/>
      <c r="DHL122" s="432"/>
      <c r="DHM122" s="432"/>
      <c r="DHN122" s="432"/>
      <c r="DHO122" s="432"/>
      <c r="DHP122" s="432"/>
      <c r="DHQ122" s="432"/>
      <c r="DHR122" s="432"/>
      <c r="DHS122" s="432"/>
      <c r="DHT122" s="432"/>
      <c r="DHU122" s="432"/>
      <c r="DHV122" s="432"/>
      <c r="DHW122" s="432"/>
      <c r="DHX122" s="432"/>
      <c r="DHY122" s="432"/>
      <c r="DHZ122" s="432"/>
      <c r="DIA122" s="432"/>
      <c r="DIB122" s="432"/>
      <c r="DIC122" s="432"/>
      <c r="DID122" s="432"/>
      <c r="DIE122" s="432"/>
      <c r="DIF122" s="432"/>
      <c r="DIG122" s="432"/>
      <c r="DIH122" s="432"/>
      <c r="DII122" s="432"/>
      <c r="DIJ122" s="432"/>
      <c r="DIK122" s="432"/>
      <c r="DIL122" s="432"/>
      <c r="DIM122" s="432"/>
      <c r="DIN122" s="432"/>
      <c r="DIO122" s="432"/>
      <c r="DIP122" s="432"/>
      <c r="DIQ122" s="432"/>
      <c r="DIR122" s="432"/>
      <c r="DIS122" s="432"/>
      <c r="DIT122" s="432"/>
      <c r="DIU122" s="432"/>
      <c r="DIV122" s="432"/>
      <c r="DIW122" s="432"/>
      <c r="DIX122" s="432"/>
      <c r="DIY122" s="432"/>
      <c r="DIZ122" s="432"/>
      <c r="DJA122" s="432"/>
      <c r="DJB122" s="432"/>
      <c r="DJC122" s="432"/>
      <c r="DJD122" s="432"/>
      <c r="DJE122" s="432"/>
      <c r="DJF122" s="432"/>
      <c r="DJG122" s="432"/>
      <c r="DJH122" s="432"/>
      <c r="DJI122" s="432"/>
      <c r="DJJ122" s="432"/>
      <c r="DJK122" s="432"/>
      <c r="DJL122" s="432"/>
      <c r="DJM122" s="432"/>
      <c r="DJN122" s="432"/>
      <c r="DJO122" s="432"/>
      <c r="DJP122" s="432"/>
      <c r="DJQ122" s="432"/>
      <c r="DJR122" s="432"/>
      <c r="DJS122" s="432"/>
      <c r="DJT122" s="432"/>
      <c r="DJU122" s="432"/>
      <c r="DJV122" s="432"/>
      <c r="DJW122" s="432"/>
      <c r="DJX122" s="432"/>
      <c r="DJY122" s="432"/>
      <c r="DJZ122" s="432"/>
      <c r="DKA122" s="432"/>
      <c r="DKB122" s="432"/>
      <c r="DKC122" s="432"/>
      <c r="DKD122" s="432"/>
      <c r="DKE122" s="432"/>
      <c r="DKF122" s="432"/>
      <c r="DKG122" s="432"/>
      <c r="DKH122" s="432"/>
      <c r="DKI122" s="432"/>
      <c r="DKJ122" s="432"/>
      <c r="DKK122" s="432"/>
      <c r="DKL122" s="432"/>
      <c r="DKM122" s="432"/>
      <c r="DKN122" s="432"/>
      <c r="DKO122" s="432"/>
      <c r="DKP122" s="432"/>
      <c r="DKQ122" s="432"/>
      <c r="DKR122" s="432"/>
      <c r="DKS122" s="432"/>
      <c r="DKT122" s="432"/>
      <c r="DKU122" s="432"/>
      <c r="DKV122" s="432"/>
      <c r="DKW122" s="432"/>
      <c r="DKX122" s="432"/>
      <c r="DKY122" s="432"/>
      <c r="DKZ122" s="432"/>
      <c r="DLA122" s="432"/>
      <c r="DLB122" s="432"/>
      <c r="DLC122" s="432"/>
      <c r="DLD122" s="432"/>
      <c r="DLE122" s="432"/>
      <c r="DLF122" s="432"/>
      <c r="DLG122" s="432"/>
      <c r="DLH122" s="432"/>
      <c r="DLI122" s="432"/>
      <c r="DLJ122" s="432"/>
      <c r="DLK122" s="432"/>
      <c r="DLL122" s="432"/>
      <c r="DLM122" s="432"/>
      <c r="DLN122" s="432"/>
      <c r="DLO122" s="432"/>
      <c r="DLP122" s="432"/>
      <c r="DLQ122" s="432"/>
      <c r="DLR122" s="432"/>
      <c r="DLS122" s="432"/>
      <c r="DLT122" s="432"/>
      <c r="DLU122" s="432"/>
      <c r="DLV122" s="432"/>
      <c r="DLW122" s="432"/>
      <c r="DLX122" s="432"/>
      <c r="DLY122" s="432"/>
      <c r="DLZ122" s="432"/>
      <c r="DMA122" s="432"/>
      <c r="DMB122" s="432"/>
      <c r="DMC122" s="432"/>
      <c r="DMD122" s="432"/>
      <c r="DME122" s="432"/>
      <c r="DMF122" s="432"/>
      <c r="DMG122" s="432"/>
      <c r="DMH122" s="432"/>
      <c r="DMI122" s="432"/>
      <c r="DMJ122" s="432"/>
      <c r="DMK122" s="432"/>
      <c r="DML122" s="432"/>
      <c r="DMM122" s="432"/>
      <c r="DMN122" s="432"/>
      <c r="DMO122" s="432"/>
      <c r="DMP122" s="432"/>
      <c r="DMQ122" s="432"/>
      <c r="DMR122" s="432"/>
      <c r="DMS122" s="432"/>
      <c r="DMT122" s="432"/>
      <c r="DMU122" s="432"/>
      <c r="DMV122" s="432"/>
      <c r="DMW122" s="432"/>
      <c r="DMX122" s="432"/>
      <c r="DMY122" s="432"/>
      <c r="DMZ122" s="432"/>
      <c r="DNA122" s="432"/>
      <c r="DNB122" s="432"/>
      <c r="DNC122" s="432"/>
      <c r="DND122" s="432"/>
      <c r="DNE122" s="432"/>
      <c r="DNF122" s="432"/>
      <c r="DNG122" s="432"/>
      <c r="DNH122" s="432"/>
      <c r="DNI122" s="432"/>
      <c r="DNJ122" s="432"/>
      <c r="DNK122" s="432"/>
      <c r="DNL122" s="432"/>
      <c r="DNM122" s="432"/>
      <c r="DNN122" s="432"/>
      <c r="DNO122" s="432"/>
      <c r="DNP122" s="432"/>
      <c r="DNQ122" s="432"/>
      <c r="DNR122" s="432"/>
      <c r="DNS122" s="432"/>
      <c r="DNT122" s="432"/>
      <c r="DNU122" s="432"/>
      <c r="DNV122" s="432"/>
      <c r="DNW122" s="432"/>
      <c r="DNX122" s="432"/>
      <c r="DNY122" s="432"/>
      <c r="DNZ122" s="432"/>
      <c r="DOA122" s="432"/>
      <c r="DOB122" s="432"/>
      <c r="DOC122" s="432"/>
      <c r="DOD122" s="432"/>
      <c r="DOE122" s="432"/>
      <c r="DOF122" s="432"/>
      <c r="DOG122" s="432"/>
      <c r="DOH122" s="432"/>
      <c r="DOI122" s="432"/>
      <c r="DOJ122" s="432"/>
      <c r="DOK122" s="432"/>
      <c r="DOL122" s="432"/>
      <c r="DOM122" s="432"/>
      <c r="DON122" s="432"/>
      <c r="DOO122" s="432"/>
      <c r="DOP122" s="432"/>
      <c r="DOQ122" s="432"/>
      <c r="DOR122" s="432"/>
      <c r="DOS122" s="432"/>
      <c r="DOT122" s="432"/>
      <c r="DOU122" s="432"/>
      <c r="DOV122" s="432"/>
      <c r="DOW122" s="432"/>
      <c r="DOX122" s="432"/>
      <c r="DOY122" s="432"/>
      <c r="DOZ122" s="432"/>
      <c r="DPA122" s="432"/>
      <c r="DPB122" s="432"/>
      <c r="DPC122" s="432"/>
      <c r="DPD122" s="432"/>
      <c r="DPE122" s="432"/>
      <c r="DPF122" s="432"/>
      <c r="DPG122" s="432"/>
      <c r="DPH122" s="432"/>
      <c r="DPI122" s="432"/>
      <c r="DPJ122" s="432"/>
      <c r="DPK122" s="432"/>
      <c r="DPL122" s="432"/>
      <c r="DPM122" s="432"/>
      <c r="DPN122" s="432"/>
      <c r="DPO122" s="432"/>
      <c r="DPP122" s="432"/>
      <c r="DPQ122" s="432"/>
      <c r="DPR122" s="432"/>
      <c r="DPS122" s="432"/>
      <c r="DPT122" s="432"/>
      <c r="DPU122" s="432"/>
      <c r="DPV122" s="432"/>
      <c r="DPW122" s="432"/>
      <c r="DPX122" s="432"/>
      <c r="DPY122" s="432"/>
      <c r="DPZ122" s="432"/>
      <c r="DQA122" s="432"/>
      <c r="DQB122" s="432"/>
      <c r="DQC122" s="432"/>
      <c r="DQD122" s="432"/>
      <c r="DQE122" s="432"/>
      <c r="DQF122" s="432"/>
      <c r="DQG122" s="432"/>
      <c r="DQH122" s="432"/>
      <c r="DQI122" s="432"/>
      <c r="DQJ122" s="432"/>
      <c r="DQK122" s="432"/>
      <c r="DQL122" s="432"/>
      <c r="DQM122" s="432"/>
      <c r="DQN122" s="432"/>
      <c r="DQO122" s="432"/>
      <c r="DQP122" s="432"/>
      <c r="DQQ122" s="432"/>
      <c r="DQR122" s="432"/>
      <c r="DQS122" s="432"/>
      <c r="DQT122" s="432"/>
      <c r="DQU122" s="432"/>
      <c r="DQV122" s="432"/>
      <c r="DQW122" s="432"/>
      <c r="DQX122" s="432"/>
      <c r="DQY122" s="432"/>
      <c r="DQZ122" s="432"/>
      <c r="DRA122" s="432"/>
      <c r="DRB122" s="432"/>
      <c r="DRC122" s="432"/>
      <c r="DRD122" s="432"/>
      <c r="DRE122" s="432"/>
      <c r="DRF122" s="432"/>
      <c r="DRG122" s="432"/>
      <c r="DRH122" s="432"/>
      <c r="DRI122" s="432"/>
      <c r="DRJ122" s="432"/>
      <c r="DRK122" s="432"/>
      <c r="DRL122" s="432"/>
      <c r="DRM122" s="432"/>
      <c r="DRN122" s="432"/>
      <c r="DRO122" s="432"/>
      <c r="DRP122" s="432"/>
      <c r="DRQ122" s="432"/>
      <c r="DRR122" s="432"/>
      <c r="DRS122" s="432"/>
      <c r="DRT122" s="432"/>
      <c r="DRU122" s="432"/>
      <c r="DRV122" s="432"/>
      <c r="DRW122" s="432"/>
      <c r="DRX122" s="432"/>
      <c r="DRY122" s="432"/>
      <c r="DRZ122" s="432"/>
      <c r="DSA122" s="432"/>
      <c r="DSB122" s="432"/>
      <c r="DSC122" s="432"/>
      <c r="DSD122" s="432"/>
      <c r="DSE122" s="432"/>
      <c r="DSF122" s="432"/>
      <c r="DSG122" s="432"/>
      <c r="DSH122" s="432"/>
      <c r="DSI122" s="432"/>
      <c r="DSJ122" s="432"/>
      <c r="DSK122" s="432"/>
      <c r="DSL122" s="432"/>
      <c r="DSM122" s="432"/>
      <c r="DSN122" s="432"/>
      <c r="DSO122" s="432"/>
      <c r="DSP122" s="432"/>
      <c r="DSQ122" s="432"/>
      <c r="DSR122" s="432"/>
      <c r="DSS122" s="432"/>
      <c r="DST122" s="432"/>
      <c r="DSU122" s="432"/>
      <c r="DSV122" s="432"/>
      <c r="DSW122" s="432"/>
      <c r="DSX122" s="432"/>
      <c r="DSY122" s="432"/>
      <c r="DSZ122" s="432"/>
      <c r="DTA122" s="432"/>
      <c r="DTB122" s="432"/>
      <c r="DTC122" s="432"/>
      <c r="DTD122" s="432"/>
      <c r="DTE122" s="432"/>
      <c r="DTF122" s="432"/>
      <c r="DTG122" s="432"/>
      <c r="DTH122" s="432"/>
      <c r="DTI122" s="432"/>
      <c r="DTJ122" s="432"/>
      <c r="DTK122" s="432"/>
      <c r="DTL122" s="432"/>
      <c r="DTM122" s="432"/>
      <c r="DTN122" s="432"/>
      <c r="DTO122" s="432"/>
      <c r="DTP122" s="432"/>
      <c r="DTQ122" s="432"/>
      <c r="DTR122" s="432"/>
      <c r="DTS122" s="432"/>
      <c r="DTT122" s="432"/>
      <c r="DTU122" s="432"/>
      <c r="DTV122" s="432"/>
      <c r="DTW122" s="432"/>
      <c r="DTX122" s="432"/>
      <c r="DTY122" s="432"/>
      <c r="DTZ122" s="432"/>
      <c r="DUA122" s="432"/>
      <c r="DUB122" s="432"/>
      <c r="DUC122" s="432"/>
      <c r="DUD122" s="432"/>
      <c r="DUE122" s="432"/>
      <c r="DUF122" s="432"/>
      <c r="DUG122" s="432"/>
      <c r="DUH122" s="432"/>
      <c r="DUI122" s="432"/>
      <c r="DUJ122" s="432"/>
      <c r="DUK122" s="432"/>
      <c r="DUL122" s="432"/>
      <c r="DUM122" s="432"/>
      <c r="DUN122" s="432"/>
      <c r="DUO122" s="432"/>
      <c r="DUP122" s="432"/>
      <c r="DUQ122" s="432"/>
      <c r="DUR122" s="432"/>
      <c r="DUS122" s="432"/>
      <c r="DUT122" s="432"/>
      <c r="DUU122" s="432"/>
      <c r="DUV122" s="432"/>
      <c r="DUW122" s="432"/>
      <c r="DUX122" s="432"/>
      <c r="DUY122" s="432"/>
      <c r="DUZ122" s="432"/>
      <c r="DVA122" s="432"/>
      <c r="DVB122" s="432"/>
      <c r="DVC122" s="432"/>
      <c r="DVD122" s="432"/>
      <c r="DVE122" s="432"/>
      <c r="DVF122" s="432"/>
      <c r="DVG122" s="432"/>
      <c r="DVH122" s="432"/>
      <c r="DVI122" s="432"/>
      <c r="DVJ122" s="432"/>
      <c r="DVK122" s="432"/>
      <c r="DVL122" s="432"/>
      <c r="DVM122" s="432"/>
      <c r="DVN122" s="432"/>
      <c r="DVO122" s="432"/>
      <c r="DVP122" s="432"/>
      <c r="DVQ122" s="432"/>
      <c r="DVR122" s="432"/>
      <c r="DVS122" s="432"/>
      <c r="DVT122" s="432"/>
      <c r="DVU122" s="432"/>
      <c r="DVV122" s="432"/>
      <c r="DVW122" s="432"/>
      <c r="DVX122" s="432"/>
      <c r="DVY122" s="432"/>
      <c r="DVZ122" s="432"/>
      <c r="DWA122" s="432"/>
      <c r="DWB122" s="432"/>
      <c r="DWC122" s="432"/>
      <c r="DWD122" s="432"/>
      <c r="DWE122" s="432"/>
      <c r="DWF122" s="432"/>
      <c r="DWG122" s="432"/>
      <c r="DWH122" s="432"/>
      <c r="DWI122" s="432"/>
      <c r="DWJ122" s="432"/>
      <c r="DWK122" s="432"/>
      <c r="DWL122" s="432"/>
      <c r="DWM122" s="432"/>
      <c r="DWN122" s="432"/>
      <c r="DWO122" s="432"/>
      <c r="DWP122" s="432"/>
      <c r="DWQ122" s="432"/>
      <c r="DWR122" s="432"/>
      <c r="DWS122" s="432"/>
      <c r="DWT122" s="432"/>
      <c r="DWU122" s="432"/>
      <c r="DWV122" s="432"/>
      <c r="DWW122" s="432"/>
      <c r="DWX122" s="432"/>
      <c r="DWY122" s="432"/>
      <c r="DWZ122" s="432"/>
      <c r="DXA122" s="432"/>
      <c r="DXB122" s="432"/>
      <c r="DXC122" s="432"/>
      <c r="DXD122" s="432"/>
      <c r="DXE122" s="432"/>
      <c r="DXF122" s="432"/>
      <c r="DXG122" s="432"/>
      <c r="DXH122" s="432"/>
      <c r="DXI122" s="432"/>
      <c r="DXJ122" s="432"/>
      <c r="DXK122" s="432"/>
      <c r="DXL122" s="432"/>
      <c r="DXM122" s="432"/>
      <c r="DXN122" s="432"/>
      <c r="DXO122" s="432"/>
      <c r="DXP122" s="432"/>
      <c r="DXQ122" s="432"/>
      <c r="DXR122" s="432"/>
      <c r="DXS122" s="432"/>
      <c r="DXT122" s="432"/>
      <c r="DXU122" s="432"/>
      <c r="DXV122" s="432"/>
      <c r="DXW122" s="432"/>
      <c r="DXX122" s="432"/>
      <c r="DXY122" s="432"/>
      <c r="DXZ122" s="432"/>
      <c r="DYA122" s="432"/>
      <c r="DYB122" s="432"/>
      <c r="DYC122" s="432"/>
      <c r="DYD122" s="432"/>
      <c r="DYE122" s="432"/>
      <c r="DYF122" s="432"/>
      <c r="DYG122" s="432"/>
      <c r="DYH122" s="432"/>
      <c r="DYI122" s="432"/>
      <c r="DYJ122" s="432"/>
      <c r="DYK122" s="432"/>
      <c r="DYL122" s="432"/>
      <c r="DYM122" s="432"/>
      <c r="DYN122" s="432"/>
      <c r="DYO122" s="432"/>
      <c r="DYP122" s="432"/>
      <c r="DYQ122" s="432"/>
      <c r="DYR122" s="432"/>
      <c r="DYS122" s="432"/>
      <c r="DYT122" s="432"/>
      <c r="DYU122" s="432"/>
      <c r="DYV122" s="432"/>
      <c r="DYW122" s="432"/>
      <c r="DYX122" s="432"/>
      <c r="DYY122" s="432"/>
      <c r="DYZ122" s="432"/>
      <c r="DZA122" s="432"/>
      <c r="DZB122" s="432"/>
      <c r="DZC122" s="432"/>
      <c r="DZD122" s="432"/>
      <c r="DZE122" s="432"/>
      <c r="DZF122" s="432"/>
      <c r="DZG122" s="432"/>
      <c r="DZH122" s="432"/>
      <c r="DZI122" s="432"/>
      <c r="DZJ122" s="432"/>
      <c r="DZK122" s="432"/>
      <c r="DZL122" s="432"/>
      <c r="DZM122" s="432"/>
      <c r="DZN122" s="432"/>
      <c r="DZO122" s="432"/>
      <c r="DZP122" s="432"/>
      <c r="DZQ122" s="432"/>
      <c r="DZR122" s="432"/>
      <c r="DZS122" s="432"/>
      <c r="DZT122" s="432"/>
      <c r="DZU122" s="432"/>
      <c r="DZV122" s="432"/>
      <c r="DZW122" s="432"/>
      <c r="DZX122" s="432"/>
      <c r="DZY122" s="432"/>
      <c r="DZZ122" s="432"/>
      <c r="EAA122" s="432"/>
      <c r="EAB122" s="432"/>
      <c r="EAC122" s="432"/>
      <c r="EAD122" s="432"/>
      <c r="EAE122" s="432"/>
      <c r="EAF122" s="432"/>
      <c r="EAG122" s="432"/>
      <c r="EAH122" s="432"/>
      <c r="EAI122" s="432"/>
      <c r="EAJ122" s="432"/>
      <c r="EAK122" s="432"/>
      <c r="EAL122" s="432"/>
      <c r="EAM122" s="432"/>
      <c r="EAN122" s="432"/>
      <c r="EAO122" s="432"/>
      <c r="EAP122" s="432"/>
      <c r="EAQ122" s="432"/>
      <c r="EAR122" s="432"/>
      <c r="EAS122" s="432"/>
      <c r="EAT122" s="432"/>
      <c r="EAU122" s="432"/>
      <c r="EAV122" s="432"/>
      <c r="EAW122" s="432"/>
      <c r="EAX122" s="432"/>
      <c r="EAY122" s="432"/>
      <c r="EAZ122" s="432"/>
      <c r="EBA122" s="432"/>
      <c r="EBB122" s="432"/>
      <c r="EBC122" s="432"/>
      <c r="EBD122" s="432"/>
      <c r="EBE122" s="432"/>
      <c r="EBF122" s="432"/>
      <c r="EBG122" s="432"/>
      <c r="EBH122" s="432"/>
      <c r="EBI122" s="432"/>
      <c r="EBJ122" s="432"/>
      <c r="EBK122" s="432"/>
      <c r="EBL122" s="432"/>
      <c r="EBM122" s="432"/>
      <c r="EBN122" s="432"/>
      <c r="EBO122" s="432"/>
      <c r="EBP122" s="432"/>
      <c r="EBQ122" s="432"/>
      <c r="EBR122" s="432"/>
      <c r="EBS122" s="432"/>
      <c r="EBT122" s="432"/>
      <c r="EBU122" s="432"/>
      <c r="EBV122" s="432"/>
      <c r="EBW122" s="432"/>
      <c r="EBX122" s="432"/>
      <c r="EBY122" s="432"/>
      <c r="EBZ122" s="432"/>
      <c r="ECA122" s="432"/>
      <c r="ECB122" s="432"/>
      <c r="ECC122" s="432"/>
      <c r="ECD122" s="432"/>
      <c r="ECE122" s="432"/>
      <c r="ECF122" s="432"/>
      <c r="ECG122" s="432"/>
      <c r="ECH122" s="432"/>
      <c r="ECI122" s="432"/>
      <c r="ECJ122" s="432"/>
      <c r="ECK122" s="432"/>
      <c r="ECL122" s="432"/>
      <c r="ECM122" s="432"/>
      <c r="ECN122" s="432"/>
      <c r="ECO122" s="432"/>
      <c r="ECP122" s="432"/>
      <c r="ECQ122" s="432"/>
      <c r="ECR122" s="432"/>
      <c r="ECS122" s="432"/>
      <c r="ECT122" s="432"/>
      <c r="ECU122" s="432"/>
      <c r="ECV122" s="432"/>
      <c r="ECW122" s="432"/>
      <c r="ECX122" s="432"/>
      <c r="ECY122" s="432"/>
      <c r="ECZ122" s="432"/>
      <c r="EDA122" s="432"/>
      <c r="EDB122" s="432"/>
      <c r="EDC122" s="432"/>
      <c r="EDD122" s="432"/>
      <c r="EDE122" s="432"/>
      <c r="EDF122" s="432"/>
      <c r="EDG122" s="432"/>
      <c r="EDH122" s="432"/>
      <c r="EDI122" s="432"/>
      <c r="EDJ122" s="432"/>
      <c r="EDK122" s="432"/>
      <c r="EDL122" s="432"/>
      <c r="EDM122" s="432"/>
      <c r="EDN122" s="432"/>
      <c r="EDO122" s="432"/>
      <c r="EDP122" s="432"/>
      <c r="EDQ122" s="432"/>
      <c r="EDR122" s="432"/>
      <c r="EDS122" s="432"/>
      <c r="EDT122" s="432"/>
      <c r="EDU122" s="432"/>
      <c r="EDV122" s="432"/>
      <c r="EDW122" s="432"/>
      <c r="EDX122" s="432"/>
      <c r="EDY122" s="432"/>
      <c r="EDZ122" s="432"/>
      <c r="EEA122" s="432"/>
      <c r="EEB122" s="432"/>
      <c r="EEC122" s="432"/>
      <c r="EED122" s="432"/>
      <c r="EEE122" s="432"/>
      <c r="EEF122" s="432"/>
      <c r="EEG122" s="432"/>
      <c r="EEH122" s="432"/>
      <c r="EEI122" s="432"/>
      <c r="EEJ122" s="432"/>
      <c r="EEK122" s="432"/>
      <c r="EEL122" s="432"/>
      <c r="EEM122" s="432"/>
      <c r="EEN122" s="432"/>
      <c r="EEO122" s="432"/>
      <c r="EEP122" s="432"/>
      <c r="EEQ122" s="432"/>
      <c r="EER122" s="432"/>
      <c r="EES122" s="432"/>
      <c r="EET122" s="432"/>
      <c r="EEU122" s="432"/>
      <c r="EEV122" s="432"/>
      <c r="EEW122" s="432"/>
      <c r="EEX122" s="432"/>
      <c r="EEY122" s="432"/>
      <c r="EEZ122" s="432"/>
      <c r="EFA122" s="432"/>
      <c r="EFB122" s="432"/>
      <c r="EFC122" s="432"/>
      <c r="EFD122" s="432"/>
      <c r="EFE122" s="432"/>
      <c r="EFF122" s="432"/>
      <c r="EFG122" s="432"/>
      <c r="EFH122" s="432"/>
      <c r="EFI122" s="432"/>
      <c r="EFJ122" s="432"/>
      <c r="EFK122" s="432"/>
      <c r="EFL122" s="432"/>
      <c r="EFM122" s="432"/>
      <c r="EFN122" s="432"/>
      <c r="EFO122" s="432"/>
      <c r="EFP122" s="432"/>
      <c r="EFQ122" s="432"/>
      <c r="EFR122" s="432"/>
      <c r="EFS122" s="432"/>
      <c r="EFT122" s="432"/>
      <c r="EFU122" s="432"/>
      <c r="EFV122" s="432"/>
      <c r="EFW122" s="432"/>
      <c r="EFX122" s="432"/>
      <c r="EFY122" s="432"/>
      <c r="EFZ122" s="432"/>
      <c r="EGA122" s="432"/>
      <c r="EGB122" s="432"/>
      <c r="EGC122" s="432"/>
      <c r="EGD122" s="432"/>
      <c r="EGE122" s="432"/>
      <c r="EGF122" s="432"/>
      <c r="EGG122" s="432"/>
      <c r="EGH122" s="432"/>
      <c r="EGI122" s="432"/>
      <c r="EGJ122" s="432"/>
      <c r="EGK122" s="432"/>
      <c r="EGL122" s="432"/>
      <c r="EGM122" s="432"/>
      <c r="EGN122" s="432"/>
      <c r="EGO122" s="432"/>
      <c r="EGP122" s="432"/>
      <c r="EGQ122" s="432"/>
      <c r="EGR122" s="432"/>
      <c r="EGS122" s="432"/>
      <c r="EGT122" s="432"/>
      <c r="EGU122" s="432"/>
      <c r="EGV122" s="432"/>
      <c r="EGW122" s="432"/>
      <c r="EGX122" s="432"/>
      <c r="EGY122" s="432"/>
      <c r="EGZ122" s="432"/>
      <c r="EHA122" s="432"/>
      <c r="EHB122" s="432"/>
      <c r="EHC122" s="432"/>
      <c r="EHD122" s="432"/>
      <c r="EHE122" s="432"/>
      <c r="EHF122" s="432"/>
      <c r="EHG122" s="432"/>
      <c r="EHH122" s="432"/>
      <c r="EHI122" s="432"/>
      <c r="EHJ122" s="432"/>
      <c r="EHK122" s="432"/>
      <c r="EHL122" s="432"/>
      <c r="EHM122" s="432"/>
      <c r="EHN122" s="432"/>
      <c r="EHO122" s="432"/>
      <c r="EHP122" s="432"/>
      <c r="EHQ122" s="432"/>
      <c r="EHR122" s="432"/>
      <c r="EHS122" s="432"/>
      <c r="EHT122" s="432"/>
      <c r="EHU122" s="432"/>
      <c r="EHV122" s="432"/>
      <c r="EHW122" s="432"/>
      <c r="EHX122" s="432"/>
      <c r="EHY122" s="432"/>
      <c r="EHZ122" s="432"/>
      <c r="EIA122" s="432"/>
      <c r="EIB122" s="432"/>
      <c r="EIC122" s="432"/>
      <c r="EID122" s="432"/>
      <c r="EIE122" s="432"/>
      <c r="EIF122" s="432"/>
      <c r="EIG122" s="432"/>
      <c r="EIH122" s="432"/>
      <c r="EII122" s="432"/>
      <c r="EIJ122" s="432"/>
      <c r="EIK122" s="432"/>
      <c r="EIL122" s="432"/>
      <c r="EIM122" s="432"/>
      <c r="EIN122" s="432"/>
      <c r="EIO122" s="432"/>
      <c r="EIP122" s="432"/>
      <c r="EIQ122" s="432"/>
      <c r="EIR122" s="432"/>
      <c r="EIS122" s="432"/>
      <c r="EIT122" s="432"/>
      <c r="EIU122" s="432"/>
      <c r="EIV122" s="432"/>
      <c r="EIW122" s="432"/>
      <c r="EIX122" s="432"/>
      <c r="EIY122" s="432"/>
      <c r="EIZ122" s="432"/>
      <c r="EJA122" s="432"/>
      <c r="EJB122" s="432"/>
      <c r="EJC122" s="432"/>
      <c r="EJD122" s="432"/>
      <c r="EJE122" s="432"/>
      <c r="EJF122" s="432"/>
      <c r="EJG122" s="432"/>
      <c r="EJH122" s="432"/>
      <c r="EJI122" s="432"/>
      <c r="EJJ122" s="432"/>
      <c r="EJK122" s="432"/>
      <c r="EJL122" s="432"/>
      <c r="EJM122" s="432"/>
      <c r="EJN122" s="432"/>
      <c r="EJO122" s="432"/>
      <c r="EJP122" s="432"/>
      <c r="EJQ122" s="432"/>
      <c r="EJR122" s="432"/>
      <c r="EJS122" s="432"/>
      <c r="EJT122" s="432"/>
      <c r="EJU122" s="432"/>
      <c r="EJV122" s="432"/>
      <c r="EJW122" s="432"/>
      <c r="EJX122" s="432"/>
      <c r="EJY122" s="432"/>
      <c r="EJZ122" s="432"/>
      <c r="EKA122" s="432"/>
      <c r="EKB122" s="432"/>
      <c r="EKC122" s="432"/>
      <c r="EKD122" s="432"/>
      <c r="EKE122" s="432"/>
      <c r="EKF122" s="432"/>
      <c r="EKG122" s="432"/>
      <c r="EKH122" s="432"/>
      <c r="EKI122" s="432"/>
      <c r="EKJ122" s="432"/>
      <c r="EKK122" s="432"/>
      <c r="EKL122" s="432"/>
      <c r="EKM122" s="432"/>
      <c r="EKN122" s="432"/>
      <c r="EKO122" s="432"/>
      <c r="EKP122" s="432"/>
      <c r="EKQ122" s="432"/>
      <c r="EKR122" s="432"/>
      <c r="EKS122" s="432"/>
      <c r="EKT122" s="432"/>
      <c r="EKU122" s="432"/>
      <c r="EKV122" s="432"/>
      <c r="EKW122" s="432"/>
      <c r="EKX122" s="432"/>
      <c r="EKY122" s="432"/>
      <c r="EKZ122" s="432"/>
      <c r="ELA122" s="432"/>
      <c r="ELB122" s="432"/>
      <c r="ELC122" s="432"/>
      <c r="ELD122" s="432"/>
      <c r="ELE122" s="432"/>
      <c r="ELF122" s="432"/>
      <c r="ELG122" s="432"/>
      <c r="ELH122" s="432"/>
      <c r="ELI122" s="432"/>
      <c r="ELJ122" s="432"/>
      <c r="ELK122" s="432"/>
      <c r="ELL122" s="432"/>
      <c r="ELM122" s="432"/>
      <c r="ELN122" s="432"/>
      <c r="ELO122" s="432"/>
      <c r="ELP122" s="432"/>
      <c r="ELQ122" s="432"/>
      <c r="ELR122" s="432"/>
      <c r="ELS122" s="432"/>
      <c r="ELT122" s="432"/>
      <c r="ELU122" s="432"/>
      <c r="ELV122" s="432"/>
      <c r="ELW122" s="432"/>
      <c r="ELX122" s="432"/>
      <c r="ELY122" s="432"/>
      <c r="ELZ122" s="432"/>
      <c r="EMA122" s="432"/>
      <c r="EMB122" s="432"/>
      <c r="EMC122" s="432"/>
      <c r="EMD122" s="432"/>
      <c r="EME122" s="432"/>
      <c r="EMF122" s="432"/>
      <c r="EMG122" s="432"/>
      <c r="EMH122" s="432"/>
      <c r="EMI122" s="432"/>
      <c r="EMJ122" s="432"/>
      <c r="EMK122" s="432"/>
      <c r="EML122" s="432"/>
      <c r="EMM122" s="432"/>
      <c r="EMN122" s="432"/>
      <c r="EMO122" s="432"/>
      <c r="EMP122" s="432"/>
      <c r="EMQ122" s="432"/>
      <c r="EMR122" s="432"/>
      <c r="EMS122" s="432"/>
      <c r="EMT122" s="432"/>
      <c r="EMU122" s="432"/>
      <c r="EMV122" s="432"/>
      <c r="EMW122" s="432"/>
      <c r="EMX122" s="432"/>
      <c r="EMY122" s="432"/>
      <c r="EMZ122" s="432"/>
      <c r="ENA122" s="432"/>
      <c r="ENB122" s="432"/>
      <c r="ENC122" s="432"/>
      <c r="END122" s="432"/>
      <c r="ENE122" s="432"/>
      <c r="ENF122" s="432"/>
      <c r="ENG122" s="432"/>
      <c r="ENH122" s="432"/>
      <c r="ENI122" s="432"/>
      <c r="ENJ122" s="432"/>
      <c r="ENK122" s="432"/>
      <c r="ENL122" s="432"/>
      <c r="ENM122" s="432"/>
      <c r="ENN122" s="432"/>
      <c r="ENO122" s="432"/>
      <c r="ENP122" s="432"/>
      <c r="ENQ122" s="432"/>
      <c r="ENR122" s="432"/>
      <c r="ENS122" s="432"/>
      <c r="ENT122" s="432"/>
      <c r="ENU122" s="432"/>
      <c r="ENV122" s="432"/>
      <c r="ENW122" s="432"/>
      <c r="ENX122" s="432"/>
      <c r="ENY122" s="432"/>
      <c r="ENZ122" s="432"/>
      <c r="EOA122" s="432"/>
      <c r="EOB122" s="432"/>
      <c r="EOC122" s="432"/>
      <c r="EOD122" s="432"/>
      <c r="EOE122" s="432"/>
      <c r="EOF122" s="432"/>
      <c r="EOG122" s="432"/>
      <c r="EOH122" s="432"/>
      <c r="EOI122" s="432"/>
      <c r="EOJ122" s="432"/>
      <c r="EOK122" s="432"/>
      <c r="EOL122" s="432"/>
      <c r="EOM122" s="432"/>
      <c r="EON122" s="432"/>
      <c r="EOO122" s="432"/>
      <c r="EOP122" s="432"/>
      <c r="EOQ122" s="432"/>
      <c r="EOR122" s="432"/>
      <c r="EOS122" s="432"/>
      <c r="EOT122" s="432"/>
      <c r="EOU122" s="432"/>
      <c r="EOV122" s="432"/>
      <c r="EOW122" s="432"/>
      <c r="EOX122" s="432"/>
      <c r="EOY122" s="432"/>
      <c r="EOZ122" s="432"/>
      <c r="EPA122" s="432"/>
      <c r="EPB122" s="432"/>
      <c r="EPC122" s="432"/>
      <c r="EPD122" s="432"/>
      <c r="EPE122" s="432"/>
      <c r="EPF122" s="432"/>
      <c r="EPG122" s="432"/>
      <c r="EPH122" s="432"/>
      <c r="EPI122" s="432"/>
      <c r="EPJ122" s="432"/>
      <c r="EPK122" s="432"/>
      <c r="EPL122" s="432"/>
      <c r="EPM122" s="432"/>
      <c r="EPN122" s="432"/>
      <c r="EPO122" s="432"/>
      <c r="EPP122" s="432"/>
      <c r="EPQ122" s="432"/>
      <c r="EPR122" s="432"/>
      <c r="EPS122" s="432"/>
      <c r="EPT122" s="432"/>
      <c r="EPU122" s="432"/>
      <c r="EPV122" s="432"/>
      <c r="EPW122" s="432"/>
      <c r="EPX122" s="432"/>
      <c r="EPY122" s="432"/>
      <c r="EPZ122" s="432"/>
      <c r="EQA122" s="432"/>
      <c r="EQB122" s="432"/>
      <c r="EQC122" s="432"/>
      <c r="EQD122" s="432"/>
      <c r="EQE122" s="432"/>
      <c r="EQF122" s="432"/>
      <c r="EQG122" s="432"/>
      <c r="EQH122" s="432"/>
      <c r="EQI122" s="432"/>
      <c r="EQJ122" s="432"/>
      <c r="EQK122" s="432"/>
      <c r="EQL122" s="432"/>
      <c r="EQM122" s="432"/>
      <c r="EQN122" s="432"/>
      <c r="EQO122" s="432"/>
      <c r="EQP122" s="432"/>
      <c r="EQQ122" s="432"/>
      <c r="EQR122" s="432"/>
      <c r="EQS122" s="432"/>
      <c r="EQT122" s="432"/>
      <c r="EQU122" s="432"/>
      <c r="EQV122" s="432"/>
      <c r="EQW122" s="432"/>
      <c r="EQX122" s="432"/>
      <c r="EQY122" s="432"/>
      <c r="EQZ122" s="432"/>
      <c r="ERA122" s="432"/>
      <c r="ERB122" s="432"/>
      <c r="ERC122" s="432"/>
      <c r="ERD122" s="432"/>
      <c r="ERE122" s="432"/>
      <c r="ERF122" s="432"/>
      <c r="ERG122" s="432"/>
      <c r="ERH122" s="432"/>
      <c r="ERI122" s="432"/>
      <c r="ERJ122" s="432"/>
      <c r="ERK122" s="432"/>
      <c r="ERL122" s="432"/>
      <c r="ERM122" s="432"/>
      <c r="ERN122" s="432"/>
      <c r="ERO122" s="432"/>
      <c r="ERP122" s="432"/>
      <c r="ERQ122" s="432"/>
      <c r="ERR122" s="432"/>
      <c r="ERS122" s="432"/>
      <c r="ERT122" s="432"/>
      <c r="ERU122" s="432"/>
      <c r="ERV122" s="432"/>
      <c r="ERW122" s="432"/>
      <c r="ERX122" s="432"/>
      <c r="ERY122" s="432"/>
      <c r="ERZ122" s="432"/>
      <c r="ESA122" s="432"/>
      <c r="ESB122" s="432"/>
      <c r="ESC122" s="432"/>
      <c r="ESD122" s="432"/>
      <c r="ESE122" s="432"/>
      <c r="ESF122" s="432"/>
      <c r="ESG122" s="432"/>
      <c r="ESH122" s="432"/>
      <c r="ESI122" s="432"/>
      <c r="ESJ122" s="432"/>
      <c r="ESK122" s="432"/>
      <c r="ESL122" s="432"/>
      <c r="ESM122" s="432"/>
      <c r="ESN122" s="432"/>
      <c r="ESO122" s="432"/>
      <c r="ESP122" s="432"/>
      <c r="ESQ122" s="432"/>
      <c r="ESR122" s="432"/>
      <c r="ESS122" s="432"/>
      <c r="EST122" s="432"/>
      <c r="ESU122" s="432"/>
      <c r="ESV122" s="432"/>
      <c r="ESW122" s="432"/>
      <c r="ESX122" s="432"/>
      <c r="ESY122" s="432"/>
      <c r="ESZ122" s="432"/>
      <c r="ETA122" s="432"/>
      <c r="ETB122" s="432"/>
      <c r="ETC122" s="432"/>
      <c r="ETD122" s="432"/>
      <c r="ETE122" s="432"/>
      <c r="ETF122" s="432"/>
      <c r="ETG122" s="432"/>
      <c r="ETH122" s="432"/>
      <c r="ETI122" s="432"/>
      <c r="ETJ122" s="432"/>
      <c r="ETK122" s="432"/>
      <c r="ETL122" s="432"/>
      <c r="ETM122" s="432"/>
      <c r="ETN122" s="432"/>
      <c r="ETO122" s="432"/>
      <c r="ETP122" s="432"/>
      <c r="ETQ122" s="432"/>
      <c r="ETR122" s="432"/>
      <c r="ETS122" s="432"/>
      <c r="ETT122" s="432"/>
      <c r="ETU122" s="432"/>
      <c r="ETV122" s="432"/>
      <c r="ETW122" s="432"/>
      <c r="ETX122" s="432"/>
      <c r="ETY122" s="432"/>
      <c r="ETZ122" s="432"/>
      <c r="EUA122" s="432"/>
      <c r="EUB122" s="432"/>
      <c r="EUC122" s="432"/>
      <c r="EUD122" s="432"/>
      <c r="EUE122" s="432"/>
      <c r="EUF122" s="432"/>
      <c r="EUG122" s="432"/>
      <c r="EUH122" s="432"/>
      <c r="EUI122" s="432"/>
      <c r="EUJ122" s="432"/>
      <c r="EUK122" s="432"/>
      <c r="EUL122" s="432"/>
      <c r="EUM122" s="432"/>
      <c r="EUN122" s="432"/>
      <c r="EUO122" s="432"/>
      <c r="EUP122" s="432"/>
      <c r="EUQ122" s="432"/>
      <c r="EUR122" s="432"/>
      <c r="EUS122" s="432"/>
      <c r="EUT122" s="432"/>
      <c r="EUU122" s="432"/>
      <c r="EUV122" s="432"/>
      <c r="EUW122" s="432"/>
      <c r="EUX122" s="432"/>
      <c r="EUY122" s="432"/>
      <c r="EUZ122" s="432"/>
      <c r="EVA122" s="432"/>
      <c r="EVB122" s="432"/>
      <c r="EVC122" s="432"/>
      <c r="EVD122" s="432"/>
      <c r="EVE122" s="432"/>
      <c r="EVF122" s="432"/>
      <c r="EVG122" s="432"/>
      <c r="EVH122" s="432"/>
      <c r="EVI122" s="432"/>
      <c r="EVJ122" s="432"/>
      <c r="EVK122" s="432"/>
      <c r="EVL122" s="432"/>
      <c r="EVM122" s="432"/>
      <c r="EVN122" s="432"/>
      <c r="EVO122" s="432"/>
      <c r="EVP122" s="432"/>
      <c r="EVQ122" s="432"/>
      <c r="EVR122" s="432"/>
      <c r="EVS122" s="432"/>
      <c r="EVT122" s="432"/>
      <c r="EVU122" s="432"/>
      <c r="EVV122" s="432"/>
      <c r="EVW122" s="432"/>
      <c r="EVX122" s="432"/>
      <c r="EVY122" s="432"/>
      <c r="EVZ122" s="432"/>
      <c r="EWA122" s="432"/>
      <c r="EWB122" s="432"/>
      <c r="EWC122" s="432"/>
      <c r="EWD122" s="432"/>
      <c r="EWE122" s="432"/>
      <c r="EWF122" s="432"/>
      <c r="EWG122" s="432"/>
      <c r="EWH122" s="432"/>
      <c r="EWI122" s="432"/>
      <c r="EWJ122" s="432"/>
      <c r="EWK122" s="432"/>
      <c r="EWL122" s="432"/>
      <c r="EWM122" s="432"/>
      <c r="EWN122" s="432"/>
      <c r="EWO122" s="432"/>
      <c r="EWP122" s="432"/>
      <c r="EWQ122" s="432"/>
      <c r="EWR122" s="432"/>
      <c r="EWS122" s="432"/>
      <c r="EWT122" s="432"/>
      <c r="EWU122" s="432"/>
      <c r="EWV122" s="432"/>
      <c r="EWW122" s="432"/>
      <c r="EWX122" s="432"/>
      <c r="EWY122" s="432"/>
      <c r="EWZ122" s="432"/>
      <c r="EXA122" s="432"/>
      <c r="EXB122" s="432"/>
      <c r="EXC122" s="432"/>
      <c r="EXD122" s="432"/>
      <c r="EXE122" s="432"/>
      <c r="EXF122" s="432"/>
      <c r="EXG122" s="432"/>
      <c r="EXH122" s="432"/>
      <c r="EXI122" s="432"/>
      <c r="EXJ122" s="432"/>
      <c r="EXK122" s="432"/>
      <c r="EXL122" s="432"/>
      <c r="EXM122" s="432"/>
      <c r="EXN122" s="432"/>
      <c r="EXO122" s="432"/>
      <c r="EXP122" s="432"/>
      <c r="EXQ122" s="432"/>
      <c r="EXR122" s="432"/>
      <c r="EXS122" s="432"/>
      <c r="EXT122" s="432"/>
      <c r="EXU122" s="432"/>
      <c r="EXV122" s="432"/>
      <c r="EXW122" s="432"/>
      <c r="EXX122" s="432"/>
      <c r="EXY122" s="432"/>
      <c r="EXZ122" s="432"/>
      <c r="EYA122" s="432"/>
      <c r="EYB122" s="432"/>
      <c r="EYC122" s="432"/>
      <c r="EYD122" s="432"/>
      <c r="EYE122" s="432"/>
      <c r="EYF122" s="432"/>
      <c r="EYG122" s="432"/>
      <c r="EYH122" s="432"/>
      <c r="EYI122" s="432"/>
      <c r="EYJ122" s="432"/>
      <c r="EYK122" s="432"/>
      <c r="EYL122" s="432"/>
      <c r="EYM122" s="432"/>
      <c r="EYN122" s="432"/>
      <c r="EYO122" s="432"/>
      <c r="EYP122" s="432"/>
      <c r="EYQ122" s="432"/>
      <c r="EYR122" s="432"/>
      <c r="EYS122" s="432"/>
      <c r="EYT122" s="432"/>
      <c r="EYU122" s="432"/>
      <c r="EYV122" s="432"/>
      <c r="EYW122" s="432"/>
      <c r="EYX122" s="432"/>
      <c r="EYY122" s="432"/>
      <c r="EYZ122" s="432"/>
      <c r="EZA122" s="432"/>
      <c r="EZB122" s="432"/>
      <c r="EZC122" s="432"/>
      <c r="EZD122" s="432"/>
      <c r="EZE122" s="432"/>
      <c r="EZF122" s="432"/>
      <c r="EZG122" s="432"/>
      <c r="EZH122" s="432"/>
      <c r="EZI122" s="432"/>
      <c r="EZJ122" s="432"/>
      <c r="EZK122" s="432"/>
      <c r="EZL122" s="432"/>
      <c r="EZM122" s="432"/>
      <c r="EZN122" s="432"/>
      <c r="EZO122" s="432"/>
      <c r="EZP122" s="432"/>
      <c r="EZQ122" s="432"/>
      <c r="EZR122" s="432"/>
      <c r="EZS122" s="432"/>
      <c r="EZT122" s="432"/>
      <c r="EZU122" s="432"/>
      <c r="EZV122" s="432"/>
      <c r="EZW122" s="432"/>
      <c r="EZX122" s="432"/>
      <c r="EZY122" s="432"/>
      <c r="EZZ122" s="432"/>
      <c r="FAA122" s="432"/>
      <c r="FAB122" s="432"/>
      <c r="FAC122" s="432"/>
      <c r="FAD122" s="432"/>
      <c r="FAE122" s="432"/>
      <c r="FAF122" s="432"/>
      <c r="FAG122" s="432"/>
      <c r="FAH122" s="432"/>
      <c r="FAI122" s="432"/>
      <c r="FAJ122" s="432"/>
      <c r="FAK122" s="432"/>
      <c r="FAL122" s="432"/>
      <c r="FAM122" s="432"/>
      <c r="FAN122" s="432"/>
      <c r="FAO122" s="432"/>
      <c r="FAP122" s="432"/>
      <c r="FAQ122" s="432"/>
      <c r="FAR122" s="432"/>
      <c r="FAS122" s="432"/>
      <c r="FAT122" s="432"/>
      <c r="FAU122" s="432"/>
      <c r="FAV122" s="432"/>
      <c r="FAW122" s="432"/>
      <c r="FAX122" s="432"/>
      <c r="FAY122" s="432"/>
      <c r="FAZ122" s="432"/>
      <c r="FBA122" s="432"/>
      <c r="FBB122" s="432"/>
      <c r="FBC122" s="432"/>
      <c r="FBD122" s="432"/>
      <c r="FBE122" s="432"/>
      <c r="FBF122" s="432"/>
      <c r="FBG122" s="432"/>
      <c r="FBH122" s="432"/>
      <c r="FBI122" s="432"/>
      <c r="FBJ122" s="432"/>
      <c r="FBK122" s="432"/>
      <c r="FBL122" s="432"/>
      <c r="FBM122" s="432"/>
      <c r="FBN122" s="432"/>
      <c r="FBO122" s="432"/>
      <c r="FBP122" s="432"/>
      <c r="FBQ122" s="432"/>
      <c r="FBR122" s="432"/>
      <c r="FBS122" s="432"/>
      <c r="FBT122" s="432"/>
      <c r="FBU122" s="432"/>
      <c r="FBV122" s="432"/>
      <c r="FBW122" s="432"/>
      <c r="FBX122" s="432"/>
      <c r="FBY122" s="432"/>
      <c r="FBZ122" s="432"/>
      <c r="FCA122" s="432"/>
      <c r="FCB122" s="432"/>
      <c r="FCC122" s="432"/>
      <c r="FCD122" s="432"/>
      <c r="FCE122" s="432"/>
      <c r="FCF122" s="432"/>
      <c r="FCG122" s="432"/>
      <c r="FCH122" s="432"/>
      <c r="FCI122" s="432"/>
      <c r="FCJ122" s="432"/>
      <c r="FCK122" s="432"/>
      <c r="FCL122" s="432"/>
      <c r="FCM122" s="432"/>
      <c r="FCN122" s="432"/>
      <c r="FCO122" s="432"/>
      <c r="FCP122" s="432"/>
      <c r="FCQ122" s="432"/>
      <c r="FCR122" s="432"/>
      <c r="FCS122" s="432"/>
      <c r="FCT122" s="432"/>
      <c r="FCU122" s="432"/>
      <c r="FCV122" s="432"/>
      <c r="FCW122" s="432"/>
      <c r="FCX122" s="432"/>
      <c r="FCY122" s="432"/>
      <c r="FCZ122" s="432"/>
      <c r="FDA122" s="432"/>
      <c r="FDB122" s="432"/>
      <c r="FDC122" s="432"/>
      <c r="FDD122" s="432"/>
      <c r="FDE122" s="432"/>
      <c r="FDF122" s="432"/>
      <c r="FDG122" s="432"/>
      <c r="FDH122" s="432"/>
      <c r="FDI122" s="432"/>
      <c r="FDJ122" s="432"/>
      <c r="FDK122" s="432"/>
      <c r="FDL122" s="432"/>
      <c r="FDM122" s="432"/>
      <c r="FDN122" s="432"/>
      <c r="FDO122" s="432"/>
      <c r="FDP122" s="432"/>
      <c r="FDQ122" s="432"/>
      <c r="FDR122" s="432"/>
      <c r="FDS122" s="432"/>
      <c r="FDT122" s="432"/>
      <c r="FDU122" s="432"/>
      <c r="FDV122" s="432"/>
      <c r="FDW122" s="432"/>
      <c r="FDX122" s="432"/>
      <c r="FDY122" s="432"/>
      <c r="FDZ122" s="432"/>
      <c r="FEA122" s="432"/>
      <c r="FEB122" s="432"/>
      <c r="FEC122" s="432"/>
      <c r="FED122" s="432"/>
      <c r="FEE122" s="432"/>
      <c r="FEF122" s="432"/>
      <c r="FEG122" s="432"/>
      <c r="FEH122" s="432"/>
      <c r="FEI122" s="432"/>
      <c r="FEJ122" s="432"/>
      <c r="FEK122" s="432"/>
      <c r="FEL122" s="432"/>
      <c r="FEM122" s="432"/>
      <c r="FEN122" s="432"/>
      <c r="FEO122" s="432"/>
      <c r="FEP122" s="432"/>
      <c r="FEQ122" s="432"/>
      <c r="FER122" s="432"/>
      <c r="FES122" s="432"/>
      <c r="FET122" s="432"/>
      <c r="FEU122" s="432"/>
      <c r="FEV122" s="432"/>
      <c r="FEW122" s="432"/>
      <c r="FEX122" s="432"/>
      <c r="FEY122" s="432"/>
      <c r="FEZ122" s="432"/>
      <c r="FFA122" s="432"/>
      <c r="FFB122" s="432"/>
      <c r="FFC122" s="432"/>
      <c r="FFD122" s="432"/>
      <c r="FFE122" s="432"/>
      <c r="FFF122" s="432"/>
      <c r="FFG122" s="432"/>
      <c r="FFH122" s="432"/>
      <c r="FFI122" s="432"/>
      <c r="FFJ122" s="432"/>
      <c r="FFK122" s="432"/>
      <c r="FFL122" s="432"/>
      <c r="FFM122" s="432"/>
      <c r="FFN122" s="432"/>
      <c r="FFO122" s="432"/>
      <c r="FFP122" s="432"/>
      <c r="FFQ122" s="432"/>
      <c r="FFR122" s="432"/>
      <c r="FFS122" s="432"/>
      <c r="FFT122" s="432"/>
      <c r="FFU122" s="432"/>
      <c r="FFV122" s="432"/>
      <c r="FFW122" s="432"/>
      <c r="FFX122" s="432"/>
      <c r="FFY122" s="432"/>
      <c r="FFZ122" s="432"/>
      <c r="FGA122" s="432"/>
      <c r="FGB122" s="432"/>
      <c r="FGC122" s="432"/>
      <c r="FGD122" s="432"/>
      <c r="FGE122" s="432"/>
      <c r="FGF122" s="432"/>
      <c r="FGG122" s="432"/>
      <c r="FGH122" s="432"/>
      <c r="FGI122" s="432"/>
      <c r="FGJ122" s="432"/>
      <c r="FGK122" s="432"/>
      <c r="FGL122" s="432"/>
      <c r="FGM122" s="432"/>
      <c r="FGN122" s="432"/>
      <c r="FGO122" s="432"/>
      <c r="FGP122" s="432"/>
      <c r="FGQ122" s="432"/>
      <c r="FGR122" s="432"/>
      <c r="FGS122" s="432"/>
      <c r="FGT122" s="432"/>
      <c r="FGU122" s="432"/>
      <c r="FGV122" s="432"/>
      <c r="FGW122" s="432"/>
      <c r="FGX122" s="432"/>
      <c r="FGY122" s="432"/>
      <c r="FGZ122" s="432"/>
      <c r="FHA122" s="432"/>
      <c r="FHB122" s="432"/>
      <c r="FHC122" s="432"/>
      <c r="FHD122" s="432"/>
      <c r="FHE122" s="432"/>
      <c r="FHF122" s="432"/>
      <c r="FHG122" s="432"/>
      <c r="FHH122" s="432"/>
      <c r="FHI122" s="432"/>
      <c r="FHJ122" s="432"/>
      <c r="FHK122" s="432"/>
      <c r="FHL122" s="432"/>
      <c r="FHM122" s="432"/>
      <c r="FHN122" s="432"/>
      <c r="FHO122" s="432"/>
      <c r="FHP122" s="432"/>
      <c r="FHQ122" s="432"/>
      <c r="FHR122" s="432"/>
      <c r="FHS122" s="432"/>
      <c r="FHT122" s="432"/>
      <c r="FHU122" s="432"/>
      <c r="FHV122" s="432"/>
      <c r="FHW122" s="432"/>
      <c r="FHX122" s="432"/>
      <c r="FHY122" s="432"/>
      <c r="FHZ122" s="432"/>
      <c r="FIA122" s="432"/>
      <c r="FIB122" s="432"/>
      <c r="FIC122" s="432"/>
      <c r="FID122" s="432"/>
      <c r="FIE122" s="432"/>
      <c r="FIF122" s="432"/>
      <c r="FIG122" s="432"/>
      <c r="FIH122" s="432"/>
      <c r="FII122" s="432"/>
      <c r="FIJ122" s="432"/>
      <c r="FIK122" s="432"/>
      <c r="FIL122" s="432"/>
      <c r="FIM122" s="432"/>
      <c r="FIN122" s="432"/>
      <c r="FIO122" s="432"/>
      <c r="FIP122" s="432"/>
      <c r="FIQ122" s="432"/>
      <c r="FIR122" s="432"/>
      <c r="FIS122" s="432"/>
      <c r="FIT122" s="432"/>
      <c r="FIU122" s="432"/>
      <c r="FIV122" s="432"/>
      <c r="FIW122" s="432"/>
      <c r="FIX122" s="432"/>
      <c r="FIY122" s="432"/>
      <c r="FIZ122" s="432"/>
      <c r="FJA122" s="432"/>
      <c r="FJB122" s="432"/>
      <c r="FJC122" s="432"/>
      <c r="FJD122" s="432"/>
      <c r="FJE122" s="432"/>
      <c r="FJF122" s="432"/>
      <c r="FJG122" s="432"/>
      <c r="FJH122" s="432"/>
      <c r="FJI122" s="432"/>
      <c r="FJJ122" s="432"/>
      <c r="FJK122" s="432"/>
      <c r="FJL122" s="432"/>
      <c r="FJM122" s="432"/>
      <c r="FJN122" s="432"/>
      <c r="FJO122" s="432"/>
      <c r="FJP122" s="432"/>
      <c r="FJQ122" s="432"/>
      <c r="FJR122" s="432"/>
      <c r="FJS122" s="432"/>
      <c r="FJT122" s="432"/>
      <c r="FJU122" s="432"/>
      <c r="FJV122" s="432"/>
      <c r="FJW122" s="432"/>
      <c r="FJX122" s="432"/>
      <c r="FJY122" s="432"/>
      <c r="FJZ122" s="432"/>
      <c r="FKA122" s="432"/>
      <c r="FKB122" s="432"/>
      <c r="FKC122" s="432"/>
      <c r="FKD122" s="432"/>
      <c r="FKE122" s="432"/>
      <c r="FKF122" s="432"/>
      <c r="FKG122" s="432"/>
      <c r="FKH122" s="432"/>
      <c r="FKI122" s="432"/>
      <c r="FKJ122" s="432"/>
      <c r="FKK122" s="432"/>
      <c r="FKL122" s="432"/>
      <c r="FKM122" s="432"/>
      <c r="FKN122" s="432"/>
      <c r="FKO122" s="432"/>
      <c r="FKP122" s="432"/>
      <c r="FKQ122" s="432"/>
      <c r="FKR122" s="432"/>
      <c r="FKS122" s="432"/>
      <c r="FKT122" s="432"/>
      <c r="FKU122" s="432"/>
      <c r="FKV122" s="432"/>
      <c r="FKW122" s="432"/>
      <c r="FKX122" s="432"/>
      <c r="FKY122" s="432"/>
      <c r="FKZ122" s="432"/>
      <c r="FLA122" s="432"/>
      <c r="FLB122" s="432"/>
      <c r="FLC122" s="432"/>
      <c r="FLD122" s="432"/>
      <c r="FLE122" s="432"/>
      <c r="FLF122" s="432"/>
      <c r="FLG122" s="432"/>
      <c r="FLH122" s="432"/>
      <c r="FLI122" s="432"/>
      <c r="FLJ122" s="432"/>
      <c r="FLK122" s="432"/>
      <c r="FLL122" s="432"/>
      <c r="FLM122" s="432"/>
      <c r="FLN122" s="432"/>
      <c r="FLO122" s="432"/>
      <c r="FLP122" s="432"/>
      <c r="FLQ122" s="432"/>
      <c r="FLR122" s="432"/>
      <c r="FLS122" s="432"/>
      <c r="FLT122" s="432"/>
      <c r="FLU122" s="432"/>
      <c r="FLV122" s="432"/>
      <c r="FLW122" s="432"/>
      <c r="FLX122" s="432"/>
      <c r="FLY122" s="432"/>
      <c r="FLZ122" s="432"/>
      <c r="FMA122" s="432"/>
      <c r="FMB122" s="432"/>
      <c r="FMC122" s="432"/>
      <c r="FMD122" s="432"/>
      <c r="FME122" s="432"/>
      <c r="FMF122" s="432"/>
      <c r="FMG122" s="432"/>
      <c r="FMH122" s="432"/>
      <c r="FMI122" s="432"/>
      <c r="FMJ122" s="432"/>
      <c r="FMK122" s="432"/>
      <c r="FML122" s="432"/>
      <c r="FMM122" s="432"/>
      <c r="FMN122" s="432"/>
      <c r="FMO122" s="432"/>
      <c r="FMP122" s="432"/>
      <c r="FMQ122" s="432"/>
      <c r="FMR122" s="432"/>
      <c r="FMS122" s="432"/>
      <c r="FMT122" s="432"/>
      <c r="FMU122" s="432"/>
      <c r="FMV122" s="432"/>
      <c r="FMW122" s="432"/>
      <c r="FMX122" s="432"/>
      <c r="FMY122" s="432"/>
      <c r="FMZ122" s="432"/>
      <c r="FNA122" s="432"/>
      <c r="FNB122" s="432"/>
      <c r="FNC122" s="432"/>
      <c r="FND122" s="432"/>
      <c r="FNE122" s="432"/>
      <c r="FNF122" s="432"/>
      <c r="FNG122" s="432"/>
      <c r="FNH122" s="432"/>
      <c r="FNI122" s="432"/>
      <c r="FNJ122" s="432"/>
      <c r="FNK122" s="432"/>
      <c r="FNL122" s="432"/>
      <c r="FNM122" s="432"/>
      <c r="FNN122" s="432"/>
      <c r="FNO122" s="432"/>
      <c r="FNP122" s="432"/>
      <c r="FNQ122" s="432"/>
      <c r="FNR122" s="432"/>
      <c r="FNS122" s="432"/>
      <c r="FNT122" s="432"/>
      <c r="FNU122" s="432"/>
      <c r="FNV122" s="432"/>
      <c r="FNW122" s="432"/>
      <c r="FNX122" s="432"/>
      <c r="FNY122" s="432"/>
      <c r="FNZ122" s="432"/>
      <c r="FOA122" s="432"/>
      <c r="FOB122" s="432"/>
      <c r="FOC122" s="432"/>
      <c r="FOD122" s="432"/>
      <c r="FOE122" s="432"/>
      <c r="FOF122" s="432"/>
      <c r="FOG122" s="432"/>
      <c r="FOH122" s="432"/>
      <c r="FOI122" s="432"/>
      <c r="FOJ122" s="432"/>
      <c r="FOK122" s="432"/>
      <c r="FOL122" s="432"/>
      <c r="FOM122" s="432"/>
      <c r="FON122" s="432"/>
      <c r="FOO122" s="432"/>
      <c r="FOP122" s="432"/>
      <c r="FOQ122" s="432"/>
      <c r="FOR122" s="432"/>
      <c r="FOS122" s="432"/>
      <c r="FOT122" s="432"/>
      <c r="FOU122" s="432"/>
      <c r="FOV122" s="432"/>
      <c r="FOW122" s="432"/>
      <c r="FOX122" s="432"/>
      <c r="FOY122" s="432"/>
      <c r="FOZ122" s="432"/>
      <c r="FPA122" s="432"/>
      <c r="FPB122" s="432"/>
      <c r="FPC122" s="432"/>
      <c r="FPD122" s="432"/>
      <c r="FPE122" s="432"/>
      <c r="FPF122" s="432"/>
      <c r="FPG122" s="432"/>
      <c r="FPH122" s="432"/>
      <c r="FPI122" s="432"/>
      <c r="FPJ122" s="432"/>
      <c r="FPK122" s="432"/>
      <c r="FPL122" s="432"/>
      <c r="FPM122" s="432"/>
      <c r="FPN122" s="432"/>
      <c r="FPO122" s="432"/>
      <c r="FPP122" s="432"/>
      <c r="FPQ122" s="432"/>
      <c r="FPR122" s="432"/>
      <c r="FPS122" s="432"/>
      <c r="FPT122" s="432"/>
      <c r="FPU122" s="432"/>
      <c r="FPV122" s="432"/>
      <c r="FPW122" s="432"/>
      <c r="FPX122" s="432"/>
      <c r="FPY122" s="432"/>
      <c r="FPZ122" s="432"/>
      <c r="FQA122" s="432"/>
      <c r="FQB122" s="432"/>
      <c r="FQC122" s="432"/>
      <c r="FQD122" s="432"/>
      <c r="FQE122" s="432"/>
      <c r="FQF122" s="432"/>
      <c r="FQG122" s="432"/>
      <c r="FQH122" s="432"/>
      <c r="FQI122" s="432"/>
      <c r="FQJ122" s="432"/>
      <c r="FQK122" s="432"/>
      <c r="FQL122" s="432"/>
      <c r="FQM122" s="432"/>
      <c r="FQN122" s="432"/>
      <c r="FQO122" s="432"/>
      <c r="FQP122" s="432"/>
      <c r="FQQ122" s="432"/>
      <c r="FQR122" s="432"/>
      <c r="FQS122" s="432"/>
      <c r="FQT122" s="432"/>
      <c r="FQU122" s="432"/>
      <c r="FQV122" s="432"/>
      <c r="FQW122" s="432"/>
      <c r="FQX122" s="432"/>
      <c r="FQY122" s="432"/>
      <c r="FQZ122" s="432"/>
      <c r="FRA122" s="432"/>
      <c r="FRB122" s="432"/>
      <c r="FRC122" s="432"/>
      <c r="FRD122" s="432"/>
      <c r="FRE122" s="432"/>
      <c r="FRF122" s="432"/>
      <c r="FRG122" s="432"/>
      <c r="FRH122" s="432"/>
      <c r="FRI122" s="432"/>
      <c r="FRJ122" s="432"/>
      <c r="FRK122" s="432"/>
      <c r="FRL122" s="432"/>
      <c r="FRM122" s="432"/>
      <c r="FRN122" s="432"/>
      <c r="FRO122" s="432"/>
      <c r="FRP122" s="432"/>
      <c r="FRQ122" s="432"/>
      <c r="FRR122" s="432"/>
      <c r="FRS122" s="432"/>
      <c r="FRT122" s="432"/>
      <c r="FRU122" s="432"/>
      <c r="FRV122" s="432"/>
      <c r="FRW122" s="432"/>
      <c r="FRX122" s="432"/>
      <c r="FRY122" s="432"/>
      <c r="FRZ122" s="432"/>
      <c r="FSA122" s="432"/>
      <c r="FSB122" s="432"/>
      <c r="FSC122" s="432"/>
      <c r="FSD122" s="432"/>
      <c r="FSE122" s="432"/>
      <c r="FSF122" s="432"/>
      <c r="FSG122" s="432"/>
      <c r="FSH122" s="432"/>
      <c r="FSI122" s="432"/>
      <c r="FSJ122" s="432"/>
      <c r="FSK122" s="432"/>
      <c r="FSL122" s="432"/>
      <c r="FSM122" s="432"/>
      <c r="FSN122" s="432"/>
      <c r="FSO122" s="432"/>
      <c r="FSP122" s="432"/>
      <c r="FSQ122" s="432"/>
      <c r="FSR122" s="432"/>
      <c r="FSS122" s="432"/>
      <c r="FST122" s="432"/>
      <c r="FSU122" s="432"/>
      <c r="FSV122" s="432"/>
      <c r="FSW122" s="432"/>
      <c r="FSX122" s="432"/>
      <c r="FSY122" s="432"/>
      <c r="FSZ122" s="432"/>
      <c r="FTA122" s="432"/>
      <c r="FTB122" s="432"/>
      <c r="FTC122" s="432"/>
      <c r="FTD122" s="432"/>
      <c r="FTE122" s="432"/>
      <c r="FTF122" s="432"/>
      <c r="FTG122" s="432"/>
      <c r="FTH122" s="432"/>
      <c r="FTI122" s="432"/>
      <c r="FTJ122" s="432"/>
      <c r="FTK122" s="432"/>
      <c r="FTL122" s="432"/>
      <c r="FTM122" s="432"/>
      <c r="FTN122" s="432"/>
      <c r="FTO122" s="432"/>
      <c r="FTP122" s="432"/>
      <c r="FTQ122" s="432"/>
      <c r="FTR122" s="432"/>
      <c r="FTS122" s="432"/>
      <c r="FTT122" s="432"/>
      <c r="FTU122" s="432"/>
      <c r="FTV122" s="432"/>
      <c r="FTW122" s="432"/>
      <c r="FTX122" s="432"/>
      <c r="FTY122" s="432"/>
      <c r="FTZ122" s="432"/>
      <c r="FUA122" s="432"/>
      <c r="FUB122" s="432"/>
      <c r="FUC122" s="432"/>
      <c r="FUD122" s="432"/>
      <c r="FUE122" s="432"/>
      <c r="FUF122" s="432"/>
      <c r="FUG122" s="432"/>
      <c r="FUH122" s="432"/>
      <c r="FUI122" s="432"/>
      <c r="FUJ122" s="432"/>
      <c r="FUK122" s="432"/>
      <c r="FUL122" s="432"/>
      <c r="FUM122" s="432"/>
      <c r="FUN122" s="432"/>
      <c r="FUO122" s="432"/>
      <c r="FUP122" s="432"/>
      <c r="FUQ122" s="432"/>
      <c r="FUR122" s="432"/>
      <c r="FUS122" s="432"/>
      <c r="FUT122" s="432"/>
      <c r="FUU122" s="432"/>
      <c r="FUV122" s="432"/>
      <c r="FUW122" s="432"/>
      <c r="FUX122" s="432"/>
      <c r="FUY122" s="432"/>
      <c r="FUZ122" s="432"/>
      <c r="FVA122" s="432"/>
      <c r="FVB122" s="432"/>
      <c r="FVC122" s="432"/>
      <c r="FVD122" s="432"/>
      <c r="FVE122" s="432"/>
      <c r="FVF122" s="432"/>
      <c r="FVG122" s="432"/>
      <c r="FVH122" s="432"/>
      <c r="FVI122" s="432"/>
      <c r="FVJ122" s="432"/>
      <c r="FVK122" s="432"/>
      <c r="FVL122" s="432"/>
      <c r="FVM122" s="432"/>
      <c r="FVN122" s="432"/>
      <c r="FVO122" s="432"/>
      <c r="FVP122" s="432"/>
      <c r="FVQ122" s="432"/>
      <c r="FVR122" s="432"/>
      <c r="FVS122" s="432"/>
      <c r="FVT122" s="432"/>
      <c r="FVU122" s="432"/>
      <c r="FVV122" s="432"/>
      <c r="FVW122" s="432"/>
      <c r="FVX122" s="432"/>
      <c r="FVY122" s="432"/>
      <c r="FVZ122" s="432"/>
      <c r="FWA122" s="432"/>
      <c r="FWB122" s="432"/>
      <c r="FWC122" s="432"/>
      <c r="FWD122" s="432"/>
      <c r="FWE122" s="432"/>
      <c r="FWF122" s="432"/>
      <c r="FWG122" s="432"/>
      <c r="FWH122" s="432"/>
      <c r="FWI122" s="432"/>
      <c r="FWJ122" s="432"/>
      <c r="FWK122" s="432"/>
      <c r="FWL122" s="432"/>
      <c r="FWM122" s="432"/>
      <c r="FWN122" s="432"/>
      <c r="FWO122" s="432"/>
      <c r="FWP122" s="432"/>
      <c r="FWQ122" s="432"/>
      <c r="FWR122" s="432"/>
      <c r="FWS122" s="432"/>
      <c r="FWT122" s="432"/>
      <c r="FWU122" s="432"/>
      <c r="FWV122" s="432"/>
      <c r="FWW122" s="432"/>
      <c r="FWX122" s="432"/>
      <c r="FWY122" s="432"/>
      <c r="FWZ122" s="432"/>
      <c r="FXA122" s="432"/>
      <c r="FXB122" s="432"/>
      <c r="FXC122" s="432"/>
      <c r="FXD122" s="432"/>
      <c r="FXE122" s="432"/>
      <c r="FXF122" s="432"/>
      <c r="FXG122" s="432"/>
      <c r="FXH122" s="432"/>
      <c r="FXI122" s="432"/>
      <c r="FXJ122" s="432"/>
      <c r="FXK122" s="432"/>
      <c r="FXL122" s="432"/>
      <c r="FXM122" s="432"/>
      <c r="FXN122" s="432"/>
      <c r="FXO122" s="432"/>
      <c r="FXP122" s="432"/>
      <c r="FXQ122" s="432"/>
      <c r="FXR122" s="432"/>
      <c r="FXS122" s="432"/>
      <c r="FXT122" s="432"/>
      <c r="FXU122" s="432"/>
      <c r="FXV122" s="432"/>
      <c r="FXW122" s="432"/>
      <c r="FXX122" s="432"/>
      <c r="FXY122" s="432"/>
      <c r="FXZ122" s="432"/>
      <c r="FYA122" s="432"/>
      <c r="FYB122" s="432"/>
      <c r="FYC122" s="432"/>
      <c r="FYD122" s="432"/>
      <c r="FYE122" s="432"/>
      <c r="FYF122" s="432"/>
      <c r="FYG122" s="432"/>
      <c r="FYH122" s="432"/>
      <c r="FYI122" s="432"/>
      <c r="FYJ122" s="432"/>
      <c r="FYK122" s="432"/>
      <c r="FYL122" s="432"/>
      <c r="FYM122" s="432"/>
      <c r="FYN122" s="432"/>
      <c r="FYO122" s="432"/>
      <c r="FYP122" s="432"/>
      <c r="FYQ122" s="432"/>
      <c r="FYR122" s="432"/>
      <c r="FYS122" s="432"/>
      <c r="FYT122" s="432"/>
      <c r="FYU122" s="432"/>
      <c r="FYV122" s="432"/>
      <c r="FYW122" s="432"/>
      <c r="FYX122" s="432"/>
      <c r="FYY122" s="432"/>
      <c r="FYZ122" s="432"/>
      <c r="FZA122" s="432"/>
      <c r="FZB122" s="432"/>
      <c r="FZC122" s="432"/>
      <c r="FZD122" s="432"/>
      <c r="FZE122" s="432"/>
      <c r="FZF122" s="432"/>
      <c r="FZG122" s="432"/>
      <c r="FZH122" s="432"/>
      <c r="FZI122" s="432"/>
      <c r="FZJ122" s="432"/>
      <c r="FZK122" s="432"/>
      <c r="FZL122" s="432"/>
      <c r="FZM122" s="432"/>
      <c r="FZN122" s="432"/>
      <c r="FZO122" s="432"/>
      <c r="FZP122" s="432"/>
      <c r="FZQ122" s="432"/>
      <c r="FZR122" s="432"/>
      <c r="FZS122" s="432"/>
      <c r="FZT122" s="432"/>
      <c r="FZU122" s="432"/>
      <c r="FZV122" s="432"/>
      <c r="FZW122" s="432"/>
      <c r="FZX122" s="432"/>
      <c r="FZY122" s="432"/>
      <c r="FZZ122" s="432"/>
      <c r="GAA122" s="432"/>
      <c r="GAB122" s="432"/>
      <c r="GAC122" s="432"/>
      <c r="GAD122" s="432"/>
      <c r="GAE122" s="432"/>
      <c r="GAF122" s="432"/>
      <c r="GAG122" s="432"/>
      <c r="GAH122" s="432"/>
      <c r="GAI122" s="432"/>
      <c r="GAJ122" s="432"/>
      <c r="GAK122" s="432"/>
      <c r="GAL122" s="432"/>
      <c r="GAM122" s="432"/>
      <c r="GAN122" s="432"/>
      <c r="GAO122" s="432"/>
      <c r="GAP122" s="432"/>
      <c r="GAQ122" s="432"/>
      <c r="GAR122" s="432"/>
      <c r="GAS122" s="432"/>
      <c r="GAT122" s="432"/>
      <c r="GAU122" s="432"/>
      <c r="GAV122" s="432"/>
      <c r="GAW122" s="432"/>
      <c r="GAX122" s="432"/>
      <c r="GAY122" s="432"/>
      <c r="GAZ122" s="432"/>
      <c r="GBA122" s="432"/>
      <c r="GBB122" s="432"/>
      <c r="GBC122" s="432"/>
      <c r="GBD122" s="432"/>
      <c r="GBE122" s="432"/>
      <c r="GBF122" s="432"/>
      <c r="GBG122" s="432"/>
      <c r="GBH122" s="432"/>
      <c r="GBI122" s="432"/>
      <c r="GBJ122" s="432"/>
      <c r="GBK122" s="432"/>
      <c r="GBL122" s="432"/>
      <c r="GBM122" s="432"/>
      <c r="GBN122" s="432"/>
      <c r="GBO122" s="432"/>
      <c r="GBP122" s="432"/>
      <c r="GBQ122" s="432"/>
      <c r="GBR122" s="432"/>
      <c r="GBS122" s="432"/>
      <c r="GBT122" s="432"/>
      <c r="GBU122" s="432"/>
      <c r="GBV122" s="432"/>
      <c r="GBW122" s="432"/>
      <c r="GBX122" s="432"/>
      <c r="GBY122" s="432"/>
      <c r="GBZ122" s="432"/>
      <c r="GCA122" s="432"/>
      <c r="GCB122" s="432"/>
      <c r="GCC122" s="432"/>
      <c r="GCD122" s="432"/>
      <c r="GCE122" s="432"/>
      <c r="GCF122" s="432"/>
      <c r="GCG122" s="432"/>
      <c r="GCH122" s="432"/>
      <c r="GCI122" s="432"/>
      <c r="GCJ122" s="432"/>
      <c r="GCK122" s="432"/>
      <c r="GCL122" s="432"/>
      <c r="GCM122" s="432"/>
      <c r="GCN122" s="432"/>
      <c r="GCO122" s="432"/>
      <c r="GCP122" s="432"/>
      <c r="GCQ122" s="432"/>
      <c r="GCR122" s="432"/>
      <c r="GCS122" s="432"/>
      <c r="GCT122" s="432"/>
      <c r="GCU122" s="432"/>
      <c r="GCV122" s="432"/>
      <c r="GCW122" s="432"/>
      <c r="GCX122" s="432"/>
      <c r="GCY122" s="432"/>
      <c r="GCZ122" s="432"/>
      <c r="GDA122" s="432"/>
      <c r="GDB122" s="432"/>
      <c r="GDC122" s="432"/>
      <c r="GDD122" s="432"/>
      <c r="GDE122" s="432"/>
      <c r="GDF122" s="432"/>
      <c r="GDG122" s="432"/>
      <c r="GDH122" s="432"/>
      <c r="GDI122" s="432"/>
      <c r="GDJ122" s="432"/>
      <c r="GDK122" s="432"/>
      <c r="GDL122" s="432"/>
      <c r="GDM122" s="432"/>
      <c r="GDN122" s="432"/>
      <c r="GDO122" s="432"/>
      <c r="GDP122" s="432"/>
      <c r="GDQ122" s="432"/>
      <c r="GDR122" s="432"/>
      <c r="GDS122" s="432"/>
      <c r="GDT122" s="432"/>
      <c r="GDU122" s="432"/>
      <c r="GDV122" s="432"/>
      <c r="GDW122" s="432"/>
      <c r="GDX122" s="432"/>
      <c r="GDY122" s="432"/>
      <c r="GDZ122" s="432"/>
      <c r="GEA122" s="432"/>
      <c r="GEB122" s="432"/>
      <c r="GEC122" s="432"/>
      <c r="GED122" s="432"/>
      <c r="GEE122" s="432"/>
      <c r="GEF122" s="432"/>
      <c r="GEG122" s="432"/>
      <c r="GEH122" s="432"/>
      <c r="GEI122" s="432"/>
      <c r="GEJ122" s="432"/>
      <c r="GEK122" s="432"/>
      <c r="GEL122" s="432"/>
      <c r="GEM122" s="432"/>
      <c r="GEN122" s="432"/>
      <c r="GEO122" s="432"/>
      <c r="GEP122" s="432"/>
      <c r="GEQ122" s="432"/>
      <c r="GER122" s="432"/>
      <c r="GES122" s="432"/>
      <c r="GET122" s="432"/>
      <c r="GEU122" s="432"/>
      <c r="GEV122" s="432"/>
      <c r="GEW122" s="432"/>
      <c r="GEX122" s="432"/>
      <c r="GEY122" s="432"/>
      <c r="GEZ122" s="432"/>
      <c r="GFA122" s="432"/>
      <c r="GFB122" s="432"/>
      <c r="GFC122" s="432"/>
      <c r="GFD122" s="432"/>
      <c r="GFE122" s="432"/>
      <c r="GFF122" s="432"/>
      <c r="GFG122" s="432"/>
      <c r="GFH122" s="432"/>
      <c r="GFI122" s="432"/>
      <c r="GFJ122" s="432"/>
      <c r="GFK122" s="432"/>
      <c r="GFL122" s="432"/>
      <c r="GFM122" s="432"/>
      <c r="GFN122" s="432"/>
      <c r="GFO122" s="432"/>
      <c r="GFP122" s="432"/>
      <c r="GFQ122" s="432"/>
      <c r="GFR122" s="432"/>
      <c r="GFS122" s="432"/>
      <c r="GFT122" s="432"/>
      <c r="GFU122" s="432"/>
      <c r="GFV122" s="432"/>
      <c r="GFW122" s="432"/>
      <c r="GFX122" s="432"/>
      <c r="GFY122" s="432"/>
      <c r="GFZ122" s="432"/>
      <c r="GGA122" s="432"/>
      <c r="GGB122" s="432"/>
      <c r="GGC122" s="432"/>
      <c r="GGD122" s="432"/>
      <c r="GGE122" s="432"/>
      <c r="GGF122" s="432"/>
      <c r="GGG122" s="432"/>
      <c r="GGH122" s="432"/>
      <c r="GGI122" s="432"/>
      <c r="GGJ122" s="432"/>
      <c r="GGK122" s="432"/>
      <c r="GGL122" s="432"/>
      <c r="GGM122" s="432"/>
      <c r="GGN122" s="432"/>
      <c r="GGO122" s="432"/>
      <c r="GGP122" s="432"/>
      <c r="GGQ122" s="432"/>
      <c r="GGR122" s="432"/>
      <c r="GGS122" s="432"/>
      <c r="GGT122" s="432"/>
      <c r="GGU122" s="432"/>
      <c r="GGV122" s="432"/>
      <c r="GGW122" s="432"/>
      <c r="GGX122" s="432"/>
      <c r="GGY122" s="432"/>
      <c r="GGZ122" s="432"/>
      <c r="GHA122" s="432"/>
      <c r="GHB122" s="432"/>
      <c r="GHC122" s="432"/>
      <c r="GHD122" s="432"/>
      <c r="GHE122" s="432"/>
      <c r="GHF122" s="432"/>
      <c r="GHG122" s="432"/>
      <c r="GHH122" s="432"/>
      <c r="GHI122" s="432"/>
      <c r="GHJ122" s="432"/>
      <c r="GHK122" s="432"/>
      <c r="GHL122" s="432"/>
      <c r="GHM122" s="432"/>
      <c r="GHN122" s="432"/>
      <c r="GHO122" s="432"/>
      <c r="GHP122" s="432"/>
      <c r="GHQ122" s="432"/>
      <c r="GHR122" s="432"/>
      <c r="GHS122" s="432"/>
      <c r="GHT122" s="432"/>
      <c r="GHU122" s="432"/>
      <c r="GHV122" s="432"/>
      <c r="GHW122" s="432"/>
      <c r="GHX122" s="432"/>
      <c r="GHY122" s="432"/>
      <c r="GHZ122" s="432"/>
      <c r="GIA122" s="432"/>
      <c r="GIB122" s="432"/>
      <c r="GIC122" s="432"/>
      <c r="GID122" s="432"/>
      <c r="GIE122" s="432"/>
      <c r="GIF122" s="432"/>
      <c r="GIG122" s="432"/>
      <c r="GIH122" s="432"/>
      <c r="GII122" s="432"/>
      <c r="GIJ122" s="432"/>
      <c r="GIK122" s="432"/>
      <c r="GIL122" s="432"/>
      <c r="GIM122" s="432"/>
      <c r="GIN122" s="432"/>
      <c r="GIO122" s="432"/>
      <c r="GIP122" s="432"/>
      <c r="GIQ122" s="432"/>
      <c r="GIR122" s="432"/>
      <c r="GIS122" s="432"/>
      <c r="GIT122" s="432"/>
      <c r="GIU122" s="432"/>
      <c r="GIV122" s="432"/>
      <c r="GIW122" s="432"/>
      <c r="GIX122" s="432"/>
      <c r="GIY122" s="432"/>
      <c r="GIZ122" s="432"/>
      <c r="GJA122" s="432"/>
      <c r="GJB122" s="432"/>
      <c r="GJC122" s="432"/>
      <c r="GJD122" s="432"/>
      <c r="GJE122" s="432"/>
      <c r="GJF122" s="432"/>
      <c r="GJG122" s="432"/>
      <c r="GJH122" s="432"/>
      <c r="GJI122" s="432"/>
      <c r="GJJ122" s="432"/>
      <c r="GJK122" s="432"/>
      <c r="GJL122" s="432"/>
      <c r="GJM122" s="432"/>
      <c r="GJN122" s="432"/>
      <c r="GJO122" s="432"/>
      <c r="GJP122" s="432"/>
      <c r="GJQ122" s="432"/>
      <c r="GJR122" s="432"/>
      <c r="GJS122" s="432"/>
      <c r="GJT122" s="432"/>
      <c r="GJU122" s="432"/>
      <c r="GJV122" s="432"/>
      <c r="GJW122" s="432"/>
      <c r="GJX122" s="432"/>
      <c r="GJY122" s="432"/>
      <c r="GJZ122" s="432"/>
      <c r="GKA122" s="432"/>
      <c r="GKB122" s="432"/>
      <c r="GKC122" s="432"/>
      <c r="GKD122" s="432"/>
      <c r="GKE122" s="432"/>
      <c r="GKF122" s="432"/>
      <c r="GKG122" s="432"/>
      <c r="GKH122" s="432"/>
      <c r="GKI122" s="432"/>
      <c r="GKJ122" s="432"/>
      <c r="GKK122" s="432"/>
      <c r="GKL122" s="432"/>
      <c r="GKM122" s="432"/>
      <c r="GKN122" s="432"/>
      <c r="GKO122" s="432"/>
      <c r="GKP122" s="432"/>
      <c r="GKQ122" s="432"/>
      <c r="GKR122" s="432"/>
      <c r="GKS122" s="432"/>
      <c r="GKT122" s="432"/>
      <c r="GKU122" s="432"/>
      <c r="GKV122" s="432"/>
      <c r="GKW122" s="432"/>
      <c r="GKX122" s="432"/>
      <c r="GKY122" s="432"/>
      <c r="GKZ122" s="432"/>
      <c r="GLA122" s="432"/>
      <c r="GLB122" s="432"/>
      <c r="GLC122" s="432"/>
      <c r="GLD122" s="432"/>
      <c r="GLE122" s="432"/>
      <c r="GLF122" s="432"/>
      <c r="GLG122" s="432"/>
      <c r="GLH122" s="432"/>
      <c r="GLI122" s="432"/>
      <c r="GLJ122" s="432"/>
      <c r="GLK122" s="432"/>
      <c r="GLL122" s="432"/>
      <c r="GLM122" s="432"/>
      <c r="GLN122" s="432"/>
      <c r="GLO122" s="432"/>
      <c r="GLP122" s="432"/>
      <c r="GLQ122" s="432"/>
      <c r="GLR122" s="432"/>
      <c r="GLS122" s="432"/>
      <c r="GLT122" s="432"/>
      <c r="GLU122" s="432"/>
      <c r="GLV122" s="432"/>
      <c r="GLW122" s="432"/>
      <c r="GLX122" s="432"/>
      <c r="GLY122" s="432"/>
      <c r="GLZ122" s="432"/>
      <c r="GMA122" s="432"/>
      <c r="GMB122" s="432"/>
      <c r="GMC122" s="432"/>
      <c r="GMD122" s="432"/>
      <c r="GME122" s="432"/>
      <c r="GMF122" s="432"/>
      <c r="GMG122" s="432"/>
      <c r="GMH122" s="432"/>
      <c r="GMI122" s="432"/>
      <c r="GMJ122" s="432"/>
      <c r="GMK122" s="432"/>
      <c r="GML122" s="432"/>
      <c r="GMM122" s="432"/>
      <c r="GMN122" s="432"/>
      <c r="GMO122" s="432"/>
      <c r="GMP122" s="432"/>
      <c r="GMQ122" s="432"/>
      <c r="GMR122" s="432"/>
      <c r="GMS122" s="432"/>
      <c r="GMT122" s="432"/>
      <c r="GMU122" s="432"/>
      <c r="GMV122" s="432"/>
      <c r="GMW122" s="432"/>
      <c r="GMX122" s="432"/>
      <c r="GMY122" s="432"/>
      <c r="GMZ122" s="432"/>
      <c r="GNA122" s="432"/>
      <c r="GNB122" s="432"/>
      <c r="GNC122" s="432"/>
      <c r="GND122" s="432"/>
      <c r="GNE122" s="432"/>
      <c r="GNF122" s="432"/>
      <c r="GNG122" s="432"/>
      <c r="GNH122" s="432"/>
      <c r="GNI122" s="432"/>
      <c r="GNJ122" s="432"/>
      <c r="GNK122" s="432"/>
      <c r="GNL122" s="432"/>
      <c r="GNM122" s="432"/>
      <c r="GNN122" s="432"/>
      <c r="GNO122" s="432"/>
      <c r="GNP122" s="432"/>
      <c r="GNQ122" s="432"/>
      <c r="GNR122" s="432"/>
      <c r="GNS122" s="432"/>
      <c r="GNT122" s="432"/>
      <c r="GNU122" s="432"/>
      <c r="GNV122" s="432"/>
      <c r="GNW122" s="432"/>
      <c r="GNX122" s="432"/>
      <c r="GNY122" s="432"/>
      <c r="GNZ122" s="432"/>
      <c r="GOA122" s="432"/>
      <c r="GOB122" s="432"/>
      <c r="GOC122" s="432"/>
      <c r="GOD122" s="432"/>
      <c r="GOE122" s="432"/>
      <c r="GOF122" s="432"/>
      <c r="GOG122" s="432"/>
      <c r="GOH122" s="432"/>
      <c r="GOI122" s="432"/>
      <c r="GOJ122" s="432"/>
      <c r="GOK122" s="432"/>
      <c r="GOL122" s="432"/>
      <c r="GOM122" s="432"/>
      <c r="GON122" s="432"/>
      <c r="GOO122" s="432"/>
      <c r="GOP122" s="432"/>
      <c r="GOQ122" s="432"/>
      <c r="GOR122" s="432"/>
      <c r="GOS122" s="432"/>
      <c r="GOT122" s="432"/>
      <c r="GOU122" s="432"/>
      <c r="GOV122" s="432"/>
      <c r="GOW122" s="432"/>
      <c r="GOX122" s="432"/>
      <c r="GOY122" s="432"/>
      <c r="GOZ122" s="432"/>
      <c r="GPA122" s="432"/>
      <c r="GPB122" s="432"/>
      <c r="GPC122" s="432"/>
      <c r="GPD122" s="432"/>
      <c r="GPE122" s="432"/>
      <c r="GPF122" s="432"/>
      <c r="GPG122" s="432"/>
      <c r="GPH122" s="432"/>
      <c r="GPI122" s="432"/>
      <c r="GPJ122" s="432"/>
      <c r="GPK122" s="432"/>
      <c r="GPL122" s="432"/>
      <c r="GPM122" s="432"/>
      <c r="GPN122" s="432"/>
      <c r="GPO122" s="432"/>
      <c r="GPP122" s="432"/>
      <c r="GPQ122" s="432"/>
      <c r="GPR122" s="432"/>
      <c r="GPS122" s="432"/>
      <c r="GPT122" s="432"/>
      <c r="GPU122" s="432"/>
      <c r="GPV122" s="432"/>
      <c r="GPW122" s="432"/>
      <c r="GPX122" s="432"/>
      <c r="GPY122" s="432"/>
      <c r="GPZ122" s="432"/>
      <c r="GQA122" s="432"/>
      <c r="GQB122" s="432"/>
      <c r="GQC122" s="432"/>
      <c r="GQD122" s="432"/>
      <c r="GQE122" s="432"/>
      <c r="GQF122" s="432"/>
      <c r="GQG122" s="432"/>
      <c r="GQH122" s="432"/>
      <c r="GQI122" s="432"/>
      <c r="GQJ122" s="432"/>
      <c r="GQK122" s="432"/>
      <c r="GQL122" s="432"/>
      <c r="GQM122" s="432"/>
      <c r="GQN122" s="432"/>
      <c r="GQO122" s="432"/>
      <c r="GQP122" s="432"/>
      <c r="GQQ122" s="432"/>
      <c r="GQR122" s="432"/>
      <c r="GQS122" s="432"/>
      <c r="GQT122" s="432"/>
      <c r="GQU122" s="432"/>
      <c r="GQV122" s="432"/>
      <c r="GQW122" s="432"/>
      <c r="GQX122" s="432"/>
      <c r="GQY122" s="432"/>
      <c r="GQZ122" s="432"/>
      <c r="GRA122" s="432"/>
      <c r="GRB122" s="432"/>
      <c r="GRC122" s="432"/>
      <c r="GRD122" s="432"/>
      <c r="GRE122" s="432"/>
      <c r="GRF122" s="432"/>
      <c r="GRG122" s="432"/>
      <c r="GRH122" s="432"/>
      <c r="GRI122" s="432"/>
      <c r="GRJ122" s="432"/>
      <c r="GRK122" s="432"/>
      <c r="GRL122" s="432"/>
      <c r="GRM122" s="432"/>
      <c r="GRN122" s="432"/>
      <c r="GRO122" s="432"/>
      <c r="GRP122" s="432"/>
      <c r="GRQ122" s="432"/>
      <c r="GRR122" s="432"/>
      <c r="GRS122" s="432"/>
      <c r="GRT122" s="432"/>
      <c r="GRU122" s="432"/>
      <c r="GRV122" s="432"/>
      <c r="GRW122" s="432"/>
      <c r="GRX122" s="432"/>
      <c r="GRY122" s="432"/>
      <c r="GRZ122" s="432"/>
      <c r="GSA122" s="432"/>
      <c r="GSB122" s="432"/>
      <c r="GSC122" s="432"/>
      <c r="GSD122" s="432"/>
      <c r="GSE122" s="432"/>
      <c r="GSF122" s="432"/>
      <c r="GSG122" s="432"/>
      <c r="GSH122" s="432"/>
      <c r="GSI122" s="432"/>
      <c r="GSJ122" s="432"/>
      <c r="GSK122" s="432"/>
      <c r="GSL122" s="432"/>
      <c r="GSM122" s="432"/>
      <c r="GSN122" s="432"/>
      <c r="GSO122" s="432"/>
      <c r="GSP122" s="432"/>
      <c r="GSQ122" s="432"/>
      <c r="GSR122" s="432"/>
      <c r="GSS122" s="432"/>
      <c r="GST122" s="432"/>
      <c r="GSU122" s="432"/>
      <c r="GSV122" s="432"/>
      <c r="GSW122" s="432"/>
      <c r="GSX122" s="432"/>
      <c r="GSY122" s="432"/>
      <c r="GSZ122" s="432"/>
      <c r="GTA122" s="432"/>
      <c r="GTB122" s="432"/>
      <c r="GTC122" s="432"/>
      <c r="GTD122" s="432"/>
      <c r="GTE122" s="432"/>
      <c r="GTF122" s="432"/>
      <c r="GTG122" s="432"/>
      <c r="GTH122" s="432"/>
      <c r="GTI122" s="432"/>
      <c r="GTJ122" s="432"/>
      <c r="GTK122" s="432"/>
      <c r="GTL122" s="432"/>
      <c r="GTM122" s="432"/>
      <c r="GTN122" s="432"/>
      <c r="GTO122" s="432"/>
      <c r="GTP122" s="432"/>
      <c r="GTQ122" s="432"/>
      <c r="GTR122" s="432"/>
      <c r="GTS122" s="432"/>
      <c r="GTT122" s="432"/>
      <c r="GTU122" s="432"/>
      <c r="GTV122" s="432"/>
      <c r="GTW122" s="432"/>
      <c r="GTX122" s="432"/>
      <c r="GTY122" s="432"/>
      <c r="GTZ122" s="432"/>
      <c r="GUA122" s="432"/>
      <c r="GUB122" s="432"/>
      <c r="GUC122" s="432"/>
      <c r="GUD122" s="432"/>
      <c r="GUE122" s="432"/>
      <c r="GUF122" s="432"/>
      <c r="GUG122" s="432"/>
      <c r="GUH122" s="432"/>
      <c r="GUI122" s="432"/>
      <c r="GUJ122" s="432"/>
      <c r="GUK122" s="432"/>
      <c r="GUL122" s="432"/>
      <c r="GUM122" s="432"/>
      <c r="GUN122" s="432"/>
      <c r="GUO122" s="432"/>
      <c r="GUP122" s="432"/>
      <c r="GUQ122" s="432"/>
      <c r="GUR122" s="432"/>
      <c r="GUS122" s="432"/>
      <c r="GUT122" s="432"/>
      <c r="GUU122" s="432"/>
      <c r="GUV122" s="432"/>
      <c r="GUW122" s="432"/>
      <c r="GUX122" s="432"/>
      <c r="GUY122" s="432"/>
      <c r="GUZ122" s="432"/>
      <c r="GVA122" s="432"/>
      <c r="GVB122" s="432"/>
      <c r="GVC122" s="432"/>
      <c r="GVD122" s="432"/>
      <c r="GVE122" s="432"/>
      <c r="GVF122" s="432"/>
      <c r="GVG122" s="432"/>
      <c r="GVH122" s="432"/>
      <c r="GVI122" s="432"/>
      <c r="GVJ122" s="432"/>
      <c r="GVK122" s="432"/>
      <c r="GVL122" s="432"/>
      <c r="GVM122" s="432"/>
      <c r="GVN122" s="432"/>
      <c r="GVO122" s="432"/>
      <c r="GVP122" s="432"/>
      <c r="GVQ122" s="432"/>
      <c r="GVR122" s="432"/>
      <c r="GVS122" s="432"/>
      <c r="GVT122" s="432"/>
      <c r="GVU122" s="432"/>
      <c r="GVV122" s="432"/>
      <c r="GVW122" s="432"/>
      <c r="GVX122" s="432"/>
      <c r="GVY122" s="432"/>
      <c r="GVZ122" s="432"/>
      <c r="GWA122" s="432"/>
      <c r="GWB122" s="432"/>
      <c r="GWC122" s="432"/>
      <c r="GWD122" s="432"/>
      <c r="GWE122" s="432"/>
      <c r="GWF122" s="432"/>
      <c r="GWG122" s="432"/>
      <c r="GWH122" s="432"/>
      <c r="GWI122" s="432"/>
      <c r="GWJ122" s="432"/>
      <c r="GWK122" s="432"/>
      <c r="GWL122" s="432"/>
      <c r="GWM122" s="432"/>
      <c r="GWN122" s="432"/>
      <c r="GWO122" s="432"/>
      <c r="GWP122" s="432"/>
      <c r="GWQ122" s="432"/>
      <c r="GWR122" s="432"/>
      <c r="GWS122" s="432"/>
      <c r="GWT122" s="432"/>
      <c r="GWU122" s="432"/>
      <c r="GWV122" s="432"/>
      <c r="GWW122" s="432"/>
      <c r="GWX122" s="432"/>
      <c r="GWY122" s="432"/>
      <c r="GWZ122" s="432"/>
      <c r="GXA122" s="432"/>
      <c r="GXB122" s="432"/>
      <c r="GXC122" s="432"/>
      <c r="GXD122" s="432"/>
      <c r="GXE122" s="432"/>
      <c r="GXF122" s="432"/>
      <c r="GXG122" s="432"/>
      <c r="GXH122" s="432"/>
      <c r="GXI122" s="432"/>
      <c r="GXJ122" s="432"/>
      <c r="GXK122" s="432"/>
      <c r="GXL122" s="432"/>
      <c r="GXM122" s="432"/>
      <c r="GXN122" s="432"/>
      <c r="GXO122" s="432"/>
      <c r="GXP122" s="432"/>
      <c r="GXQ122" s="432"/>
      <c r="GXR122" s="432"/>
      <c r="GXS122" s="432"/>
      <c r="GXT122" s="432"/>
      <c r="GXU122" s="432"/>
      <c r="GXV122" s="432"/>
      <c r="GXW122" s="432"/>
      <c r="GXX122" s="432"/>
      <c r="GXY122" s="432"/>
      <c r="GXZ122" s="432"/>
      <c r="GYA122" s="432"/>
      <c r="GYB122" s="432"/>
      <c r="GYC122" s="432"/>
      <c r="GYD122" s="432"/>
      <c r="GYE122" s="432"/>
      <c r="GYF122" s="432"/>
      <c r="GYG122" s="432"/>
      <c r="GYH122" s="432"/>
      <c r="GYI122" s="432"/>
      <c r="GYJ122" s="432"/>
      <c r="GYK122" s="432"/>
      <c r="GYL122" s="432"/>
      <c r="GYM122" s="432"/>
      <c r="GYN122" s="432"/>
      <c r="GYO122" s="432"/>
      <c r="GYP122" s="432"/>
      <c r="GYQ122" s="432"/>
      <c r="GYR122" s="432"/>
      <c r="GYS122" s="432"/>
      <c r="GYT122" s="432"/>
      <c r="GYU122" s="432"/>
      <c r="GYV122" s="432"/>
      <c r="GYW122" s="432"/>
      <c r="GYX122" s="432"/>
      <c r="GYY122" s="432"/>
      <c r="GYZ122" s="432"/>
      <c r="GZA122" s="432"/>
      <c r="GZB122" s="432"/>
      <c r="GZC122" s="432"/>
      <c r="GZD122" s="432"/>
      <c r="GZE122" s="432"/>
      <c r="GZF122" s="432"/>
      <c r="GZG122" s="432"/>
      <c r="GZH122" s="432"/>
      <c r="GZI122" s="432"/>
      <c r="GZJ122" s="432"/>
      <c r="GZK122" s="432"/>
      <c r="GZL122" s="432"/>
      <c r="GZM122" s="432"/>
      <c r="GZN122" s="432"/>
      <c r="GZO122" s="432"/>
      <c r="GZP122" s="432"/>
      <c r="GZQ122" s="432"/>
      <c r="GZR122" s="432"/>
      <c r="GZS122" s="432"/>
      <c r="GZT122" s="432"/>
      <c r="GZU122" s="432"/>
      <c r="GZV122" s="432"/>
      <c r="GZW122" s="432"/>
      <c r="GZX122" s="432"/>
      <c r="GZY122" s="432"/>
      <c r="GZZ122" s="432"/>
      <c r="HAA122" s="432"/>
      <c r="HAB122" s="432"/>
      <c r="HAC122" s="432"/>
      <c r="HAD122" s="432"/>
      <c r="HAE122" s="432"/>
      <c r="HAF122" s="432"/>
      <c r="HAG122" s="432"/>
      <c r="HAH122" s="432"/>
      <c r="HAI122" s="432"/>
      <c r="HAJ122" s="432"/>
      <c r="HAK122" s="432"/>
      <c r="HAL122" s="432"/>
      <c r="HAM122" s="432"/>
      <c r="HAN122" s="432"/>
      <c r="HAO122" s="432"/>
      <c r="HAP122" s="432"/>
      <c r="HAQ122" s="432"/>
      <c r="HAR122" s="432"/>
      <c r="HAS122" s="432"/>
      <c r="HAT122" s="432"/>
      <c r="HAU122" s="432"/>
      <c r="HAV122" s="432"/>
      <c r="HAW122" s="432"/>
      <c r="HAX122" s="432"/>
      <c r="HAY122" s="432"/>
      <c r="HAZ122" s="432"/>
      <c r="HBA122" s="432"/>
      <c r="HBB122" s="432"/>
      <c r="HBC122" s="432"/>
      <c r="HBD122" s="432"/>
      <c r="HBE122" s="432"/>
      <c r="HBF122" s="432"/>
      <c r="HBG122" s="432"/>
      <c r="HBH122" s="432"/>
      <c r="HBI122" s="432"/>
      <c r="HBJ122" s="432"/>
      <c r="HBK122" s="432"/>
      <c r="HBL122" s="432"/>
      <c r="HBM122" s="432"/>
      <c r="HBN122" s="432"/>
      <c r="HBO122" s="432"/>
      <c r="HBP122" s="432"/>
      <c r="HBQ122" s="432"/>
      <c r="HBR122" s="432"/>
      <c r="HBS122" s="432"/>
      <c r="HBT122" s="432"/>
      <c r="HBU122" s="432"/>
      <c r="HBV122" s="432"/>
      <c r="HBW122" s="432"/>
      <c r="HBX122" s="432"/>
      <c r="HBY122" s="432"/>
      <c r="HBZ122" s="432"/>
      <c r="HCA122" s="432"/>
      <c r="HCB122" s="432"/>
      <c r="HCC122" s="432"/>
      <c r="HCD122" s="432"/>
      <c r="HCE122" s="432"/>
      <c r="HCF122" s="432"/>
      <c r="HCG122" s="432"/>
      <c r="HCH122" s="432"/>
      <c r="HCI122" s="432"/>
      <c r="HCJ122" s="432"/>
      <c r="HCK122" s="432"/>
      <c r="HCL122" s="432"/>
      <c r="HCM122" s="432"/>
      <c r="HCN122" s="432"/>
      <c r="HCO122" s="432"/>
      <c r="HCP122" s="432"/>
      <c r="HCQ122" s="432"/>
      <c r="HCR122" s="432"/>
      <c r="HCS122" s="432"/>
      <c r="HCT122" s="432"/>
      <c r="HCU122" s="432"/>
      <c r="HCV122" s="432"/>
      <c r="HCW122" s="432"/>
      <c r="HCX122" s="432"/>
      <c r="HCY122" s="432"/>
      <c r="HCZ122" s="432"/>
      <c r="HDA122" s="432"/>
      <c r="HDB122" s="432"/>
      <c r="HDC122" s="432"/>
      <c r="HDD122" s="432"/>
      <c r="HDE122" s="432"/>
      <c r="HDF122" s="432"/>
      <c r="HDG122" s="432"/>
      <c r="HDH122" s="432"/>
      <c r="HDI122" s="432"/>
      <c r="HDJ122" s="432"/>
      <c r="HDK122" s="432"/>
      <c r="HDL122" s="432"/>
      <c r="HDM122" s="432"/>
      <c r="HDN122" s="432"/>
      <c r="HDO122" s="432"/>
      <c r="HDP122" s="432"/>
      <c r="HDQ122" s="432"/>
      <c r="HDR122" s="432"/>
      <c r="HDS122" s="432"/>
      <c r="HDT122" s="432"/>
      <c r="HDU122" s="432"/>
      <c r="HDV122" s="432"/>
      <c r="HDW122" s="432"/>
      <c r="HDX122" s="432"/>
      <c r="HDY122" s="432"/>
      <c r="HDZ122" s="432"/>
      <c r="HEA122" s="432"/>
      <c r="HEB122" s="432"/>
      <c r="HEC122" s="432"/>
      <c r="HED122" s="432"/>
      <c r="HEE122" s="432"/>
      <c r="HEF122" s="432"/>
      <c r="HEG122" s="432"/>
      <c r="HEH122" s="432"/>
      <c r="HEI122" s="432"/>
      <c r="HEJ122" s="432"/>
      <c r="HEK122" s="432"/>
      <c r="HEL122" s="432"/>
      <c r="HEM122" s="432"/>
      <c r="HEN122" s="432"/>
      <c r="HEO122" s="432"/>
      <c r="HEP122" s="432"/>
      <c r="HEQ122" s="432"/>
      <c r="HER122" s="432"/>
      <c r="HES122" s="432"/>
      <c r="HET122" s="432"/>
      <c r="HEU122" s="432"/>
      <c r="HEV122" s="432"/>
      <c r="HEW122" s="432"/>
      <c r="HEX122" s="432"/>
      <c r="HEY122" s="432"/>
      <c r="HEZ122" s="432"/>
      <c r="HFA122" s="432"/>
      <c r="HFB122" s="432"/>
      <c r="HFC122" s="432"/>
      <c r="HFD122" s="432"/>
      <c r="HFE122" s="432"/>
      <c r="HFF122" s="432"/>
      <c r="HFG122" s="432"/>
      <c r="HFH122" s="432"/>
      <c r="HFI122" s="432"/>
      <c r="HFJ122" s="432"/>
      <c r="HFK122" s="432"/>
      <c r="HFL122" s="432"/>
      <c r="HFM122" s="432"/>
      <c r="HFN122" s="432"/>
      <c r="HFO122" s="432"/>
      <c r="HFP122" s="432"/>
      <c r="HFQ122" s="432"/>
      <c r="HFR122" s="432"/>
      <c r="HFS122" s="432"/>
      <c r="HFT122" s="432"/>
      <c r="HFU122" s="432"/>
      <c r="HFV122" s="432"/>
      <c r="HFW122" s="432"/>
      <c r="HFX122" s="432"/>
      <c r="HFY122" s="432"/>
      <c r="HFZ122" s="432"/>
      <c r="HGA122" s="432"/>
      <c r="HGB122" s="432"/>
      <c r="HGC122" s="432"/>
      <c r="HGD122" s="432"/>
      <c r="HGE122" s="432"/>
      <c r="HGF122" s="432"/>
      <c r="HGG122" s="432"/>
      <c r="HGH122" s="432"/>
      <c r="HGI122" s="432"/>
      <c r="HGJ122" s="432"/>
      <c r="HGK122" s="432"/>
      <c r="HGL122" s="432"/>
      <c r="HGM122" s="432"/>
      <c r="HGN122" s="432"/>
      <c r="HGO122" s="432"/>
      <c r="HGP122" s="432"/>
      <c r="HGQ122" s="432"/>
      <c r="HGR122" s="432"/>
      <c r="HGS122" s="432"/>
      <c r="HGT122" s="432"/>
      <c r="HGU122" s="432"/>
      <c r="HGV122" s="432"/>
      <c r="HGW122" s="432"/>
      <c r="HGX122" s="432"/>
      <c r="HGY122" s="432"/>
      <c r="HGZ122" s="432"/>
      <c r="HHA122" s="432"/>
      <c r="HHB122" s="432"/>
      <c r="HHC122" s="432"/>
      <c r="HHD122" s="432"/>
      <c r="HHE122" s="432"/>
      <c r="HHF122" s="432"/>
      <c r="HHG122" s="432"/>
      <c r="HHH122" s="432"/>
      <c r="HHI122" s="432"/>
      <c r="HHJ122" s="432"/>
      <c r="HHK122" s="432"/>
      <c r="HHL122" s="432"/>
      <c r="HHM122" s="432"/>
      <c r="HHN122" s="432"/>
      <c r="HHO122" s="432"/>
      <c r="HHP122" s="432"/>
      <c r="HHQ122" s="432"/>
      <c r="HHR122" s="432"/>
      <c r="HHS122" s="432"/>
      <c r="HHT122" s="432"/>
      <c r="HHU122" s="432"/>
      <c r="HHV122" s="432"/>
      <c r="HHW122" s="432"/>
      <c r="HHX122" s="432"/>
      <c r="HHY122" s="432"/>
      <c r="HHZ122" s="432"/>
      <c r="HIA122" s="432"/>
      <c r="HIB122" s="432"/>
      <c r="HIC122" s="432"/>
      <c r="HID122" s="432"/>
      <c r="HIE122" s="432"/>
      <c r="HIF122" s="432"/>
      <c r="HIG122" s="432"/>
      <c r="HIH122" s="432"/>
      <c r="HII122" s="432"/>
      <c r="HIJ122" s="432"/>
      <c r="HIK122" s="432"/>
      <c r="HIL122" s="432"/>
      <c r="HIM122" s="432"/>
      <c r="HIN122" s="432"/>
      <c r="HIO122" s="432"/>
      <c r="HIP122" s="432"/>
      <c r="HIQ122" s="432"/>
      <c r="HIR122" s="432"/>
      <c r="HIS122" s="432"/>
      <c r="HIT122" s="432"/>
      <c r="HIU122" s="432"/>
      <c r="HIV122" s="432"/>
      <c r="HIW122" s="432"/>
      <c r="HIX122" s="432"/>
      <c r="HIY122" s="432"/>
      <c r="HIZ122" s="432"/>
      <c r="HJA122" s="432"/>
      <c r="HJB122" s="432"/>
      <c r="HJC122" s="432"/>
      <c r="HJD122" s="432"/>
      <c r="HJE122" s="432"/>
      <c r="HJF122" s="432"/>
      <c r="HJG122" s="432"/>
      <c r="HJH122" s="432"/>
      <c r="HJI122" s="432"/>
      <c r="HJJ122" s="432"/>
      <c r="HJK122" s="432"/>
      <c r="HJL122" s="432"/>
      <c r="HJM122" s="432"/>
      <c r="HJN122" s="432"/>
      <c r="HJO122" s="432"/>
      <c r="HJP122" s="432"/>
      <c r="HJQ122" s="432"/>
      <c r="HJR122" s="432"/>
      <c r="HJS122" s="432"/>
      <c r="HJT122" s="432"/>
      <c r="HJU122" s="432"/>
      <c r="HJV122" s="432"/>
      <c r="HJW122" s="432"/>
      <c r="HJX122" s="432"/>
      <c r="HJY122" s="432"/>
      <c r="HJZ122" s="432"/>
      <c r="HKA122" s="432"/>
      <c r="HKB122" s="432"/>
      <c r="HKC122" s="432"/>
      <c r="HKD122" s="432"/>
      <c r="HKE122" s="432"/>
      <c r="HKF122" s="432"/>
      <c r="HKG122" s="432"/>
      <c r="HKH122" s="432"/>
      <c r="HKI122" s="432"/>
      <c r="HKJ122" s="432"/>
      <c r="HKK122" s="432"/>
      <c r="HKL122" s="432"/>
      <c r="HKM122" s="432"/>
      <c r="HKN122" s="432"/>
      <c r="HKO122" s="432"/>
      <c r="HKP122" s="432"/>
      <c r="HKQ122" s="432"/>
      <c r="HKR122" s="432"/>
      <c r="HKS122" s="432"/>
      <c r="HKT122" s="432"/>
      <c r="HKU122" s="432"/>
      <c r="HKV122" s="432"/>
      <c r="HKW122" s="432"/>
      <c r="HKX122" s="432"/>
      <c r="HKY122" s="432"/>
      <c r="HKZ122" s="432"/>
      <c r="HLA122" s="432"/>
      <c r="HLB122" s="432"/>
      <c r="HLC122" s="432"/>
      <c r="HLD122" s="432"/>
      <c r="HLE122" s="432"/>
      <c r="HLF122" s="432"/>
      <c r="HLG122" s="432"/>
      <c r="HLH122" s="432"/>
      <c r="HLI122" s="432"/>
      <c r="HLJ122" s="432"/>
      <c r="HLK122" s="432"/>
      <c r="HLL122" s="432"/>
      <c r="HLM122" s="432"/>
      <c r="HLN122" s="432"/>
      <c r="HLO122" s="432"/>
      <c r="HLP122" s="432"/>
      <c r="HLQ122" s="432"/>
      <c r="HLR122" s="432"/>
      <c r="HLS122" s="432"/>
      <c r="HLT122" s="432"/>
      <c r="HLU122" s="432"/>
      <c r="HLV122" s="432"/>
      <c r="HLW122" s="432"/>
      <c r="HLX122" s="432"/>
      <c r="HLY122" s="432"/>
      <c r="HLZ122" s="432"/>
      <c r="HMA122" s="432"/>
      <c r="HMB122" s="432"/>
      <c r="HMC122" s="432"/>
      <c r="HMD122" s="432"/>
      <c r="HME122" s="432"/>
      <c r="HMF122" s="432"/>
      <c r="HMG122" s="432"/>
      <c r="HMH122" s="432"/>
      <c r="HMI122" s="432"/>
      <c r="HMJ122" s="432"/>
      <c r="HMK122" s="432"/>
      <c r="HML122" s="432"/>
      <c r="HMM122" s="432"/>
      <c r="HMN122" s="432"/>
      <c r="HMO122" s="432"/>
      <c r="HMP122" s="432"/>
      <c r="HMQ122" s="432"/>
      <c r="HMR122" s="432"/>
      <c r="HMS122" s="432"/>
      <c r="HMT122" s="432"/>
      <c r="HMU122" s="432"/>
      <c r="HMV122" s="432"/>
      <c r="HMW122" s="432"/>
      <c r="HMX122" s="432"/>
      <c r="HMY122" s="432"/>
      <c r="HMZ122" s="432"/>
      <c r="HNA122" s="432"/>
      <c r="HNB122" s="432"/>
      <c r="HNC122" s="432"/>
      <c r="HND122" s="432"/>
      <c r="HNE122" s="432"/>
      <c r="HNF122" s="432"/>
      <c r="HNG122" s="432"/>
      <c r="HNH122" s="432"/>
      <c r="HNI122" s="432"/>
      <c r="HNJ122" s="432"/>
      <c r="HNK122" s="432"/>
      <c r="HNL122" s="432"/>
      <c r="HNM122" s="432"/>
      <c r="HNN122" s="432"/>
      <c r="HNO122" s="432"/>
      <c r="HNP122" s="432"/>
      <c r="HNQ122" s="432"/>
      <c r="HNR122" s="432"/>
      <c r="HNS122" s="432"/>
      <c r="HNT122" s="432"/>
      <c r="HNU122" s="432"/>
      <c r="HNV122" s="432"/>
      <c r="HNW122" s="432"/>
      <c r="HNX122" s="432"/>
      <c r="HNY122" s="432"/>
      <c r="HNZ122" s="432"/>
      <c r="HOA122" s="432"/>
      <c r="HOB122" s="432"/>
      <c r="HOC122" s="432"/>
      <c r="HOD122" s="432"/>
      <c r="HOE122" s="432"/>
      <c r="HOF122" s="432"/>
      <c r="HOG122" s="432"/>
      <c r="HOH122" s="432"/>
      <c r="HOI122" s="432"/>
      <c r="HOJ122" s="432"/>
      <c r="HOK122" s="432"/>
      <c r="HOL122" s="432"/>
      <c r="HOM122" s="432"/>
      <c r="HON122" s="432"/>
      <c r="HOO122" s="432"/>
      <c r="HOP122" s="432"/>
      <c r="HOQ122" s="432"/>
      <c r="HOR122" s="432"/>
      <c r="HOS122" s="432"/>
      <c r="HOT122" s="432"/>
      <c r="HOU122" s="432"/>
      <c r="HOV122" s="432"/>
      <c r="HOW122" s="432"/>
      <c r="HOX122" s="432"/>
      <c r="HOY122" s="432"/>
      <c r="HOZ122" s="432"/>
      <c r="HPA122" s="432"/>
      <c r="HPB122" s="432"/>
      <c r="HPC122" s="432"/>
      <c r="HPD122" s="432"/>
      <c r="HPE122" s="432"/>
      <c r="HPF122" s="432"/>
      <c r="HPG122" s="432"/>
      <c r="HPH122" s="432"/>
      <c r="HPI122" s="432"/>
      <c r="HPJ122" s="432"/>
      <c r="HPK122" s="432"/>
      <c r="HPL122" s="432"/>
      <c r="HPM122" s="432"/>
      <c r="HPN122" s="432"/>
      <c r="HPO122" s="432"/>
      <c r="HPP122" s="432"/>
      <c r="HPQ122" s="432"/>
      <c r="HPR122" s="432"/>
      <c r="HPS122" s="432"/>
      <c r="HPT122" s="432"/>
      <c r="HPU122" s="432"/>
      <c r="HPV122" s="432"/>
      <c r="HPW122" s="432"/>
      <c r="HPX122" s="432"/>
      <c r="HPY122" s="432"/>
      <c r="HPZ122" s="432"/>
      <c r="HQA122" s="432"/>
      <c r="HQB122" s="432"/>
      <c r="HQC122" s="432"/>
      <c r="HQD122" s="432"/>
      <c r="HQE122" s="432"/>
      <c r="HQF122" s="432"/>
      <c r="HQG122" s="432"/>
      <c r="HQH122" s="432"/>
      <c r="HQI122" s="432"/>
      <c r="HQJ122" s="432"/>
      <c r="HQK122" s="432"/>
      <c r="HQL122" s="432"/>
      <c r="HQM122" s="432"/>
      <c r="HQN122" s="432"/>
      <c r="HQO122" s="432"/>
      <c r="HQP122" s="432"/>
      <c r="HQQ122" s="432"/>
      <c r="HQR122" s="432"/>
      <c r="HQS122" s="432"/>
      <c r="HQT122" s="432"/>
      <c r="HQU122" s="432"/>
      <c r="HQV122" s="432"/>
      <c r="HQW122" s="432"/>
      <c r="HQX122" s="432"/>
      <c r="HQY122" s="432"/>
      <c r="HQZ122" s="432"/>
      <c r="HRA122" s="432"/>
      <c r="HRB122" s="432"/>
      <c r="HRC122" s="432"/>
      <c r="HRD122" s="432"/>
      <c r="HRE122" s="432"/>
      <c r="HRF122" s="432"/>
      <c r="HRG122" s="432"/>
      <c r="HRH122" s="432"/>
      <c r="HRI122" s="432"/>
      <c r="HRJ122" s="432"/>
      <c r="HRK122" s="432"/>
      <c r="HRL122" s="432"/>
      <c r="HRM122" s="432"/>
      <c r="HRN122" s="432"/>
      <c r="HRO122" s="432"/>
      <c r="HRP122" s="432"/>
      <c r="HRQ122" s="432"/>
      <c r="HRR122" s="432"/>
      <c r="HRS122" s="432"/>
      <c r="HRT122" s="432"/>
      <c r="HRU122" s="432"/>
      <c r="HRV122" s="432"/>
      <c r="HRW122" s="432"/>
      <c r="HRX122" s="432"/>
      <c r="HRY122" s="432"/>
      <c r="HRZ122" s="432"/>
      <c r="HSA122" s="432"/>
      <c r="HSB122" s="432"/>
      <c r="HSC122" s="432"/>
      <c r="HSD122" s="432"/>
      <c r="HSE122" s="432"/>
      <c r="HSF122" s="432"/>
      <c r="HSG122" s="432"/>
      <c r="HSH122" s="432"/>
      <c r="HSI122" s="432"/>
      <c r="HSJ122" s="432"/>
      <c r="HSK122" s="432"/>
      <c r="HSL122" s="432"/>
      <c r="HSM122" s="432"/>
      <c r="HSN122" s="432"/>
      <c r="HSO122" s="432"/>
      <c r="HSP122" s="432"/>
      <c r="HSQ122" s="432"/>
      <c r="HSR122" s="432"/>
      <c r="HSS122" s="432"/>
      <c r="HST122" s="432"/>
      <c r="HSU122" s="432"/>
      <c r="HSV122" s="432"/>
      <c r="HSW122" s="432"/>
      <c r="HSX122" s="432"/>
      <c r="HSY122" s="432"/>
      <c r="HSZ122" s="432"/>
      <c r="HTA122" s="432"/>
      <c r="HTB122" s="432"/>
      <c r="HTC122" s="432"/>
      <c r="HTD122" s="432"/>
      <c r="HTE122" s="432"/>
      <c r="HTF122" s="432"/>
      <c r="HTG122" s="432"/>
      <c r="HTH122" s="432"/>
      <c r="HTI122" s="432"/>
      <c r="HTJ122" s="432"/>
      <c r="HTK122" s="432"/>
      <c r="HTL122" s="432"/>
      <c r="HTM122" s="432"/>
      <c r="HTN122" s="432"/>
      <c r="HTO122" s="432"/>
      <c r="HTP122" s="432"/>
      <c r="HTQ122" s="432"/>
      <c r="HTR122" s="432"/>
      <c r="HTS122" s="432"/>
      <c r="HTT122" s="432"/>
      <c r="HTU122" s="432"/>
      <c r="HTV122" s="432"/>
      <c r="HTW122" s="432"/>
      <c r="HTX122" s="432"/>
      <c r="HTY122" s="432"/>
      <c r="HTZ122" s="432"/>
      <c r="HUA122" s="432"/>
      <c r="HUB122" s="432"/>
      <c r="HUC122" s="432"/>
      <c r="HUD122" s="432"/>
      <c r="HUE122" s="432"/>
      <c r="HUF122" s="432"/>
      <c r="HUG122" s="432"/>
      <c r="HUH122" s="432"/>
      <c r="HUI122" s="432"/>
      <c r="HUJ122" s="432"/>
      <c r="HUK122" s="432"/>
      <c r="HUL122" s="432"/>
      <c r="HUM122" s="432"/>
      <c r="HUN122" s="432"/>
      <c r="HUO122" s="432"/>
      <c r="HUP122" s="432"/>
      <c r="HUQ122" s="432"/>
      <c r="HUR122" s="432"/>
      <c r="HUS122" s="432"/>
      <c r="HUT122" s="432"/>
      <c r="HUU122" s="432"/>
      <c r="HUV122" s="432"/>
      <c r="HUW122" s="432"/>
      <c r="HUX122" s="432"/>
      <c r="HUY122" s="432"/>
      <c r="HUZ122" s="432"/>
      <c r="HVA122" s="432"/>
      <c r="HVB122" s="432"/>
      <c r="HVC122" s="432"/>
      <c r="HVD122" s="432"/>
      <c r="HVE122" s="432"/>
      <c r="HVF122" s="432"/>
      <c r="HVG122" s="432"/>
      <c r="HVH122" s="432"/>
      <c r="HVI122" s="432"/>
      <c r="HVJ122" s="432"/>
      <c r="HVK122" s="432"/>
      <c r="HVL122" s="432"/>
      <c r="HVM122" s="432"/>
      <c r="HVN122" s="432"/>
      <c r="HVO122" s="432"/>
      <c r="HVP122" s="432"/>
      <c r="HVQ122" s="432"/>
      <c r="HVR122" s="432"/>
      <c r="HVS122" s="432"/>
      <c r="HVT122" s="432"/>
      <c r="HVU122" s="432"/>
      <c r="HVV122" s="432"/>
      <c r="HVW122" s="432"/>
      <c r="HVX122" s="432"/>
      <c r="HVY122" s="432"/>
      <c r="HVZ122" s="432"/>
      <c r="HWA122" s="432"/>
      <c r="HWB122" s="432"/>
      <c r="HWC122" s="432"/>
      <c r="HWD122" s="432"/>
      <c r="HWE122" s="432"/>
      <c r="HWF122" s="432"/>
      <c r="HWG122" s="432"/>
      <c r="HWH122" s="432"/>
      <c r="HWI122" s="432"/>
      <c r="HWJ122" s="432"/>
      <c r="HWK122" s="432"/>
      <c r="HWL122" s="432"/>
      <c r="HWM122" s="432"/>
      <c r="HWN122" s="432"/>
      <c r="HWO122" s="432"/>
      <c r="HWP122" s="432"/>
      <c r="HWQ122" s="432"/>
      <c r="HWR122" s="432"/>
      <c r="HWS122" s="432"/>
      <c r="HWT122" s="432"/>
      <c r="HWU122" s="432"/>
      <c r="HWV122" s="432"/>
      <c r="HWW122" s="432"/>
      <c r="HWX122" s="432"/>
      <c r="HWY122" s="432"/>
      <c r="HWZ122" s="432"/>
      <c r="HXA122" s="432"/>
      <c r="HXB122" s="432"/>
      <c r="HXC122" s="432"/>
      <c r="HXD122" s="432"/>
      <c r="HXE122" s="432"/>
      <c r="HXF122" s="432"/>
      <c r="HXG122" s="432"/>
      <c r="HXH122" s="432"/>
      <c r="HXI122" s="432"/>
      <c r="HXJ122" s="432"/>
      <c r="HXK122" s="432"/>
      <c r="HXL122" s="432"/>
      <c r="HXM122" s="432"/>
      <c r="HXN122" s="432"/>
      <c r="HXO122" s="432"/>
      <c r="HXP122" s="432"/>
      <c r="HXQ122" s="432"/>
      <c r="HXR122" s="432"/>
      <c r="HXS122" s="432"/>
      <c r="HXT122" s="432"/>
      <c r="HXU122" s="432"/>
      <c r="HXV122" s="432"/>
      <c r="HXW122" s="432"/>
      <c r="HXX122" s="432"/>
      <c r="HXY122" s="432"/>
      <c r="HXZ122" s="432"/>
      <c r="HYA122" s="432"/>
      <c r="HYB122" s="432"/>
      <c r="HYC122" s="432"/>
      <c r="HYD122" s="432"/>
      <c r="HYE122" s="432"/>
      <c r="HYF122" s="432"/>
      <c r="HYG122" s="432"/>
      <c r="HYH122" s="432"/>
      <c r="HYI122" s="432"/>
      <c r="HYJ122" s="432"/>
      <c r="HYK122" s="432"/>
      <c r="HYL122" s="432"/>
      <c r="HYM122" s="432"/>
      <c r="HYN122" s="432"/>
      <c r="HYO122" s="432"/>
      <c r="HYP122" s="432"/>
      <c r="HYQ122" s="432"/>
      <c r="HYR122" s="432"/>
      <c r="HYS122" s="432"/>
      <c r="HYT122" s="432"/>
      <c r="HYU122" s="432"/>
      <c r="HYV122" s="432"/>
      <c r="HYW122" s="432"/>
      <c r="HYX122" s="432"/>
      <c r="HYY122" s="432"/>
      <c r="HYZ122" s="432"/>
      <c r="HZA122" s="432"/>
      <c r="HZB122" s="432"/>
      <c r="HZC122" s="432"/>
      <c r="HZD122" s="432"/>
      <c r="HZE122" s="432"/>
      <c r="HZF122" s="432"/>
      <c r="HZG122" s="432"/>
      <c r="HZH122" s="432"/>
      <c r="HZI122" s="432"/>
      <c r="HZJ122" s="432"/>
      <c r="HZK122" s="432"/>
      <c r="HZL122" s="432"/>
      <c r="HZM122" s="432"/>
      <c r="HZN122" s="432"/>
      <c r="HZO122" s="432"/>
      <c r="HZP122" s="432"/>
      <c r="HZQ122" s="432"/>
      <c r="HZR122" s="432"/>
      <c r="HZS122" s="432"/>
      <c r="HZT122" s="432"/>
      <c r="HZU122" s="432"/>
      <c r="HZV122" s="432"/>
      <c r="HZW122" s="432"/>
      <c r="HZX122" s="432"/>
      <c r="HZY122" s="432"/>
      <c r="HZZ122" s="432"/>
      <c r="IAA122" s="432"/>
      <c r="IAB122" s="432"/>
      <c r="IAC122" s="432"/>
      <c r="IAD122" s="432"/>
      <c r="IAE122" s="432"/>
      <c r="IAF122" s="432"/>
      <c r="IAG122" s="432"/>
      <c r="IAH122" s="432"/>
      <c r="IAI122" s="432"/>
      <c r="IAJ122" s="432"/>
      <c r="IAK122" s="432"/>
      <c r="IAL122" s="432"/>
      <c r="IAM122" s="432"/>
      <c r="IAN122" s="432"/>
      <c r="IAO122" s="432"/>
      <c r="IAP122" s="432"/>
      <c r="IAQ122" s="432"/>
      <c r="IAR122" s="432"/>
      <c r="IAS122" s="432"/>
      <c r="IAT122" s="432"/>
      <c r="IAU122" s="432"/>
      <c r="IAV122" s="432"/>
      <c r="IAW122" s="432"/>
      <c r="IAX122" s="432"/>
      <c r="IAY122" s="432"/>
      <c r="IAZ122" s="432"/>
      <c r="IBA122" s="432"/>
      <c r="IBB122" s="432"/>
      <c r="IBC122" s="432"/>
      <c r="IBD122" s="432"/>
      <c r="IBE122" s="432"/>
      <c r="IBF122" s="432"/>
      <c r="IBG122" s="432"/>
      <c r="IBH122" s="432"/>
      <c r="IBI122" s="432"/>
      <c r="IBJ122" s="432"/>
      <c r="IBK122" s="432"/>
      <c r="IBL122" s="432"/>
      <c r="IBM122" s="432"/>
      <c r="IBN122" s="432"/>
      <c r="IBO122" s="432"/>
      <c r="IBP122" s="432"/>
      <c r="IBQ122" s="432"/>
      <c r="IBR122" s="432"/>
      <c r="IBS122" s="432"/>
      <c r="IBT122" s="432"/>
      <c r="IBU122" s="432"/>
      <c r="IBV122" s="432"/>
      <c r="IBW122" s="432"/>
      <c r="IBX122" s="432"/>
      <c r="IBY122" s="432"/>
      <c r="IBZ122" s="432"/>
      <c r="ICA122" s="432"/>
      <c r="ICB122" s="432"/>
      <c r="ICC122" s="432"/>
      <c r="ICD122" s="432"/>
      <c r="ICE122" s="432"/>
      <c r="ICF122" s="432"/>
      <c r="ICG122" s="432"/>
      <c r="ICH122" s="432"/>
      <c r="ICI122" s="432"/>
      <c r="ICJ122" s="432"/>
      <c r="ICK122" s="432"/>
      <c r="ICL122" s="432"/>
      <c r="ICM122" s="432"/>
      <c r="ICN122" s="432"/>
      <c r="ICO122" s="432"/>
      <c r="ICP122" s="432"/>
      <c r="ICQ122" s="432"/>
      <c r="ICR122" s="432"/>
      <c r="ICS122" s="432"/>
      <c r="ICT122" s="432"/>
      <c r="ICU122" s="432"/>
      <c r="ICV122" s="432"/>
      <c r="ICW122" s="432"/>
      <c r="ICX122" s="432"/>
      <c r="ICY122" s="432"/>
      <c r="ICZ122" s="432"/>
      <c r="IDA122" s="432"/>
      <c r="IDB122" s="432"/>
      <c r="IDC122" s="432"/>
      <c r="IDD122" s="432"/>
      <c r="IDE122" s="432"/>
      <c r="IDF122" s="432"/>
      <c r="IDG122" s="432"/>
      <c r="IDH122" s="432"/>
      <c r="IDI122" s="432"/>
      <c r="IDJ122" s="432"/>
      <c r="IDK122" s="432"/>
      <c r="IDL122" s="432"/>
      <c r="IDM122" s="432"/>
      <c r="IDN122" s="432"/>
      <c r="IDO122" s="432"/>
      <c r="IDP122" s="432"/>
      <c r="IDQ122" s="432"/>
      <c r="IDR122" s="432"/>
      <c r="IDS122" s="432"/>
      <c r="IDT122" s="432"/>
      <c r="IDU122" s="432"/>
      <c r="IDV122" s="432"/>
      <c r="IDW122" s="432"/>
      <c r="IDX122" s="432"/>
      <c r="IDY122" s="432"/>
      <c r="IDZ122" s="432"/>
      <c r="IEA122" s="432"/>
      <c r="IEB122" s="432"/>
      <c r="IEC122" s="432"/>
      <c r="IED122" s="432"/>
      <c r="IEE122" s="432"/>
      <c r="IEF122" s="432"/>
      <c r="IEG122" s="432"/>
      <c r="IEH122" s="432"/>
      <c r="IEI122" s="432"/>
      <c r="IEJ122" s="432"/>
      <c r="IEK122" s="432"/>
      <c r="IEL122" s="432"/>
      <c r="IEM122" s="432"/>
      <c r="IEN122" s="432"/>
      <c r="IEO122" s="432"/>
      <c r="IEP122" s="432"/>
      <c r="IEQ122" s="432"/>
      <c r="IER122" s="432"/>
      <c r="IES122" s="432"/>
      <c r="IET122" s="432"/>
      <c r="IEU122" s="432"/>
      <c r="IEV122" s="432"/>
      <c r="IEW122" s="432"/>
      <c r="IEX122" s="432"/>
      <c r="IEY122" s="432"/>
      <c r="IEZ122" s="432"/>
      <c r="IFA122" s="432"/>
      <c r="IFB122" s="432"/>
      <c r="IFC122" s="432"/>
      <c r="IFD122" s="432"/>
      <c r="IFE122" s="432"/>
      <c r="IFF122" s="432"/>
      <c r="IFG122" s="432"/>
      <c r="IFH122" s="432"/>
      <c r="IFI122" s="432"/>
      <c r="IFJ122" s="432"/>
      <c r="IFK122" s="432"/>
      <c r="IFL122" s="432"/>
      <c r="IFM122" s="432"/>
      <c r="IFN122" s="432"/>
      <c r="IFO122" s="432"/>
      <c r="IFP122" s="432"/>
      <c r="IFQ122" s="432"/>
      <c r="IFR122" s="432"/>
      <c r="IFS122" s="432"/>
      <c r="IFT122" s="432"/>
      <c r="IFU122" s="432"/>
      <c r="IFV122" s="432"/>
      <c r="IFW122" s="432"/>
      <c r="IFX122" s="432"/>
      <c r="IFY122" s="432"/>
      <c r="IFZ122" s="432"/>
      <c r="IGA122" s="432"/>
      <c r="IGB122" s="432"/>
      <c r="IGC122" s="432"/>
      <c r="IGD122" s="432"/>
      <c r="IGE122" s="432"/>
      <c r="IGF122" s="432"/>
      <c r="IGG122" s="432"/>
      <c r="IGH122" s="432"/>
      <c r="IGI122" s="432"/>
      <c r="IGJ122" s="432"/>
      <c r="IGK122" s="432"/>
      <c r="IGL122" s="432"/>
      <c r="IGM122" s="432"/>
      <c r="IGN122" s="432"/>
      <c r="IGO122" s="432"/>
      <c r="IGP122" s="432"/>
      <c r="IGQ122" s="432"/>
      <c r="IGR122" s="432"/>
      <c r="IGS122" s="432"/>
      <c r="IGT122" s="432"/>
      <c r="IGU122" s="432"/>
      <c r="IGV122" s="432"/>
      <c r="IGW122" s="432"/>
      <c r="IGX122" s="432"/>
      <c r="IGY122" s="432"/>
      <c r="IGZ122" s="432"/>
      <c r="IHA122" s="432"/>
      <c r="IHB122" s="432"/>
      <c r="IHC122" s="432"/>
      <c r="IHD122" s="432"/>
      <c r="IHE122" s="432"/>
      <c r="IHF122" s="432"/>
      <c r="IHG122" s="432"/>
      <c r="IHH122" s="432"/>
      <c r="IHI122" s="432"/>
      <c r="IHJ122" s="432"/>
      <c r="IHK122" s="432"/>
      <c r="IHL122" s="432"/>
      <c r="IHM122" s="432"/>
      <c r="IHN122" s="432"/>
      <c r="IHO122" s="432"/>
      <c r="IHP122" s="432"/>
      <c r="IHQ122" s="432"/>
      <c r="IHR122" s="432"/>
      <c r="IHS122" s="432"/>
      <c r="IHT122" s="432"/>
      <c r="IHU122" s="432"/>
      <c r="IHV122" s="432"/>
      <c r="IHW122" s="432"/>
      <c r="IHX122" s="432"/>
      <c r="IHY122" s="432"/>
      <c r="IHZ122" s="432"/>
      <c r="IIA122" s="432"/>
      <c r="IIB122" s="432"/>
      <c r="IIC122" s="432"/>
      <c r="IID122" s="432"/>
      <c r="IIE122" s="432"/>
      <c r="IIF122" s="432"/>
      <c r="IIG122" s="432"/>
      <c r="IIH122" s="432"/>
      <c r="III122" s="432"/>
      <c r="IIJ122" s="432"/>
      <c r="IIK122" s="432"/>
      <c r="IIL122" s="432"/>
      <c r="IIM122" s="432"/>
      <c r="IIN122" s="432"/>
      <c r="IIO122" s="432"/>
      <c r="IIP122" s="432"/>
      <c r="IIQ122" s="432"/>
      <c r="IIR122" s="432"/>
      <c r="IIS122" s="432"/>
      <c r="IIT122" s="432"/>
      <c r="IIU122" s="432"/>
      <c r="IIV122" s="432"/>
      <c r="IIW122" s="432"/>
      <c r="IIX122" s="432"/>
      <c r="IIY122" s="432"/>
      <c r="IIZ122" s="432"/>
      <c r="IJA122" s="432"/>
      <c r="IJB122" s="432"/>
      <c r="IJC122" s="432"/>
      <c r="IJD122" s="432"/>
      <c r="IJE122" s="432"/>
      <c r="IJF122" s="432"/>
      <c r="IJG122" s="432"/>
      <c r="IJH122" s="432"/>
      <c r="IJI122" s="432"/>
      <c r="IJJ122" s="432"/>
      <c r="IJK122" s="432"/>
      <c r="IJL122" s="432"/>
      <c r="IJM122" s="432"/>
      <c r="IJN122" s="432"/>
      <c r="IJO122" s="432"/>
      <c r="IJP122" s="432"/>
      <c r="IJQ122" s="432"/>
      <c r="IJR122" s="432"/>
      <c r="IJS122" s="432"/>
      <c r="IJT122" s="432"/>
      <c r="IJU122" s="432"/>
      <c r="IJV122" s="432"/>
      <c r="IJW122" s="432"/>
      <c r="IJX122" s="432"/>
      <c r="IJY122" s="432"/>
      <c r="IJZ122" s="432"/>
      <c r="IKA122" s="432"/>
      <c r="IKB122" s="432"/>
      <c r="IKC122" s="432"/>
      <c r="IKD122" s="432"/>
      <c r="IKE122" s="432"/>
      <c r="IKF122" s="432"/>
      <c r="IKG122" s="432"/>
      <c r="IKH122" s="432"/>
      <c r="IKI122" s="432"/>
      <c r="IKJ122" s="432"/>
      <c r="IKK122" s="432"/>
      <c r="IKL122" s="432"/>
      <c r="IKM122" s="432"/>
      <c r="IKN122" s="432"/>
      <c r="IKO122" s="432"/>
      <c r="IKP122" s="432"/>
      <c r="IKQ122" s="432"/>
      <c r="IKR122" s="432"/>
      <c r="IKS122" s="432"/>
      <c r="IKT122" s="432"/>
      <c r="IKU122" s="432"/>
      <c r="IKV122" s="432"/>
      <c r="IKW122" s="432"/>
      <c r="IKX122" s="432"/>
      <c r="IKY122" s="432"/>
      <c r="IKZ122" s="432"/>
      <c r="ILA122" s="432"/>
      <c r="ILB122" s="432"/>
      <c r="ILC122" s="432"/>
      <c r="ILD122" s="432"/>
      <c r="ILE122" s="432"/>
      <c r="ILF122" s="432"/>
      <c r="ILG122" s="432"/>
      <c r="ILH122" s="432"/>
      <c r="ILI122" s="432"/>
      <c r="ILJ122" s="432"/>
      <c r="ILK122" s="432"/>
      <c r="ILL122" s="432"/>
      <c r="ILM122" s="432"/>
      <c r="ILN122" s="432"/>
      <c r="ILO122" s="432"/>
      <c r="ILP122" s="432"/>
      <c r="ILQ122" s="432"/>
      <c r="ILR122" s="432"/>
      <c r="ILS122" s="432"/>
      <c r="ILT122" s="432"/>
      <c r="ILU122" s="432"/>
      <c r="ILV122" s="432"/>
      <c r="ILW122" s="432"/>
      <c r="ILX122" s="432"/>
      <c r="ILY122" s="432"/>
      <c r="ILZ122" s="432"/>
      <c r="IMA122" s="432"/>
      <c r="IMB122" s="432"/>
      <c r="IMC122" s="432"/>
      <c r="IMD122" s="432"/>
      <c r="IME122" s="432"/>
      <c r="IMF122" s="432"/>
      <c r="IMG122" s="432"/>
      <c r="IMH122" s="432"/>
      <c r="IMI122" s="432"/>
      <c r="IMJ122" s="432"/>
      <c r="IMK122" s="432"/>
      <c r="IML122" s="432"/>
      <c r="IMM122" s="432"/>
      <c r="IMN122" s="432"/>
      <c r="IMO122" s="432"/>
      <c r="IMP122" s="432"/>
      <c r="IMQ122" s="432"/>
      <c r="IMR122" s="432"/>
      <c r="IMS122" s="432"/>
      <c r="IMT122" s="432"/>
      <c r="IMU122" s="432"/>
      <c r="IMV122" s="432"/>
      <c r="IMW122" s="432"/>
      <c r="IMX122" s="432"/>
      <c r="IMY122" s="432"/>
      <c r="IMZ122" s="432"/>
      <c r="INA122" s="432"/>
      <c r="INB122" s="432"/>
      <c r="INC122" s="432"/>
      <c r="IND122" s="432"/>
      <c r="INE122" s="432"/>
      <c r="INF122" s="432"/>
      <c r="ING122" s="432"/>
      <c r="INH122" s="432"/>
      <c r="INI122" s="432"/>
      <c r="INJ122" s="432"/>
      <c r="INK122" s="432"/>
      <c r="INL122" s="432"/>
      <c r="INM122" s="432"/>
      <c r="INN122" s="432"/>
      <c r="INO122" s="432"/>
      <c r="INP122" s="432"/>
      <c r="INQ122" s="432"/>
      <c r="INR122" s="432"/>
      <c r="INS122" s="432"/>
      <c r="INT122" s="432"/>
      <c r="INU122" s="432"/>
      <c r="INV122" s="432"/>
      <c r="INW122" s="432"/>
      <c r="INX122" s="432"/>
      <c r="INY122" s="432"/>
      <c r="INZ122" s="432"/>
      <c r="IOA122" s="432"/>
      <c r="IOB122" s="432"/>
      <c r="IOC122" s="432"/>
      <c r="IOD122" s="432"/>
      <c r="IOE122" s="432"/>
      <c r="IOF122" s="432"/>
      <c r="IOG122" s="432"/>
      <c r="IOH122" s="432"/>
      <c r="IOI122" s="432"/>
      <c r="IOJ122" s="432"/>
      <c r="IOK122" s="432"/>
      <c r="IOL122" s="432"/>
      <c r="IOM122" s="432"/>
      <c r="ION122" s="432"/>
      <c r="IOO122" s="432"/>
      <c r="IOP122" s="432"/>
      <c r="IOQ122" s="432"/>
      <c r="IOR122" s="432"/>
      <c r="IOS122" s="432"/>
      <c r="IOT122" s="432"/>
      <c r="IOU122" s="432"/>
      <c r="IOV122" s="432"/>
      <c r="IOW122" s="432"/>
      <c r="IOX122" s="432"/>
      <c r="IOY122" s="432"/>
      <c r="IOZ122" s="432"/>
      <c r="IPA122" s="432"/>
      <c r="IPB122" s="432"/>
      <c r="IPC122" s="432"/>
      <c r="IPD122" s="432"/>
      <c r="IPE122" s="432"/>
      <c r="IPF122" s="432"/>
      <c r="IPG122" s="432"/>
      <c r="IPH122" s="432"/>
      <c r="IPI122" s="432"/>
      <c r="IPJ122" s="432"/>
      <c r="IPK122" s="432"/>
      <c r="IPL122" s="432"/>
      <c r="IPM122" s="432"/>
      <c r="IPN122" s="432"/>
      <c r="IPO122" s="432"/>
      <c r="IPP122" s="432"/>
      <c r="IPQ122" s="432"/>
      <c r="IPR122" s="432"/>
      <c r="IPS122" s="432"/>
      <c r="IPT122" s="432"/>
      <c r="IPU122" s="432"/>
      <c r="IPV122" s="432"/>
      <c r="IPW122" s="432"/>
      <c r="IPX122" s="432"/>
      <c r="IPY122" s="432"/>
      <c r="IPZ122" s="432"/>
      <c r="IQA122" s="432"/>
      <c r="IQB122" s="432"/>
      <c r="IQC122" s="432"/>
      <c r="IQD122" s="432"/>
      <c r="IQE122" s="432"/>
      <c r="IQF122" s="432"/>
      <c r="IQG122" s="432"/>
      <c r="IQH122" s="432"/>
      <c r="IQI122" s="432"/>
      <c r="IQJ122" s="432"/>
      <c r="IQK122" s="432"/>
      <c r="IQL122" s="432"/>
      <c r="IQM122" s="432"/>
      <c r="IQN122" s="432"/>
      <c r="IQO122" s="432"/>
      <c r="IQP122" s="432"/>
      <c r="IQQ122" s="432"/>
      <c r="IQR122" s="432"/>
      <c r="IQS122" s="432"/>
      <c r="IQT122" s="432"/>
      <c r="IQU122" s="432"/>
      <c r="IQV122" s="432"/>
      <c r="IQW122" s="432"/>
      <c r="IQX122" s="432"/>
      <c r="IQY122" s="432"/>
      <c r="IQZ122" s="432"/>
      <c r="IRA122" s="432"/>
      <c r="IRB122" s="432"/>
      <c r="IRC122" s="432"/>
      <c r="IRD122" s="432"/>
      <c r="IRE122" s="432"/>
      <c r="IRF122" s="432"/>
      <c r="IRG122" s="432"/>
      <c r="IRH122" s="432"/>
      <c r="IRI122" s="432"/>
      <c r="IRJ122" s="432"/>
      <c r="IRK122" s="432"/>
      <c r="IRL122" s="432"/>
      <c r="IRM122" s="432"/>
      <c r="IRN122" s="432"/>
      <c r="IRO122" s="432"/>
      <c r="IRP122" s="432"/>
      <c r="IRQ122" s="432"/>
      <c r="IRR122" s="432"/>
      <c r="IRS122" s="432"/>
      <c r="IRT122" s="432"/>
      <c r="IRU122" s="432"/>
      <c r="IRV122" s="432"/>
      <c r="IRW122" s="432"/>
      <c r="IRX122" s="432"/>
      <c r="IRY122" s="432"/>
      <c r="IRZ122" s="432"/>
      <c r="ISA122" s="432"/>
      <c r="ISB122" s="432"/>
      <c r="ISC122" s="432"/>
      <c r="ISD122" s="432"/>
      <c r="ISE122" s="432"/>
      <c r="ISF122" s="432"/>
      <c r="ISG122" s="432"/>
      <c r="ISH122" s="432"/>
      <c r="ISI122" s="432"/>
      <c r="ISJ122" s="432"/>
      <c r="ISK122" s="432"/>
      <c r="ISL122" s="432"/>
      <c r="ISM122" s="432"/>
      <c r="ISN122" s="432"/>
      <c r="ISO122" s="432"/>
      <c r="ISP122" s="432"/>
      <c r="ISQ122" s="432"/>
      <c r="ISR122" s="432"/>
      <c r="ISS122" s="432"/>
      <c r="IST122" s="432"/>
      <c r="ISU122" s="432"/>
      <c r="ISV122" s="432"/>
      <c r="ISW122" s="432"/>
      <c r="ISX122" s="432"/>
      <c r="ISY122" s="432"/>
      <c r="ISZ122" s="432"/>
      <c r="ITA122" s="432"/>
      <c r="ITB122" s="432"/>
      <c r="ITC122" s="432"/>
      <c r="ITD122" s="432"/>
      <c r="ITE122" s="432"/>
      <c r="ITF122" s="432"/>
      <c r="ITG122" s="432"/>
      <c r="ITH122" s="432"/>
      <c r="ITI122" s="432"/>
      <c r="ITJ122" s="432"/>
      <c r="ITK122" s="432"/>
      <c r="ITL122" s="432"/>
      <c r="ITM122" s="432"/>
      <c r="ITN122" s="432"/>
      <c r="ITO122" s="432"/>
      <c r="ITP122" s="432"/>
      <c r="ITQ122" s="432"/>
      <c r="ITR122" s="432"/>
      <c r="ITS122" s="432"/>
      <c r="ITT122" s="432"/>
      <c r="ITU122" s="432"/>
      <c r="ITV122" s="432"/>
      <c r="ITW122" s="432"/>
      <c r="ITX122" s="432"/>
      <c r="ITY122" s="432"/>
      <c r="ITZ122" s="432"/>
      <c r="IUA122" s="432"/>
      <c r="IUB122" s="432"/>
      <c r="IUC122" s="432"/>
      <c r="IUD122" s="432"/>
      <c r="IUE122" s="432"/>
      <c r="IUF122" s="432"/>
      <c r="IUG122" s="432"/>
      <c r="IUH122" s="432"/>
      <c r="IUI122" s="432"/>
      <c r="IUJ122" s="432"/>
      <c r="IUK122" s="432"/>
      <c r="IUL122" s="432"/>
      <c r="IUM122" s="432"/>
      <c r="IUN122" s="432"/>
      <c r="IUO122" s="432"/>
      <c r="IUP122" s="432"/>
      <c r="IUQ122" s="432"/>
      <c r="IUR122" s="432"/>
      <c r="IUS122" s="432"/>
      <c r="IUT122" s="432"/>
      <c r="IUU122" s="432"/>
      <c r="IUV122" s="432"/>
      <c r="IUW122" s="432"/>
      <c r="IUX122" s="432"/>
      <c r="IUY122" s="432"/>
      <c r="IUZ122" s="432"/>
      <c r="IVA122" s="432"/>
      <c r="IVB122" s="432"/>
      <c r="IVC122" s="432"/>
      <c r="IVD122" s="432"/>
      <c r="IVE122" s="432"/>
      <c r="IVF122" s="432"/>
      <c r="IVG122" s="432"/>
      <c r="IVH122" s="432"/>
      <c r="IVI122" s="432"/>
      <c r="IVJ122" s="432"/>
      <c r="IVK122" s="432"/>
      <c r="IVL122" s="432"/>
      <c r="IVM122" s="432"/>
      <c r="IVN122" s="432"/>
      <c r="IVO122" s="432"/>
      <c r="IVP122" s="432"/>
      <c r="IVQ122" s="432"/>
      <c r="IVR122" s="432"/>
      <c r="IVS122" s="432"/>
      <c r="IVT122" s="432"/>
      <c r="IVU122" s="432"/>
      <c r="IVV122" s="432"/>
      <c r="IVW122" s="432"/>
      <c r="IVX122" s="432"/>
      <c r="IVY122" s="432"/>
      <c r="IVZ122" s="432"/>
      <c r="IWA122" s="432"/>
      <c r="IWB122" s="432"/>
      <c r="IWC122" s="432"/>
      <c r="IWD122" s="432"/>
      <c r="IWE122" s="432"/>
      <c r="IWF122" s="432"/>
      <c r="IWG122" s="432"/>
      <c r="IWH122" s="432"/>
      <c r="IWI122" s="432"/>
      <c r="IWJ122" s="432"/>
      <c r="IWK122" s="432"/>
      <c r="IWL122" s="432"/>
      <c r="IWM122" s="432"/>
      <c r="IWN122" s="432"/>
      <c r="IWO122" s="432"/>
      <c r="IWP122" s="432"/>
      <c r="IWQ122" s="432"/>
      <c r="IWR122" s="432"/>
      <c r="IWS122" s="432"/>
      <c r="IWT122" s="432"/>
      <c r="IWU122" s="432"/>
      <c r="IWV122" s="432"/>
      <c r="IWW122" s="432"/>
      <c r="IWX122" s="432"/>
      <c r="IWY122" s="432"/>
      <c r="IWZ122" s="432"/>
      <c r="IXA122" s="432"/>
      <c r="IXB122" s="432"/>
      <c r="IXC122" s="432"/>
      <c r="IXD122" s="432"/>
      <c r="IXE122" s="432"/>
      <c r="IXF122" s="432"/>
      <c r="IXG122" s="432"/>
      <c r="IXH122" s="432"/>
      <c r="IXI122" s="432"/>
      <c r="IXJ122" s="432"/>
      <c r="IXK122" s="432"/>
      <c r="IXL122" s="432"/>
      <c r="IXM122" s="432"/>
      <c r="IXN122" s="432"/>
      <c r="IXO122" s="432"/>
      <c r="IXP122" s="432"/>
      <c r="IXQ122" s="432"/>
      <c r="IXR122" s="432"/>
      <c r="IXS122" s="432"/>
      <c r="IXT122" s="432"/>
      <c r="IXU122" s="432"/>
      <c r="IXV122" s="432"/>
      <c r="IXW122" s="432"/>
      <c r="IXX122" s="432"/>
      <c r="IXY122" s="432"/>
      <c r="IXZ122" s="432"/>
      <c r="IYA122" s="432"/>
      <c r="IYB122" s="432"/>
      <c r="IYC122" s="432"/>
      <c r="IYD122" s="432"/>
      <c r="IYE122" s="432"/>
      <c r="IYF122" s="432"/>
      <c r="IYG122" s="432"/>
      <c r="IYH122" s="432"/>
      <c r="IYI122" s="432"/>
      <c r="IYJ122" s="432"/>
      <c r="IYK122" s="432"/>
      <c r="IYL122" s="432"/>
      <c r="IYM122" s="432"/>
      <c r="IYN122" s="432"/>
      <c r="IYO122" s="432"/>
      <c r="IYP122" s="432"/>
      <c r="IYQ122" s="432"/>
      <c r="IYR122" s="432"/>
      <c r="IYS122" s="432"/>
      <c r="IYT122" s="432"/>
      <c r="IYU122" s="432"/>
      <c r="IYV122" s="432"/>
      <c r="IYW122" s="432"/>
      <c r="IYX122" s="432"/>
      <c r="IYY122" s="432"/>
      <c r="IYZ122" s="432"/>
      <c r="IZA122" s="432"/>
      <c r="IZB122" s="432"/>
      <c r="IZC122" s="432"/>
      <c r="IZD122" s="432"/>
      <c r="IZE122" s="432"/>
      <c r="IZF122" s="432"/>
      <c r="IZG122" s="432"/>
      <c r="IZH122" s="432"/>
      <c r="IZI122" s="432"/>
      <c r="IZJ122" s="432"/>
      <c r="IZK122" s="432"/>
      <c r="IZL122" s="432"/>
      <c r="IZM122" s="432"/>
      <c r="IZN122" s="432"/>
      <c r="IZO122" s="432"/>
      <c r="IZP122" s="432"/>
      <c r="IZQ122" s="432"/>
      <c r="IZR122" s="432"/>
      <c r="IZS122" s="432"/>
      <c r="IZT122" s="432"/>
      <c r="IZU122" s="432"/>
      <c r="IZV122" s="432"/>
      <c r="IZW122" s="432"/>
      <c r="IZX122" s="432"/>
      <c r="IZY122" s="432"/>
      <c r="IZZ122" s="432"/>
      <c r="JAA122" s="432"/>
      <c r="JAB122" s="432"/>
      <c r="JAC122" s="432"/>
      <c r="JAD122" s="432"/>
      <c r="JAE122" s="432"/>
      <c r="JAF122" s="432"/>
      <c r="JAG122" s="432"/>
      <c r="JAH122" s="432"/>
      <c r="JAI122" s="432"/>
      <c r="JAJ122" s="432"/>
      <c r="JAK122" s="432"/>
      <c r="JAL122" s="432"/>
      <c r="JAM122" s="432"/>
      <c r="JAN122" s="432"/>
      <c r="JAO122" s="432"/>
      <c r="JAP122" s="432"/>
      <c r="JAQ122" s="432"/>
      <c r="JAR122" s="432"/>
      <c r="JAS122" s="432"/>
      <c r="JAT122" s="432"/>
      <c r="JAU122" s="432"/>
      <c r="JAV122" s="432"/>
      <c r="JAW122" s="432"/>
      <c r="JAX122" s="432"/>
      <c r="JAY122" s="432"/>
      <c r="JAZ122" s="432"/>
      <c r="JBA122" s="432"/>
      <c r="JBB122" s="432"/>
      <c r="JBC122" s="432"/>
      <c r="JBD122" s="432"/>
      <c r="JBE122" s="432"/>
      <c r="JBF122" s="432"/>
      <c r="JBG122" s="432"/>
      <c r="JBH122" s="432"/>
      <c r="JBI122" s="432"/>
      <c r="JBJ122" s="432"/>
      <c r="JBK122" s="432"/>
      <c r="JBL122" s="432"/>
      <c r="JBM122" s="432"/>
      <c r="JBN122" s="432"/>
      <c r="JBO122" s="432"/>
      <c r="JBP122" s="432"/>
      <c r="JBQ122" s="432"/>
      <c r="JBR122" s="432"/>
      <c r="JBS122" s="432"/>
      <c r="JBT122" s="432"/>
      <c r="JBU122" s="432"/>
      <c r="JBV122" s="432"/>
      <c r="JBW122" s="432"/>
      <c r="JBX122" s="432"/>
      <c r="JBY122" s="432"/>
      <c r="JBZ122" s="432"/>
      <c r="JCA122" s="432"/>
      <c r="JCB122" s="432"/>
      <c r="JCC122" s="432"/>
      <c r="JCD122" s="432"/>
      <c r="JCE122" s="432"/>
      <c r="JCF122" s="432"/>
      <c r="JCG122" s="432"/>
      <c r="JCH122" s="432"/>
      <c r="JCI122" s="432"/>
      <c r="JCJ122" s="432"/>
      <c r="JCK122" s="432"/>
      <c r="JCL122" s="432"/>
      <c r="JCM122" s="432"/>
      <c r="JCN122" s="432"/>
      <c r="JCO122" s="432"/>
      <c r="JCP122" s="432"/>
      <c r="JCQ122" s="432"/>
      <c r="JCR122" s="432"/>
      <c r="JCS122" s="432"/>
      <c r="JCT122" s="432"/>
      <c r="JCU122" s="432"/>
      <c r="JCV122" s="432"/>
      <c r="JCW122" s="432"/>
      <c r="JCX122" s="432"/>
      <c r="JCY122" s="432"/>
      <c r="JCZ122" s="432"/>
      <c r="JDA122" s="432"/>
      <c r="JDB122" s="432"/>
      <c r="JDC122" s="432"/>
      <c r="JDD122" s="432"/>
      <c r="JDE122" s="432"/>
      <c r="JDF122" s="432"/>
      <c r="JDG122" s="432"/>
      <c r="JDH122" s="432"/>
      <c r="JDI122" s="432"/>
      <c r="JDJ122" s="432"/>
      <c r="JDK122" s="432"/>
      <c r="JDL122" s="432"/>
      <c r="JDM122" s="432"/>
      <c r="JDN122" s="432"/>
      <c r="JDO122" s="432"/>
      <c r="JDP122" s="432"/>
      <c r="JDQ122" s="432"/>
      <c r="JDR122" s="432"/>
      <c r="JDS122" s="432"/>
      <c r="JDT122" s="432"/>
      <c r="JDU122" s="432"/>
      <c r="JDV122" s="432"/>
      <c r="JDW122" s="432"/>
      <c r="JDX122" s="432"/>
      <c r="JDY122" s="432"/>
      <c r="JDZ122" s="432"/>
      <c r="JEA122" s="432"/>
      <c r="JEB122" s="432"/>
      <c r="JEC122" s="432"/>
      <c r="JED122" s="432"/>
      <c r="JEE122" s="432"/>
      <c r="JEF122" s="432"/>
      <c r="JEG122" s="432"/>
      <c r="JEH122" s="432"/>
      <c r="JEI122" s="432"/>
      <c r="JEJ122" s="432"/>
      <c r="JEK122" s="432"/>
      <c r="JEL122" s="432"/>
      <c r="JEM122" s="432"/>
      <c r="JEN122" s="432"/>
      <c r="JEO122" s="432"/>
      <c r="JEP122" s="432"/>
      <c r="JEQ122" s="432"/>
      <c r="JER122" s="432"/>
      <c r="JES122" s="432"/>
      <c r="JET122" s="432"/>
      <c r="JEU122" s="432"/>
      <c r="JEV122" s="432"/>
      <c r="JEW122" s="432"/>
      <c r="JEX122" s="432"/>
      <c r="JEY122" s="432"/>
      <c r="JEZ122" s="432"/>
      <c r="JFA122" s="432"/>
      <c r="JFB122" s="432"/>
      <c r="JFC122" s="432"/>
      <c r="JFD122" s="432"/>
      <c r="JFE122" s="432"/>
      <c r="JFF122" s="432"/>
      <c r="JFG122" s="432"/>
      <c r="JFH122" s="432"/>
      <c r="JFI122" s="432"/>
      <c r="JFJ122" s="432"/>
      <c r="JFK122" s="432"/>
      <c r="JFL122" s="432"/>
      <c r="JFM122" s="432"/>
      <c r="JFN122" s="432"/>
      <c r="JFO122" s="432"/>
      <c r="JFP122" s="432"/>
      <c r="JFQ122" s="432"/>
      <c r="JFR122" s="432"/>
      <c r="JFS122" s="432"/>
      <c r="JFT122" s="432"/>
      <c r="JFU122" s="432"/>
      <c r="JFV122" s="432"/>
      <c r="JFW122" s="432"/>
      <c r="JFX122" s="432"/>
      <c r="JFY122" s="432"/>
      <c r="JFZ122" s="432"/>
      <c r="JGA122" s="432"/>
      <c r="JGB122" s="432"/>
      <c r="JGC122" s="432"/>
      <c r="JGD122" s="432"/>
      <c r="JGE122" s="432"/>
      <c r="JGF122" s="432"/>
      <c r="JGG122" s="432"/>
      <c r="JGH122" s="432"/>
      <c r="JGI122" s="432"/>
      <c r="JGJ122" s="432"/>
      <c r="JGK122" s="432"/>
      <c r="JGL122" s="432"/>
      <c r="JGM122" s="432"/>
      <c r="JGN122" s="432"/>
      <c r="JGO122" s="432"/>
      <c r="JGP122" s="432"/>
      <c r="JGQ122" s="432"/>
      <c r="JGR122" s="432"/>
      <c r="JGS122" s="432"/>
      <c r="JGT122" s="432"/>
      <c r="JGU122" s="432"/>
      <c r="JGV122" s="432"/>
      <c r="JGW122" s="432"/>
      <c r="JGX122" s="432"/>
      <c r="JGY122" s="432"/>
      <c r="JGZ122" s="432"/>
      <c r="JHA122" s="432"/>
      <c r="JHB122" s="432"/>
      <c r="JHC122" s="432"/>
      <c r="JHD122" s="432"/>
      <c r="JHE122" s="432"/>
      <c r="JHF122" s="432"/>
      <c r="JHG122" s="432"/>
      <c r="JHH122" s="432"/>
      <c r="JHI122" s="432"/>
      <c r="JHJ122" s="432"/>
      <c r="JHK122" s="432"/>
      <c r="JHL122" s="432"/>
      <c r="JHM122" s="432"/>
      <c r="JHN122" s="432"/>
      <c r="JHO122" s="432"/>
      <c r="JHP122" s="432"/>
      <c r="JHQ122" s="432"/>
      <c r="JHR122" s="432"/>
      <c r="JHS122" s="432"/>
      <c r="JHT122" s="432"/>
      <c r="JHU122" s="432"/>
      <c r="JHV122" s="432"/>
      <c r="JHW122" s="432"/>
      <c r="JHX122" s="432"/>
      <c r="JHY122" s="432"/>
      <c r="JHZ122" s="432"/>
      <c r="JIA122" s="432"/>
      <c r="JIB122" s="432"/>
      <c r="JIC122" s="432"/>
      <c r="JID122" s="432"/>
      <c r="JIE122" s="432"/>
      <c r="JIF122" s="432"/>
      <c r="JIG122" s="432"/>
      <c r="JIH122" s="432"/>
      <c r="JII122" s="432"/>
      <c r="JIJ122" s="432"/>
      <c r="JIK122" s="432"/>
      <c r="JIL122" s="432"/>
      <c r="JIM122" s="432"/>
      <c r="JIN122" s="432"/>
      <c r="JIO122" s="432"/>
      <c r="JIP122" s="432"/>
      <c r="JIQ122" s="432"/>
      <c r="JIR122" s="432"/>
      <c r="JIS122" s="432"/>
      <c r="JIT122" s="432"/>
      <c r="JIU122" s="432"/>
      <c r="JIV122" s="432"/>
      <c r="JIW122" s="432"/>
      <c r="JIX122" s="432"/>
      <c r="JIY122" s="432"/>
      <c r="JIZ122" s="432"/>
      <c r="JJA122" s="432"/>
      <c r="JJB122" s="432"/>
      <c r="JJC122" s="432"/>
      <c r="JJD122" s="432"/>
      <c r="JJE122" s="432"/>
      <c r="JJF122" s="432"/>
      <c r="JJG122" s="432"/>
      <c r="JJH122" s="432"/>
      <c r="JJI122" s="432"/>
      <c r="JJJ122" s="432"/>
      <c r="JJK122" s="432"/>
      <c r="JJL122" s="432"/>
      <c r="JJM122" s="432"/>
      <c r="JJN122" s="432"/>
      <c r="JJO122" s="432"/>
      <c r="JJP122" s="432"/>
      <c r="JJQ122" s="432"/>
      <c r="JJR122" s="432"/>
      <c r="JJS122" s="432"/>
      <c r="JJT122" s="432"/>
      <c r="JJU122" s="432"/>
      <c r="JJV122" s="432"/>
      <c r="JJW122" s="432"/>
      <c r="JJX122" s="432"/>
      <c r="JJY122" s="432"/>
      <c r="JJZ122" s="432"/>
      <c r="JKA122" s="432"/>
      <c r="JKB122" s="432"/>
      <c r="JKC122" s="432"/>
      <c r="JKD122" s="432"/>
      <c r="JKE122" s="432"/>
      <c r="JKF122" s="432"/>
      <c r="JKG122" s="432"/>
      <c r="JKH122" s="432"/>
      <c r="JKI122" s="432"/>
      <c r="JKJ122" s="432"/>
      <c r="JKK122" s="432"/>
      <c r="JKL122" s="432"/>
      <c r="JKM122" s="432"/>
      <c r="JKN122" s="432"/>
      <c r="JKO122" s="432"/>
      <c r="JKP122" s="432"/>
      <c r="JKQ122" s="432"/>
      <c r="JKR122" s="432"/>
      <c r="JKS122" s="432"/>
      <c r="JKT122" s="432"/>
      <c r="JKU122" s="432"/>
      <c r="JKV122" s="432"/>
      <c r="JKW122" s="432"/>
      <c r="JKX122" s="432"/>
      <c r="JKY122" s="432"/>
      <c r="JKZ122" s="432"/>
      <c r="JLA122" s="432"/>
      <c r="JLB122" s="432"/>
      <c r="JLC122" s="432"/>
      <c r="JLD122" s="432"/>
      <c r="JLE122" s="432"/>
      <c r="JLF122" s="432"/>
      <c r="JLG122" s="432"/>
      <c r="JLH122" s="432"/>
      <c r="JLI122" s="432"/>
      <c r="JLJ122" s="432"/>
      <c r="JLK122" s="432"/>
      <c r="JLL122" s="432"/>
      <c r="JLM122" s="432"/>
      <c r="JLN122" s="432"/>
      <c r="JLO122" s="432"/>
      <c r="JLP122" s="432"/>
      <c r="JLQ122" s="432"/>
      <c r="JLR122" s="432"/>
      <c r="JLS122" s="432"/>
      <c r="JLT122" s="432"/>
      <c r="JLU122" s="432"/>
      <c r="JLV122" s="432"/>
      <c r="JLW122" s="432"/>
      <c r="JLX122" s="432"/>
      <c r="JLY122" s="432"/>
      <c r="JLZ122" s="432"/>
      <c r="JMA122" s="432"/>
      <c r="JMB122" s="432"/>
      <c r="JMC122" s="432"/>
      <c r="JMD122" s="432"/>
      <c r="JME122" s="432"/>
      <c r="JMF122" s="432"/>
      <c r="JMG122" s="432"/>
      <c r="JMH122" s="432"/>
      <c r="JMI122" s="432"/>
      <c r="JMJ122" s="432"/>
      <c r="JMK122" s="432"/>
      <c r="JML122" s="432"/>
      <c r="JMM122" s="432"/>
      <c r="JMN122" s="432"/>
      <c r="JMO122" s="432"/>
      <c r="JMP122" s="432"/>
      <c r="JMQ122" s="432"/>
      <c r="JMR122" s="432"/>
      <c r="JMS122" s="432"/>
      <c r="JMT122" s="432"/>
      <c r="JMU122" s="432"/>
      <c r="JMV122" s="432"/>
      <c r="JMW122" s="432"/>
      <c r="JMX122" s="432"/>
      <c r="JMY122" s="432"/>
      <c r="JMZ122" s="432"/>
      <c r="JNA122" s="432"/>
      <c r="JNB122" s="432"/>
      <c r="JNC122" s="432"/>
      <c r="JND122" s="432"/>
      <c r="JNE122" s="432"/>
      <c r="JNF122" s="432"/>
      <c r="JNG122" s="432"/>
      <c r="JNH122" s="432"/>
      <c r="JNI122" s="432"/>
      <c r="JNJ122" s="432"/>
      <c r="JNK122" s="432"/>
      <c r="JNL122" s="432"/>
      <c r="JNM122" s="432"/>
      <c r="JNN122" s="432"/>
      <c r="JNO122" s="432"/>
      <c r="JNP122" s="432"/>
      <c r="JNQ122" s="432"/>
      <c r="JNR122" s="432"/>
      <c r="JNS122" s="432"/>
      <c r="JNT122" s="432"/>
      <c r="JNU122" s="432"/>
      <c r="JNV122" s="432"/>
      <c r="JNW122" s="432"/>
      <c r="JNX122" s="432"/>
      <c r="JNY122" s="432"/>
      <c r="JNZ122" s="432"/>
      <c r="JOA122" s="432"/>
      <c r="JOB122" s="432"/>
      <c r="JOC122" s="432"/>
      <c r="JOD122" s="432"/>
      <c r="JOE122" s="432"/>
      <c r="JOF122" s="432"/>
      <c r="JOG122" s="432"/>
      <c r="JOH122" s="432"/>
      <c r="JOI122" s="432"/>
      <c r="JOJ122" s="432"/>
      <c r="JOK122" s="432"/>
      <c r="JOL122" s="432"/>
      <c r="JOM122" s="432"/>
      <c r="JON122" s="432"/>
      <c r="JOO122" s="432"/>
      <c r="JOP122" s="432"/>
      <c r="JOQ122" s="432"/>
      <c r="JOR122" s="432"/>
      <c r="JOS122" s="432"/>
      <c r="JOT122" s="432"/>
      <c r="JOU122" s="432"/>
      <c r="JOV122" s="432"/>
      <c r="JOW122" s="432"/>
      <c r="JOX122" s="432"/>
      <c r="JOY122" s="432"/>
      <c r="JOZ122" s="432"/>
      <c r="JPA122" s="432"/>
      <c r="JPB122" s="432"/>
      <c r="JPC122" s="432"/>
      <c r="JPD122" s="432"/>
      <c r="JPE122" s="432"/>
      <c r="JPF122" s="432"/>
      <c r="JPG122" s="432"/>
      <c r="JPH122" s="432"/>
      <c r="JPI122" s="432"/>
      <c r="JPJ122" s="432"/>
      <c r="JPK122" s="432"/>
      <c r="JPL122" s="432"/>
      <c r="JPM122" s="432"/>
      <c r="JPN122" s="432"/>
      <c r="JPO122" s="432"/>
      <c r="JPP122" s="432"/>
      <c r="JPQ122" s="432"/>
      <c r="JPR122" s="432"/>
      <c r="JPS122" s="432"/>
      <c r="JPT122" s="432"/>
      <c r="JPU122" s="432"/>
      <c r="JPV122" s="432"/>
      <c r="JPW122" s="432"/>
      <c r="JPX122" s="432"/>
      <c r="JPY122" s="432"/>
      <c r="JPZ122" s="432"/>
      <c r="JQA122" s="432"/>
      <c r="JQB122" s="432"/>
      <c r="JQC122" s="432"/>
      <c r="JQD122" s="432"/>
      <c r="JQE122" s="432"/>
      <c r="JQF122" s="432"/>
      <c r="JQG122" s="432"/>
      <c r="JQH122" s="432"/>
      <c r="JQI122" s="432"/>
      <c r="JQJ122" s="432"/>
      <c r="JQK122" s="432"/>
      <c r="JQL122" s="432"/>
      <c r="JQM122" s="432"/>
      <c r="JQN122" s="432"/>
      <c r="JQO122" s="432"/>
      <c r="JQP122" s="432"/>
      <c r="JQQ122" s="432"/>
      <c r="JQR122" s="432"/>
      <c r="JQS122" s="432"/>
      <c r="JQT122" s="432"/>
      <c r="JQU122" s="432"/>
      <c r="JQV122" s="432"/>
      <c r="JQW122" s="432"/>
      <c r="JQX122" s="432"/>
      <c r="JQY122" s="432"/>
      <c r="JQZ122" s="432"/>
      <c r="JRA122" s="432"/>
      <c r="JRB122" s="432"/>
      <c r="JRC122" s="432"/>
      <c r="JRD122" s="432"/>
      <c r="JRE122" s="432"/>
      <c r="JRF122" s="432"/>
      <c r="JRG122" s="432"/>
      <c r="JRH122" s="432"/>
      <c r="JRI122" s="432"/>
      <c r="JRJ122" s="432"/>
      <c r="JRK122" s="432"/>
      <c r="JRL122" s="432"/>
      <c r="JRM122" s="432"/>
      <c r="JRN122" s="432"/>
      <c r="JRO122" s="432"/>
      <c r="JRP122" s="432"/>
      <c r="JRQ122" s="432"/>
      <c r="JRR122" s="432"/>
      <c r="JRS122" s="432"/>
      <c r="JRT122" s="432"/>
      <c r="JRU122" s="432"/>
      <c r="JRV122" s="432"/>
      <c r="JRW122" s="432"/>
      <c r="JRX122" s="432"/>
      <c r="JRY122" s="432"/>
      <c r="JRZ122" s="432"/>
      <c r="JSA122" s="432"/>
      <c r="JSB122" s="432"/>
      <c r="JSC122" s="432"/>
      <c r="JSD122" s="432"/>
      <c r="JSE122" s="432"/>
      <c r="JSF122" s="432"/>
      <c r="JSG122" s="432"/>
      <c r="JSH122" s="432"/>
      <c r="JSI122" s="432"/>
      <c r="JSJ122" s="432"/>
      <c r="JSK122" s="432"/>
      <c r="JSL122" s="432"/>
      <c r="JSM122" s="432"/>
      <c r="JSN122" s="432"/>
      <c r="JSO122" s="432"/>
      <c r="JSP122" s="432"/>
      <c r="JSQ122" s="432"/>
      <c r="JSR122" s="432"/>
      <c r="JSS122" s="432"/>
      <c r="JST122" s="432"/>
      <c r="JSU122" s="432"/>
      <c r="JSV122" s="432"/>
      <c r="JSW122" s="432"/>
      <c r="JSX122" s="432"/>
      <c r="JSY122" s="432"/>
      <c r="JSZ122" s="432"/>
      <c r="JTA122" s="432"/>
      <c r="JTB122" s="432"/>
      <c r="JTC122" s="432"/>
      <c r="JTD122" s="432"/>
      <c r="JTE122" s="432"/>
      <c r="JTF122" s="432"/>
      <c r="JTG122" s="432"/>
      <c r="JTH122" s="432"/>
      <c r="JTI122" s="432"/>
      <c r="JTJ122" s="432"/>
      <c r="JTK122" s="432"/>
      <c r="JTL122" s="432"/>
      <c r="JTM122" s="432"/>
      <c r="JTN122" s="432"/>
      <c r="JTO122" s="432"/>
      <c r="JTP122" s="432"/>
      <c r="JTQ122" s="432"/>
      <c r="JTR122" s="432"/>
      <c r="JTS122" s="432"/>
      <c r="JTT122" s="432"/>
      <c r="JTU122" s="432"/>
      <c r="JTV122" s="432"/>
      <c r="JTW122" s="432"/>
      <c r="JTX122" s="432"/>
      <c r="JTY122" s="432"/>
      <c r="JTZ122" s="432"/>
      <c r="JUA122" s="432"/>
      <c r="JUB122" s="432"/>
      <c r="JUC122" s="432"/>
      <c r="JUD122" s="432"/>
      <c r="JUE122" s="432"/>
      <c r="JUF122" s="432"/>
      <c r="JUG122" s="432"/>
      <c r="JUH122" s="432"/>
      <c r="JUI122" s="432"/>
      <c r="JUJ122" s="432"/>
      <c r="JUK122" s="432"/>
      <c r="JUL122" s="432"/>
      <c r="JUM122" s="432"/>
      <c r="JUN122" s="432"/>
      <c r="JUO122" s="432"/>
      <c r="JUP122" s="432"/>
      <c r="JUQ122" s="432"/>
      <c r="JUR122" s="432"/>
      <c r="JUS122" s="432"/>
      <c r="JUT122" s="432"/>
      <c r="JUU122" s="432"/>
      <c r="JUV122" s="432"/>
      <c r="JUW122" s="432"/>
      <c r="JUX122" s="432"/>
      <c r="JUY122" s="432"/>
      <c r="JUZ122" s="432"/>
      <c r="JVA122" s="432"/>
      <c r="JVB122" s="432"/>
      <c r="JVC122" s="432"/>
      <c r="JVD122" s="432"/>
      <c r="JVE122" s="432"/>
      <c r="JVF122" s="432"/>
      <c r="JVG122" s="432"/>
      <c r="JVH122" s="432"/>
      <c r="JVI122" s="432"/>
      <c r="JVJ122" s="432"/>
      <c r="JVK122" s="432"/>
      <c r="JVL122" s="432"/>
      <c r="JVM122" s="432"/>
      <c r="JVN122" s="432"/>
      <c r="JVO122" s="432"/>
      <c r="JVP122" s="432"/>
      <c r="JVQ122" s="432"/>
      <c r="JVR122" s="432"/>
      <c r="JVS122" s="432"/>
      <c r="JVT122" s="432"/>
      <c r="JVU122" s="432"/>
      <c r="JVV122" s="432"/>
      <c r="JVW122" s="432"/>
      <c r="JVX122" s="432"/>
      <c r="JVY122" s="432"/>
      <c r="JVZ122" s="432"/>
      <c r="JWA122" s="432"/>
      <c r="JWB122" s="432"/>
      <c r="JWC122" s="432"/>
      <c r="JWD122" s="432"/>
      <c r="JWE122" s="432"/>
      <c r="JWF122" s="432"/>
      <c r="JWG122" s="432"/>
      <c r="JWH122" s="432"/>
      <c r="JWI122" s="432"/>
      <c r="JWJ122" s="432"/>
      <c r="JWK122" s="432"/>
      <c r="JWL122" s="432"/>
      <c r="JWM122" s="432"/>
      <c r="JWN122" s="432"/>
      <c r="JWO122" s="432"/>
      <c r="JWP122" s="432"/>
      <c r="JWQ122" s="432"/>
      <c r="JWR122" s="432"/>
      <c r="JWS122" s="432"/>
      <c r="JWT122" s="432"/>
      <c r="JWU122" s="432"/>
      <c r="JWV122" s="432"/>
      <c r="JWW122" s="432"/>
      <c r="JWX122" s="432"/>
      <c r="JWY122" s="432"/>
      <c r="JWZ122" s="432"/>
      <c r="JXA122" s="432"/>
      <c r="JXB122" s="432"/>
      <c r="JXC122" s="432"/>
      <c r="JXD122" s="432"/>
      <c r="JXE122" s="432"/>
      <c r="JXF122" s="432"/>
      <c r="JXG122" s="432"/>
      <c r="JXH122" s="432"/>
      <c r="JXI122" s="432"/>
      <c r="JXJ122" s="432"/>
      <c r="JXK122" s="432"/>
      <c r="JXL122" s="432"/>
      <c r="JXM122" s="432"/>
      <c r="JXN122" s="432"/>
      <c r="JXO122" s="432"/>
      <c r="JXP122" s="432"/>
      <c r="JXQ122" s="432"/>
      <c r="JXR122" s="432"/>
      <c r="JXS122" s="432"/>
      <c r="JXT122" s="432"/>
      <c r="JXU122" s="432"/>
      <c r="JXV122" s="432"/>
      <c r="JXW122" s="432"/>
      <c r="JXX122" s="432"/>
      <c r="JXY122" s="432"/>
      <c r="JXZ122" s="432"/>
      <c r="JYA122" s="432"/>
      <c r="JYB122" s="432"/>
      <c r="JYC122" s="432"/>
      <c r="JYD122" s="432"/>
      <c r="JYE122" s="432"/>
      <c r="JYF122" s="432"/>
      <c r="JYG122" s="432"/>
      <c r="JYH122" s="432"/>
      <c r="JYI122" s="432"/>
      <c r="JYJ122" s="432"/>
      <c r="JYK122" s="432"/>
      <c r="JYL122" s="432"/>
      <c r="JYM122" s="432"/>
      <c r="JYN122" s="432"/>
      <c r="JYO122" s="432"/>
      <c r="JYP122" s="432"/>
      <c r="JYQ122" s="432"/>
      <c r="JYR122" s="432"/>
      <c r="JYS122" s="432"/>
      <c r="JYT122" s="432"/>
      <c r="JYU122" s="432"/>
      <c r="JYV122" s="432"/>
      <c r="JYW122" s="432"/>
      <c r="JYX122" s="432"/>
      <c r="JYY122" s="432"/>
      <c r="JYZ122" s="432"/>
      <c r="JZA122" s="432"/>
      <c r="JZB122" s="432"/>
      <c r="JZC122" s="432"/>
      <c r="JZD122" s="432"/>
      <c r="JZE122" s="432"/>
      <c r="JZF122" s="432"/>
      <c r="JZG122" s="432"/>
      <c r="JZH122" s="432"/>
      <c r="JZI122" s="432"/>
      <c r="JZJ122" s="432"/>
      <c r="JZK122" s="432"/>
      <c r="JZL122" s="432"/>
      <c r="JZM122" s="432"/>
      <c r="JZN122" s="432"/>
      <c r="JZO122" s="432"/>
      <c r="JZP122" s="432"/>
      <c r="JZQ122" s="432"/>
      <c r="JZR122" s="432"/>
      <c r="JZS122" s="432"/>
      <c r="JZT122" s="432"/>
      <c r="JZU122" s="432"/>
      <c r="JZV122" s="432"/>
      <c r="JZW122" s="432"/>
      <c r="JZX122" s="432"/>
      <c r="JZY122" s="432"/>
      <c r="JZZ122" s="432"/>
      <c r="KAA122" s="432"/>
      <c r="KAB122" s="432"/>
      <c r="KAC122" s="432"/>
      <c r="KAD122" s="432"/>
      <c r="KAE122" s="432"/>
      <c r="KAF122" s="432"/>
      <c r="KAG122" s="432"/>
      <c r="KAH122" s="432"/>
      <c r="KAI122" s="432"/>
      <c r="KAJ122" s="432"/>
      <c r="KAK122" s="432"/>
      <c r="KAL122" s="432"/>
      <c r="KAM122" s="432"/>
      <c r="KAN122" s="432"/>
      <c r="KAO122" s="432"/>
      <c r="KAP122" s="432"/>
      <c r="KAQ122" s="432"/>
      <c r="KAR122" s="432"/>
      <c r="KAS122" s="432"/>
      <c r="KAT122" s="432"/>
      <c r="KAU122" s="432"/>
      <c r="KAV122" s="432"/>
      <c r="KAW122" s="432"/>
      <c r="KAX122" s="432"/>
      <c r="KAY122" s="432"/>
      <c r="KAZ122" s="432"/>
      <c r="KBA122" s="432"/>
      <c r="KBB122" s="432"/>
      <c r="KBC122" s="432"/>
      <c r="KBD122" s="432"/>
      <c r="KBE122" s="432"/>
      <c r="KBF122" s="432"/>
      <c r="KBG122" s="432"/>
      <c r="KBH122" s="432"/>
      <c r="KBI122" s="432"/>
      <c r="KBJ122" s="432"/>
      <c r="KBK122" s="432"/>
      <c r="KBL122" s="432"/>
      <c r="KBM122" s="432"/>
      <c r="KBN122" s="432"/>
      <c r="KBO122" s="432"/>
      <c r="KBP122" s="432"/>
      <c r="KBQ122" s="432"/>
      <c r="KBR122" s="432"/>
      <c r="KBS122" s="432"/>
      <c r="KBT122" s="432"/>
      <c r="KBU122" s="432"/>
      <c r="KBV122" s="432"/>
      <c r="KBW122" s="432"/>
      <c r="KBX122" s="432"/>
      <c r="KBY122" s="432"/>
      <c r="KBZ122" s="432"/>
      <c r="KCA122" s="432"/>
      <c r="KCB122" s="432"/>
      <c r="KCC122" s="432"/>
      <c r="KCD122" s="432"/>
      <c r="KCE122" s="432"/>
      <c r="KCF122" s="432"/>
      <c r="KCG122" s="432"/>
      <c r="KCH122" s="432"/>
      <c r="KCI122" s="432"/>
      <c r="KCJ122" s="432"/>
      <c r="KCK122" s="432"/>
      <c r="KCL122" s="432"/>
      <c r="KCM122" s="432"/>
      <c r="KCN122" s="432"/>
      <c r="KCO122" s="432"/>
      <c r="KCP122" s="432"/>
      <c r="KCQ122" s="432"/>
      <c r="KCR122" s="432"/>
      <c r="KCS122" s="432"/>
      <c r="KCT122" s="432"/>
      <c r="KCU122" s="432"/>
      <c r="KCV122" s="432"/>
      <c r="KCW122" s="432"/>
      <c r="KCX122" s="432"/>
      <c r="KCY122" s="432"/>
      <c r="KCZ122" s="432"/>
      <c r="KDA122" s="432"/>
      <c r="KDB122" s="432"/>
      <c r="KDC122" s="432"/>
      <c r="KDD122" s="432"/>
      <c r="KDE122" s="432"/>
      <c r="KDF122" s="432"/>
      <c r="KDG122" s="432"/>
      <c r="KDH122" s="432"/>
      <c r="KDI122" s="432"/>
      <c r="KDJ122" s="432"/>
      <c r="KDK122" s="432"/>
      <c r="KDL122" s="432"/>
      <c r="KDM122" s="432"/>
      <c r="KDN122" s="432"/>
      <c r="KDO122" s="432"/>
      <c r="KDP122" s="432"/>
      <c r="KDQ122" s="432"/>
      <c r="KDR122" s="432"/>
      <c r="KDS122" s="432"/>
      <c r="KDT122" s="432"/>
      <c r="KDU122" s="432"/>
      <c r="KDV122" s="432"/>
      <c r="KDW122" s="432"/>
      <c r="KDX122" s="432"/>
      <c r="KDY122" s="432"/>
      <c r="KDZ122" s="432"/>
      <c r="KEA122" s="432"/>
      <c r="KEB122" s="432"/>
      <c r="KEC122" s="432"/>
      <c r="KED122" s="432"/>
      <c r="KEE122" s="432"/>
      <c r="KEF122" s="432"/>
      <c r="KEG122" s="432"/>
      <c r="KEH122" s="432"/>
      <c r="KEI122" s="432"/>
      <c r="KEJ122" s="432"/>
      <c r="KEK122" s="432"/>
      <c r="KEL122" s="432"/>
      <c r="KEM122" s="432"/>
      <c r="KEN122" s="432"/>
      <c r="KEO122" s="432"/>
      <c r="KEP122" s="432"/>
      <c r="KEQ122" s="432"/>
      <c r="KER122" s="432"/>
      <c r="KES122" s="432"/>
      <c r="KET122" s="432"/>
      <c r="KEU122" s="432"/>
      <c r="KEV122" s="432"/>
      <c r="KEW122" s="432"/>
      <c r="KEX122" s="432"/>
      <c r="KEY122" s="432"/>
      <c r="KEZ122" s="432"/>
      <c r="KFA122" s="432"/>
      <c r="KFB122" s="432"/>
      <c r="KFC122" s="432"/>
      <c r="KFD122" s="432"/>
      <c r="KFE122" s="432"/>
      <c r="KFF122" s="432"/>
      <c r="KFG122" s="432"/>
      <c r="KFH122" s="432"/>
      <c r="KFI122" s="432"/>
      <c r="KFJ122" s="432"/>
      <c r="KFK122" s="432"/>
      <c r="KFL122" s="432"/>
      <c r="KFM122" s="432"/>
      <c r="KFN122" s="432"/>
      <c r="KFO122" s="432"/>
      <c r="KFP122" s="432"/>
      <c r="KFQ122" s="432"/>
      <c r="KFR122" s="432"/>
      <c r="KFS122" s="432"/>
      <c r="KFT122" s="432"/>
      <c r="KFU122" s="432"/>
      <c r="KFV122" s="432"/>
      <c r="KFW122" s="432"/>
      <c r="KFX122" s="432"/>
      <c r="KFY122" s="432"/>
      <c r="KFZ122" s="432"/>
      <c r="KGA122" s="432"/>
      <c r="KGB122" s="432"/>
      <c r="KGC122" s="432"/>
      <c r="KGD122" s="432"/>
      <c r="KGE122" s="432"/>
      <c r="KGF122" s="432"/>
      <c r="KGG122" s="432"/>
      <c r="KGH122" s="432"/>
      <c r="KGI122" s="432"/>
      <c r="KGJ122" s="432"/>
      <c r="KGK122" s="432"/>
      <c r="KGL122" s="432"/>
      <c r="KGM122" s="432"/>
      <c r="KGN122" s="432"/>
      <c r="KGO122" s="432"/>
      <c r="KGP122" s="432"/>
      <c r="KGQ122" s="432"/>
      <c r="KGR122" s="432"/>
      <c r="KGS122" s="432"/>
      <c r="KGT122" s="432"/>
      <c r="KGU122" s="432"/>
      <c r="KGV122" s="432"/>
      <c r="KGW122" s="432"/>
      <c r="KGX122" s="432"/>
      <c r="KGY122" s="432"/>
      <c r="KGZ122" s="432"/>
      <c r="KHA122" s="432"/>
      <c r="KHB122" s="432"/>
      <c r="KHC122" s="432"/>
      <c r="KHD122" s="432"/>
      <c r="KHE122" s="432"/>
      <c r="KHF122" s="432"/>
      <c r="KHG122" s="432"/>
      <c r="KHH122" s="432"/>
      <c r="KHI122" s="432"/>
      <c r="KHJ122" s="432"/>
      <c r="KHK122" s="432"/>
      <c r="KHL122" s="432"/>
      <c r="KHM122" s="432"/>
      <c r="KHN122" s="432"/>
      <c r="KHO122" s="432"/>
      <c r="KHP122" s="432"/>
      <c r="KHQ122" s="432"/>
      <c r="KHR122" s="432"/>
      <c r="KHS122" s="432"/>
      <c r="KHT122" s="432"/>
      <c r="KHU122" s="432"/>
      <c r="KHV122" s="432"/>
      <c r="KHW122" s="432"/>
      <c r="KHX122" s="432"/>
      <c r="KHY122" s="432"/>
      <c r="KHZ122" s="432"/>
      <c r="KIA122" s="432"/>
      <c r="KIB122" s="432"/>
      <c r="KIC122" s="432"/>
      <c r="KID122" s="432"/>
      <c r="KIE122" s="432"/>
      <c r="KIF122" s="432"/>
      <c r="KIG122" s="432"/>
      <c r="KIH122" s="432"/>
      <c r="KII122" s="432"/>
      <c r="KIJ122" s="432"/>
      <c r="KIK122" s="432"/>
      <c r="KIL122" s="432"/>
      <c r="KIM122" s="432"/>
      <c r="KIN122" s="432"/>
      <c r="KIO122" s="432"/>
      <c r="KIP122" s="432"/>
      <c r="KIQ122" s="432"/>
      <c r="KIR122" s="432"/>
      <c r="KIS122" s="432"/>
      <c r="KIT122" s="432"/>
      <c r="KIU122" s="432"/>
      <c r="KIV122" s="432"/>
      <c r="KIW122" s="432"/>
      <c r="KIX122" s="432"/>
      <c r="KIY122" s="432"/>
      <c r="KIZ122" s="432"/>
      <c r="KJA122" s="432"/>
      <c r="KJB122" s="432"/>
      <c r="KJC122" s="432"/>
      <c r="KJD122" s="432"/>
      <c r="KJE122" s="432"/>
      <c r="KJF122" s="432"/>
      <c r="KJG122" s="432"/>
      <c r="KJH122" s="432"/>
      <c r="KJI122" s="432"/>
      <c r="KJJ122" s="432"/>
      <c r="KJK122" s="432"/>
      <c r="KJL122" s="432"/>
      <c r="KJM122" s="432"/>
      <c r="KJN122" s="432"/>
      <c r="KJO122" s="432"/>
      <c r="KJP122" s="432"/>
      <c r="KJQ122" s="432"/>
      <c r="KJR122" s="432"/>
      <c r="KJS122" s="432"/>
      <c r="KJT122" s="432"/>
      <c r="KJU122" s="432"/>
      <c r="KJV122" s="432"/>
      <c r="KJW122" s="432"/>
      <c r="KJX122" s="432"/>
      <c r="KJY122" s="432"/>
      <c r="KJZ122" s="432"/>
      <c r="KKA122" s="432"/>
      <c r="KKB122" s="432"/>
      <c r="KKC122" s="432"/>
      <c r="KKD122" s="432"/>
      <c r="KKE122" s="432"/>
      <c r="KKF122" s="432"/>
      <c r="KKG122" s="432"/>
      <c r="KKH122" s="432"/>
      <c r="KKI122" s="432"/>
      <c r="KKJ122" s="432"/>
      <c r="KKK122" s="432"/>
      <c r="KKL122" s="432"/>
      <c r="KKM122" s="432"/>
      <c r="KKN122" s="432"/>
      <c r="KKO122" s="432"/>
      <c r="KKP122" s="432"/>
      <c r="KKQ122" s="432"/>
      <c r="KKR122" s="432"/>
      <c r="KKS122" s="432"/>
      <c r="KKT122" s="432"/>
      <c r="KKU122" s="432"/>
      <c r="KKV122" s="432"/>
      <c r="KKW122" s="432"/>
      <c r="KKX122" s="432"/>
      <c r="KKY122" s="432"/>
      <c r="KKZ122" s="432"/>
      <c r="KLA122" s="432"/>
      <c r="KLB122" s="432"/>
      <c r="KLC122" s="432"/>
      <c r="KLD122" s="432"/>
      <c r="KLE122" s="432"/>
      <c r="KLF122" s="432"/>
      <c r="KLG122" s="432"/>
      <c r="KLH122" s="432"/>
      <c r="KLI122" s="432"/>
      <c r="KLJ122" s="432"/>
      <c r="KLK122" s="432"/>
      <c r="KLL122" s="432"/>
      <c r="KLM122" s="432"/>
      <c r="KLN122" s="432"/>
      <c r="KLO122" s="432"/>
      <c r="KLP122" s="432"/>
      <c r="KLQ122" s="432"/>
      <c r="KLR122" s="432"/>
      <c r="KLS122" s="432"/>
      <c r="KLT122" s="432"/>
      <c r="KLU122" s="432"/>
      <c r="KLV122" s="432"/>
      <c r="KLW122" s="432"/>
      <c r="KLX122" s="432"/>
      <c r="KLY122" s="432"/>
      <c r="KLZ122" s="432"/>
      <c r="KMA122" s="432"/>
      <c r="KMB122" s="432"/>
      <c r="KMC122" s="432"/>
      <c r="KMD122" s="432"/>
      <c r="KME122" s="432"/>
      <c r="KMF122" s="432"/>
      <c r="KMG122" s="432"/>
      <c r="KMH122" s="432"/>
      <c r="KMI122" s="432"/>
      <c r="KMJ122" s="432"/>
      <c r="KMK122" s="432"/>
      <c r="KML122" s="432"/>
      <c r="KMM122" s="432"/>
      <c r="KMN122" s="432"/>
      <c r="KMO122" s="432"/>
      <c r="KMP122" s="432"/>
      <c r="KMQ122" s="432"/>
      <c r="KMR122" s="432"/>
      <c r="KMS122" s="432"/>
      <c r="KMT122" s="432"/>
      <c r="KMU122" s="432"/>
      <c r="KMV122" s="432"/>
      <c r="KMW122" s="432"/>
      <c r="KMX122" s="432"/>
      <c r="KMY122" s="432"/>
      <c r="KMZ122" s="432"/>
      <c r="KNA122" s="432"/>
      <c r="KNB122" s="432"/>
      <c r="KNC122" s="432"/>
      <c r="KND122" s="432"/>
      <c r="KNE122" s="432"/>
      <c r="KNF122" s="432"/>
      <c r="KNG122" s="432"/>
      <c r="KNH122" s="432"/>
      <c r="KNI122" s="432"/>
      <c r="KNJ122" s="432"/>
      <c r="KNK122" s="432"/>
      <c r="KNL122" s="432"/>
      <c r="KNM122" s="432"/>
      <c r="KNN122" s="432"/>
      <c r="KNO122" s="432"/>
      <c r="KNP122" s="432"/>
      <c r="KNQ122" s="432"/>
      <c r="KNR122" s="432"/>
      <c r="KNS122" s="432"/>
      <c r="KNT122" s="432"/>
      <c r="KNU122" s="432"/>
      <c r="KNV122" s="432"/>
      <c r="KNW122" s="432"/>
      <c r="KNX122" s="432"/>
      <c r="KNY122" s="432"/>
      <c r="KNZ122" s="432"/>
      <c r="KOA122" s="432"/>
      <c r="KOB122" s="432"/>
      <c r="KOC122" s="432"/>
      <c r="KOD122" s="432"/>
      <c r="KOE122" s="432"/>
      <c r="KOF122" s="432"/>
      <c r="KOG122" s="432"/>
      <c r="KOH122" s="432"/>
      <c r="KOI122" s="432"/>
      <c r="KOJ122" s="432"/>
      <c r="KOK122" s="432"/>
      <c r="KOL122" s="432"/>
      <c r="KOM122" s="432"/>
      <c r="KON122" s="432"/>
      <c r="KOO122" s="432"/>
      <c r="KOP122" s="432"/>
      <c r="KOQ122" s="432"/>
      <c r="KOR122" s="432"/>
      <c r="KOS122" s="432"/>
      <c r="KOT122" s="432"/>
      <c r="KOU122" s="432"/>
      <c r="KOV122" s="432"/>
      <c r="KOW122" s="432"/>
      <c r="KOX122" s="432"/>
      <c r="KOY122" s="432"/>
      <c r="KOZ122" s="432"/>
      <c r="KPA122" s="432"/>
      <c r="KPB122" s="432"/>
      <c r="KPC122" s="432"/>
      <c r="KPD122" s="432"/>
      <c r="KPE122" s="432"/>
      <c r="KPF122" s="432"/>
      <c r="KPG122" s="432"/>
      <c r="KPH122" s="432"/>
      <c r="KPI122" s="432"/>
      <c r="KPJ122" s="432"/>
      <c r="KPK122" s="432"/>
      <c r="KPL122" s="432"/>
      <c r="KPM122" s="432"/>
      <c r="KPN122" s="432"/>
      <c r="KPO122" s="432"/>
      <c r="KPP122" s="432"/>
      <c r="KPQ122" s="432"/>
      <c r="KPR122" s="432"/>
      <c r="KPS122" s="432"/>
      <c r="KPT122" s="432"/>
      <c r="KPU122" s="432"/>
      <c r="KPV122" s="432"/>
      <c r="KPW122" s="432"/>
      <c r="KPX122" s="432"/>
      <c r="KPY122" s="432"/>
      <c r="KPZ122" s="432"/>
      <c r="KQA122" s="432"/>
      <c r="KQB122" s="432"/>
      <c r="KQC122" s="432"/>
      <c r="KQD122" s="432"/>
      <c r="KQE122" s="432"/>
      <c r="KQF122" s="432"/>
      <c r="KQG122" s="432"/>
      <c r="KQH122" s="432"/>
      <c r="KQI122" s="432"/>
      <c r="KQJ122" s="432"/>
      <c r="KQK122" s="432"/>
      <c r="KQL122" s="432"/>
      <c r="KQM122" s="432"/>
      <c r="KQN122" s="432"/>
      <c r="KQO122" s="432"/>
      <c r="KQP122" s="432"/>
      <c r="KQQ122" s="432"/>
      <c r="KQR122" s="432"/>
      <c r="KQS122" s="432"/>
      <c r="KQT122" s="432"/>
      <c r="KQU122" s="432"/>
      <c r="KQV122" s="432"/>
      <c r="KQW122" s="432"/>
      <c r="KQX122" s="432"/>
      <c r="KQY122" s="432"/>
      <c r="KQZ122" s="432"/>
      <c r="KRA122" s="432"/>
      <c r="KRB122" s="432"/>
      <c r="KRC122" s="432"/>
      <c r="KRD122" s="432"/>
      <c r="KRE122" s="432"/>
      <c r="KRF122" s="432"/>
      <c r="KRG122" s="432"/>
      <c r="KRH122" s="432"/>
      <c r="KRI122" s="432"/>
      <c r="KRJ122" s="432"/>
      <c r="KRK122" s="432"/>
      <c r="KRL122" s="432"/>
      <c r="KRM122" s="432"/>
      <c r="KRN122" s="432"/>
      <c r="KRO122" s="432"/>
      <c r="KRP122" s="432"/>
      <c r="KRQ122" s="432"/>
      <c r="KRR122" s="432"/>
      <c r="KRS122" s="432"/>
      <c r="KRT122" s="432"/>
      <c r="KRU122" s="432"/>
      <c r="KRV122" s="432"/>
      <c r="KRW122" s="432"/>
      <c r="KRX122" s="432"/>
      <c r="KRY122" s="432"/>
      <c r="KRZ122" s="432"/>
      <c r="KSA122" s="432"/>
      <c r="KSB122" s="432"/>
      <c r="KSC122" s="432"/>
      <c r="KSD122" s="432"/>
      <c r="KSE122" s="432"/>
      <c r="KSF122" s="432"/>
      <c r="KSG122" s="432"/>
      <c r="KSH122" s="432"/>
      <c r="KSI122" s="432"/>
      <c r="KSJ122" s="432"/>
      <c r="KSK122" s="432"/>
      <c r="KSL122" s="432"/>
      <c r="KSM122" s="432"/>
      <c r="KSN122" s="432"/>
      <c r="KSO122" s="432"/>
      <c r="KSP122" s="432"/>
      <c r="KSQ122" s="432"/>
      <c r="KSR122" s="432"/>
      <c r="KSS122" s="432"/>
      <c r="KST122" s="432"/>
      <c r="KSU122" s="432"/>
      <c r="KSV122" s="432"/>
      <c r="KSW122" s="432"/>
      <c r="KSX122" s="432"/>
      <c r="KSY122" s="432"/>
      <c r="KSZ122" s="432"/>
      <c r="KTA122" s="432"/>
      <c r="KTB122" s="432"/>
      <c r="KTC122" s="432"/>
      <c r="KTD122" s="432"/>
      <c r="KTE122" s="432"/>
      <c r="KTF122" s="432"/>
      <c r="KTG122" s="432"/>
      <c r="KTH122" s="432"/>
      <c r="KTI122" s="432"/>
      <c r="KTJ122" s="432"/>
      <c r="KTK122" s="432"/>
      <c r="KTL122" s="432"/>
      <c r="KTM122" s="432"/>
      <c r="KTN122" s="432"/>
      <c r="KTO122" s="432"/>
      <c r="KTP122" s="432"/>
      <c r="KTQ122" s="432"/>
      <c r="KTR122" s="432"/>
      <c r="KTS122" s="432"/>
      <c r="KTT122" s="432"/>
      <c r="KTU122" s="432"/>
      <c r="KTV122" s="432"/>
      <c r="KTW122" s="432"/>
      <c r="KTX122" s="432"/>
      <c r="KTY122" s="432"/>
      <c r="KTZ122" s="432"/>
      <c r="KUA122" s="432"/>
      <c r="KUB122" s="432"/>
      <c r="KUC122" s="432"/>
      <c r="KUD122" s="432"/>
      <c r="KUE122" s="432"/>
      <c r="KUF122" s="432"/>
      <c r="KUG122" s="432"/>
      <c r="KUH122" s="432"/>
      <c r="KUI122" s="432"/>
      <c r="KUJ122" s="432"/>
      <c r="KUK122" s="432"/>
      <c r="KUL122" s="432"/>
      <c r="KUM122" s="432"/>
      <c r="KUN122" s="432"/>
      <c r="KUO122" s="432"/>
      <c r="KUP122" s="432"/>
      <c r="KUQ122" s="432"/>
      <c r="KUR122" s="432"/>
      <c r="KUS122" s="432"/>
      <c r="KUT122" s="432"/>
      <c r="KUU122" s="432"/>
      <c r="KUV122" s="432"/>
      <c r="KUW122" s="432"/>
      <c r="KUX122" s="432"/>
      <c r="KUY122" s="432"/>
      <c r="KUZ122" s="432"/>
      <c r="KVA122" s="432"/>
      <c r="KVB122" s="432"/>
      <c r="KVC122" s="432"/>
      <c r="KVD122" s="432"/>
      <c r="KVE122" s="432"/>
      <c r="KVF122" s="432"/>
      <c r="KVG122" s="432"/>
      <c r="KVH122" s="432"/>
      <c r="KVI122" s="432"/>
      <c r="KVJ122" s="432"/>
      <c r="KVK122" s="432"/>
      <c r="KVL122" s="432"/>
      <c r="KVM122" s="432"/>
      <c r="KVN122" s="432"/>
      <c r="KVO122" s="432"/>
      <c r="KVP122" s="432"/>
      <c r="KVQ122" s="432"/>
      <c r="KVR122" s="432"/>
      <c r="KVS122" s="432"/>
      <c r="KVT122" s="432"/>
      <c r="KVU122" s="432"/>
      <c r="KVV122" s="432"/>
      <c r="KVW122" s="432"/>
      <c r="KVX122" s="432"/>
      <c r="KVY122" s="432"/>
      <c r="KVZ122" s="432"/>
      <c r="KWA122" s="432"/>
      <c r="KWB122" s="432"/>
      <c r="KWC122" s="432"/>
      <c r="KWD122" s="432"/>
      <c r="KWE122" s="432"/>
      <c r="KWF122" s="432"/>
      <c r="KWG122" s="432"/>
      <c r="KWH122" s="432"/>
      <c r="KWI122" s="432"/>
      <c r="KWJ122" s="432"/>
      <c r="KWK122" s="432"/>
      <c r="KWL122" s="432"/>
      <c r="KWM122" s="432"/>
      <c r="KWN122" s="432"/>
      <c r="KWO122" s="432"/>
      <c r="KWP122" s="432"/>
      <c r="KWQ122" s="432"/>
      <c r="KWR122" s="432"/>
      <c r="KWS122" s="432"/>
      <c r="KWT122" s="432"/>
      <c r="KWU122" s="432"/>
      <c r="KWV122" s="432"/>
      <c r="KWW122" s="432"/>
      <c r="KWX122" s="432"/>
      <c r="KWY122" s="432"/>
      <c r="KWZ122" s="432"/>
      <c r="KXA122" s="432"/>
      <c r="KXB122" s="432"/>
      <c r="KXC122" s="432"/>
      <c r="KXD122" s="432"/>
      <c r="KXE122" s="432"/>
      <c r="KXF122" s="432"/>
      <c r="KXG122" s="432"/>
      <c r="KXH122" s="432"/>
      <c r="KXI122" s="432"/>
      <c r="KXJ122" s="432"/>
      <c r="KXK122" s="432"/>
      <c r="KXL122" s="432"/>
      <c r="KXM122" s="432"/>
      <c r="KXN122" s="432"/>
      <c r="KXO122" s="432"/>
      <c r="KXP122" s="432"/>
      <c r="KXQ122" s="432"/>
      <c r="KXR122" s="432"/>
      <c r="KXS122" s="432"/>
      <c r="KXT122" s="432"/>
      <c r="KXU122" s="432"/>
      <c r="KXV122" s="432"/>
      <c r="KXW122" s="432"/>
      <c r="KXX122" s="432"/>
      <c r="KXY122" s="432"/>
      <c r="KXZ122" s="432"/>
      <c r="KYA122" s="432"/>
      <c r="KYB122" s="432"/>
      <c r="KYC122" s="432"/>
      <c r="KYD122" s="432"/>
      <c r="KYE122" s="432"/>
      <c r="KYF122" s="432"/>
      <c r="KYG122" s="432"/>
      <c r="KYH122" s="432"/>
      <c r="KYI122" s="432"/>
      <c r="KYJ122" s="432"/>
      <c r="KYK122" s="432"/>
      <c r="KYL122" s="432"/>
      <c r="KYM122" s="432"/>
      <c r="KYN122" s="432"/>
      <c r="KYO122" s="432"/>
      <c r="KYP122" s="432"/>
      <c r="KYQ122" s="432"/>
      <c r="KYR122" s="432"/>
      <c r="KYS122" s="432"/>
      <c r="KYT122" s="432"/>
      <c r="KYU122" s="432"/>
      <c r="KYV122" s="432"/>
      <c r="KYW122" s="432"/>
      <c r="KYX122" s="432"/>
      <c r="KYY122" s="432"/>
      <c r="KYZ122" s="432"/>
      <c r="KZA122" s="432"/>
      <c r="KZB122" s="432"/>
      <c r="KZC122" s="432"/>
      <c r="KZD122" s="432"/>
      <c r="KZE122" s="432"/>
      <c r="KZF122" s="432"/>
      <c r="KZG122" s="432"/>
      <c r="KZH122" s="432"/>
      <c r="KZI122" s="432"/>
      <c r="KZJ122" s="432"/>
      <c r="KZK122" s="432"/>
      <c r="KZL122" s="432"/>
      <c r="KZM122" s="432"/>
      <c r="KZN122" s="432"/>
      <c r="KZO122" s="432"/>
      <c r="KZP122" s="432"/>
      <c r="KZQ122" s="432"/>
      <c r="KZR122" s="432"/>
      <c r="KZS122" s="432"/>
      <c r="KZT122" s="432"/>
      <c r="KZU122" s="432"/>
      <c r="KZV122" s="432"/>
      <c r="KZW122" s="432"/>
      <c r="KZX122" s="432"/>
      <c r="KZY122" s="432"/>
      <c r="KZZ122" s="432"/>
      <c r="LAA122" s="432"/>
      <c r="LAB122" s="432"/>
      <c r="LAC122" s="432"/>
      <c r="LAD122" s="432"/>
      <c r="LAE122" s="432"/>
      <c r="LAF122" s="432"/>
      <c r="LAG122" s="432"/>
      <c r="LAH122" s="432"/>
      <c r="LAI122" s="432"/>
      <c r="LAJ122" s="432"/>
      <c r="LAK122" s="432"/>
      <c r="LAL122" s="432"/>
      <c r="LAM122" s="432"/>
      <c r="LAN122" s="432"/>
      <c r="LAO122" s="432"/>
      <c r="LAP122" s="432"/>
      <c r="LAQ122" s="432"/>
      <c r="LAR122" s="432"/>
      <c r="LAS122" s="432"/>
      <c r="LAT122" s="432"/>
      <c r="LAU122" s="432"/>
      <c r="LAV122" s="432"/>
      <c r="LAW122" s="432"/>
      <c r="LAX122" s="432"/>
      <c r="LAY122" s="432"/>
      <c r="LAZ122" s="432"/>
      <c r="LBA122" s="432"/>
      <c r="LBB122" s="432"/>
      <c r="LBC122" s="432"/>
      <c r="LBD122" s="432"/>
      <c r="LBE122" s="432"/>
      <c r="LBF122" s="432"/>
      <c r="LBG122" s="432"/>
      <c r="LBH122" s="432"/>
      <c r="LBI122" s="432"/>
      <c r="LBJ122" s="432"/>
      <c r="LBK122" s="432"/>
      <c r="LBL122" s="432"/>
      <c r="LBM122" s="432"/>
      <c r="LBN122" s="432"/>
      <c r="LBO122" s="432"/>
      <c r="LBP122" s="432"/>
      <c r="LBQ122" s="432"/>
      <c r="LBR122" s="432"/>
      <c r="LBS122" s="432"/>
      <c r="LBT122" s="432"/>
      <c r="LBU122" s="432"/>
      <c r="LBV122" s="432"/>
      <c r="LBW122" s="432"/>
      <c r="LBX122" s="432"/>
      <c r="LBY122" s="432"/>
      <c r="LBZ122" s="432"/>
      <c r="LCA122" s="432"/>
      <c r="LCB122" s="432"/>
      <c r="LCC122" s="432"/>
      <c r="LCD122" s="432"/>
      <c r="LCE122" s="432"/>
      <c r="LCF122" s="432"/>
      <c r="LCG122" s="432"/>
      <c r="LCH122" s="432"/>
      <c r="LCI122" s="432"/>
      <c r="LCJ122" s="432"/>
      <c r="LCK122" s="432"/>
      <c r="LCL122" s="432"/>
      <c r="LCM122" s="432"/>
      <c r="LCN122" s="432"/>
      <c r="LCO122" s="432"/>
      <c r="LCP122" s="432"/>
      <c r="LCQ122" s="432"/>
      <c r="LCR122" s="432"/>
      <c r="LCS122" s="432"/>
      <c r="LCT122" s="432"/>
      <c r="LCU122" s="432"/>
      <c r="LCV122" s="432"/>
      <c r="LCW122" s="432"/>
      <c r="LCX122" s="432"/>
      <c r="LCY122" s="432"/>
      <c r="LCZ122" s="432"/>
      <c r="LDA122" s="432"/>
      <c r="LDB122" s="432"/>
      <c r="LDC122" s="432"/>
      <c r="LDD122" s="432"/>
      <c r="LDE122" s="432"/>
      <c r="LDF122" s="432"/>
      <c r="LDG122" s="432"/>
      <c r="LDH122" s="432"/>
      <c r="LDI122" s="432"/>
      <c r="LDJ122" s="432"/>
      <c r="LDK122" s="432"/>
      <c r="LDL122" s="432"/>
      <c r="LDM122" s="432"/>
      <c r="LDN122" s="432"/>
      <c r="LDO122" s="432"/>
      <c r="LDP122" s="432"/>
      <c r="LDQ122" s="432"/>
      <c r="LDR122" s="432"/>
      <c r="LDS122" s="432"/>
      <c r="LDT122" s="432"/>
      <c r="LDU122" s="432"/>
      <c r="LDV122" s="432"/>
      <c r="LDW122" s="432"/>
      <c r="LDX122" s="432"/>
      <c r="LDY122" s="432"/>
      <c r="LDZ122" s="432"/>
      <c r="LEA122" s="432"/>
      <c r="LEB122" s="432"/>
      <c r="LEC122" s="432"/>
      <c r="LED122" s="432"/>
      <c r="LEE122" s="432"/>
      <c r="LEF122" s="432"/>
      <c r="LEG122" s="432"/>
      <c r="LEH122" s="432"/>
      <c r="LEI122" s="432"/>
      <c r="LEJ122" s="432"/>
      <c r="LEK122" s="432"/>
      <c r="LEL122" s="432"/>
      <c r="LEM122" s="432"/>
      <c r="LEN122" s="432"/>
      <c r="LEO122" s="432"/>
      <c r="LEP122" s="432"/>
      <c r="LEQ122" s="432"/>
      <c r="LER122" s="432"/>
      <c r="LES122" s="432"/>
      <c r="LET122" s="432"/>
      <c r="LEU122" s="432"/>
      <c r="LEV122" s="432"/>
      <c r="LEW122" s="432"/>
      <c r="LEX122" s="432"/>
      <c r="LEY122" s="432"/>
      <c r="LEZ122" s="432"/>
      <c r="LFA122" s="432"/>
      <c r="LFB122" s="432"/>
      <c r="LFC122" s="432"/>
      <c r="LFD122" s="432"/>
      <c r="LFE122" s="432"/>
      <c r="LFF122" s="432"/>
      <c r="LFG122" s="432"/>
      <c r="LFH122" s="432"/>
      <c r="LFI122" s="432"/>
      <c r="LFJ122" s="432"/>
      <c r="LFK122" s="432"/>
      <c r="LFL122" s="432"/>
      <c r="LFM122" s="432"/>
      <c r="LFN122" s="432"/>
      <c r="LFO122" s="432"/>
      <c r="LFP122" s="432"/>
      <c r="LFQ122" s="432"/>
      <c r="LFR122" s="432"/>
      <c r="LFS122" s="432"/>
      <c r="LFT122" s="432"/>
      <c r="LFU122" s="432"/>
      <c r="LFV122" s="432"/>
      <c r="LFW122" s="432"/>
      <c r="LFX122" s="432"/>
      <c r="LFY122" s="432"/>
      <c r="LFZ122" s="432"/>
      <c r="LGA122" s="432"/>
      <c r="LGB122" s="432"/>
      <c r="LGC122" s="432"/>
      <c r="LGD122" s="432"/>
      <c r="LGE122" s="432"/>
      <c r="LGF122" s="432"/>
      <c r="LGG122" s="432"/>
      <c r="LGH122" s="432"/>
      <c r="LGI122" s="432"/>
      <c r="LGJ122" s="432"/>
      <c r="LGK122" s="432"/>
      <c r="LGL122" s="432"/>
      <c r="LGM122" s="432"/>
      <c r="LGN122" s="432"/>
      <c r="LGO122" s="432"/>
      <c r="LGP122" s="432"/>
      <c r="LGQ122" s="432"/>
      <c r="LGR122" s="432"/>
      <c r="LGS122" s="432"/>
      <c r="LGT122" s="432"/>
      <c r="LGU122" s="432"/>
      <c r="LGV122" s="432"/>
      <c r="LGW122" s="432"/>
      <c r="LGX122" s="432"/>
      <c r="LGY122" s="432"/>
      <c r="LGZ122" s="432"/>
      <c r="LHA122" s="432"/>
      <c r="LHB122" s="432"/>
      <c r="LHC122" s="432"/>
      <c r="LHD122" s="432"/>
      <c r="LHE122" s="432"/>
      <c r="LHF122" s="432"/>
      <c r="LHG122" s="432"/>
      <c r="LHH122" s="432"/>
      <c r="LHI122" s="432"/>
      <c r="LHJ122" s="432"/>
      <c r="LHK122" s="432"/>
      <c r="LHL122" s="432"/>
      <c r="LHM122" s="432"/>
      <c r="LHN122" s="432"/>
      <c r="LHO122" s="432"/>
      <c r="LHP122" s="432"/>
      <c r="LHQ122" s="432"/>
      <c r="LHR122" s="432"/>
      <c r="LHS122" s="432"/>
      <c r="LHT122" s="432"/>
      <c r="LHU122" s="432"/>
      <c r="LHV122" s="432"/>
      <c r="LHW122" s="432"/>
      <c r="LHX122" s="432"/>
      <c r="LHY122" s="432"/>
      <c r="LHZ122" s="432"/>
      <c r="LIA122" s="432"/>
      <c r="LIB122" s="432"/>
      <c r="LIC122" s="432"/>
      <c r="LID122" s="432"/>
      <c r="LIE122" s="432"/>
      <c r="LIF122" s="432"/>
      <c r="LIG122" s="432"/>
      <c r="LIH122" s="432"/>
      <c r="LII122" s="432"/>
      <c r="LIJ122" s="432"/>
      <c r="LIK122" s="432"/>
      <c r="LIL122" s="432"/>
      <c r="LIM122" s="432"/>
      <c r="LIN122" s="432"/>
      <c r="LIO122" s="432"/>
      <c r="LIP122" s="432"/>
      <c r="LIQ122" s="432"/>
      <c r="LIR122" s="432"/>
      <c r="LIS122" s="432"/>
      <c r="LIT122" s="432"/>
      <c r="LIU122" s="432"/>
      <c r="LIV122" s="432"/>
      <c r="LIW122" s="432"/>
      <c r="LIX122" s="432"/>
      <c r="LIY122" s="432"/>
      <c r="LIZ122" s="432"/>
      <c r="LJA122" s="432"/>
      <c r="LJB122" s="432"/>
      <c r="LJC122" s="432"/>
      <c r="LJD122" s="432"/>
      <c r="LJE122" s="432"/>
      <c r="LJF122" s="432"/>
      <c r="LJG122" s="432"/>
      <c r="LJH122" s="432"/>
      <c r="LJI122" s="432"/>
      <c r="LJJ122" s="432"/>
      <c r="LJK122" s="432"/>
      <c r="LJL122" s="432"/>
      <c r="LJM122" s="432"/>
      <c r="LJN122" s="432"/>
      <c r="LJO122" s="432"/>
      <c r="LJP122" s="432"/>
      <c r="LJQ122" s="432"/>
      <c r="LJR122" s="432"/>
      <c r="LJS122" s="432"/>
      <c r="LJT122" s="432"/>
      <c r="LJU122" s="432"/>
      <c r="LJV122" s="432"/>
      <c r="LJW122" s="432"/>
      <c r="LJX122" s="432"/>
      <c r="LJY122" s="432"/>
      <c r="LJZ122" s="432"/>
      <c r="LKA122" s="432"/>
      <c r="LKB122" s="432"/>
      <c r="LKC122" s="432"/>
      <c r="LKD122" s="432"/>
      <c r="LKE122" s="432"/>
      <c r="LKF122" s="432"/>
      <c r="LKG122" s="432"/>
      <c r="LKH122" s="432"/>
      <c r="LKI122" s="432"/>
      <c r="LKJ122" s="432"/>
      <c r="LKK122" s="432"/>
      <c r="LKL122" s="432"/>
      <c r="LKM122" s="432"/>
      <c r="LKN122" s="432"/>
      <c r="LKO122" s="432"/>
      <c r="LKP122" s="432"/>
      <c r="LKQ122" s="432"/>
      <c r="LKR122" s="432"/>
      <c r="LKS122" s="432"/>
      <c r="LKT122" s="432"/>
      <c r="LKU122" s="432"/>
      <c r="LKV122" s="432"/>
      <c r="LKW122" s="432"/>
      <c r="LKX122" s="432"/>
      <c r="LKY122" s="432"/>
      <c r="LKZ122" s="432"/>
      <c r="LLA122" s="432"/>
      <c r="LLB122" s="432"/>
      <c r="LLC122" s="432"/>
      <c r="LLD122" s="432"/>
      <c r="LLE122" s="432"/>
      <c r="LLF122" s="432"/>
      <c r="LLG122" s="432"/>
      <c r="LLH122" s="432"/>
      <c r="LLI122" s="432"/>
      <c r="LLJ122" s="432"/>
      <c r="LLK122" s="432"/>
      <c r="LLL122" s="432"/>
      <c r="LLM122" s="432"/>
      <c r="LLN122" s="432"/>
      <c r="LLO122" s="432"/>
      <c r="LLP122" s="432"/>
      <c r="LLQ122" s="432"/>
      <c r="LLR122" s="432"/>
      <c r="LLS122" s="432"/>
      <c r="LLT122" s="432"/>
      <c r="LLU122" s="432"/>
      <c r="LLV122" s="432"/>
      <c r="LLW122" s="432"/>
      <c r="LLX122" s="432"/>
      <c r="LLY122" s="432"/>
      <c r="LLZ122" s="432"/>
      <c r="LMA122" s="432"/>
      <c r="LMB122" s="432"/>
      <c r="LMC122" s="432"/>
      <c r="LMD122" s="432"/>
      <c r="LME122" s="432"/>
      <c r="LMF122" s="432"/>
      <c r="LMG122" s="432"/>
      <c r="LMH122" s="432"/>
      <c r="LMI122" s="432"/>
      <c r="LMJ122" s="432"/>
      <c r="LMK122" s="432"/>
      <c r="LML122" s="432"/>
      <c r="LMM122" s="432"/>
      <c r="LMN122" s="432"/>
      <c r="LMO122" s="432"/>
      <c r="LMP122" s="432"/>
      <c r="LMQ122" s="432"/>
      <c r="LMR122" s="432"/>
      <c r="LMS122" s="432"/>
      <c r="LMT122" s="432"/>
      <c r="LMU122" s="432"/>
      <c r="LMV122" s="432"/>
      <c r="LMW122" s="432"/>
      <c r="LMX122" s="432"/>
      <c r="LMY122" s="432"/>
      <c r="LMZ122" s="432"/>
      <c r="LNA122" s="432"/>
      <c r="LNB122" s="432"/>
      <c r="LNC122" s="432"/>
      <c r="LND122" s="432"/>
      <c r="LNE122" s="432"/>
      <c r="LNF122" s="432"/>
      <c r="LNG122" s="432"/>
      <c r="LNH122" s="432"/>
      <c r="LNI122" s="432"/>
      <c r="LNJ122" s="432"/>
      <c r="LNK122" s="432"/>
      <c r="LNL122" s="432"/>
      <c r="LNM122" s="432"/>
      <c r="LNN122" s="432"/>
      <c r="LNO122" s="432"/>
      <c r="LNP122" s="432"/>
      <c r="LNQ122" s="432"/>
      <c r="LNR122" s="432"/>
      <c r="LNS122" s="432"/>
      <c r="LNT122" s="432"/>
      <c r="LNU122" s="432"/>
      <c r="LNV122" s="432"/>
      <c r="LNW122" s="432"/>
      <c r="LNX122" s="432"/>
      <c r="LNY122" s="432"/>
      <c r="LNZ122" s="432"/>
      <c r="LOA122" s="432"/>
      <c r="LOB122" s="432"/>
      <c r="LOC122" s="432"/>
      <c r="LOD122" s="432"/>
      <c r="LOE122" s="432"/>
      <c r="LOF122" s="432"/>
      <c r="LOG122" s="432"/>
      <c r="LOH122" s="432"/>
      <c r="LOI122" s="432"/>
      <c r="LOJ122" s="432"/>
      <c r="LOK122" s="432"/>
      <c r="LOL122" s="432"/>
      <c r="LOM122" s="432"/>
      <c r="LON122" s="432"/>
      <c r="LOO122" s="432"/>
      <c r="LOP122" s="432"/>
      <c r="LOQ122" s="432"/>
      <c r="LOR122" s="432"/>
      <c r="LOS122" s="432"/>
      <c r="LOT122" s="432"/>
      <c r="LOU122" s="432"/>
      <c r="LOV122" s="432"/>
      <c r="LOW122" s="432"/>
      <c r="LOX122" s="432"/>
      <c r="LOY122" s="432"/>
      <c r="LOZ122" s="432"/>
      <c r="LPA122" s="432"/>
      <c r="LPB122" s="432"/>
      <c r="LPC122" s="432"/>
      <c r="LPD122" s="432"/>
      <c r="LPE122" s="432"/>
      <c r="LPF122" s="432"/>
      <c r="LPG122" s="432"/>
      <c r="LPH122" s="432"/>
      <c r="LPI122" s="432"/>
      <c r="LPJ122" s="432"/>
      <c r="LPK122" s="432"/>
      <c r="LPL122" s="432"/>
      <c r="LPM122" s="432"/>
      <c r="LPN122" s="432"/>
      <c r="LPO122" s="432"/>
      <c r="LPP122" s="432"/>
      <c r="LPQ122" s="432"/>
      <c r="LPR122" s="432"/>
      <c r="LPS122" s="432"/>
      <c r="LPT122" s="432"/>
      <c r="LPU122" s="432"/>
      <c r="LPV122" s="432"/>
      <c r="LPW122" s="432"/>
      <c r="LPX122" s="432"/>
      <c r="LPY122" s="432"/>
      <c r="LPZ122" s="432"/>
      <c r="LQA122" s="432"/>
      <c r="LQB122" s="432"/>
      <c r="LQC122" s="432"/>
      <c r="LQD122" s="432"/>
      <c r="LQE122" s="432"/>
      <c r="LQF122" s="432"/>
      <c r="LQG122" s="432"/>
      <c r="LQH122" s="432"/>
      <c r="LQI122" s="432"/>
      <c r="LQJ122" s="432"/>
      <c r="LQK122" s="432"/>
      <c r="LQL122" s="432"/>
      <c r="LQM122" s="432"/>
      <c r="LQN122" s="432"/>
      <c r="LQO122" s="432"/>
      <c r="LQP122" s="432"/>
      <c r="LQQ122" s="432"/>
      <c r="LQR122" s="432"/>
      <c r="LQS122" s="432"/>
      <c r="LQT122" s="432"/>
      <c r="LQU122" s="432"/>
      <c r="LQV122" s="432"/>
      <c r="LQW122" s="432"/>
      <c r="LQX122" s="432"/>
      <c r="LQY122" s="432"/>
      <c r="LQZ122" s="432"/>
      <c r="LRA122" s="432"/>
      <c r="LRB122" s="432"/>
      <c r="LRC122" s="432"/>
      <c r="LRD122" s="432"/>
      <c r="LRE122" s="432"/>
      <c r="LRF122" s="432"/>
      <c r="LRG122" s="432"/>
      <c r="LRH122" s="432"/>
      <c r="LRI122" s="432"/>
      <c r="LRJ122" s="432"/>
      <c r="LRK122" s="432"/>
      <c r="LRL122" s="432"/>
      <c r="LRM122" s="432"/>
      <c r="LRN122" s="432"/>
      <c r="LRO122" s="432"/>
      <c r="LRP122" s="432"/>
      <c r="LRQ122" s="432"/>
      <c r="LRR122" s="432"/>
      <c r="LRS122" s="432"/>
      <c r="LRT122" s="432"/>
      <c r="LRU122" s="432"/>
      <c r="LRV122" s="432"/>
      <c r="LRW122" s="432"/>
      <c r="LRX122" s="432"/>
      <c r="LRY122" s="432"/>
      <c r="LRZ122" s="432"/>
      <c r="LSA122" s="432"/>
      <c r="LSB122" s="432"/>
      <c r="LSC122" s="432"/>
      <c r="LSD122" s="432"/>
      <c r="LSE122" s="432"/>
      <c r="LSF122" s="432"/>
      <c r="LSG122" s="432"/>
      <c r="LSH122" s="432"/>
      <c r="LSI122" s="432"/>
      <c r="LSJ122" s="432"/>
      <c r="LSK122" s="432"/>
      <c r="LSL122" s="432"/>
      <c r="LSM122" s="432"/>
      <c r="LSN122" s="432"/>
      <c r="LSO122" s="432"/>
      <c r="LSP122" s="432"/>
      <c r="LSQ122" s="432"/>
      <c r="LSR122" s="432"/>
      <c r="LSS122" s="432"/>
      <c r="LST122" s="432"/>
      <c r="LSU122" s="432"/>
      <c r="LSV122" s="432"/>
      <c r="LSW122" s="432"/>
      <c r="LSX122" s="432"/>
      <c r="LSY122" s="432"/>
      <c r="LSZ122" s="432"/>
      <c r="LTA122" s="432"/>
      <c r="LTB122" s="432"/>
      <c r="LTC122" s="432"/>
      <c r="LTD122" s="432"/>
      <c r="LTE122" s="432"/>
      <c r="LTF122" s="432"/>
      <c r="LTG122" s="432"/>
      <c r="LTH122" s="432"/>
      <c r="LTI122" s="432"/>
      <c r="LTJ122" s="432"/>
      <c r="LTK122" s="432"/>
      <c r="LTL122" s="432"/>
      <c r="LTM122" s="432"/>
      <c r="LTN122" s="432"/>
      <c r="LTO122" s="432"/>
      <c r="LTP122" s="432"/>
      <c r="LTQ122" s="432"/>
      <c r="LTR122" s="432"/>
      <c r="LTS122" s="432"/>
      <c r="LTT122" s="432"/>
      <c r="LTU122" s="432"/>
      <c r="LTV122" s="432"/>
      <c r="LTW122" s="432"/>
      <c r="LTX122" s="432"/>
      <c r="LTY122" s="432"/>
      <c r="LTZ122" s="432"/>
      <c r="LUA122" s="432"/>
      <c r="LUB122" s="432"/>
      <c r="LUC122" s="432"/>
      <c r="LUD122" s="432"/>
      <c r="LUE122" s="432"/>
      <c r="LUF122" s="432"/>
      <c r="LUG122" s="432"/>
      <c r="LUH122" s="432"/>
      <c r="LUI122" s="432"/>
      <c r="LUJ122" s="432"/>
      <c r="LUK122" s="432"/>
      <c r="LUL122" s="432"/>
      <c r="LUM122" s="432"/>
      <c r="LUN122" s="432"/>
      <c r="LUO122" s="432"/>
      <c r="LUP122" s="432"/>
      <c r="LUQ122" s="432"/>
      <c r="LUR122" s="432"/>
      <c r="LUS122" s="432"/>
      <c r="LUT122" s="432"/>
      <c r="LUU122" s="432"/>
      <c r="LUV122" s="432"/>
      <c r="LUW122" s="432"/>
      <c r="LUX122" s="432"/>
      <c r="LUY122" s="432"/>
      <c r="LUZ122" s="432"/>
      <c r="LVA122" s="432"/>
      <c r="LVB122" s="432"/>
      <c r="LVC122" s="432"/>
      <c r="LVD122" s="432"/>
      <c r="LVE122" s="432"/>
      <c r="LVF122" s="432"/>
      <c r="LVG122" s="432"/>
      <c r="LVH122" s="432"/>
      <c r="LVI122" s="432"/>
      <c r="LVJ122" s="432"/>
      <c r="LVK122" s="432"/>
      <c r="LVL122" s="432"/>
      <c r="LVM122" s="432"/>
      <c r="LVN122" s="432"/>
      <c r="LVO122" s="432"/>
      <c r="LVP122" s="432"/>
      <c r="LVQ122" s="432"/>
      <c r="LVR122" s="432"/>
      <c r="LVS122" s="432"/>
      <c r="LVT122" s="432"/>
      <c r="LVU122" s="432"/>
      <c r="LVV122" s="432"/>
      <c r="LVW122" s="432"/>
      <c r="LVX122" s="432"/>
      <c r="LVY122" s="432"/>
      <c r="LVZ122" s="432"/>
      <c r="LWA122" s="432"/>
      <c r="LWB122" s="432"/>
      <c r="LWC122" s="432"/>
      <c r="LWD122" s="432"/>
      <c r="LWE122" s="432"/>
      <c r="LWF122" s="432"/>
      <c r="LWG122" s="432"/>
      <c r="LWH122" s="432"/>
      <c r="LWI122" s="432"/>
      <c r="LWJ122" s="432"/>
      <c r="LWK122" s="432"/>
      <c r="LWL122" s="432"/>
      <c r="LWM122" s="432"/>
      <c r="LWN122" s="432"/>
      <c r="LWO122" s="432"/>
      <c r="LWP122" s="432"/>
      <c r="LWQ122" s="432"/>
      <c r="LWR122" s="432"/>
      <c r="LWS122" s="432"/>
      <c r="LWT122" s="432"/>
      <c r="LWU122" s="432"/>
      <c r="LWV122" s="432"/>
      <c r="LWW122" s="432"/>
      <c r="LWX122" s="432"/>
      <c r="LWY122" s="432"/>
      <c r="LWZ122" s="432"/>
      <c r="LXA122" s="432"/>
      <c r="LXB122" s="432"/>
      <c r="LXC122" s="432"/>
      <c r="LXD122" s="432"/>
      <c r="LXE122" s="432"/>
      <c r="LXF122" s="432"/>
      <c r="LXG122" s="432"/>
      <c r="LXH122" s="432"/>
      <c r="LXI122" s="432"/>
      <c r="LXJ122" s="432"/>
      <c r="LXK122" s="432"/>
      <c r="LXL122" s="432"/>
      <c r="LXM122" s="432"/>
      <c r="LXN122" s="432"/>
      <c r="LXO122" s="432"/>
      <c r="LXP122" s="432"/>
      <c r="LXQ122" s="432"/>
      <c r="LXR122" s="432"/>
      <c r="LXS122" s="432"/>
      <c r="LXT122" s="432"/>
      <c r="LXU122" s="432"/>
      <c r="LXV122" s="432"/>
      <c r="LXW122" s="432"/>
      <c r="LXX122" s="432"/>
      <c r="LXY122" s="432"/>
      <c r="LXZ122" s="432"/>
      <c r="LYA122" s="432"/>
      <c r="LYB122" s="432"/>
      <c r="LYC122" s="432"/>
      <c r="LYD122" s="432"/>
      <c r="LYE122" s="432"/>
      <c r="LYF122" s="432"/>
      <c r="LYG122" s="432"/>
      <c r="LYH122" s="432"/>
      <c r="LYI122" s="432"/>
      <c r="LYJ122" s="432"/>
      <c r="LYK122" s="432"/>
      <c r="LYL122" s="432"/>
      <c r="LYM122" s="432"/>
      <c r="LYN122" s="432"/>
      <c r="LYO122" s="432"/>
      <c r="LYP122" s="432"/>
      <c r="LYQ122" s="432"/>
      <c r="LYR122" s="432"/>
      <c r="LYS122" s="432"/>
      <c r="LYT122" s="432"/>
      <c r="LYU122" s="432"/>
      <c r="LYV122" s="432"/>
      <c r="LYW122" s="432"/>
      <c r="LYX122" s="432"/>
      <c r="LYY122" s="432"/>
      <c r="LYZ122" s="432"/>
      <c r="LZA122" s="432"/>
      <c r="LZB122" s="432"/>
      <c r="LZC122" s="432"/>
      <c r="LZD122" s="432"/>
      <c r="LZE122" s="432"/>
      <c r="LZF122" s="432"/>
      <c r="LZG122" s="432"/>
      <c r="LZH122" s="432"/>
      <c r="LZI122" s="432"/>
      <c r="LZJ122" s="432"/>
      <c r="LZK122" s="432"/>
      <c r="LZL122" s="432"/>
      <c r="LZM122" s="432"/>
      <c r="LZN122" s="432"/>
      <c r="LZO122" s="432"/>
      <c r="LZP122" s="432"/>
      <c r="LZQ122" s="432"/>
      <c r="LZR122" s="432"/>
      <c r="LZS122" s="432"/>
      <c r="LZT122" s="432"/>
      <c r="LZU122" s="432"/>
      <c r="LZV122" s="432"/>
      <c r="LZW122" s="432"/>
      <c r="LZX122" s="432"/>
      <c r="LZY122" s="432"/>
      <c r="LZZ122" s="432"/>
      <c r="MAA122" s="432"/>
      <c r="MAB122" s="432"/>
      <c r="MAC122" s="432"/>
      <c r="MAD122" s="432"/>
      <c r="MAE122" s="432"/>
      <c r="MAF122" s="432"/>
      <c r="MAG122" s="432"/>
      <c r="MAH122" s="432"/>
      <c r="MAI122" s="432"/>
      <c r="MAJ122" s="432"/>
      <c r="MAK122" s="432"/>
      <c r="MAL122" s="432"/>
      <c r="MAM122" s="432"/>
      <c r="MAN122" s="432"/>
      <c r="MAO122" s="432"/>
      <c r="MAP122" s="432"/>
      <c r="MAQ122" s="432"/>
      <c r="MAR122" s="432"/>
      <c r="MAS122" s="432"/>
      <c r="MAT122" s="432"/>
      <c r="MAU122" s="432"/>
      <c r="MAV122" s="432"/>
      <c r="MAW122" s="432"/>
      <c r="MAX122" s="432"/>
      <c r="MAY122" s="432"/>
      <c r="MAZ122" s="432"/>
      <c r="MBA122" s="432"/>
      <c r="MBB122" s="432"/>
      <c r="MBC122" s="432"/>
      <c r="MBD122" s="432"/>
      <c r="MBE122" s="432"/>
      <c r="MBF122" s="432"/>
      <c r="MBG122" s="432"/>
      <c r="MBH122" s="432"/>
      <c r="MBI122" s="432"/>
      <c r="MBJ122" s="432"/>
      <c r="MBK122" s="432"/>
      <c r="MBL122" s="432"/>
      <c r="MBM122" s="432"/>
      <c r="MBN122" s="432"/>
      <c r="MBO122" s="432"/>
      <c r="MBP122" s="432"/>
      <c r="MBQ122" s="432"/>
      <c r="MBR122" s="432"/>
      <c r="MBS122" s="432"/>
      <c r="MBT122" s="432"/>
      <c r="MBU122" s="432"/>
      <c r="MBV122" s="432"/>
      <c r="MBW122" s="432"/>
      <c r="MBX122" s="432"/>
      <c r="MBY122" s="432"/>
      <c r="MBZ122" s="432"/>
      <c r="MCA122" s="432"/>
      <c r="MCB122" s="432"/>
      <c r="MCC122" s="432"/>
      <c r="MCD122" s="432"/>
      <c r="MCE122" s="432"/>
      <c r="MCF122" s="432"/>
      <c r="MCG122" s="432"/>
      <c r="MCH122" s="432"/>
      <c r="MCI122" s="432"/>
      <c r="MCJ122" s="432"/>
      <c r="MCK122" s="432"/>
      <c r="MCL122" s="432"/>
      <c r="MCM122" s="432"/>
      <c r="MCN122" s="432"/>
      <c r="MCO122" s="432"/>
      <c r="MCP122" s="432"/>
      <c r="MCQ122" s="432"/>
      <c r="MCR122" s="432"/>
      <c r="MCS122" s="432"/>
      <c r="MCT122" s="432"/>
      <c r="MCU122" s="432"/>
      <c r="MCV122" s="432"/>
      <c r="MCW122" s="432"/>
      <c r="MCX122" s="432"/>
      <c r="MCY122" s="432"/>
      <c r="MCZ122" s="432"/>
      <c r="MDA122" s="432"/>
      <c r="MDB122" s="432"/>
      <c r="MDC122" s="432"/>
      <c r="MDD122" s="432"/>
      <c r="MDE122" s="432"/>
      <c r="MDF122" s="432"/>
      <c r="MDG122" s="432"/>
      <c r="MDH122" s="432"/>
      <c r="MDI122" s="432"/>
      <c r="MDJ122" s="432"/>
      <c r="MDK122" s="432"/>
      <c r="MDL122" s="432"/>
      <c r="MDM122" s="432"/>
      <c r="MDN122" s="432"/>
      <c r="MDO122" s="432"/>
      <c r="MDP122" s="432"/>
      <c r="MDQ122" s="432"/>
      <c r="MDR122" s="432"/>
      <c r="MDS122" s="432"/>
      <c r="MDT122" s="432"/>
      <c r="MDU122" s="432"/>
      <c r="MDV122" s="432"/>
      <c r="MDW122" s="432"/>
      <c r="MDX122" s="432"/>
      <c r="MDY122" s="432"/>
      <c r="MDZ122" s="432"/>
      <c r="MEA122" s="432"/>
      <c r="MEB122" s="432"/>
      <c r="MEC122" s="432"/>
      <c r="MED122" s="432"/>
      <c r="MEE122" s="432"/>
      <c r="MEF122" s="432"/>
      <c r="MEG122" s="432"/>
      <c r="MEH122" s="432"/>
      <c r="MEI122" s="432"/>
      <c r="MEJ122" s="432"/>
      <c r="MEK122" s="432"/>
      <c r="MEL122" s="432"/>
      <c r="MEM122" s="432"/>
      <c r="MEN122" s="432"/>
      <c r="MEO122" s="432"/>
      <c r="MEP122" s="432"/>
      <c r="MEQ122" s="432"/>
      <c r="MER122" s="432"/>
      <c r="MES122" s="432"/>
      <c r="MET122" s="432"/>
      <c r="MEU122" s="432"/>
      <c r="MEV122" s="432"/>
      <c r="MEW122" s="432"/>
      <c r="MEX122" s="432"/>
      <c r="MEY122" s="432"/>
      <c r="MEZ122" s="432"/>
      <c r="MFA122" s="432"/>
      <c r="MFB122" s="432"/>
      <c r="MFC122" s="432"/>
      <c r="MFD122" s="432"/>
      <c r="MFE122" s="432"/>
      <c r="MFF122" s="432"/>
      <c r="MFG122" s="432"/>
      <c r="MFH122" s="432"/>
      <c r="MFI122" s="432"/>
      <c r="MFJ122" s="432"/>
      <c r="MFK122" s="432"/>
      <c r="MFL122" s="432"/>
      <c r="MFM122" s="432"/>
      <c r="MFN122" s="432"/>
      <c r="MFO122" s="432"/>
      <c r="MFP122" s="432"/>
      <c r="MFQ122" s="432"/>
      <c r="MFR122" s="432"/>
      <c r="MFS122" s="432"/>
      <c r="MFT122" s="432"/>
      <c r="MFU122" s="432"/>
      <c r="MFV122" s="432"/>
      <c r="MFW122" s="432"/>
      <c r="MFX122" s="432"/>
      <c r="MFY122" s="432"/>
      <c r="MFZ122" s="432"/>
      <c r="MGA122" s="432"/>
      <c r="MGB122" s="432"/>
      <c r="MGC122" s="432"/>
      <c r="MGD122" s="432"/>
      <c r="MGE122" s="432"/>
      <c r="MGF122" s="432"/>
      <c r="MGG122" s="432"/>
      <c r="MGH122" s="432"/>
      <c r="MGI122" s="432"/>
      <c r="MGJ122" s="432"/>
      <c r="MGK122" s="432"/>
      <c r="MGL122" s="432"/>
      <c r="MGM122" s="432"/>
      <c r="MGN122" s="432"/>
      <c r="MGO122" s="432"/>
      <c r="MGP122" s="432"/>
      <c r="MGQ122" s="432"/>
      <c r="MGR122" s="432"/>
      <c r="MGS122" s="432"/>
      <c r="MGT122" s="432"/>
      <c r="MGU122" s="432"/>
      <c r="MGV122" s="432"/>
      <c r="MGW122" s="432"/>
      <c r="MGX122" s="432"/>
      <c r="MGY122" s="432"/>
      <c r="MGZ122" s="432"/>
      <c r="MHA122" s="432"/>
      <c r="MHB122" s="432"/>
      <c r="MHC122" s="432"/>
      <c r="MHD122" s="432"/>
      <c r="MHE122" s="432"/>
      <c r="MHF122" s="432"/>
      <c r="MHG122" s="432"/>
      <c r="MHH122" s="432"/>
      <c r="MHI122" s="432"/>
      <c r="MHJ122" s="432"/>
      <c r="MHK122" s="432"/>
      <c r="MHL122" s="432"/>
      <c r="MHM122" s="432"/>
      <c r="MHN122" s="432"/>
      <c r="MHO122" s="432"/>
      <c r="MHP122" s="432"/>
      <c r="MHQ122" s="432"/>
      <c r="MHR122" s="432"/>
      <c r="MHS122" s="432"/>
      <c r="MHT122" s="432"/>
      <c r="MHU122" s="432"/>
      <c r="MHV122" s="432"/>
      <c r="MHW122" s="432"/>
      <c r="MHX122" s="432"/>
      <c r="MHY122" s="432"/>
      <c r="MHZ122" s="432"/>
      <c r="MIA122" s="432"/>
      <c r="MIB122" s="432"/>
      <c r="MIC122" s="432"/>
      <c r="MID122" s="432"/>
      <c r="MIE122" s="432"/>
      <c r="MIF122" s="432"/>
      <c r="MIG122" s="432"/>
      <c r="MIH122" s="432"/>
      <c r="MII122" s="432"/>
      <c r="MIJ122" s="432"/>
      <c r="MIK122" s="432"/>
      <c r="MIL122" s="432"/>
      <c r="MIM122" s="432"/>
      <c r="MIN122" s="432"/>
      <c r="MIO122" s="432"/>
      <c r="MIP122" s="432"/>
      <c r="MIQ122" s="432"/>
      <c r="MIR122" s="432"/>
      <c r="MIS122" s="432"/>
      <c r="MIT122" s="432"/>
      <c r="MIU122" s="432"/>
      <c r="MIV122" s="432"/>
      <c r="MIW122" s="432"/>
      <c r="MIX122" s="432"/>
      <c r="MIY122" s="432"/>
      <c r="MIZ122" s="432"/>
      <c r="MJA122" s="432"/>
      <c r="MJB122" s="432"/>
      <c r="MJC122" s="432"/>
      <c r="MJD122" s="432"/>
      <c r="MJE122" s="432"/>
      <c r="MJF122" s="432"/>
      <c r="MJG122" s="432"/>
      <c r="MJH122" s="432"/>
      <c r="MJI122" s="432"/>
      <c r="MJJ122" s="432"/>
      <c r="MJK122" s="432"/>
      <c r="MJL122" s="432"/>
      <c r="MJM122" s="432"/>
      <c r="MJN122" s="432"/>
      <c r="MJO122" s="432"/>
      <c r="MJP122" s="432"/>
      <c r="MJQ122" s="432"/>
      <c r="MJR122" s="432"/>
      <c r="MJS122" s="432"/>
      <c r="MJT122" s="432"/>
      <c r="MJU122" s="432"/>
      <c r="MJV122" s="432"/>
      <c r="MJW122" s="432"/>
      <c r="MJX122" s="432"/>
      <c r="MJY122" s="432"/>
      <c r="MJZ122" s="432"/>
      <c r="MKA122" s="432"/>
      <c r="MKB122" s="432"/>
      <c r="MKC122" s="432"/>
      <c r="MKD122" s="432"/>
      <c r="MKE122" s="432"/>
      <c r="MKF122" s="432"/>
      <c r="MKG122" s="432"/>
      <c r="MKH122" s="432"/>
      <c r="MKI122" s="432"/>
      <c r="MKJ122" s="432"/>
      <c r="MKK122" s="432"/>
      <c r="MKL122" s="432"/>
      <c r="MKM122" s="432"/>
      <c r="MKN122" s="432"/>
      <c r="MKO122" s="432"/>
      <c r="MKP122" s="432"/>
      <c r="MKQ122" s="432"/>
      <c r="MKR122" s="432"/>
      <c r="MKS122" s="432"/>
      <c r="MKT122" s="432"/>
      <c r="MKU122" s="432"/>
      <c r="MKV122" s="432"/>
      <c r="MKW122" s="432"/>
      <c r="MKX122" s="432"/>
      <c r="MKY122" s="432"/>
      <c r="MKZ122" s="432"/>
      <c r="MLA122" s="432"/>
      <c r="MLB122" s="432"/>
      <c r="MLC122" s="432"/>
      <c r="MLD122" s="432"/>
      <c r="MLE122" s="432"/>
      <c r="MLF122" s="432"/>
      <c r="MLG122" s="432"/>
      <c r="MLH122" s="432"/>
      <c r="MLI122" s="432"/>
      <c r="MLJ122" s="432"/>
      <c r="MLK122" s="432"/>
      <c r="MLL122" s="432"/>
      <c r="MLM122" s="432"/>
      <c r="MLN122" s="432"/>
      <c r="MLO122" s="432"/>
      <c r="MLP122" s="432"/>
      <c r="MLQ122" s="432"/>
      <c r="MLR122" s="432"/>
      <c r="MLS122" s="432"/>
      <c r="MLT122" s="432"/>
      <c r="MLU122" s="432"/>
      <c r="MLV122" s="432"/>
      <c r="MLW122" s="432"/>
      <c r="MLX122" s="432"/>
      <c r="MLY122" s="432"/>
      <c r="MLZ122" s="432"/>
      <c r="MMA122" s="432"/>
      <c r="MMB122" s="432"/>
      <c r="MMC122" s="432"/>
      <c r="MMD122" s="432"/>
      <c r="MME122" s="432"/>
      <c r="MMF122" s="432"/>
      <c r="MMG122" s="432"/>
      <c r="MMH122" s="432"/>
      <c r="MMI122" s="432"/>
      <c r="MMJ122" s="432"/>
      <c r="MMK122" s="432"/>
      <c r="MML122" s="432"/>
      <c r="MMM122" s="432"/>
      <c r="MMN122" s="432"/>
      <c r="MMO122" s="432"/>
      <c r="MMP122" s="432"/>
      <c r="MMQ122" s="432"/>
      <c r="MMR122" s="432"/>
      <c r="MMS122" s="432"/>
      <c r="MMT122" s="432"/>
      <c r="MMU122" s="432"/>
      <c r="MMV122" s="432"/>
      <c r="MMW122" s="432"/>
      <c r="MMX122" s="432"/>
      <c r="MMY122" s="432"/>
      <c r="MMZ122" s="432"/>
      <c r="MNA122" s="432"/>
      <c r="MNB122" s="432"/>
      <c r="MNC122" s="432"/>
      <c r="MND122" s="432"/>
      <c r="MNE122" s="432"/>
      <c r="MNF122" s="432"/>
      <c r="MNG122" s="432"/>
      <c r="MNH122" s="432"/>
      <c r="MNI122" s="432"/>
      <c r="MNJ122" s="432"/>
      <c r="MNK122" s="432"/>
      <c r="MNL122" s="432"/>
      <c r="MNM122" s="432"/>
      <c r="MNN122" s="432"/>
      <c r="MNO122" s="432"/>
      <c r="MNP122" s="432"/>
      <c r="MNQ122" s="432"/>
      <c r="MNR122" s="432"/>
      <c r="MNS122" s="432"/>
      <c r="MNT122" s="432"/>
      <c r="MNU122" s="432"/>
      <c r="MNV122" s="432"/>
      <c r="MNW122" s="432"/>
      <c r="MNX122" s="432"/>
      <c r="MNY122" s="432"/>
      <c r="MNZ122" s="432"/>
      <c r="MOA122" s="432"/>
      <c r="MOB122" s="432"/>
      <c r="MOC122" s="432"/>
      <c r="MOD122" s="432"/>
      <c r="MOE122" s="432"/>
      <c r="MOF122" s="432"/>
      <c r="MOG122" s="432"/>
      <c r="MOH122" s="432"/>
      <c r="MOI122" s="432"/>
      <c r="MOJ122" s="432"/>
      <c r="MOK122" s="432"/>
      <c r="MOL122" s="432"/>
      <c r="MOM122" s="432"/>
      <c r="MON122" s="432"/>
      <c r="MOO122" s="432"/>
      <c r="MOP122" s="432"/>
      <c r="MOQ122" s="432"/>
      <c r="MOR122" s="432"/>
      <c r="MOS122" s="432"/>
      <c r="MOT122" s="432"/>
      <c r="MOU122" s="432"/>
      <c r="MOV122" s="432"/>
      <c r="MOW122" s="432"/>
      <c r="MOX122" s="432"/>
      <c r="MOY122" s="432"/>
      <c r="MOZ122" s="432"/>
      <c r="MPA122" s="432"/>
      <c r="MPB122" s="432"/>
      <c r="MPC122" s="432"/>
      <c r="MPD122" s="432"/>
      <c r="MPE122" s="432"/>
      <c r="MPF122" s="432"/>
      <c r="MPG122" s="432"/>
      <c r="MPH122" s="432"/>
      <c r="MPI122" s="432"/>
      <c r="MPJ122" s="432"/>
      <c r="MPK122" s="432"/>
      <c r="MPL122" s="432"/>
      <c r="MPM122" s="432"/>
      <c r="MPN122" s="432"/>
      <c r="MPO122" s="432"/>
      <c r="MPP122" s="432"/>
      <c r="MPQ122" s="432"/>
      <c r="MPR122" s="432"/>
      <c r="MPS122" s="432"/>
      <c r="MPT122" s="432"/>
      <c r="MPU122" s="432"/>
      <c r="MPV122" s="432"/>
      <c r="MPW122" s="432"/>
      <c r="MPX122" s="432"/>
      <c r="MPY122" s="432"/>
      <c r="MPZ122" s="432"/>
      <c r="MQA122" s="432"/>
      <c r="MQB122" s="432"/>
      <c r="MQC122" s="432"/>
      <c r="MQD122" s="432"/>
      <c r="MQE122" s="432"/>
      <c r="MQF122" s="432"/>
      <c r="MQG122" s="432"/>
      <c r="MQH122" s="432"/>
      <c r="MQI122" s="432"/>
      <c r="MQJ122" s="432"/>
      <c r="MQK122" s="432"/>
      <c r="MQL122" s="432"/>
      <c r="MQM122" s="432"/>
      <c r="MQN122" s="432"/>
      <c r="MQO122" s="432"/>
      <c r="MQP122" s="432"/>
      <c r="MQQ122" s="432"/>
      <c r="MQR122" s="432"/>
      <c r="MQS122" s="432"/>
      <c r="MQT122" s="432"/>
      <c r="MQU122" s="432"/>
      <c r="MQV122" s="432"/>
      <c r="MQW122" s="432"/>
      <c r="MQX122" s="432"/>
      <c r="MQY122" s="432"/>
      <c r="MQZ122" s="432"/>
      <c r="MRA122" s="432"/>
      <c r="MRB122" s="432"/>
      <c r="MRC122" s="432"/>
      <c r="MRD122" s="432"/>
      <c r="MRE122" s="432"/>
      <c r="MRF122" s="432"/>
      <c r="MRG122" s="432"/>
      <c r="MRH122" s="432"/>
      <c r="MRI122" s="432"/>
      <c r="MRJ122" s="432"/>
      <c r="MRK122" s="432"/>
      <c r="MRL122" s="432"/>
      <c r="MRM122" s="432"/>
      <c r="MRN122" s="432"/>
      <c r="MRO122" s="432"/>
      <c r="MRP122" s="432"/>
      <c r="MRQ122" s="432"/>
      <c r="MRR122" s="432"/>
      <c r="MRS122" s="432"/>
      <c r="MRT122" s="432"/>
      <c r="MRU122" s="432"/>
      <c r="MRV122" s="432"/>
      <c r="MRW122" s="432"/>
      <c r="MRX122" s="432"/>
      <c r="MRY122" s="432"/>
      <c r="MRZ122" s="432"/>
      <c r="MSA122" s="432"/>
      <c r="MSB122" s="432"/>
      <c r="MSC122" s="432"/>
      <c r="MSD122" s="432"/>
      <c r="MSE122" s="432"/>
      <c r="MSF122" s="432"/>
      <c r="MSG122" s="432"/>
      <c r="MSH122" s="432"/>
      <c r="MSI122" s="432"/>
      <c r="MSJ122" s="432"/>
      <c r="MSK122" s="432"/>
      <c r="MSL122" s="432"/>
      <c r="MSM122" s="432"/>
      <c r="MSN122" s="432"/>
      <c r="MSO122" s="432"/>
      <c r="MSP122" s="432"/>
      <c r="MSQ122" s="432"/>
      <c r="MSR122" s="432"/>
      <c r="MSS122" s="432"/>
      <c r="MST122" s="432"/>
      <c r="MSU122" s="432"/>
      <c r="MSV122" s="432"/>
      <c r="MSW122" s="432"/>
      <c r="MSX122" s="432"/>
      <c r="MSY122" s="432"/>
      <c r="MSZ122" s="432"/>
      <c r="MTA122" s="432"/>
      <c r="MTB122" s="432"/>
      <c r="MTC122" s="432"/>
      <c r="MTD122" s="432"/>
      <c r="MTE122" s="432"/>
      <c r="MTF122" s="432"/>
      <c r="MTG122" s="432"/>
      <c r="MTH122" s="432"/>
      <c r="MTI122" s="432"/>
      <c r="MTJ122" s="432"/>
      <c r="MTK122" s="432"/>
      <c r="MTL122" s="432"/>
      <c r="MTM122" s="432"/>
      <c r="MTN122" s="432"/>
      <c r="MTO122" s="432"/>
      <c r="MTP122" s="432"/>
      <c r="MTQ122" s="432"/>
      <c r="MTR122" s="432"/>
      <c r="MTS122" s="432"/>
      <c r="MTT122" s="432"/>
      <c r="MTU122" s="432"/>
      <c r="MTV122" s="432"/>
      <c r="MTW122" s="432"/>
      <c r="MTX122" s="432"/>
      <c r="MTY122" s="432"/>
      <c r="MTZ122" s="432"/>
      <c r="MUA122" s="432"/>
      <c r="MUB122" s="432"/>
      <c r="MUC122" s="432"/>
      <c r="MUD122" s="432"/>
      <c r="MUE122" s="432"/>
      <c r="MUF122" s="432"/>
      <c r="MUG122" s="432"/>
      <c r="MUH122" s="432"/>
      <c r="MUI122" s="432"/>
      <c r="MUJ122" s="432"/>
      <c r="MUK122" s="432"/>
      <c r="MUL122" s="432"/>
      <c r="MUM122" s="432"/>
      <c r="MUN122" s="432"/>
      <c r="MUO122" s="432"/>
      <c r="MUP122" s="432"/>
      <c r="MUQ122" s="432"/>
      <c r="MUR122" s="432"/>
      <c r="MUS122" s="432"/>
      <c r="MUT122" s="432"/>
      <c r="MUU122" s="432"/>
      <c r="MUV122" s="432"/>
      <c r="MUW122" s="432"/>
      <c r="MUX122" s="432"/>
      <c r="MUY122" s="432"/>
      <c r="MUZ122" s="432"/>
      <c r="MVA122" s="432"/>
      <c r="MVB122" s="432"/>
      <c r="MVC122" s="432"/>
      <c r="MVD122" s="432"/>
      <c r="MVE122" s="432"/>
      <c r="MVF122" s="432"/>
      <c r="MVG122" s="432"/>
      <c r="MVH122" s="432"/>
      <c r="MVI122" s="432"/>
      <c r="MVJ122" s="432"/>
      <c r="MVK122" s="432"/>
      <c r="MVL122" s="432"/>
      <c r="MVM122" s="432"/>
      <c r="MVN122" s="432"/>
      <c r="MVO122" s="432"/>
      <c r="MVP122" s="432"/>
      <c r="MVQ122" s="432"/>
      <c r="MVR122" s="432"/>
      <c r="MVS122" s="432"/>
      <c r="MVT122" s="432"/>
      <c r="MVU122" s="432"/>
      <c r="MVV122" s="432"/>
      <c r="MVW122" s="432"/>
      <c r="MVX122" s="432"/>
      <c r="MVY122" s="432"/>
      <c r="MVZ122" s="432"/>
      <c r="MWA122" s="432"/>
      <c r="MWB122" s="432"/>
      <c r="MWC122" s="432"/>
      <c r="MWD122" s="432"/>
      <c r="MWE122" s="432"/>
      <c r="MWF122" s="432"/>
      <c r="MWG122" s="432"/>
      <c r="MWH122" s="432"/>
      <c r="MWI122" s="432"/>
      <c r="MWJ122" s="432"/>
      <c r="MWK122" s="432"/>
      <c r="MWL122" s="432"/>
      <c r="MWM122" s="432"/>
      <c r="MWN122" s="432"/>
      <c r="MWO122" s="432"/>
      <c r="MWP122" s="432"/>
      <c r="MWQ122" s="432"/>
      <c r="MWR122" s="432"/>
      <c r="MWS122" s="432"/>
      <c r="MWT122" s="432"/>
      <c r="MWU122" s="432"/>
      <c r="MWV122" s="432"/>
      <c r="MWW122" s="432"/>
      <c r="MWX122" s="432"/>
      <c r="MWY122" s="432"/>
      <c r="MWZ122" s="432"/>
      <c r="MXA122" s="432"/>
      <c r="MXB122" s="432"/>
      <c r="MXC122" s="432"/>
      <c r="MXD122" s="432"/>
      <c r="MXE122" s="432"/>
      <c r="MXF122" s="432"/>
      <c r="MXG122" s="432"/>
      <c r="MXH122" s="432"/>
      <c r="MXI122" s="432"/>
      <c r="MXJ122" s="432"/>
      <c r="MXK122" s="432"/>
      <c r="MXL122" s="432"/>
      <c r="MXM122" s="432"/>
      <c r="MXN122" s="432"/>
      <c r="MXO122" s="432"/>
      <c r="MXP122" s="432"/>
      <c r="MXQ122" s="432"/>
      <c r="MXR122" s="432"/>
      <c r="MXS122" s="432"/>
      <c r="MXT122" s="432"/>
      <c r="MXU122" s="432"/>
      <c r="MXV122" s="432"/>
      <c r="MXW122" s="432"/>
      <c r="MXX122" s="432"/>
      <c r="MXY122" s="432"/>
      <c r="MXZ122" s="432"/>
      <c r="MYA122" s="432"/>
      <c r="MYB122" s="432"/>
      <c r="MYC122" s="432"/>
      <c r="MYD122" s="432"/>
      <c r="MYE122" s="432"/>
      <c r="MYF122" s="432"/>
      <c r="MYG122" s="432"/>
      <c r="MYH122" s="432"/>
      <c r="MYI122" s="432"/>
      <c r="MYJ122" s="432"/>
      <c r="MYK122" s="432"/>
      <c r="MYL122" s="432"/>
      <c r="MYM122" s="432"/>
      <c r="MYN122" s="432"/>
      <c r="MYO122" s="432"/>
      <c r="MYP122" s="432"/>
      <c r="MYQ122" s="432"/>
      <c r="MYR122" s="432"/>
      <c r="MYS122" s="432"/>
      <c r="MYT122" s="432"/>
      <c r="MYU122" s="432"/>
      <c r="MYV122" s="432"/>
      <c r="MYW122" s="432"/>
      <c r="MYX122" s="432"/>
      <c r="MYY122" s="432"/>
      <c r="MYZ122" s="432"/>
      <c r="MZA122" s="432"/>
      <c r="MZB122" s="432"/>
      <c r="MZC122" s="432"/>
      <c r="MZD122" s="432"/>
      <c r="MZE122" s="432"/>
      <c r="MZF122" s="432"/>
      <c r="MZG122" s="432"/>
      <c r="MZH122" s="432"/>
      <c r="MZI122" s="432"/>
      <c r="MZJ122" s="432"/>
      <c r="MZK122" s="432"/>
      <c r="MZL122" s="432"/>
      <c r="MZM122" s="432"/>
      <c r="MZN122" s="432"/>
      <c r="MZO122" s="432"/>
      <c r="MZP122" s="432"/>
      <c r="MZQ122" s="432"/>
      <c r="MZR122" s="432"/>
      <c r="MZS122" s="432"/>
      <c r="MZT122" s="432"/>
      <c r="MZU122" s="432"/>
      <c r="MZV122" s="432"/>
      <c r="MZW122" s="432"/>
      <c r="MZX122" s="432"/>
      <c r="MZY122" s="432"/>
      <c r="MZZ122" s="432"/>
      <c r="NAA122" s="432"/>
      <c r="NAB122" s="432"/>
      <c r="NAC122" s="432"/>
      <c r="NAD122" s="432"/>
      <c r="NAE122" s="432"/>
      <c r="NAF122" s="432"/>
      <c r="NAG122" s="432"/>
      <c r="NAH122" s="432"/>
      <c r="NAI122" s="432"/>
      <c r="NAJ122" s="432"/>
      <c r="NAK122" s="432"/>
      <c r="NAL122" s="432"/>
      <c r="NAM122" s="432"/>
      <c r="NAN122" s="432"/>
      <c r="NAO122" s="432"/>
      <c r="NAP122" s="432"/>
      <c r="NAQ122" s="432"/>
      <c r="NAR122" s="432"/>
      <c r="NAS122" s="432"/>
      <c r="NAT122" s="432"/>
      <c r="NAU122" s="432"/>
      <c r="NAV122" s="432"/>
      <c r="NAW122" s="432"/>
      <c r="NAX122" s="432"/>
      <c r="NAY122" s="432"/>
      <c r="NAZ122" s="432"/>
      <c r="NBA122" s="432"/>
      <c r="NBB122" s="432"/>
      <c r="NBC122" s="432"/>
      <c r="NBD122" s="432"/>
      <c r="NBE122" s="432"/>
      <c r="NBF122" s="432"/>
      <c r="NBG122" s="432"/>
      <c r="NBH122" s="432"/>
      <c r="NBI122" s="432"/>
      <c r="NBJ122" s="432"/>
      <c r="NBK122" s="432"/>
      <c r="NBL122" s="432"/>
      <c r="NBM122" s="432"/>
      <c r="NBN122" s="432"/>
      <c r="NBO122" s="432"/>
      <c r="NBP122" s="432"/>
      <c r="NBQ122" s="432"/>
      <c r="NBR122" s="432"/>
      <c r="NBS122" s="432"/>
      <c r="NBT122" s="432"/>
      <c r="NBU122" s="432"/>
      <c r="NBV122" s="432"/>
      <c r="NBW122" s="432"/>
      <c r="NBX122" s="432"/>
      <c r="NBY122" s="432"/>
      <c r="NBZ122" s="432"/>
      <c r="NCA122" s="432"/>
      <c r="NCB122" s="432"/>
      <c r="NCC122" s="432"/>
      <c r="NCD122" s="432"/>
      <c r="NCE122" s="432"/>
      <c r="NCF122" s="432"/>
      <c r="NCG122" s="432"/>
      <c r="NCH122" s="432"/>
      <c r="NCI122" s="432"/>
      <c r="NCJ122" s="432"/>
      <c r="NCK122" s="432"/>
      <c r="NCL122" s="432"/>
      <c r="NCM122" s="432"/>
      <c r="NCN122" s="432"/>
      <c r="NCO122" s="432"/>
      <c r="NCP122" s="432"/>
      <c r="NCQ122" s="432"/>
      <c r="NCR122" s="432"/>
      <c r="NCS122" s="432"/>
      <c r="NCT122" s="432"/>
      <c r="NCU122" s="432"/>
      <c r="NCV122" s="432"/>
      <c r="NCW122" s="432"/>
      <c r="NCX122" s="432"/>
      <c r="NCY122" s="432"/>
      <c r="NCZ122" s="432"/>
      <c r="NDA122" s="432"/>
      <c r="NDB122" s="432"/>
      <c r="NDC122" s="432"/>
      <c r="NDD122" s="432"/>
      <c r="NDE122" s="432"/>
      <c r="NDF122" s="432"/>
      <c r="NDG122" s="432"/>
      <c r="NDH122" s="432"/>
      <c r="NDI122" s="432"/>
      <c r="NDJ122" s="432"/>
      <c r="NDK122" s="432"/>
      <c r="NDL122" s="432"/>
      <c r="NDM122" s="432"/>
      <c r="NDN122" s="432"/>
      <c r="NDO122" s="432"/>
      <c r="NDP122" s="432"/>
      <c r="NDQ122" s="432"/>
      <c r="NDR122" s="432"/>
      <c r="NDS122" s="432"/>
      <c r="NDT122" s="432"/>
      <c r="NDU122" s="432"/>
      <c r="NDV122" s="432"/>
      <c r="NDW122" s="432"/>
      <c r="NDX122" s="432"/>
      <c r="NDY122" s="432"/>
      <c r="NDZ122" s="432"/>
      <c r="NEA122" s="432"/>
      <c r="NEB122" s="432"/>
      <c r="NEC122" s="432"/>
      <c r="NED122" s="432"/>
      <c r="NEE122" s="432"/>
      <c r="NEF122" s="432"/>
      <c r="NEG122" s="432"/>
      <c r="NEH122" s="432"/>
      <c r="NEI122" s="432"/>
      <c r="NEJ122" s="432"/>
      <c r="NEK122" s="432"/>
      <c r="NEL122" s="432"/>
      <c r="NEM122" s="432"/>
      <c r="NEN122" s="432"/>
      <c r="NEO122" s="432"/>
      <c r="NEP122" s="432"/>
      <c r="NEQ122" s="432"/>
      <c r="NER122" s="432"/>
      <c r="NES122" s="432"/>
      <c r="NET122" s="432"/>
      <c r="NEU122" s="432"/>
      <c r="NEV122" s="432"/>
      <c r="NEW122" s="432"/>
      <c r="NEX122" s="432"/>
      <c r="NEY122" s="432"/>
      <c r="NEZ122" s="432"/>
      <c r="NFA122" s="432"/>
      <c r="NFB122" s="432"/>
      <c r="NFC122" s="432"/>
      <c r="NFD122" s="432"/>
      <c r="NFE122" s="432"/>
      <c r="NFF122" s="432"/>
      <c r="NFG122" s="432"/>
      <c r="NFH122" s="432"/>
      <c r="NFI122" s="432"/>
      <c r="NFJ122" s="432"/>
      <c r="NFK122" s="432"/>
      <c r="NFL122" s="432"/>
      <c r="NFM122" s="432"/>
      <c r="NFN122" s="432"/>
      <c r="NFO122" s="432"/>
      <c r="NFP122" s="432"/>
      <c r="NFQ122" s="432"/>
      <c r="NFR122" s="432"/>
      <c r="NFS122" s="432"/>
      <c r="NFT122" s="432"/>
      <c r="NFU122" s="432"/>
      <c r="NFV122" s="432"/>
      <c r="NFW122" s="432"/>
      <c r="NFX122" s="432"/>
      <c r="NFY122" s="432"/>
      <c r="NFZ122" s="432"/>
      <c r="NGA122" s="432"/>
      <c r="NGB122" s="432"/>
      <c r="NGC122" s="432"/>
      <c r="NGD122" s="432"/>
      <c r="NGE122" s="432"/>
      <c r="NGF122" s="432"/>
      <c r="NGG122" s="432"/>
      <c r="NGH122" s="432"/>
      <c r="NGI122" s="432"/>
      <c r="NGJ122" s="432"/>
      <c r="NGK122" s="432"/>
      <c r="NGL122" s="432"/>
      <c r="NGM122" s="432"/>
      <c r="NGN122" s="432"/>
      <c r="NGO122" s="432"/>
      <c r="NGP122" s="432"/>
      <c r="NGQ122" s="432"/>
      <c r="NGR122" s="432"/>
      <c r="NGS122" s="432"/>
      <c r="NGT122" s="432"/>
      <c r="NGU122" s="432"/>
      <c r="NGV122" s="432"/>
      <c r="NGW122" s="432"/>
      <c r="NGX122" s="432"/>
      <c r="NGY122" s="432"/>
      <c r="NGZ122" s="432"/>
      <c r="NHA122" s="432"/>
      <c r="NHB122" s="432"/>
      <c r="NHC122" s="432"/>
      <c r="NHD122" s="432"/>
      <c r="NHE122" s="432"/>
      <c r="NHF122" s="432"/>
      <c r="NHG122" s="432"/>
      <c r="NHH122" s="432"/>
      <c r="NHI122" s="432"/>
      <c r="NHJ122" s="432"/>
      <c r="NHK122" s="432"/>
      <c r="NHL122" s="432"/>
      <c r="NHM122" s="432"/>
      <c r="NHN122" s="432"/>
      <c r="NHO122" s="432"/>
      <c r="NHP122" s="432"/>
      <c r="NHQ122" s="432"/>
      <c r="NHR122" s="432"/>
      <c r="NHS122" s="432"/>
      <c r="NHT122" s="432"/>
      <c r="NHU122" s="432"/>
      <c r="NHV122" s="432"/>
      <c r="NHW122" s="432"/>
      <c r="NHX122" s="432"/>
      <c r="NHY122" s="432"/>
      <c r="NHZ122" s="432"/>
      <c r="NIA122" s="432"/>
      <c r="NIB122" s="432"/>
      <c r="NIC122" s="432"/>
      <c r="NID122" s="432"/>
      <c r="NIE122" s="432"/>
      <c r="NIF122" s="432"/>
      <c r="NIG122" s="432"/>
      <c r="NIH122" s="432"/>
      <c r="NII122" s="432"/>
      <c r="NIJ122" s="432"/>
      <c r="NIK122" s="432"/>
      <c r="NIL122" s="432"/>
      <c r="NIM122" s="432"/>
      <c r="NIN122" s="432"/>
      <c r="NIO122" s="432"/>
      <c r="NIP122" s="432"/>
      <c r="NIQ122" s="432"/>
      <c r="NIR122" s="432"/>
      <c r="NIS122" s="432"/>
      <c r="NIT122" s="432"/>
      <c r="NIU122" s="432"/>
      <c r="NIV122" s="432"/>
      <c r="NIW122" s="432"/>
      <c r="NIX122" s="432"/>
      <c r="NIY122" s="432"/>
      <c r="NIZ122" s="432"/>
      <c r="NJA122" s="432"/>
      <c r="NJB122" s="432"/>
      <c r="NJC122" s="432"/>
      <c r="NJD122" s="432"/>
      <c r="NJE122" s="432"/>
      <c r="NJF122" s="432"/>
      <c r="NJG122" s="432"/>
      <c r="NJH122" s="432"/>
      <c r="NJI122" s="432"/>
      <c r="NJJ122" s="432"/>
      <c r="NJK122" s="432"/>
      <c r="NJL122" s="432"/>
      <c r="NJM122" s="432"/>
      <c r="NJN122" s="432"/>
      <c r="NJO122" s="432"/>
      <c r="NJP122" s="432"/>
      <c r="NJQ122" s="432"/>
      <c r="NJR122" s="432"/>
      <c r="NJS122" s="432"/>
      <c r="NJT122" s="432"/>
      <c r="NJU122" s="432"/>
      <c r="NJV122" s="432"/>
      <c r="NJW122" s="432"/>
      <c r="NJX122" s="432"/>
      <c r="NJY122" s="432"/>
      <c r="NJZ122" s="432"/>
      <c r="NKA122" s="432"/>
      <c r="NKB122" s="432"/>
      <c r="NKC122" s="432"/>
      <c r="NKD122" s="432"/>
      <c r="NKE122" s="432"/>
      <c r="NKF122" s="432"/>
      <c r="NKG122" s="432"/>
      <c r="NKH122" s="432"/>
      <c r="NKI122" s="432"/>
      <c r="NKJ122" s="432"/>
      <c r="NKK122" s="432"/>
      <c r="NKL122" s="432"/>
      <c r="NKM122" s="432"/>
      <c r="NKN122" s="432"/>
      <c r="NKO122" s="432"/>
      <c r="NKP122" s="432"/>
      <c r="NKQ122" s="432"/>
      <c r="NKR122" s="432"/>
      <c r="NKS122" s="432"/>
      <c r="NKT122" s="432"/>
      <c r="NKU122" s="432"/>
      <c r="NKV122" s="432"/>
      <c r="NKW122" s="432"/>
      <c r="NKX122" s="432"/>
      <c r="NKY122" s="432"/>
      <c r="NKZ122" s="432"/>
      <c r="NLA122" s="432"/>
      <c r="NLB122" s="432"/>
      <c r="NLC122" s="432"/>
      <c r="NLD122" s="432"/>
      <c r="NLE122" s="432"/>
      <c r="NLF122" s="432"/>
      <c r="NLG122" s="432"/>
      <c r="NLH122" s="432"/>
      <c r="NLI122" s="432"/>
      <c r="NLJ122" s="432"/>
      <c r="NLK122" s="432"/>
      <c r="NLL122" s="432"/>
      <c r="NLM122" s="432"/>
      <c r="NLN122" s="432"/>
      <c r="NLO122" s="432"/>
      <c r="NLP122" s="432"/>
      <c r="NLQ122" s="432"/>
      <c r="NLR122" s="432"/>
      <c r="NLS122" s="432"/>
      <c r="NLT122" s="432"/>
      <c r="NLU122" s="432"/>
      <c r="NLV122" s="432"/>
      <c r="NLW122" s="432"/>
      <c r="NLX122" s="432"/>
      <c r="NLY122" s="432"/>
      <c r="NLZ122" s="432"/>
      <c r="NMA122" s="432"/>
      <c r="NMB122" s="432"/>
      <c r="NMC122" s="432"/>
      <c r="NMD122" s="432"/>
      <c r="NME122" s="432"/>
      <c r="NMF122" s="432"/>
      <c r="NMG122" s="432"/>
      <c r="NMH122" s="432"/>
      <c r="NMI122" s="432"/>
      <c r="NMJ122" s="432"/>
      <c r="NMK122" s="432"/>
      <c r="NML122" s="432"/>
      <c r="NMM122" s="432"/>
      <c r="NMN122" s="432"/>
      <c r="NMO122" s="432"/>
      <c r="NMP122" s="432"/>
      <c r="NMQ122" s="432"/>
      <c r="NMR122" s="432"/>
      <c r="NMS122" s="432"/>
      <c r="NMT122" s="432"/>
      <c r="NMU122" s="432"/>
      <c r="NMV122" s="432"/>
      <c r="NMW122" s="432"/>
      <c r="NMX122" s="432"/>
      <c r="NMY122" s="432"/>
      <c r="NMZ122" s="432"/>
      <c r="NNA122" s="432"/>
      <c r="NNB122" s="432"/>
      <c r="NNC122" s="432"/>
      <c r="NND122" s="432"/>
      <c r="NNE122" s="432"/>
      <c r="NNF122" s="432"/>
      <c r="NNG122" s="432"/>
      <c r="NNH122" s="432"/>
      <c r="NNI122" s="432"/>
      <c r="NNJ122" s="432"/>
      <c r="NNK122" s="432"/>
      <c r="NNL122" s="432"/>
      <c r="NNM122" s="432"/>
      <c r="NNN122" s="432"/>
      <c r="NNO122" s="432"/>
      <c r="NNP122" s="432"/>
      <c r="NNQ122" s="432"/>
      <c r="NNR122" s="432"/>
      <c r="NNS122" s="432"/>
      <c r="NNT122" s="432"/>
      <c r="NNU122" s="432"/>
      <c r="NNV122" s="432"/>
      <c r="NNW122" s="432"/>
      <c r="NNX122" s="432"/>
      <c r="NNY122" s="432"/>
      <c r="NNZ122" s="432"/>
      <c r="NOA122" s="432"/>
      <c r="NOB122" s="432"/>
      <c r="NOC122" s="432"/>
      <c r="NOD122" s="432"/>
      <c r="NOE122" s="432"/>
      <c r="NOF122" s="432"/>
      <c r="NOG122" s="432"/>
      <c r="NOH122" s="432"/>
      <c r="NOI122" s="432"/>
      <c r="NOJ122" s="432"/>
      <c r="NOK122" s="432"/>
      <c r="NOL122" s="432"/>
      <c r="NOM122" s="432"/>
      <c r="NON122" s="432"/>
      <c r="NOO122" s="432"/>
      <c r="NOP122" s="432"/>
      <c r="NOQ122" s="432"/>
      <c r="NOR122" s="432"/>
      <c r="NOS122" s="432"/>
      <c r="NOT122" s="432"/>
      <c r="NOU122" s="432"/>
      <c r="NOV122" s="432"/>
      <c r="NOW122" s="432"/>
      <c r="NOX122" s="432"/>
      <c r="NOY122" s="432"/>
      <c r="NOZ122" s="432"/>
      <c r="NPA122" s="432"/>
      <c r="NPB122" s="432"/>
      <c r="NPC122" s="432"/>
      <c r="NPD122" s="432"/>
      <c r="NPE122" s="432"/>
      <c r="NPF122" s="432"/>
      <c r="NPG122" s="432"/>
      <c r="NPH122" s="432"/>
      <c r="NPI122" s="432"/>
      <c r="NPJ122" s="432"/>
      <c r="NPK122" s="432"/>
      <c r="NPL122" s="432"/>
      <c r="NPM122" s="432"/>
      <c r="NPN122" s="432"/>
      <c r="NPO122" s="432"/>
      <c r="NPP122" s="432"/>
      <c r="NPQ122" s="432"/>
      <c r="NPR122" s="432"/>
      <c r="NPS122" s="432"/>
      <c r="NPT122" s="432"/>
      <c r="NPU122" s="432"/>
      <c r="NPV122" s="432"/>
      <c r="NPW122" s="432"/>
      <c r="NPX122" s="432"/>
      <c r="NPY122" s="432"/>
      <c r="NPZ122" s="432"/>
      <c r="NQA122" s="432"/>
      <c r="NQB122" s="432"/>
      <c r="NQC122" s="432"/>
      <c r="NQD122" s="432"/>
      <c r="NQE122" s="432"/>
      <c r="NQF122" s="432"/>
      <c r="NQG122" s="432"/>
      <c r="NQH122" s="432"/>
      <c r="NQI122" s="432"/>
      <c r="NQJ122" s="432"/>
      <c r="NQK122" s="432"/>
      <c r="NQL122" s="432"/>
      <c r="NQM122" s="432"/>
      <c r="NQN122" s="432"/>
      <c r="NQO122" s="432"/>
      <c r="NQP122" s="432"/>
      <c r="NQQ122" s="432"/>
      <c r="NQR122" s="432"/>
      <c r="NQS122" s="432"/>
      <c r="NQT122" s="432"/>
      <c r="NQU122" s="432"/>
      <c r="NQV122" s="432"/>
      <c r="NQW122" s="432"/>
      <c r="NQX122" s="432"/>
      <c r="NQY122" s="432"/>
      <c r="NQZ122" s="432"/>
      <c r="NRA122" s="432"/>
      <c r="NRB122" s="432"/>
      <c r="NRC122" s="432"/>
      <c r="NRD122" s="432"/>
      <c r="NRE122" s="432"/>
      <c r="NRF122" s="432"/>
      <c r="NRG122" s="432"/>
      <c r="NRH122" s="432"/>
      <c r="NRI122" s="432"/>
      <c r="NRJ122" s="432"/>
      <c r="NRK122" s="432"/>
      <c r="NRL122" s="432"/>
      <c r="NRM122" s="432"/>
      <c r="NRN122" s="432"/>
      <c r="NRO122" s="432"/>
      <c r="NRP122" s="432"/>
      <c r="NRQ122" s="432"/>
      <c r="NRR122" s="432"/>
      <c r="NRS122" s="432"/>
      <c r="NRT122" s="432"/>
      <c r="NRU122" s="432"/>
      <c r="NRV122" s="432"/>
      <c r="NRW122" s="432"/>
      <c r="NRX122" s="432"/>
      <c r="NRY122" s="432"/>
      <c r="NRZ122" s="432"/>
      <c r="NSA122" s="432"/>
      <c r="NSB122" s="432"/>
      <c r="NSC122" s="432"/>
      <c r="NSD122" s="432"/>
      <c r="NSE122" s="432"/>
      <c r="NSF122" s="432"/>
      <c r="NSG122" s="432"/>
      <c r="NSH122" s="432"/>
      <c r="NSI122" s="432"/>
      <c r="NSJ122" s="432"/>
      <c r="NSK122" s="432"/>
      <c r="NSL122" s="432"/>
      <c r="NSM122" s="432"/>
      <c r="NSN122" s="432"/>
      <c r="NSO122" s="432"/>
      <c r="NSP122" s="432"/>
      <c r="NSQ122" s="432"/>
      <c r="NSR122" s="432"/>
      <c r="NSS122" s="432"/>
      <c r="NST122" s="432"/>
      <c r="NSU122" s="432"/>
      <c r="NSV122" s="432"/>
      <c r="NSW122" s="432"/>
      <c r="NSX122" s="432"/>
      <c r="NSY122" s="432"/>
      <c r="NSZ122" s="432"/>
      <c r="NTA122" s="432"/>
      <c r="NTB122" s="432"/>
      <c r="NTC122" s="432"/>
      <c r="NTD122" s="432"/>
      <c r="NTE122" s="432"/>
      <c r="NTF122" s="432"/>
      <c r="NTG122" s="432"/>
      <c r="NTH122" s="432"/>
      <c r="NTI122" s="432"/>
      <c r="NTJ122" s="432"/>
      <c r="NTK122" s="432"/>
      <c r="NTL122" s="432"/>
      <c r="NTM122" s="432"/>
      <c r="NTN122" s="432"/>
      <c r="NTO122" s="432"/>
      <c r="NTP122" s="432"/>
      <c r="NTQ122" s="432"/>
      <c r="NTR122" s="432"/>
      <c r="NTS122" s="432"/>
      <c r="NTT122" s="432"/>
      <c r="NTU122" s="432"/>
      <c r="NTV122" s="432"/>
      <c r="NTW122" s="432"/>
      <c r="NTX122" s="432"/>
      <c r="NTY122" s="432"/>
      <c r="NTZ122" s="432"/>
      <c r="NUA122" s="432"/>
      <c r="NUB122" s="432"/>
      <c r="NUC122" s="432"/>
      <c r="NUD122" s="432"/>
      <c r="NUE122" s="432"/>
      <c r="NUF122" s="432"/>
      <c r="NUG122" s="432"/>
      <c r="NUH122" s="432"/>
      <c r="NUI122" s="432"/>
      <c r="NUJ122" s="432"/>
      <c r="NUK122" s="432"/>
      <c r="NUL122" s="432"/>
      <c r="NUM122" s="432"/>
      <c r="NUN122" s="432"/>
      <c r="NUO122" s="432"/>
      <c r="NUP122" s="432"/>
      <c r="NUQ122" s="432"/>
      <c r="NUR122" s="432"/>
      <c r="NUS122" s="432"/>
      <c r="NUT122" s="432"/>
      <c r="NUU122" s="432"/>
      <c r="NUV122" s="432"/>
      <c r="NUW122" s="432"/>
      <c r="NUX122" s="432"/>
      <c r="NUY122" s="432"/>
      <c r="NUZ122" s="432"/>
      <c r="NVA122" s="432"/>
      <c r="NVB122" s="432"/>
      <c r="NVC122" s="432"/>
      <c r="NVD122" s="432"/>
      <c r="NVE122" s="432"/>
      <c r="NVF122" s="432"/>
      <c r="NVG122" s="432"/>
      <c r="NVH122" s="432"/>
      <c r="NVI122" s="432"/>
      <c r="NVJ122" s="432"/>
      <c r="NVK122" s="432"/>
      <c r="NVL122" s="432"/>
      <c r="NVM122" s="432"/>
      <c r="NVN122" s="432"/>
      <c r="NVO122" s="432"/>
      <c r="NVP122" s="432"/>
      <c r="NVQ122" s="432"/>
      <c r="NVR122" s="432"/>
      <c r="NVS122" s="432"/>
      <c r="NVT122" s="432"/>
      <c r="NVU122" s="432"/>
      <c r="NVV122" s="432"/>
      <c r="NVW122" s="432"/>
      <c r="NVX122" s="432"/>
      <c r="NVY122" s="432"/>
      <c r="NVZ122" s="432"/>
      <c r="NWA122" s="432"/>
      <c r="NWB122" s="432"/>
      <c r="NWC122" s="432"/>
      <c r="NWD122" s="432"/>
      <c r="NWE122" s="432"/>
      <c r="NWF122" s="432"/>
      <c r="NWG122" s="432"/>
      <c r="NWH122" s="432"/>
      <c r="NWI122" s="432"/>
      <c r="NWJ122" s="432"/>
      <c r="NWK122" s="432"/>
      <c r="NWL122" s="432"/>
      <c r="NWM122" s="432"/>
      <c r="NWN122" s="432"/>
      <c r="NWO122" s="432"/>
      <c r="NWP122" s="432"/>
      <c r="NWQ122" s="432"/>
      <c r="NWR122" s="432"/>
      <c r="NWS122" s="432"/>
      <c r="NWT122" s="432"/>
      <c r="NWU122" s="432"/>
      <c r="NWV122" s="432"/>
      <c r="NWW122" s="432"/>
      <c r="NWX122" s="432"/>
      <c r="NWY122" s="432"/>
      <c r="NWZ122" s="432"/>
      <c r="NXA122" s="432"/>
      <c r="NXB122" s="432"/>
      <c r="NXC122" s="432"/>
      <c r="NXD122" s="432"/>
      <c r="NXE122" s="432"/>
      <c r="NXF122" s="432"/>
      <c r="NXG122" s="432"/>
      <c r="NXH122" s="432"/>
      <c r="NXI122" s="432"/>
      <c r="NXJ122" s="432"/>
      <c r="NXK122" s="432"/>
      <c r="NXL122" s="432"/>
      <c r="NXM122" s="432"/>
      <c r="NXN122" s="432"/>
      <c r="NXO122" s="432"/>
      <c r="NXP122" s="432"/>
      <c r="NXQ122" s="432"/>
      <c r="NXR122" s="432"/>
      <c r="NXS122" s="432"/>
      <c r="NXT122" s="432"/>
      <c r="NXU122" s="432"/>
      <c r="NXV122" s="432"/>
      <c r="NXW122" s="432"/>
      <c r="NXX122" s="432"/>
      <c r="NXY122" s="432"/>
      <c r="NXZ122" s="432"/>
      <c r="NYA122" s="432"/>
      <c r="NYB122" s="432"/>
      <c r="NYC122" s="432"/>
      <c r="NYD122" s="432"/>
      <c r="NYE122" s="432"/>
      <c r="NYF122" s="432"/>
      <c r="NYG122" s="432"/>
      <c r="NYH122" s="432"/>
      <c r="NYI122" s="432"/>
      <c r="NYJ122" s="432"/>
      <c r="NYK122" s="432"/>
      <c r="NYL122" s="432"/>
      <c r="NYM122" s="432"/>
      <c r="NYN122" s="432"/>
      <c r="NYO122" s="432"/>
      <c r="NYP122" s="432"/>
      <c r="NYQ122" s="432"/>
      <c r="NYR122" s="432"/>
      <c r="NYS122" s="432"/>
      <c r="NYT122" s="432"/>
      <c r="NYU122" s="432"/>
      <c r="NYV122" s="432"/>
      <c r="NYW122" s="432"/>
      <c r="NYX122" s="432"/>
      <c r="NYY122" s="432"/>
      <c r="NYZ122" s="432"/>
      <c r="NZA122" s="432"/>
      <c r="NZB122" s="432"/>
      <c r="NZC122" s="432"/>
      <c r="NZD122" s="432"/>
      <c r="NZE122" s="432"/>
      <c r="NZF122" s="432"/>
      <c r="NZG122" s="432"/>
      <c r="NZH122" s="432"/>
      <c r="NZI122" s="432"/>
      <c r="NZJ122" s="432"/>
      <c r="NZK122" s="432"/>
      <c r="NZL122" s="432"/>
      <c r="NZM122" s="432"/>
      <c r="NZN122" s="432"/>
      <c r="NZO122" s="432"/>
      <c r="NZP122" s="432"/>
      <c r="NZQ122" s="432"/>
      <c r="NZR122" s="432"/>
      <c r="NZS122" s="432"/>
      <c r="NZT122" s="432"/>
      <c r="NZU122" s="432"/>
      <c r="NZV122" s="432"/>
      <c r="NZW122" s="432"/>
      <c r="NZX122" s="432"/>
      <c r="NZY122" s="432"/>
      <c r="NZZ122" s="432"/>
      <c r="OAA122" s="432"/>
      <c r="OAB122" s="432"/>
      <c r="OAC122" s="432"/>
      <c r="OAD122" s="432"/>
      <c r="OAE122" s="432"/>
      <c r="OAF122" s="432"/>
      <c r="OAG122" s="432"/>
      <c r="OAH122" s="432"/>
      <c r="OAI122" s="432"/>
      <c r="OAJ122" s="432"/>
      <c r="OAK122" s="432"/>
      <c r="OAL122" s="432"/>
      <c r="OAM122" s="432"/>
      <c r="OAN122" s="432"/>
      <c r="OAO122" s="432"/>
      <c r="OAP122" s="432"/>
      <c r="OAQ122" s="432"/>
      <c r="OAR122" s="432"/>
      <c r="OAS122" s="432"/>
      <c r="OAT122" s="432"/>
      <c r="OAU122" s="432"/>
      <c r="OAV122" s="432"/>
      <c r="OAW122" s="432"/>
      <c r="OAX122" s="432"/>
      <c r="OAY122" s="432"/>
      <c r="OAZ122" s="432"/>
      <c r="OBA122" s="432"/>
      <c r="OBB122" s="432"/>
      <c r="OBC122" s="432"/>
      <c r="OBD122" s="432"/>
      <c r="OBE122" s="432"/>
      <c r="OBF122" s="432"/>
      <c r="OBG122" s="432"/>
      <c r="OBH122" s="432"/>
      <c r="OBI122" s="432"/>
      <c r="OBJ122" s="432"/>
      <c r="OBK122" s="432"/>
      <c r="OBL122" s="432"/>
      <c r="OBM122" s="432"/>
      <c r="OBN122" s="432"/>
      <c r="OBO122" s="432"/>
      <c r="OBP122" s="432"/>
      <c r="OBQ122" s="432"/>
      <c r="OBR122" s="432"/>
      <c r="OBS122" s="432"/>
      <c r="OBT122" s="432"/>
      <c r="OBU122" s="432"/>
      <c r="OBV122" s="432"/>
      <c r="OBW122" s="432"/>
      <c r="OBX122" s="432"/>
      <c r="OBY122" s="432"/>
      <c r="OBZ122" s="432"/>
      <c r="OCA122" s="432"/>
      <c r="OCB122" s="432"/>
      <c r="OCC122" s="432"/>
      <c r="OCD122" s="432"/>
      <c r="OCE122" s="432"/>
      <c r="OCF122" s="432"/>
      <c r="OCG122" s="432"/>
      <c r="OCH122" s="432"/>
      <c r="OCI122" s="432"/>
      <c r="OCJ122" s="432"/>
      <c r="OCK122" s="432"/>
      <c r="OCL122" s="432"/>
      <c r="OCM122" s="432"/>
      <c r="OCN122" s="432"/>
      <c r="OCO122" s="432"/>
      <c r="OCP122" s="432"/>
      <c r="OCQ122" s="432"/>
      <c r="OCR122" s="432"/>
      <c r="OCS122" s="432"/>
      <c r="OCT122" s="432"/>
      <c r="OCU122" s="432"/>
      <c r="OCV122" s="432"/>
      <c r="OCW122" s="432"/>
      <c r="OCX122" s="432"/>
      <c r="OCY122" s="432"/>
      <c r="OCZ122" s="432"/>
      <c r="ODA122" s="432"/>
      <c r="ODB122" s="432"/>
      <c r="ODC122" s="432"/>
      <c r="ODD122" s="432"/>
      <c r="ODE122" s="432"/>
      <c r="ODF122" s="432"/>
      <c r="ODG122" s="432"/>
      <c r="ODH122" s="432"/>
      <c r="ODI122" s="432"/>
      <c r="ODJ122" s="432"/>
      <c r="ODK122" s="432"/>
      <c r="ODL122" s="432"/>
      <c r="ODM122" s="432"/>
      <c r="ODN122" s="432"/>
      <c r="ODO122" s="432"/>
      <c r="ODP122" s="432"/>
      <c r="ODQ122" s="432"/>
      <c r="ODR122" s="432"/>
      <c r="ODS122" s="432"/>
      <c r="ODT122" s="432"/>
      <c r="ODU122" s="432"/>
      <c r="ODV122" s="432"/>
      <c r="ODW122" s="432"/>
      <c r="ODX122" s="432"/>
      <c r="ODY122" s="432"/>
      <c r="ODZ122" s="432"/>
      <c r="OEA122" s="432"/>
      <c r="OEB122" s="432"/>
      <c r="OEC122" s="432"/>
      <c r="OED122" s="432"/>
      <c r="OEE122" s="432"/>
      <c r="OEF122" s="432"/>
      <c r="OEG122" s="432"/>
      <c r="OEH122" s="432"/>
      <c r="OEI122" s="432"/>
      <c r="OEJ122" s="432"/>
      <c r="OEK122" s="432"/>
      <c r="OEL122" s="432"/>
      <c r="OEM122" s="432"/>
      <c r="OEN122" s="432"/>
      <c r="OEO122" s="432"/>
      <c r="OEP122" s="432"/>
      <c r="OEQ122" s="432"/>
      <c r="OER122" s="432"/>
      <c r="OES122" s="432"/>
      <c r="OET122" s="432"/>
      <c r="OEU122" s="432"/>
      <c r="OEV122" s="432"/>
      <c r="OEW122" s="432"/>
      <c r="OEX122" s="432"/>
      <c r="OEY122" s="432"/>
      <c r="OEZ122" s="432"/>
      <c r="OFA122" s="432"/>
      <c r="OFB122" s="432"/>
      <c r="OFC122" s="432"/>
      <c r="OFD122" s="432"/>
      <c r="OFE122" s="432"/>
      <c r="OFF122" s="432"/>
      <c r="OFG122" s="432"/>
      <c r="OFH122" s="432"/>
      <c r="OFI122" s="432"/>
      <c r="OFJ122" s="432"/>
      <c r="OFK122" s="432"/>
      <c r="OFL122" s="432"/>
      <c r="OFM122" s="432"/>
      <c r="OFN122" s="432"/>
      <c r="OFO122" s="432"/>
      <c r="OFP122" s="432"/>
      <c r="OFQ122" s="432"/>
      <c r="OFR122" s="432"/>
      <c r="OFS122" s="432"/>
      <c r="OFT122" s="432"/>
      <c r="OFU122" s="432"/>
      <c r="OFV122" s="432"/>
      <c r="OFW122" s="432"/>
      <c r="OFX122" s="432"/>
      <c r="OFY122" s="432"/>
      <c r="OFZ122" s="432"/>
      <c r="OGA122" s="432"/>
      <c r="OGB122" s="432"/>
      <c r="OGC122" s="432"/>
      <c r="OGD122" s="432"/>
      <c r="OGE122" s="432"/>
      <c r="OGF122" s="432"/>
      <c r="OGG122" s="432"/>
      <c r="OGH122" s="432"/>
      <c r="OGI122" s="432"/>
      <c r="OGJ122" s="432"/>
      <c r="OGK122" s="432"/>
      <c r="OGL122" s="432"/>
      <c r="OGM122" s="432"/>
      <c r="OGN122" s="432"/>
      <c r="OGO122" s="432"/>
      <c r="OGP122" s="432"/>
      <c r="OGQ122" s="432"/>
      <c r="OGR122" s="432"/>
      <c r="OGS122" s="432"/>
      <c r="OGT122" s="432"/>
      <c r="OGU122" s="432"/>
      <c r="OGV122" s="432"/>
      <c r="OGW122" s="432"/>
      <c r="OGX122" s="432"/>
      <c r="OGY122" s="432"/>
      <c r="OGZ122" s="432"/>
      <c r="OHA122" s="432"/>
      <c r="OHB122" s="432"/>
      <c r="OHC122" s="432"/>
      <c r="OHD122" s="432"/>
      <c r="OHE122" s="432"/>
      <c r="OHF122" s="432"/>
      <c r="OHG122" s="432"/>
      <c r="OHH122" s="432"/>
      <c r="OHI122" s="432"/>
      <c r="OHJ122" s="432"/>
      <c r="OHK122" s="432"/>
      <c r="OHL122" s="432"/>
      <c r="OHM122" s="432"/>
      <c r="OHN122" s="432"/>
      <c r="OHO122" s="432"/>
      <c r="OHP122" s="432"/>
      <c r="OHQ122" s="432"/>
      <c r="OHR122" s="432"/>
      <c r="OHS122" s="432"/>
      <c r="OHT122" s="432"/>
      <c r="OHU122" s="432"/>
      <c r="OHV122" s="432"/>
      <c r="OHW122" s="432"/>
      <c r="OHX122" s="432"/>
      <c r="OHY122" s="432"/>
      <c r="OHZ122" s="432"/>
      <c r="OIA122" s="432"/>
      <c r="OIB122" s="432"/>
      <c r="OIC122" s="432"/>
      <c r="OID122" s="432"/>
      <c r="OIE122" s="432"/>
      <c r="OIF122" s="432"/>
      <c r="OIG122" s="432"/>
      <c r="OIH122" s="432"/>
      <c r="OII122" s="432"/>
      <c r="OIJ122" s="432"/>
      <c r="OIK122" s="432"/>
      <c r="OIL122" s="432"/>
      <c r="OIM122" s="432"/>
      <c r="OIN122" s="432"/>
      <c r="OIO122" s="432"/>
      <c r="OIP122" s="432"/>
      <c r="OIQ122" s="432"/>
      <c r="OIR122" s="432"/>
      <c r="OIS122" s="432"/>
      <c r="OIT122" s="432"/>
      <c r="OIU122" s="432"/>
      <c r="OIV122" s="432"/>
      <c r="OIW122" s="432"/>
      <c r="OIX122" s="432"/>
      <c r="OIY122" s="432"/>
      <c r="OIZ122" s="432"/>
      <c r="OJA122" s="432"/>
      <c r="OJB122" s="432"/>
      <c r="OJC122" s="432"/>
      <c r="OJD122" s="432"/>
      <c r="OJE122" s="432"/>
      <c r="OJF122" s="432"/>
      <c r="OJG122" s="432"/>
      <c r="OJH122" s="432"/>
      <c r="OJI122" s="432"/>
      <c r="OJJ122" s="432"/>
      <c r="OJK122" s="432"/>
      <c r="OJL122" s="432"/>
      <c r="OJM122" s="432"/>
      <c r="OJN122" s="432"/>
      <c r="OJO122" s="432"/>
      <c r="OJP122" s="432"/>
      <c r="OJQ122" s="432"/>
      <c r="OJR122" s="432"/>
      <c r="OJS122" s="432"/>
      <c r="OJT122" s="432"/>
      <c r="OJU122" s="432"/>
      <c r="OJV122" s="432"/>
      <c r="OJW122" s="432"/>
      <c r="OJX122" s="432"/>
      <c r="OJY122" s="432"/>
      <c r="OJZ122" s="432"/>
      <c r="OKA122" s="432"/>
      <c r="OKB122" s="432"/>
      <c r="OKC122" s="432"/>
      <c r="OKD122" s="432"/>
      <c r="OKE122" s="432"/>
      <c r="OKF122" s="432"/>
      <c r="OKG122" s="432"/>
      <c r="OKH122" s="432"/>
      <c r="OKI122" s="432"/>
      <c r="OKJ122" s="432"/>
      <c r="OKK122" s="432"/>
      <c r="OKL122" s="432"/>
      <c r="OKM122" s="432"/>
      <c r="OKN122" s="432"/>
      <c r="OKO122" s="432"/>
      <c r="OKP122" s="432"/>
      <c r="OKQ122" s="432"/>
      <c r="OKR122" s="432"/>
      <c r="OKS122" s="432"/>
      <c r="OKT122" s="432"/>
      <c r="OKU122" s="432"/>
      <c r="OKV122" s="432"/>
      <c r="OKW122" s="432"/>
      <c r="OKX122" s="432"/>
      <c r="OKY122" s="432"/>
      <c r="OKZ122" s="432"/>
      <c r="OLA122" s="432"/>
      <c r="OLB122" s="432"/>
      <c r="OLC122" s="432"/>
      <c r="OLD122" s="432"/>
      <c r="OLE122" s="432"/>
      <c r="OLF122" s="432"/>
      <c r="OLG122" s="432"/>
      <c r="OLH122" s="432"/>
      <c r="OLI122" s="432"/>
      <c r="OLJ122" s="432"/>
      <c r="OLK122" s="432"/>
      <c r="OLL122" s="432"/>
      <c r="OLM122" s="432"/>
      <c r="OLN122" s="432"/>
      <c r="OLO122" s="432"/>
      <c r="OLP122" s="432"/>
      <c r="OLQ122" s="432"/>
      <c r="OLR122" s="432"/>
      <c r="OLS122" s="432"/>
      <c r="OLT122" s="432"/>
      <c r="OLU122" s="432"/>
      <c r="OLV122" s="432"/>
      <c r="OLW122" s="432"/>
      <c r="OLX122" s="432"/>
      <c r="OLY122" s="432"/>
      <c r="OLZ122" s="432"/>
      <c r="OMA122" s="432"/>
      <c r="OMB122" s="432"/>
      <c r="OMC122" s="432"/>
      <c r="OMD122" s="432"/>
      <c r="OME122" s="432"/>
      <c r="OMF122" s="432"/>
      <c r="OMG122" s="432"/>
      <c r="OMH122" s="432"/>
      <c r="OMI122" s="432"/>
      <c r="OMJ122" s="432"/>
      <c r="OMK122" s="432"/>
      <c r="OML122" s="432"/>
      <c r="OMM122" s="432"/>
      <c r="OMN122" s="432"/>
      <c r="OMO122" s="432"/>
      <c r="OMP122" s="432"/>
      <c r="OMQ122" s="432"/>
      <c r="OMR122" s="432"/>
      <c r="OMS122" s="432"/>
      <c r="OMT122" s="432"/>
      <c r="OMU122" s="432"/>
      <c r="OMV122" s="432"/>
      <c r="OMW122" s="432"/>
      <c r="OMX122" s="432"/>
      <c r="OMY122" s="432"/>
      <c r="OMZ122" s="432"/>
      <c r="ONA122" s="432"/>
      <c r="ONB122" s="432"/>
      <c r="ONC122" s="432"/>
      <c r="OND122" s="432"/>
      <c r="ONE122" s="432"/>
      <c r="ONF122" s="432"/>
      <c r="ONG122" s="432"/>
      <c r="ONH122" s="432"/>
      <c r="ONI122" s="432"/>
      <c r="ONJ122" s="432"/>
      <c r="ONK122" s="432"/>
      <c r="ONL122" s="432"/>
      <c r="ONM122" s="432"/>
      <c r="ONN122" s="432"/>
      <c r="ONO122" s="432"/>
      <c r="ONP122" s="432"/>
      <c r="ONQ122" s="432"/>
      <c r="ONR122" s="432"/>
      <c r="ONS122" s="432"/>
      <c r="ONT122" s="432"/>
      <c r="ONU122" s="432"/>
      <c r="ONV122" s="432"/>
      <c r="ONW122" s="432"/>
      <c r="ONX122" s="432"/>
      <c r="ONY122" s="432"/>
      <c r="ONZ122" s="432"/>
      <c r="OOA122" s="432"/>
      <c r="OOB122" s="432"/>
      <c r="OOC122" s="432"/>
      <c r="OOD122" s="432"/>
      <c r="OOE122" s="432"/>
      <c r="OOF122" s="432"/>
      <c r="OOG122" s="432"/>
      <c r="OOH122" s="432"/>
      <c r="OOI122" s="432"/>
      <c r="OOJ122" s="432"/>
      <c r="OOK122" s="432"/>
      <c r="OOL122" s="432"/>
      <c r="OOM122" s="432"/>
      <c r="OON122" s="432"/>
      <c r="OOO122" s="432"/>
      <c r="OOP122" s="432"/>
      <c r="OOQ122" s="432"/>
      <c r="OOR122" s="432"/>
      <c r="OOS122" s="432"/>
      <c r="OOT122" s="432"/>
      <c r="OOU122" s="432"/>
      <c r="OOV122" s="432"/>
      <c r="OOW122" s="432"/>
      <c r="OOX122" s="432"/>
      <c r="OOY122" s="432"/>
      <c r="OOZ122" s="432"/>
      <c r="OPA122" s="432"/>
      <c r="OPB122" s="432"/>
      <c r="OPC122" s="432"/>
      <c r="OPD122" s="432"/>
      <c r="OPE122" s="432"/>
      <c r="OPF122" s="432"/>
      <c r="OPG122" s="432"/>
      <c r="OPH122" s="432"/>
      <c r="OPI122" s="432"/>
      <c r="OPJ122" s="432"/>
      <c r="OPK122" s="432"/>
      <c r="OPL122" s="432"/>
      <c r="OPM122" s="432"/>
      <c r="OPN122" s="432"/>
      <c r="OPO122" s="432"/>
      <c r="OPP122" s="432"/>
      <c r="OPQ122" s="432"/>
      <c r="OPR122" s="432"/>
      <c r="OPS122" s="432"/>
      <c r="OPT122" s="432"/>
      <c r="OPU122" s="432"/>
      <c r="OPV122" s="432"/>
      <c r="OPW122" s="432"/>
      <c r="OPX122" s="432"/>
      <c r="OPY122" s="432"/>
      <c r="OPZ122" s="432"/>
      <c r="OQA122" s="432"/>
      <c r="OQB122" s="432"/>
      <c r="OQC122" s="432"/>
      <c r="OQD122" s="432"/>
      <c r="OQE122" s="432"/>
      <c r="OQF122" s="432"/>
      <c r="OQG122" s="432"/>
      <c r="OQH122" s="432"/>
      <c r="OQI122" s="432"/>
      <c r="OQJ122" s="432"/>
      <c r="OQK122" s="432"/>
      <c r="OQL122" s="432"/>
      <c r="OQM122" s="432"/>
      <c r="OQN122" s="432"/>
      <c r="OQO122" s="432"/>
      <c r="OQP122" s="432"/>
      <c r="OQQ122" s="432"/>
      <c r="OQR122" s="432"/>
      <c r="OQS122" s="432"/>
      <c r="OQT122" s="432"/>
      <c r="OQU122" s="432"/>
      <c r="OQV122" s="432"/>
      <c r="OQW122" s="432"/>
      <c r="OQX122" s="432"/>
      <c r="OQY122" s="432"/>
      <c r="OQZ122" s="432"/>
      <c r="ORA122" s="432"/>
      <c r="ORB122" s="432"/>
      <c r="ORC122" s="432"/>
      <c r="ORD122" s="432"/>
      <c r="ORE122" s="432"/>
      <c r="ORF122" s="432"/>
      <c r="ORG122" s="432"/>
      <c r="ORH122" s="432"/>
      <c r="ORI122" s="432"/>
      <c r="ORJ122" s="432"/>
      <c r="ORK122" s="432"/>
      <c r="ORL122" s="432"/>
      <c r="ORM122" s="432"/>
      <c r="ORN122" s="432"/>
      <c r="ORO122" s="432"/>
      <c r="ORP122" s="432"/>
      <c r="ORQ122" s="432"/>
      <c r="ORR122" s="432"/>
      <c r="ORS122" s="432"/>
      <c r="ORT122" s="432"/>
      <c r="ORU122" s="432"/>
      <c r="ORV122" s="432"/>
      <c r="ORW122" s="432"/>
      <c r="ORX122" s="432"/>
      <c r="ORY122" s="432"/>
      <c r="ORZ122" s="432"/>
      <c r="OSA122" s="432"/>
      <c r="OSB122" s="432"/>
      <c r="OSC122" s="432"/>
      <c r="OSD122" s="432"/>
      <c r="OSE122" s="432"/>
      <c r="OSF122" s="432"/>
      <c r="OSG122" s="432"/>
      <c r="OSH122" s="432"/>
      <c r="OSI122" s="432"/>
      <c r="OSJ122" s="432"/>
      <c r="OSK122" s="432"/>
      <c r="OSL122" s="432"/>
      <c r="OSM122" s="432"/>
      <c r="OSN122" s="432"/>
      <c r="OSO122" s="432"/>
      <c r="OSP122" s="432"/>
      <c r="OSQ122" s="432"/>
      <c r="OSR122" s="432"/>
      <c r="OSS122" s="432"/>
      <c r="OST122" s="432"/>
      <c r="OSU122" s="432"/>
      <c r="OSV122" s="432"/>
      <c r="OSW122" s="432"/>
      <c r="OSX122" s="432"/>
      <c r="OSY122" s="432"/>
      <c r="OSZ122" s="432"/>
      <c r="OTA122" s="432"/>
      <c r="OTB122" s="432"/>
      <c r="OTC122" s="432"/>
      <c r="OTD122" s="432"/>
      <c r="OTE122" s="432"/>
      <c r="OTF122" s="432"/>
      <c r="OTG122" s="432"/>
      <c r="OTH122" s="432"/>
      <c r="OTI122" s="432"/>
      <c r="OTJ122" s="432"/>
      <c r="OTK122" s="432"/>
      <c r="OTL122" s="432"/>
      <c r="OTM122" s="432"/>
      <c r="OTN122" s="432"/>
      <c r="OTO122" s="432"/>
      <c r="OTP122" s="432"/>
      <c r="OTQ122" s="432"/>
      <c r="OTR122" s="432"/>
      <c r="OTS122" s="432"/>
      <c r="OTT122" s="432"/>
      <c r="OTU122" s="432"/>
      <c r="OTV122" s="432"/>
      <c r="OTW122" s="432"/>
      <c r="OTX122" s="432"/>
      <c r="OTY122" s="432"/>
      <c r="OTZ122" s="432"/>
      <c r="OUA122" s="432"/>
      <c r="OUB122" s="432"/>
      <c r="OUC122" s="432"/>
      <c r="OUD122" s="432"/>
      <c r="OUE122" s="432"/>
      <c r="OUF122" s="432"/>
      <c r="OUG122" s="432"/>
      <c r="OUH122" s="432"/>
      <c r="OUI122" s="432"/>
      <c r="OUJ122" s="432"/>
      <c r="OUK122" s="432"/>
      <c r="OUL122" s="432"/>
      <c r="OUM122" s="432"/>
      <c r="OUN122" s="432"/>
      <c r="OUO122" s="432"/>
      <c r="OUP122" s="432"/>
      <c r="OUQ122" s="432"/>
      <c r="OUR122" s="432"/>
      <c r="OUS122" s="432"/>
      <c r="OUT122" s="432"/>
      <c r="OUU122" s="432"/>
      <c r="OUV122" s="432"/>
      <c r="OUW122" s="432"/>
      <c r="OUX122" s="432"/>
      <c r="OUY122" s="432"/>
      <c r="OUZ122" s="432"/>
      <c r="OVA122" s="432"/>
      <c r="OVB122" s="432"/>
      <c r="OVC122" s="432"/>
      <c r="OVD122" s="432"/>
      <c r="OVE122" s="432"/>
      <c r="OVF122" s="432"/>
      <c r="OVG122" s="432"/>
      <c r="OVH122" s="432"/>
      <c r="OVI122" s="432"/>
      <c r="OVJ122" s="432"/>
      <c r="OVK122" s="432"/>
      <c r="OVL122" s="432"/>
      <c r="OVM122" s="432"/>
      <c r="OVN122" s="432"/>
      <c r="OVO122" s="432"/>
      <c r="OVP122" s="432"/>
      <c r="OVQ122" s="432"/>
      <c r="OVR122" s="432"/>
      <c r="OVS122" s="432"/>
      <c r="OVT122" s="432"/>
      <c r="OVU122" s="432"/>
      <c r="OVV122" s="432"/>
      <c r="OVW122" s="432"/>
      <c r="OVX122" s="432"/>
      <c r="OVY122" s="432"/>
      <c r="OVZ122" s="432"/>
      <c r="OWA122" s="432"/>
      <c r="OWB122" s="432"/>
      <c r="OWC122" s="432"/>
      <c r="OWD122" s="432"/>
      <c r="OWE122" s="432"/>
      <c r="OWF122" s="432"/>
      <c r="OWG122" s="432"/>
      <c r="OWH122" s="432"/>
      <c r="OWI122" s="432"/>
      <c r="OWJ122" s="432"/>
      <c r="OWK122" s="432"/>
      <c r="OWL122" s="432"/>
      <c r="OWM122" s="432"/>
      <c r="OWN122" s="432"/>
      <c r="OWO122" s="432"/>
      <c r="OWP122" s="432"/>
      <c r="OWQ122" s="432"/>
      <c r="OWR122" s="432"/>
      <c r="OWS122" s="432"/>
      <c r="OWT122" s="432"/>
      <c r="OWU122" s="432"/>
      <c r="OWV122" s="432"/>
      <c r="OWW122" s="432"/>
      <c r="OWX122" s="432"/>
      <c r="OWY122" s="432"/>
      <c r="OWZ122" s="432"/>
      <c r="OXA122" s="432"/>
      <c r="OXB122" s="432"/>
      <c r="OXC122" s="432"/>
      <c r="OXD122" s="432"/>
      <c r="OXE122" s="432"/>
      <c r="OXF122" s="432"/>
      <c r="OXG122" s="432"/>
      <c r="OXH122" s="432"/>
      <c r="OXI122" s="432"/>
      <c r="OXJ122" s="432"/>
      <c r="OXK122" s="432"/>
      <c r="OXL122" s="432"/>
      <c r="OXM122" s="432"/>
      <c r="OXN122" s="432"/>
      <c r="OXO122" s="432"/>
      <c r="OXP122" s="432"/>
      <c r="OXQ122" s="432"/>
      <c r="OXR122" s="432"/>
      <c r="OXS122" s="432"/>
      <c r="OXT122" s="432"/>
      <c r="OXU122" s="432"/>
      <c r="OXV122" s="432"/>
      <c r="OXW122" s="432"/>
      <c r="OXX122" s="432"/>
      <c r="OXY122" s="432"/>
      <c r="OXZ122" s="432"/>
      <c r="OYA122" s="432"/>
      <c r="OYB122" s="432"/>
      <c r="OYC122" s="432"/>
      <c r="OYD122" s="432"/>
      <c r="OYE122" s="432"/>
      <c r="OYF122" s="432"/>
      <c r="OYG122" s="432"/>
      <c r="OYH122" s="432"/>
      <c r="OYI122" s="432"/>
      <c r="OYJ122" s="432"/>
      <c r="OYK122" s="432"/>
      <c r="OYL122" s="432"/>
      <c r="OYM122" s="432"/>
      <c r="OYN122" s="432"/>
      <c r="OYO122" s="432"/>
      <c r="OYP122" s="432"/>
      <c r="OYQ122" s="432"/>
      <c r="OYR122" s="432"/>
      <c r="OYS122" s="432"/>
      <c r="OYT122" s="432"/>
      <c r="OYU122" s="432"/>
      <c r="OYV122" s="432"/>
      <c r="OYW122" s="432"/>
      <c r="OYX122" s="432"/>
      <c r="OYY122" s="432"/>
      <c r="OYZ122" s="432"/>
      <c r="OZA122" s="432"/>
      <c r="OZB122" s="432"/>
      <c r="OZC122" s="432"/>
      <c r="OZD122" s="432"/>
      <c r="OZE122" s="432"/>
      <c r="OZF122" s="432"/>
      <c r="OZG122" s="432"/>
      <c r="OZH122" s="432"/>
      <c r="OZI122" s="432"/>
      <c r="OZJ122" s="432"/>
      <c r="OZK122" s="432"/>
      <c r="OZL122" s="432"/>
      <c r="OZM122" s="432"/>
      <c r="OZN122" s="432"/>
      <c r="OZO122" s="432"/>
      <c r="OZP122" s="432"/>
      <c r="OZQ122" s="432"/>
      <c r="OZR122" s="432"/>
      <c r="OZS122" s="432"/>
      <c r="OZT122" s="432"/>
      <c r="OZU122" s="432"/>
      <c r="OZV122" s="432"/>
      <c r="OZW122" s="432"/>
      <c r="OZX122" s="432"/>
      <c r="OZY122" s="432"/>
      <c r="OZZ122" s="432"/>
      <c r="PAA122" s="432"/>
      <c r="PAB122" s="432"/>
      <c r="PAC122" s="432"/>
      <c r="PAD122" s="432"/>
      <c r="PAE122" s="432"/>
      <c r="PAF122" s="432"/>
      <c r="PAG122" s="432"/>
      <c r="PAH122" s="432"/>
      <c r="PAI122" s="432"/>
      <c r="PAJ122" s="432"/>
      <c r="PAK122" s="432"/>
      <c r="PAL122" s="432"/>
      <c r="PAM122" s="432"/>
      <c r="PAN122" s="432"/>
      <c r="PAO122" s="432"/>
      <c r="PAP122" s="432"/>
      <c r="PAQ122" s="432"/>
      <c r="PAR122" s="432"/>
      <c r="PAS122" s="432"/>
      <c r="PAT122" s="432"/>
      <c r="PAU122" s="432"/>
      <c r="PAV122" s="432"/>
      <c r="PAW122" s="432"/>
      <c r="PAX122" s="432"/>
      <c r="PAY122" s="432"/>
      <c r="PAZ122" s="432"/>
      <c r="PBA122" s="432"/>
      <c r="PBB122" s="432"/>
      <c r="PBC122" s="432"/>
      <c r="PBD122" s="432"/>
      <c r="PBE122" s="432"/>
      <c r="PBF122" s="432"/>
      <c r="PBG122" s="432"/>
      <c r="PBH122" s="432"/>
      <c r="PBI122" s="432"/>
      <c r="PBJ122" s="432"/>
      <c r="PBK122" s="432"/>
      <c r="PBL122" s="432"/>
      <c r="PBM122" s="432"/>
      <c r="PBN122" s="432"/>
      <c r="PBO122" s="432"/>
      <c r="PBP122" s="432"/>
      <c r="PBQ122" s="432"/>
      <c r="PBR122" s="432"/>
      <c r="PBS122" s="432"/>
      <c r="PBT122" s="432"/>
      <c r="PBU122" s="432"/>
      <c r="PBV122" s="432"/>
      <c r="PBW122" s="432"/>
      <c r="PBX122" s="432"/>
      <c r="PBY122" s="432"/>
      <c r="PBZ122" s="432"/>
      <c r="PCA122" s="432"/>
      <c r="PCB122" s="432"/>
      <c r="PCC122" s="432"/>
      <c r="PCD122" s="432"/>
      <c r="PCE122" s="432"/>
      <c r="PCF122" s="432"/>
      <c r="PCG122" s="432"/>
      <c r="PCH122" s="432"/>
      <c r="PCI122" s="432"/>
      <c r="PCJ122" s="432"/>
      <c r="PCK122" s="432"/>
      <c r="PCL122" s="432"/>
      <c r="PCM122" s="432"/>
      <c r="PCN122" s="432"/>
      <c r="PCO122" s="432"/>
      <c r="PCP122" s="432"/>
      <c r="PCQ122" s="432"/>
      <c r="PCR122" s="432"/>
      <c r="PCS122" s="432"/>
      <c r="PCT122" s="432"/>
      <c r="PCU122" s="432"/>
      <c r="PCV122" s="432"/>
      <c r="PCW122" s="432"/>
      <c r="PCX122" s="432"/>
      <c r="PCY122" s="432"/>
      <c r="PCZ122" s="432"/>
      <c r="PDA122" s="432"/>
      <c r="PDB122" s="432"/>
      <c r="PDC122" s="432"/>
      <c r="PDD122" s="432"/>
      <c r="PDE122" s="432"/>
      <c r="PDF122" s="432"/>
      <c r="PDG122" s="432"/>
      <c r="PDH122" s="432"/>
      <c r="PDI122" s="432"/>
      <c r="PDJ122" s="432"/>
      <c r="PDK122" s="432"/>
      <c r="PDL122" s="432"/>
      <c r="PDM122" s="432"/>
      <c r="PDN122" s="432"/>
      <c r="PDO122" s="432"/>
      <c r="PDP122" s="432"/>
      <c r="PDQ122" s="432"/>
      <c r="PDR122" s="432"/>
      <c r="PDS122" s="432"/>
      <c r="PDT122" s="432"/>
      <c r="PDU122" s="432"/>
      <c r="PDV122" s="432"/>
      <c r="PDW122" s="432"/>
      <c r="PDX122" s="432"/>
      <c r="PDY122" s="432"/>
      <c r="PDZ122" s="432"/>
      <c r="PEA122" s="432"/>
      <c r="PEB122" s="432"/>
      <c r="PEC122" s="432"/>
      <c r="PED122" s="432"/>
      <c r="PEE122" s="432"/>
      <c r="PEF122" s="432"/>
      <c r="PEG122" s="432"/>
      <c r="PEH122" s="432"/>
      <c r="PEI122" s="432"/>
      <c r="PEJ122" s="432"/>
      <c r="PEK122" s="432"/>
      <c r="PEL122" s="432"/>
      <c r="PEM122" s="432"/>
      <c r="PEN122" s="432"/>
      <c r="PEO122" s="432"/>
      <c r="PEP122" s="432"/>
      <c r="PEQ122" s="432"/>
      <c r="PER122" s="432"/>
      <c r="PES122" s="432"/>
      <c r="PET122" s="432"/>
      <c r="PEU122" s="432"/>
      <c r="PEV122" s="432"/>
      <c r="PEW122" s="432"/>
      <c r="PEX122" s="432"/>
      <c r="PEY122" s="432"/>
      <c r="PEZ122" s="432"/>
      <c r="PFA122" s="432"/>
      <c r="PFB122" s="432"/>
      <c r="PFC122" s="432"/>
      <c r="PFD122" s="432"/>
      <c r="PFE122" s="432"/>
      <c r="PFF122" s="432"/>
      <c r="PFG122" s="432"/>
      <c r="PFH122" s="432"/>
      <c r="PFI122" s="432"/>
      <c r="PFJ122" s="432"/>
      <c r="PFK122" s="432"/>
      <c r="PFL122" s="432"/>
      <c r="PFM122" s="432"/>
      <c r="PFN122" s="432"/>
      <c r="PFO122" s="432"/>
      <c r="PFP122" s="432"/>
      <c r="PFQ122" s="432"/>
      <c r="PFR122" s="432"/>
      <c r="PFS122" s="432"/>
      <c r="PFT122" s="432"/>
      <c r="PFU122" s="432"/>
      <c r="PFV122" s="432"/>
      <c r="PFW122" s="432"/>
      <c r="PFX122" s="432"/>
      <c r="PFY122" s="432"/>
      <c r="PFZ122" s="432"/>
      <c r="PGA122" s="432"/>
      <c r="PGB122" s="432"/>
      <c r="PGC122" s="432"/>
      <c r="PGD122" s="432"/>
      <c r="PGE122" s="432"/>
      <c r="PGF122" s="432"/>
      <c r="PGG122" s="432"/>
      <c r="PGH122" s="432"/>
      <c r="PGI122" s="432"/>
      <c r="PGJ122" s="432"/>
      <c r="PGK122" s="432"/>
      <c r="PGL122" s="432"/>
      <c r="PGM122" s="432"/>
      <c r="PGN122" s="432"/>
      <c r="PGO122" s="432"/>
      <c r="PGP122" s="432"/>
      <c r="PGQ122" s="432"/>
      <c r="PGR122" s="432"/>
      <c r="PGS122" s="432"/>
      <c r="PGT122" s="432"/>
      <c r="PGU122" s="432"/>
      <c r="PGV122" s="432"/>
      <c r="PGW122" s="432"/>
      <c r="PGX122" s="432"/>
      <c r="PGY122" s="432"/>
      <c r="PGZ122" s="432"/>
      <c r="PHA122" s="432"/>
      <c r="PHB122" s="432"/>
      <c r="PHC122" s="432"/>
      <c r="PHD122" s="432"/>
      <c r="PHE122" s="432"/>
      <c r="PHF122" s="432"/>
      <c r="PHG122" s="432"/>
      <c r="PHH122" s="432"/>
      <c r="PHI122" s="432"/>
      <c r="PHJ122" s="432"/>
      <c r="PHK122" s="432"/>
      <c r="PHL122" s="432"/>
      <c r="PHM122" s="432"/>
      <c r="PHN122" s="432"/>
      <c r="PHO122" s="432"/>
      <c r="PHP122" s="432"/>
      <c r="PHQ122" s="432"/>
      <c r="PHR122" s="432"/>
      <c r="PHS122" s="432"/>
      <c r="PHT122" s="432"/>
      <c r="PHU122" s="432"/>
      <c r="PHV122" s="432"/>
      <c r="PHW122" s="432"/>
      <c r="PHX122" s="432"/>
      <c r="PHY122" s="432"/>
      <c r="PHZ122" s="432"/>
      <c r="PIA122" s="432"/>
      <c r="PIB122" s="432"/>
      <c r="PIC122" s="432"/>
      <c r="PID122" s="432"/>
      <c r="PIE122" s="432"/>
      <c r="PIF122" s="432"/>
      <c r="PIG122" s="432"/>
      <c r="PIH122" s="432"/>
      <c r="PII122" s="432"/>
      <c r="PIJ122" s="432"/>
      <c r="PIK122" s="432"/>
      <c r="PIL122" s="432"/>
      <c r="PIM122" s="432"/>
      <c r="PIN122" s="432"/>
      <c r="PIO122" s="432"/>
      <c r="PIP122" s="432"/>
      <c r="PIQ122" s="432"/>
      <c r="PIR122" s="432"/>
      <c r="PIS122" s="432"/>
      <c r="PIT122" s="432"/>
      <c r="PIU122" s="432"/>
      <c r="PIV122" s="432"/>
      <c r="PIW122" s="432"/>
      <c r="PIX122" s="432"/>
      <c r="PIY122" s="432"/>
      <c r="PIZ122" s="432"/>
      <c r="PJA122" s="432"/>
      <c r="PJB122" s="432"/>
      <c r="PJC122" s="432"/>
      <c r="PJD122" s="432"/>
      <c r="PJE122" s="432"/>
      <c r="PJF122" s="432"/>
      <c r="PJG122" s="432"/>
      <c r="PJH122" s="432"/>
      <c r="PJI122" s="432"/>
      <c r="PJJ122" s="432"/>
      <c r="PJK122" s="432"/>
      <c r="PJL122" s="432"/>
      <c r="PJM122" s="432"/>
      <c r="PJN122" s="432"/>
      <c r="PJO122" s="432"/>
      <c r="PJP122" s="432"/>
      <c r="PJQ122" s="432"/>
      <c r="PJR122" s="432"/>
      <c r="PJS122" s="432"/>
      <c r="PJT122" s="432"/>
      <c r="PJU122" s="432"/>
      <c r="PJV122" s="432"/>
      <c r="PJW122" s="432"/>
      <c r="PJX122" s="432"/>
      <c r="PJY122" s="432"/>
      <c r="PJZ122" s="432"/>
      <c r="PKA122" s="432"/>
      <c r="PKB122" s="432"/>
      <c r="PKC122" s="432"/>
      <c r="PKD122" s="432"/>
      <c r="PKE122" s="432"/>
      <c r="PKF122" s="432"/>
      <c r="PKG122" s="432"/>
      <c r="PKH122" s="432"/>
      <c r="PKI122" s="432"/>
      <c r="PKJ122" s="432"/>
      <c r="PKK122" s="432"/>
      <c r="PKL122" s="432"/>
      <c r="PKM122" s="432"/>
      <c r="PKN122" s="432"/>
      <c r="PKO122" s="432"/>
      <c r="PKP122" s="432"/>
      <c r="PKQ122" s="432"/>
      <c r="PKR122" s="432"/>
      <c r="PKS122" s="432"/>
      <c r="PKT122" s="432"/>
      <c r="PKU122" s="432"/>
      <c r="PKV122" s="432"/>
      <c r="PKW122" s="432"/>
      <c r="PKX122" s="432"/>
      <c r="PKY122" s="432"/>
      <c r="PKZ122" s="432"/>
      <c r="PLA122" s="432"/>
      <c r="PLB122" s="432"/>
      <c r="PLC122" s="432"/>
      <c r="PLD122" s="432"/>
      <c r="PLE122" s="432"/>
      <c r="PLF122" s="432"/>
      <c r="PLG122" s="432"/>
      <c r="PLH122" s="432"/>
      <c r="PLI122" s="432"/>
      <c r="PLJ122" s="432"/>
      <c r="PLK122" s="432"/>
      <c r="PLL122" s="432"/>
      <c r="PLM122" s="432"/>
      <c r="PLN122" s="432"/>
      <c r="PLO122" s="432"/>
      <c r="PLP122" s="432"/>
      <c r="PLQ122" s="432"/>
      <c r="PLR122" s="432"/>
      <c r="PLS122" s="432"/>
      <c r="PLT122" s="432"/>
      <c r="PLU122" s="432"/>
      <c r="PLV122" s="432"/>
      <c r="PLW122" s="432"/>
      <c r="PLX122" s="432"/>
      <c r="PLY122" s="432"/>
      <c r="PLZ122" s="432"/>
      <c r="PMA122" s="432"/>
      <c r="PMB122" s="432"/>
      <c r="PMC122" s="432"/>
      <c r="PMD122" s="432"/>
      <c r="PME122" s="432"/>
      <c r="PMF122" s="432"/>
      <c r="PMG122" s="432"/>
      <c r="PMH122" s="432"/>
      <c r="PMI122" s="432"/>
      <c r="PMJ122" s="432"/>
      <c r="PMK122" s="432"/>
      <c r="PML122" s="432"/>
      <c r="PMM122" s="432"/>
      <c r="PMN122" s="432"/>
      <c r="PMO122" s="432"/>
      <c r="PMP122" s="432"/>
      <c r="PMQ122" s="432"/>
      <c r="PMR122" s="432"/>
      <c r="PMS122" s="432"/>
      <c r="PMT122" s="432"/>
      <c r="PMU122" s="432"/>
      <c r="PMV122" s="432"/>
      <c r="PMW122" s="432"/>
      <c r="PMX122" s="432"/>
      <c r="PMY122" s="432"/>
      <c r="PMZ122" s="432"/>
      <c r="PNA122" s="432"/>
      <c r="PNB122" s="432"/>
      <c r="PNC122" s="432"/>
      <c r="PND122" s="432"/>
      <c r="PNE122" s="432"/>
      <c r="PNF122" s="432"/>
      <c r="PNG122" s="432"/>
      <c r="PNH122" s="432"/>
      <c r="PNI122" s="432"/>
      <c r="PNJ122" s="432"/>
      <c r="PNK122" s="432"/>
      <c r="PNL122" s="432"/>
      <c r="PNM122" s="432"/>
      <c r="PNN122" s="432"/>
      <c r="PNO122" s="432"/>
      <c r="PNP122" s="432"/>
      <c r="PNQ122" s="432"/>
      <c r="PNR122" s="432"/>
      <c r="PNS122" s="432"/>
      <c r="PNT122" s="432"/>
      <c r="PNU122" s="432"/>
      <c r="PNV122" s="432"/>
      <c r="PNW122" s="432"/>
      <c r="PNX122" s="432"/>
      <c r="PNY122" s="432"/>
      <c r="PNZ122" s="432"/>
      <c r="POA122" s="432"/>
      <c r="POB122" s="432"/>
      <c r="POC122" s="432"/>
      <c r="POD122" s="432"/>
      <c r="POE122" s="432"/>
      <c r="POF122" s="432"/>
      <c r="POG122" s="432"/>
      <c r="POH122" s="432"/>
      <c r="POI122" s="432"/>
      <c r="POJ122" s="432"/>
      <c r="POK122" s="432"/>
      <c r="POL122" s="432"/>
      <c r="POM122" s="432"/>
      <c r="PON122" s="432"/>
      <c r="POO122" s="432"/>
      <c r="POP122" s="432"/>
      <c r="POQ122" s="432"/>
      <c r="POR122" s="432"/>
      <c r="POS122" s="432"/>
      <c r="POT122" s="432"/>
      <c r="POU122" s="432"/>
      <c r="POV122" s="432"/>
      <c r="POW122" s="432"/>
      <c r="POX122" s="432"/>
      <c r="POY122" s="432"/>
      <c r="POZ122" s="432"/>
      <c r="PPA122" s="432"/>
      <c r="PPB122" s="432"/>
      <c r="PPC122" s="432"/>
      <c r="PPD122" s="432"/>
      <c r="PPE122" s="432"/>
      <c r="PPF122" s="432"/>
      <c r="PPG122" s="432"/>
      <c r="PPH122" s="432"/>
      <c r="PPI122" s="432"/>
      <c r="PPJ122" s="432"/>
      <c r="PPK122" s="432"/>
      <c r="PPL122" s="432"/>
      <c r="PPM122" s="432"/>
      <c r="PPN122" s="432"/>
      <c r="PPO122" s="432"/>
      <c r="PPP122" s="432"/>
      <c r="PPQ122" s="432"/>
      <c r="PPR122" s="432"/>
      <c r="PPS122" s="432"/>
      <c r="PPT122" s="432"/>
      <c r="PPU122" s="432"/>
      <c r="PPV122" s="432"/>
      <c r="PPW122" s="432"/>
      <c r="PPX122" s="432"/>
      <c r="PPY122" s="432"/>
      <c r="PPZ122" s="432"/>
      <c r="PQA122" s="432"/>
      <c r="PQB122" s="432"/>
      <c r="PQC122" s="432"/>
      <c r="PQD122" s="432"/>
      <c r="PQE122" s="432"/>
      <c r="PQF122" s="432"/>
      <c r="PQG122" s="432"/>
      <c r="PQH122" s="432"/>
      <c r="PQI122" s="432"/>
      <c r="PQJ122" s="432"/>
      <c r="PQK122" s="432"/>
      <c r="PQL122" s="432"/>
      <c r="PQM122" s="432"/>
      <c r="PQN122" s="432"/>
      <c r="PQO122" s="432"/>
      <c r="PQP122" s="432"/>
      <c r="PQQ122" s="432"/>
      <c r="PQR122" s="432"/>
      <c r="PQS122" s="432"/>
      <c r="PQT122" s="432"/>
      <c r="PQU122" s="432"/>
      <c r="PQV122" s="432"/>
      <c r="PQW122" s="432"/>
      <c r="PQX122" s="432"/>
      <c r="PQY122" s="432"/>
      <c r="PQZ122" s="432"/>
      <c r="PRA122" s="432"/>
      <c r="PRB122" s="432"/>
      <c r="PRC122" s="432"/>
      <c r="PRD122" s="432"/>
      <c r="PRE122" s="432"/>
      <c r="PRF122" s="432"/>
      <c r="PRG122" s="432"/>
      <c r="PRH122" s="432"/>
      <c r="PRI122" s="432"/>
      <c r="PRJ122" s="432"/>
      <c r="PRK122" s="432"/>
      <c r="PRL122" s="432"/>
      <c r="PRM122" s="432"/>
      <c r="PRN122" s="432"/>
      <c r="PRO122" s="432"/>
      <c r="PRP122" s="432"/>
      <c r="PRQ122" s="432"/>
      <c r="PRR122" s="432"/>
      <c r="PRS122" s="432"/>
      <c r="PRT122" s="432"/>
      <c r="PRU122" s="432"/>
      <c r="PRV122" s="432"/>
      <c r="PRW122" s="432"/>
      <c r="PRX122" s="432"/>
      <c r="PRY122" s="432"/>
      <c r="PRZ122" s="432"/>
      <c r="PSA122" s="432"/>
      <c r="PSB122" s="432"/>
      <c r="PSC122" s="432"/>
      <c r="PSD122" s="432"/>
      <c r="PSE122" s="432"/>
      <c r="PSF122" s="432"/>
      <c r="PSG122" s="432"/>
      <c r="PSH122" s="432"/>
      <c r="PSI122" s="432"/>
      <c r="PSJ122" s="432"/>
      <c r="PSK122" s="432"/>
      <c r="PSL122" s="432"/>
      <c r="PSM122" s="432"/>
      <c r="PSN122" s="432"/>
      <c r="PSO122" s="432"/>
      <c r="PSP122" s="432"/>
      <c r="PSQ122" s="432"/>
      <c r="PSR122" s="432"/>
      <c r="PSS122" s="432"/>
      <c r="PST122" s="432"/>
      <c r="PSU122" s="432"/>
      <c r="PSV122" s="432"/>
      <c r="PSW122" s="432"/>
      <c r="PSX122" s="432"/>
      <c r="PSY122" s="432"/>
      <c r="PSZ122" s="432"/>
      <c r="PTA122" s="432"/>
      <c r="PTB122" s="432"/>
      <c r="PTC122" s="432"/>
      <c r="PTD122" s="432"/>
      <c r="PTE122" s="432"/>
      <c r="PTF122" s="432"/>
      <c r="PTG122" s="432"/>
      <c r="PTH122" s="432"/>
      <c r="PTI122" s="432"/>
      <c r="PTJ122" s="432"/>
      <c r="PTK122" s="432"/>
      <c r="PTL122" s="432"/>
      <c r="PTM122" s="432"/>
      <c r="PTN122" s="432"/>
      <c r="PTO122" s="432"/>
      <c r="PTP122" s="432"/>
      <c r="PTQ122" s="432"/>
      <c r="PTR122" s="432"/>
      <c r="PTS122" s="432"/>
      <c r="PTT122" s="432"/>
      <c r="PTU122" s="432"/>
      <c r="PTV122" s="432"/>
      <c r="PTW122" s="432"/>
      <c r="PTX122" s="432"/>
      <c r="PTY122" s="432"/>
      <c r="PTZ122" s="432"/>
      <c r="PUA122" s="432"/>
      <c r="PUB122" s="432"/>
      <c r="PUC122" s="432"/>
      <c r="PUD122" s="432"/>
      <c r="PUE122" s="432"/>
      <c r="PUF122" s="432"/>
      <c r="PUG122" s="432"/>
      <c r="PUH122" s="432"/>
      <c r="PUI122" s="432"/>
      <c r="PUJ122" s="432"/>
      <c r="PUK122" s="432"/>
      <c r="PUL122" s="432"/>
      <c r="PUM122" s="432"/>
      <c r="PUN122" s="432"/>
      <c r="PUO122" s="432"/>
      <c r="PUP122" s="432"/>
      <c r="PUQ122" s="432"/>
      <c r="PUR122" s="432"/>
      <c r="PUS122" s="432"/>
      <c r="PUT122" s="432"/>
      <c r="PUU122" s="432"/>
      <c r="PUV122" s="432"/>
      <c r="PUW122" s="432"/>
      <c r="PUX122" s="432"/>
      <c r="PUY122" s="432"/>
      <c r="PUZ122" s="432"/>
      <c r="PVA122" s="432"/>
      <c r="PVB122" s="432"/>
      <c r="PVC122" s="432"/>
      <c r="PVD122" s="432"/>
      <c r="PVE122" s="432"/>
      <c r="PVF122" s="432"/>
      <c r="PVG122" s="432"/>
      <c r="PVH122" s="432"/>
      <c r="PVI122" s="432"/>
      <c r="PVJ122" s="432"/>
      <c r="PVK122" s="432"/>
      <c r="PVL122" s="432"/>
      <c r="PVM122" s="432"/>
      <c r="PVN122" s="432"/>
      <c r="PVO122" s="432"/>
      <c r="PVP122" s="432"/>
      <c r="PVQ122" s="432"/>
      <c r="PVR122" s="432"/>
      <c r="PVS122" s="432"/>
      <c r="PVT122" s="432"/>
      <c r="PVU122" s="432"/>
      <c r="PVV122" s="432"/>
      <c r="PVW122" s="432"/>
      <c r="PVX122" s="432"/>
      <c r="PVY122" s="432"/>
      <c r="PVZ122" s="432"/>
      <c r="PWA122" s="432"/>
      <c r="PWB122" s="432"/>
      <c r="PWC122" s="432"/>
      <c r="PWD122" s="432"/>
      <c r="PWE122" s="432"/>
      <c r="PWF122" s="432"/>
      <c r="PWG122" s="432"/>
      <c r="PWH122" s="432"/>
      <c r="PWI122" s="432"/>
      <c r="PWJ122" s="432"/>
      <c r="PWK122" s="432"/>
      <c r="PWL122" s="432"/>
      <c r="PWM122" s="432"/>
      <c r="PWN122" s="432"/>
      <c r="PWO122" s="432"/>
      <c r="PWP122" s="432"/>
      <c r="PWQ122" s="432"/>
      <c r="PWR122" s="432"/>
      <c r="PWS122" s="432"/>
      <c r="PWT122" s="432"/>
      <c r="PWU122" s="432"/>
      <c r="PWV122" s="432"/>
      <c r="PWW122" s="432"/>
      <c r="PWX122" s="432"/>
      <c r="PWY122" s="432"/>
      <c r="PWZ122" s="432"/>
      <c r="PXA122" s="432"/>
      <c r="PXB122" s="432"/>
      <c r="PXC122" s="432"/>
      <c r="PXD122" s="432"/>
      <c r="PXE122" s="432"/>
      <c r="PXF122" s="432"/>
      <c r="PXG122" s="432"/>
      <c r="PXH122" s="432"/>
      <c r="PXI122" s="432"/>
      <c r="PXJ122" s="432"/>
      <c r="PXK122" s="432"/>
      <c r="PXL122" s="432"/>
      <c r="PXM122" s="432"/>
      <c r="PXN122" s="432"/>
      <c r="PXO122" s="432"/>
      <c r="PXP122" s="432"/>
      <c r="PXQ122" s="432"/>
      <c r="PXR122" s="432"/>
      <c r="PXS122" s="432"/>
      <c r="PXT122" s="432"/>
      <c r="PXU122" s="432"/>
      <c r="PXV122" s="432"/>
      <c r="PXW122" s="432"/>
      <c r="PXX122" s="432"/>
      <c r="PXY122" s="432"/>
      <c r="PXZ122" s="432"/>
      <c r="PYA122" s="432"/>
      <c r="PYB122" s="432"/>
      <c r="PYC122" s="432"/>
      <c r="PYD122" s="432"/>
      <c r="PYE122" s="432"/>
      <c r="PYF122" s="432"/>
      <c r="PYG122" s="432"/>
      <c r="PYH122" s="432"/>
      <c r="PYI122" s="432"/>
      <c r="PYJ122" s="432"/>
      <c r="PYK122" s="432"/>
      <c r="PYL122" s="432"/>
      <c r="PYM122" s="432"/>
      <c r="PYN122" s="432"/>
      <c r="PYO122" s="432"/>
      <c r="PYP122" s="432"/>
      <c r="PYQ122" s="432"/>
      <c r="PYR122" s="432"/>
      <c r="PYS122" s="432"/>
      <c r="PYT122" s="432"/>
      <c r="PYU122" s="432"/>
      <c r="PYV122" s="432"/>
      <c r="PYW122" s="432"/>
      <c r="PYX122" s="432"/>
      <c r="PYY122" s="432"/>
      <c r="PYZ122" s="432"/>
      <c r="PZA122" s="432"/>
      <c r="PZB122" s="432"/>
      <c r="PZC122" s="432"/>
      <c r="PZD122" s="432"/>
      <c r="PZE122" s="432"/>
      <c r="PZF122" s="432"/>
      <c r="PZG122" s="432"/>
      <c r="PZH122" s="432"/>
      <c r="PZI122" s="432"/>
      <c r="PZJ122" s="432"/>
      <c r="PZK122" s="432"/>
      <c r="PZL122" s="432"/>
      <c r="PZM122" s="432"/>
      <c r="PZN122" s="432"/>
      <c r="PZO122" s="432"/>
      <c r="PZP122" s="432"/>
      <c r="PZQ122" s="432"/>
      <c r="PZR122" s="432"/>
      <c r="PZS122" s="432"/>
      <c r="PZT122" s="432"/>
      <c r="PZU122" s="432"/>
      <c r="PZV122" s="432"/>
      <c r="PZW122" s="432"/>
      <c r="PZX122" s="432"/>
      <c r="PZY122" s="432"/>
      <c r="PZZ122" s="432"/>
      <c r="QAA122" s="432"/>
      <c r="QAB122" s="432"/>
      <c r="QAC122" s="432"/>
      <c r="QAD122" s="432"/>
      <c r="QAE122" s="432"/>
      <c r="QAF122" s="432"/>
      <c r="QAG122" s="432"/>
      <c r="QAH122" s="432"/>
      <c r="QAI122" s="432"/>
      <c r="QAJ122" s="432"/>
      <c r="QAK122" s="432"/>
      <c r="QAL122" s="432"/>
      <c r="QAM122" s="432"/>
      <c r="QAN122" s="432"/>
      <c r="QAO122" s="432"/>
      <c r="QAP122" s="432"/>
      <c r="QAQ122" s="432"/>
      <c r="QAR122" s="432"/>
      <c r="QAS122" s="432"/>
      <c r="QAT122" s="432"/>
      <c r="QAU122" s="432"/>
      <c r="QAV122" s="432"/>
      <c r="QAW122" s="432"/>
      <c r="QAX122" s="432"/>
      <c r="QAY122" s="432"/>
      <c r="QAZ122" s="432"/>
      <c r="QBA122" s="432"/>
      <c r="QBB122" s="432"/>
      <c r="QBC122" s="432"/>
      <c r="QBD122" s="432"/>
      <c r="QBE122" s="432"/>
      <c r="QBF122" s="432"/>
      <c r="QBG122" s="432"/>
      <c r="QBH122" s="432"/>
      <c r="QBI122" s="432"/>
      <c r="QBJ122" s="432"/>
      <c r="QBK122" s="432"/>
      <c r="QBL122" s="432"/>
      <c r="QBM122" s="432"/>
      <c r="QBN122" s="432"/>
      <c r="QBO122" s="432"/>
      <c r="QBP122" s="432"/>
      <c r="QBQ122" s="432"/>
      <c r="QBR122" s="432"/>
      <c r="QBS122" s="432"/>
      <c r="QBT122" s="432"/>
      <c r="QBU122" s="432"/>
      <c r="QBV122" s="432"/>
      <c r="QBW122" s="432"/>
      <c r="QBX122" s="432"/>
      <c r="QBY122" s="432"/>
      <c r="QBZ122" s="432"/>
      <c r="QCA122" s="432"/>
      <c r="QCB122" s="432"/>
      <c r="QCC122" s="432"/>
      <c r="QCD122" s="432"/>
      <c r="QCE122" s="432"/>
      <c r="QCF122" s="432"/>
      <c r="QCG122" s="432"/>
      <c r="QCH122" s="432"/>
      <c r="QCI122" s="432"/>
      <c r="QCJ122" s="432"/>
      <c r="QCK122" s="432"/>
      <c r="QCL122" s="432"/>
      <c r="QCM122" s="432"/>
      <c r="QCN122" s="432"/>
      <c r="QCO122" s="432"/>
      <c r="QCP122" s="432"/>
      <c r="QCQ122" s="432"/>
      <c r="QCR122" s="432"/>
      <c r="QCS122" s="432"/>
      <c r="QCT122" s="432"/>
      <c r="QCU122" s="432"/>
      <c r="QCV122" s="432"/>
      <c r="QCW122" s="432"/>
      <c r="QCX122" s="432"/>
      <c r="QCY122" s="432"/>
      <c r="QCZ122" s="432"/>
      <c r="QDA122" s="432"/>
      <c r="QDB122" s="432"/>
      <c r="QDC122" s="432"/>
      <c r="QDD122" s="432"/>
      <c r="QDE122" s="432"/>
      <c r="QDF122" s="432"/>
      <c r="QDG122" s="432"/>
      <c r="QDH122" s="432"/>
      <c r="QDI122" s="432"/>
      <c r="QDJ122" s="432"/>
      <c r="QDK122" s="432"/>
      <c r="QDL122" s="432"/>
      <c r="QDM122" s="432"/>
      <c r="QDN122" s="432"/>
      <c r="QDO122" s="432"/>
      <c r="QDP122" s="432"/>
      <c r="QDQ122" s="432"/>
      <c r="QDR122" s="432"/>
      <c r="QDS122" s="432"/>
      <c r="QDT122" s="432"/>
      <c r="QDU122" s="432"/>
      <c r="QDV122" s="432"/>
      <c r="QDW122" s="432"/>
      <c r="QDX122" s="432"/>
      <c r="QDY122" s="432"/>
      <c r="QDZ122" s="432"/>
      <c r="QEA122" s="432"/>
      <c r="QEB122" s="432"/>
      <c r="QEC122" s="432"/>
      <c r="QED122" s="432"/>
      <c r="QEE122" s="432"/>
      <c r="QEF122" s="432"/>
      <c r="QEG122" s="432"/>
      <c r="QEH122" s="432"/>
      <c r="QEI122" s="432"/>
      <c r="QEJ122" s="432"/>
      <c r="QEK122" s="432"/>
      <c r="QEL122" s="432"/>
      <c r="QEM122" s="432"/>
      <c r="QEN122" s="432"/>
      <c r="QEO122" s="432"/>
      <c r="QEP122" s="432"/>
      <c r="QEQ122" s="432"/>
      <c r="QER122" s="432"/>
      <c r="QES122" s="432"/>
      <c r="QET122" s="432"/>
      <c r="QEU122" s="432"/>
      <c r="QEV122" s="432"/>
      <c r="QEW122" s="432"/>
      <c r="QEX122" s="432"/>
      <c r="QEY122" s="432"/>
      <c r="QEZ122" s="432"/>
      <c r="QFA122" s="432"/>
      <c r="QFB122" s="432"/>
      <c r="QFC122" s="432"/>
      <c r="QFD122" s="432"/>
      <c r="QFE122" s="432"/>
      <c r="QFF122" s="432"/>
      <c r="QFG122" s="432"/>
      <c r="QFH122" s="432"/>
      <c r="QFI122" s="432"/>
      <c r="QFJ122" s="432"/>
      <c r="QFK122" s="432"/>
      <c r="QFL122" s="432"/>
      <c r="QFM122" s="432"/>
      <c r="QFN122" s="432"/>
      <c r="QFO122" s="432"/>
      <c r="QFP122" s="432"/>
      <c r="QFQ122" s="432"/>
      <c r="QFR122" s="432"/>
      <c r="QFS122" s="432"/>
      <c r="QFT122" s="432"/>
      <c r="QFU122" s="432"/>
      <c r="QFV122" s="432"/>
      <c r="QFW122" s="432"/>
      <c r="QFX122" s="432"/>
      <c r="QFY122" s="432"/>
      <c r="QFZ122" s="432"/>
      <c r="QGA122" s="432"/>
      <c r="QGB122" s="432"/>
      <c r="QGC122" s="432"/>
      <c r="QGD122" s="432"/>
      <c r="QGE122" s="432"/>
      <c r="QGF122" s="432"/>
      <c r="QGG122" s="432"/>
      <c r="QGH122" s="432"/>
      <c r="QGI122" s="432"/>
      <c r="QGJ122" s="432"/>
      <c r="QGK122" s="432"/>
      <c r="QGL122" s="432"/>
      <c r="QGM122" s="432"/>
      <c r="QGN122" s="432"/>
      <c r="QGO122" s="432"/>
      <c r="QGP122" s="432"/>
      <c r="QGQ122" s="432"/>
      <c r="QGR122" s="432"/>
      <c r="QGS122" s="432"/>
      <c r="QGT122" s="432"/>
      <c r="QGU122" s="432"/>
      <c r="QGV122" s="432"/>
      <c r="QGW122" s="432"/>
      <c r="QGX122" s="432"/>
      <c r="QGY122" s="432"/>
      <c r="QGZ122" s="432"/>
      <c r="QHA122" s="432"/>
      <c r="QHB122" s="432"/>
      <c r="QHC122" s="432"/>
      <c r="QHD122" s="432"/>
      <c r="QHE122" s="432"/>
      <c r="QHF122" s="432"/>
      <c r="QHG122" s="432"/>
      <c r="QHH122" s="432"/>
      <c r="QHI122" s="432"/>
      <c r="QHJ122" s="432"/>
      <c r="QHK122" s="432"/>
      <c r="QHL122" s="432"/>
      <c r="QHM122" s="432"/>
      <c r="QHN122" s="432"/>
      <c r="QHO122" s="432"/>
      <c r="QHP122" s="432"/>
      <c r="QHQ122" s="432"/>
      <c r="QHR122" s="432"/>
      <c r="QHS122" s="432"/>
      <c r="QHT122" s="432"/>
      <c r="QHU122" s="432"/>
      <c r="QHV122" s="432"/>
      <c r="QHW122" s="432"/>
      <c r="QHX122" s="432"/>
      <c r="QHY122" s="432"/>
      <c r="QHZ122" s="432"/>
      <c r="QIA122" s="432"/>
      <c r="QIB122" s="432"/>
      <c r="QIC122" s="432"/>
      <c r="QID122" s="432"/>
      <c r="QIE122" s="432"/>
      <c r="QIF122" s="432"/>
      <c r="QIG122" s="432"/>
      <c r="QIH122" s="432"/>
      <c r="QII122" s="432"/>
      <c r="QIJ122" s="432"/>
      <c r="QIK122" s="432"/>
      <c r="QIL122" s="432"/>
      <c r="QIM122" s="432"/>
      <c r="QIN122" s="432"/>
      <c r="QIO122" s="432"/>
      <c r="QIP122" s="432"/>
      <c r="QIQ122" s="432"/>
      <c r="QIR122" s="432"/>
      <c r="QIS122" s="432"/>
      <c r="QIT122" s="432"/>
      <c r="QIU122" s="432"/>
      <c r="QIV122" s="432"/>
      <c r="QIW122" s="432"/>
      <c r="QIX122" s="432"/>
      <c r="QIY122" s="432"/>
      <c r="QIZ122" s="432"/>
      <c r="QJA122" s="432"/>
      <c r="QJB122" s="432"/>
      <c r="QJC122" s="432"/>
      <c r="QJD122" s="432"/>
      <c r="QJE122" s="432"/>
      <c r="QJF122" s="432"/>
      <c r="QJG122" s="432"/>
      <c r="QJH122" s="432"/>
      <c r="QJI122" s="432"/>
      <c r="QJJ122" s="432"/>
      <c r="QJK122" s="432"/>
      <c r="QJL122" s="432"/>
      <c r="QJM122" s="432"/>
      <c r="QJN122" s="432"/>
      <c r="QJO122" s="432"/>
      <c r="QJP122" s="432"/>
      <c r="QJQ122" s="432"/>
      <c r="QJR122" s="432"/>
      <c r="QJS122" s="432"/>
      <c r="QJT122" s="432"/>
      <c r="QJU122" s="432"/>
      <c r="QJV122" s="432"/>
      <c r="QJW122" s="432"/>
      <c r="QJX122" s="432"/>
      <c r="QJY122" s="432"/>
      <c r="QJZ122" s="432"/>
      <c r="QKA122" s="432"/>
      <c r="QKB122" s="432"/>
      <c r="QKC122" s="432"/>
      <c r="QKD122" s="432"/>
      <c r="QKE122" s="432"/>
      <c r="QKF122" s="432"/>
      <c r="QKG122" s="432"/>
      <c r="QKH122" s="432"/>
      <c r="QKI122" s="432"/>
      <c r="QKJ122" s="432"/>
      <c r="QKK122" s="432"/>
      <c r="QKL122" s="432"/>
      <c r="QKM122" s="432"/>
      <c r="QKN122" s="432"/>
      <c r="QKO122" s="432"/>
      <c r="QKP122" s="432"/>
      <c r="QKQ122" s="432"/>
      <c r="QKR122" s="432"/>
      <c r="QKS122" s="432"/>
      <c r="QKT122" s="432"/>
      <c r="QKU122" s="432"/>
      <c r="QKV122" s="432"/>
      <c r="QKW122" s="432"/>
      <c r="QKX122" s="432"/>
      <c r="QKY122" s="432"/>
      <c r="QKZ122" s="432"/>
      <c r="QLA122" s="432"/>
      <c r="QLB122" s="432"/>
      <c r="QLC122" s="432"/>
      <c r="QLD122" s="432"/>
      <c r="QLE122" s="432"/>
      <c r="QLF122" s="432"/>
      <c r="QLG122" s="432"/>
      <c r="QLH122" s="432"/>
      <c r="QLI122" s="432"/>
      <c r="QLJ122" s="432"/>
      <c r="QLK122" s="432"/>
      <c r="QLL122" s="432"/>
      <c r="QLM122" s="432"/>
      <c r="QLN122" s="432"/>
      <c r="QLO122" s="432"/>
      <c r="QLP122" s="432"/>
      <c r="QLQ122" s="432"/>
      <c r="QLR122" s="432"/>
      <c r="QLS122" s="432"/>
      <c r="QLT122" s="432"/>
      <c r="QLU122" s="432"/>
      <c r="QLV122" s="432"/>
      <c r="QLW122" s="432"/>
      <c r="QLX122" s="432"/>
      <c r="QLY122" s="432"/>
      <c r="QLZ122" s="432"/>
      <c r="QMA122" s="432"/>
      <c r="QMB122" s="432"/>
      <c r="QMC122" s="432"/>
      <c r="QMD122" s="432"/>
      <c r="QME122" s="432"/>
      <c r="QMF122" s="432"/>
      <c r="QMG122" s="432"/>
      <c r="QMH122" s="432"/>
      <c r="QMI122" s="432"/>
      <c r="QMJ122" s="432"/>
      <c r="QMK122" s="432"/>
      <c r="QML122" s="432"/>
      <c r="QMM122" s="432"/>
      <c r="QMN122" s="432"/>
      <c r="QMO122" s="432"/>
      <c r="QMP122" s="432"/>
      <c r="QMQ122" s="432"/>
      <c r="QMR122" s="432"/>
      <c r="QMS122" s="432"/>
      <c r="QMT122" s="432"/>
      <c r="QMU122" s="432"/>
      <c r="QMV122" s="432"/>
      <c r="QMW122" s="432"/>
      <c r="QMX122" s="432"/>
      <c r="QMY122" s="432"/>
      <c r="QMZ122" s="432"/>
      <c r="QNA122" s="432"/>
      <c r="QNB122" s="432"/>
      <c r="QNC122" s="432"/>
      <c r="QND122" s="432"/>
      <c r="QNE122" s="432"/>
      <c r="QNF122" s="432"/>
      <c r="QNG122" s="432"/>
      <c r="QNH122" s="432"/>
      <c r="QNI122" s="432"/>
      <c r="QNJ122" s="432"/>
      <c r="QNK122" s="432"/>
      <c r="QNL122" s="432"/>
      <c r="QNM122" s="432"/>
      <c r="QNN122" s="432"/>
      <c r="QNO122" s="432"/>
      <c r="QNP122" s="432"/>
      <c r="QNQ122" s="432"/>
      <c r="QNR122" s="432"/>
      <c r="QNS122" s="432"/>
      <c r="QNT122" s="432"/>
      <c r="QNU122" s="432"/>
      <c r="QNV122" s="432"/>
      <c r="QNW122" s="432"/>
      <c r="QNX122" s="432"/>
      <c r="QNY122" s="432"/>
      <c r="QNZ122" s="432"/>
      <c r="QOA122" s="432"/>
      <c r="QOB122" s="432"/>
      <c r="QOC122" s="432"/>
      <c r="QOD122" s="432"/>
      <c r="QOE122" s="432"/>
      <c r="QOF122" s="432"/>
      <c r="QOG122" s="432"/>
      <c r="QOH122" s="432"/>
      <c r="QOI122" s="432"/>
      <c r="QOJ122" s="432"/>
      <c r="QOK122" s="432"/>
      <c r="QOL122" s="432"/>
      <c r="QOM122" s="432"/>
      <c r="QON122" s="432"/>
      <c r="QOO122" s="432"/>
      <c r="QOP122" s="432"/>
      <c r="QOQ122" s="432"/>
      <c r="QOR122" s="432"/>
      <c r="QOS122" s="432"/>
      <c r="QOT122" s="432"/>
      <c r="QOU122" s="432"/>
      <c r="QOV122" s="432"/>
      <c r="QOW122" s="432"/>
      <c r="QOX122" s="432"/>
      <c r="QOY122" s="432"/>
      <c r="QOZ122" s="432"/>
      <c r="QPA122" s="432"/>
      <c r="QPB122" s="432"/>
      <c r="QPC122" s="432"/>
      <c r="QPD122" s="432"/>
      <c r="QPE122" s="432"/>
      <c r="QPF122" s="432"/>
      <c r="QPG122" s="432"/>
      <c r="QPH122" s="432"/>
      <c r="QPI122" s="432"/>
      <c r="QPJ122" s="432"/>
      <c r="QPK122" s="432"/>
      <c r="QPL122" s="432"/>
      <c r="QPM122" s="432"/>
      <c r="QPN122" s="432"/>
      <c r="QPO122" s="432"/>
      <c r="QPP122" s="432"/>
      <c r="QPQ122" s="432"/>
      <c r="QPR122" s="432"/>
      <c r="QPS122" s="432"/>
      <c r="QPT122" s="432"/>
      <c r="QPU122" s="432"/>
      <c r="QPV122" s="432"/>
      <c r="QPW122" s="432"/>
      <c r="QPX122" s="432"/>
      <c r="QPY122" s="432"/>
      <c r="QPZ122" s="432"/>
      <c r="QQA122" s="432"/>
      <c r="QQB122" s="432"/>
      <c r="QQC122" s="432"/>
      <c r="QQD122" s="432"/>
      <c r="QQE122" s="432"/>
      <c r="QQF122" s="432"/>
      <c r="QQG122" s="432"/>
      <c r="QQH122" s="432"/>
      <c r="QQI122" s="432"/>
      <c r="QQJ122" s="432"/>
      <c r="QQK122" s="432"/>
      <c r="QQL122" s="432"/>
      <c r="QQM122" s="432"/>
      <c r="QQN122" s="432"/>
      <c r="QQO122" s="432"/>
      <c r="QQP122" s="432"/>
      <c r="QQQ122" s="432"/>
      <c r="QQR122" s="432"/>
      <c r="QQS122" s="432"/>
      <c r="QQT122" s="432"/>
      <c r="QQU122" s="432"/>
      <c r="QQV122" s="432"/>
      <c r="QQW122" s="432"/>
      <c r="QQX122" s="432"/>
      <c r="QQY122" s="432"/>
      <c r="QQZ122" s="432"/>
      <c r="QRA122" s="432"/>
      <c r="QRB122" s="432"/>
      <c r="QRC122" s="432"/>
      <c r="QRD122" s="432"/>
      <c r="QRE122" s="432"/>
      <c r="QRF122" s="432"/>
      <c r="QRG122" s="432"/>
      <c r="QRH122" s="432"/>
      <c r="QRI122" s="432"/>
      <c r="QRJ122" s="432"/>
      <c r="QRK122" s="432"/>
      <c r="QRL122" s="432"/>
      <c r="QRM122" s="432"/>
      <c r="QRN122" s="432"/>
      <c r="QRO122" s="432"/>
      <c r="QRP122" s="432"/>
      <c r="QRQ122" s="432"/>
      <c r="QRR122" s="432"/>
      <c r="QRS122" s="432"/>
      <c r="QRT122" s="432"/>
      <c r="QRU122" s="432"/>
      <c r="QRV122" s="432"/>
      <c r="QRW122" s="432"/>
      <c r="QRX122" s="432"/>
      <c r="QRY122" s="432"/>
      <c r="QRZ122" s="432"/>
      <c r="QSA122" s="432"/>
      <c r="QSB122" s="432"/>
      <c r="QSC122" s="432"/>
      <c r="QSD122" s="432"/>
      <c r="QSE122" s="432"/>
      <c r="QSF122" s="432"/>
      <c r="QSG122" s="432"/>
      <c r="QSH122" s="432"/>
      <c r="QSI122" s="432"/>
      <c r="QSJ122" s="432"/>
      <c r="QSK122" s="432"/>
      <c r="QSL122" s="432"/>
      <c r="QSM122" s="432"/>
      <c r="QSN122" s="432"/>
      <c r="QSO122" s="432"/>
      <c r="QSP122" s="432"/>
      <c r="QSQ122" s="432"/>
      <c r="QSR122" s="432"/>
      <c r="QSS122" s="432"/>
      <c r="QST122" s="432"/>
      <c r="QSU122" s="432"/>
      <c r="QSV122" s="432"/>
      <c r="QSW122" s="432"/>
      <c r="QSX122" s="432"/>
      <c r="QSY122" s="432"/>
      <c r="QSZ122" s="432"/>
      <c r="QTA122" s="432"/>
      <c r="QTB122" s="432"/>
      <c r="QTC122" s="432"/>
      <c r="QTD122" s="432"/>
      <c r="QTE122" s="432"/>
      <c r="QTF122" s="432"/>
      <c r="QTG122" s="432"/>
      <c r="QTH122" s="432"/>
      <c r="QTI122" s="432"/>
      <c r="QTJ122" s="432"/>
      <c r="QTK122" s="432"/>
      <c r="QTL122" s="432"/>
      <c r="QTM122" s="432"/>
      <c r="QTN122" s="432"/>
      <c r="QTO122" s="432"/>
      <c r="QTP122" s="432"/>
      <c r="QTQ122" s="432"/>
      <c r="QTR122" s="432"/>
      <c r="QTS122" s="432"/>
      <c r="QTT122" s="432"/>
      <c r="QTU122" s="432"/>
      <c r="QTV122" s="432"/>
      <c r="QTW122" s="432"/>
      <c r="QTX122" s="432"/>
      <c r="QTY122" s="432"/>
      <c r="QTZ122" s="432"/>
      <c r="QUA122" s="432"/>
      <c r="QUB122" s="432"/>
      <c r="QUC122" s="432"/>
      <c r="QUD122" s="432"/>
      <c r="QUE122" s="432"/>
      <c r="QUF122" s="432"/>
      <c r="QUG122" s="432"/>
      <c r="QUH122" s="432"/>
      <c r="QUI122" s="432"/>
      <c r="QUJ122" s="432"/>
      <c r="QUK122" s="432"/>
      <c r="QUL122" s="432"/>
      <c r="QUM122" s="432"/>
      <c r="QUN122" s="432"/>
      <c r="QUO122" s="432"/>
      <c r="QUP122" s="432"/>
      <c r="QUQ122" s="432"/>
      <c r="QUR122" s="432"/>
      <c r="QUS122" s="432"/>
      <c r="QUT122" s="432"/>
      <c r="QUU122" s="432"/>
      <c r="QUV122" s="432"/>
      <c r="QUW122" s="432"/>
      <c r="QUX122" s="432"/>
      <c r="QUY122" s="432"/>
      <c r="QUZ122" s="432"/>
      <c r="QVA122" s="432"/>
      <c r="QVB122" s="432"/>
      <c r="QVC122" s="432"/>
      <c r="QVD122" s="432"/>
      <c r="QVE122" s="432"/>
      <c r="QVF122" s="432"/>
      <c r="QVG122" s="432"/>
      <c r="QVH122" s="432"/>
      <c r="QVI122" s="432"/>
      <c r="QVJ122" s="432"/>
      <c r="QVK122" s="432"/>
      <c r="QVL122" s="432"/>
      <c r="QVM122" s="432"/>
      <c r="QVN122" s="432"/>
      <c r="QVO122" s="432"/>
      <c r="QVP122" s="432"/>
      <c r="QVQ122" s="432"/>
      <c r="QVR122" s="432"/>
      <c r="QVS122" s="432"/>
      <c r="QVT122" s="432"/>
      <c r="QVU122" s="432"/>
      <c r="QVV122" s="432"/>
      <c r="QVW122" s="432"/>
      <c r="QVX122" s="432"/>
      <c r="QVY122" s="432"/>
      <c r="QVZ122" s="432"/>
      <c r="QWA122" s="432"/>
      <c r="QWB122" s="432"/>
      <c r="QWC122" s="432"/>
      <c r="QWD122" s="432"/>
      <c r="QWE122" s="432"/>
      <c r="QWF122" s="432"/>
      <c r="QWG122" s="432"/>
      <c r="QWH122" s="432"/>
      <c r="QWI122" s="432"/>
      <c r="QWJ122" s="432"/>
      <c r="QWK122" s="432"/>
      <c r="QWL122" s="432"/>
      <c r="QWM122" s="432"/>
      <c r="QWN122" s="432"/>
      <c r="QWO122" s="432"/>
      <c r="QWP122" s="432"/>
      <c r="QWQ122" s="432"/>
      <c r="QWR122" s="432"/>
      <c r="QWS122" s="432"/>
      <c r="QWT122" s="432"/>
      <c r="QWU122" s="432"/>
      <c r="QWV122" s="432"/>
      <c r="QWW122" s="432"/>
      <c r="QWX122" s="432"/>
      <c r="QWY122" s="432"/>
      <c r="QWZ122" s="432"/>
      <c r="QXA122" s="432"/>
      <c r="QXB122" s="432"/>
      <c r="QXC122" s="432"/>
      <c r="QXD122" s="432"/>
      <c r="QXE122" s="432"/>
      <c r="QXF122" s="432"/>
      <c r="QXG122" s="432"/>
      <c r="QXH122" s="432"/>
      <c r="QXI122" s="432"/>
      <c r="QXJ122" s="432"/>
      <c r="QXK122" s="432"/>
      <c r="QXL122" s="432"/>
      <c r="QXM122" s="432"/>
      <c r="QXN122" s="432"/>
      <c r="QXO122" s="432"/>
      <c r="QXP122" s="432"/>
      <c r="QXQ122" s="432"/>
      <c r="QXR122" s="432"/>
      <c r="QXS122" s="432"/>
      <c r="QXT122" s="432"/>
      <c r="QXU122" s="432"/>
      <c r="QXV122" s="432"/>
      <c r="QXW122" s="432"/>
      <c r="QXX122" s="432"/>
      <c r="QXY122" s="432"/>
      <c r="QXZ122" s="432"/>
      <c r="QYA122" s="432"/>
      <c r="QYB122" s="432"/>
      <c r="QYC122" s="432"/>
      <c r="QYD122" s="432"/>
      <c r="QYE122" s="432"/>
      <c r="QYF122" s="432"/>
      <c r="QYG122" s="432"/>
      <c r="QYH122" s="432"/>
      <c r="QYI122" s="432"/>
      <c r="QYJ122" s="432"/>
      <c r="QYK122" s="432"/>
      <c r="QYL122" s="432"/>
      <c r="QYM122" s="432"/>
      <c r="QYN122" s="432"/>
      <c r="QYO122" s="432"/>
      <c r="QYP122" s="432"/>
      <c r="QYQ122" s="432"/>
      <c r="QYR122" s="432"/>
      <c r="QYS122" s="432"/>
      <c r="QYT122" s="432"/>
      <c r="QYU122" s="432"/>
      <c r="QYV122" s="432"/>
      <c r="QYW122" s="432"/>
      <c r="QYX122" s="432"/>
      <c r="QYY122" s="432"/>
      <c r="QYZ122" s="432"/>
      <c r="QZA122" s="432"/>
      <c r="QZB122" s="432"/>
      <c r="QZC122" s="432"/>
      <c r="QZD122" s="432"/>
      <c r="QZE122" s="432"/>
      <c r="QZF122" s="432"/>
      <c r="QZG122" s="432"/>
      <c r="QZH122" s="432"/>
      <c r="QZI122" s="432"/>
      <c r="QZJ122" s="432"/>
      <c r="QZK122" s="432"/>
      <c r="QZL122" s="432"/>
      <c r="QZM122" s="432"/>
      <c r="QZN122" s="432"/>
      <c r="QZO122" s="432"/>
      <c r="QZP122" s="432"/>
      <c r="QZQ122" s="432"/>
      <c r="QZR122" s="432"/>
      <c r="QZS122" s="432"/>
      <c r="QZT122" s="432"/>
      <c r="QZU122" s="432"/>
      <c r="QZV122" s="432"/>
      <c r="QZW122" s="432"/>
      <c r="QZX122" s="432"/>
      <c r="QZY122" s="432"/>
      <c r="QZZ122" s="432"/>
      <c r="RAA122" s="432"/>
      <c r="RAB122" s="432"/>
      <c r="RAC122" s="432"/>
      <c r="RAD122" s="432"/>
      <c r="RAE122" s="432"/>
      <c r="RAF122" s="432"/>
      <c r="RAG122" s="432"/>
      <c r="RAH122" s="432"/>
      <c r="RAI122" s="432"/>
      <c r="RAJ122" s="432"/>
      <c r="RAK122" s="432"/>
      <c r="RAL122" s="432"/>
      <c r="RAM122" s="432"/>
      <c r="RAN122" s="432"/>
      <c r="RAO122" s="432"/>
      <c r="RAP122" s="432"/>
      <c r="RAQ122" s="432"/>
      <c r="RAR122" s="432"/>
      <c r="RAS122" s="432"/>
      <c r="RAT122" s="432"/>
      <c r="RAU122" s="432"/>
      <c r="RAV122" s="432"/>
      <c r="RAW122" s="432"/>
      <c r="RAX122" s="432"/>
      <c r="RAY122" s="432"/>
      <c r="RAZ122" s="432"/>
      <c r="RBA122" s="432"/>
      <c r="RBB122" s="432"/>
      <c r="RBC122" s="432"/>
      <c r="RBD122" s="432"/>
      <c r="RBE122" s="432"/>
      <c r="RBF122" s="432"/>
      <c r="RBG122" s="432"/>
      <c r="RBH122" s="432"/>
      <c r="RBI122" s="432"/>
      <c r="RBJ122" s="432"/>
      <c r="RBK122" s="432"/>
      <c r="RBL122" s="432"/>
      <c r="RBM122" s="432"/>
      <c r="RBN122" s="432"/>
      <c r="RBO122" s="432"/>
      <c r="RBP122" s="432"/>
      <c r="RBQ122" s="432"/>
      <c r="RBR122" s="432"/>
      <c r="RBS122" s="432"/>
      <c r="RBT122" s="432"/>
      <c r="RBU122" s="432"/>
      <c r="RBV122" s="432"/>
      <c r="RBW122" s="432"/>
      <c r="RBX122" s="432"/>
      <c r="RBY122" s="432"/>
      <c r="RBZ122" s="432"/>
      <c r="RCA122" s="432"/>
      <c r="RCB122" s="432"/>
      <c r="RCC122" s="432"/>
      <c r="RCD122" s="432"/>
      <c r="RCE122" s="432"/>
      <c r="RCF122" s="432"/>
      <c r="RCG122" s="432"/>
      <c r="RCH122" s="432"/>
      <c r="RCI122" s="432"/>
      <c r="RCJ122" s="432"/>
      <c r="RCK122" s="432"/>
      <c r="RCL122" s="432"/>
      <c r="RCM122" s="432"/>
      <c r="RCN122" s="432"/>
      <c r="RCO122" s="432"/>
      <c r="RCP122" s="432"/>
      <c r="RCQ122" s="432"/>
      <c r="RCR122" s="432"/>
      <c r="RCS122" s="432"/>
      <c r="RCT122" s="432"/>
      <c r="RCU122" s="432"/>
      <c r="RCV122" s="432"/>
      <c r="RCW122" s="432"/>
      <c r="RCX122" s="432"/>
      <c r="RCY122" s="432"/>
      <c r="RCZ122" s="432"/>
      <c r="RDA122" s="432"/>
      <c r="RDB122" s="432"/>
      <c r="RDC122" s="432"/>
      <c r="RDD122" s="432"/>
      <c r="RDE122" s="432"/>
      <c r="RDF122" s="432"/>
      <c r="RDG122" s="432"/>
      <c r="RDH122" s="432"/>
      <c r="RDI122" s="432"/>
      <c r="RDJ122" s="432"/>
      <c r="RDK122" s="432"/>
      <c r="RDL122" s="432"/>
      <c r="RDM122" s="432"/>
      <c r="RDN122" s="432"/>
      <c r="RDO122" s="432"/>
      <c r="RDP122" s="432"/>
      <c r="RDQ122" s="432"/>
      <c r="RDR122" s="432"/>
      <c r="RDS122" s="432"/>
      <c r="RDT122" s="432"/>
      <c r="RDU122" s="432"/>
      <c r="RDV122" s="432"/>
      <c r="RDW122" s="432"/>
      <c r="RDX122" s="432"/>
      <c r="RDY122" s="432"/>
      <c r="RDZ122" s="432"/>
      <c r="REA122" s="432"/>
      <c r="REB122" s="432"/>
      <c r="REC122" s="432"/>
      <c r="RED122" s="432"/>
      <c r="REE122" s="432"/>
      <c r="REF122" s="432"/>
      <c r="REG122" s="432"/>
      <c r="REH122" s="432"/>
      <c r="REI122" s="432"/>
      <c r="REJ122" s="432"/>
      <c r="REK122" s="432"/>
      <c r="REL122" s="432"/>
      <c r="REM122" s="432"/>
      <c r="REN122" s="432"/>
      <c r="REO122" s="432"/>
      <c r="REP122" s="432"/>
      <c r="REQ122" s="432"/>
      <c r="RER122" s="432"/>
      <c r="RES122" s="432"/>
      <c r="RET122" s="432"/>
      <c r="REU122" s="432"/>
      <c r="REV122" s="432"/>
      <c r="REW122" s="432"/>
      <c r="REX122" s="432"/>
      <c r="REY122" s="432"/>
      <c r="REZ122" s="432"/>
      <c r="RFA122" s="432"/>
      <c r="RFB122" s="432"/>
      <c r="RFC122" s="432"/>
      <c r="RFD122" s="432"/>
      <c r="RFE122" s="432"/>
      <c r="RFF122" s="432"/>
      <c r="RFG122" s="432"/>
      <c r="RFH122" s="432"/>
      <c r="RFI122" s="432"/>
      <c r="RFJ122" s="432"/>
      <c r="RFK122" s="432"/>
      <c r="RFL122" s="432"/>
      <c r="RFM122" s="432"/>
      <c r="RFN122" s="432"/>
      <c r="RFO122" s="432"/>
      <c r="RFP122" s="432"/>
      <c r="RFQ122" s="432"/>
      <c r="RFR122" s="432"/>
      <c r="RFS122" s="432"/>
      <c r="RFT122" s="432"/>
      <c r="RFU122" s="432"/>
      <c r="RFV122" s="432"/>
      <c r="RFW122" s="432"/>
      <c r="RFX122" s="432"/>
      <c r="RFY122" s="432"/>
      <c r="RFZ122" s="432"/>
      <c r="RGA122" s="432"/>
      <c r="RGB122" s="432"/>
      <c r="RGC122" s="432"/>
      <c r="RGD122" s="432"/>
      <c r="RGE122" s="432"/>
      <c r="RGF122" s="432"/>
      <c r="RGG122" s="432"/>
      <c r="RGH122" s="432"/>
      <c r="RGI122" s="432"/>
      <c r="RGJ122" s="432"/>
      <c r="RGK122" s="432"/>
      <c r="RGL122" s="432"/>
      <c r="RGM122" s="432"/>
      <c r="RGN122" s="432"/>
      <c r="RGO122" s="432"/>
      <c r="RGP122" s="432"/>
      <c r="RGQ122" s="432"/>
      <c r="RGR122" s="432"/>
      <c r="RGS122" s="432"/>
      <c r="RGT122" s="432"/>
      <c r="RGU122" s="432"/>
      <c r="RGV122" s="432"/>
      <c r="RGW122" s="432"/>
      <c r="RGX122" s="432"/>
      <c r="RGY122" s="432"/>
      <c r="RGZ122" s="432"/>
      <c r="RHA122" s="432"/>
      <c r="RHB122" s="432"/>
      <c r="RHC122" s="432"/>
      <c r="RHD122" s="432"/>
      <c r="RHE122" s="432"/>
      <c r="RHF122" s="432"/>
      <c r="RHG122" s="432"/>
      <c r="RHH122" s="432"/>
      <c r="RHI122" s="432"/>
      <c r="RHJ122" s="432"/>
      <c r="RHK122" s="432"/>
      <c r="RHL122" s="432"/>
      <c r="RHM122" s="432"/>
      <c r="RHN122" s="432"/>
      <c r="RHO122" s="432"/>
      <c r="RHP122" s="432"/>
      <c r="RHQ122" s="432"/>
      <c r="RHR122" s="432"/>
      <c r="RHS122" s="432"/>
      <c r="RHT122" s="432"/>
      <c r="RHU122" s="432"/>
      <c r="RHV122" s="432"/>
      <c r="RHW122" s="432"/>
      <c r="RHX122" s="432"/>
      <c r="RHY122" s="432"/>
      <c r="RHZ122" s="432"/>
      <c r="RIA122" s="432"/>
      <c r="RIB122" s="432"/>
      <c r="RIC122" s="432"/>
      <c r="RID122" s="432"/>
      <c r="RIE122" s="432"/>
      <c r="RIF122" s="432"/>
      <c r="RIG122" s="432"/>
      <c r="RIH122" s="432"/>
      <c r="RII122" s="432"/>
      <c r="RIJ122" s="432"/>
      <c r="RIK122" s="432"/>
      <c r="RIL122" s="432"/>
      <c r="RIM122" s="432"/>
      <c r="RIN122" s="432"/>
      <c r="RIO122" s="432"/>
      <c r="RIP122" s="432"/>
      <c r="RIQ122" s="432"/>
      <c r="RIR122" s="432"/>
      <c r="RIS122" s="432"/>
      <c r="RIT122" s="432"/>
      <c r="RIU122" s="432"/>
      <c r="RIV122" s="432"/>
      <c r="RIW122" s="432"/>
      <c r="RIX122" s="432"/>
      <c r="RIY122" s="432"/>
      <c r="RIZ122" s="432"/>
      <c r="RJA122" s="432"/>
      <c r="RJB122" s="432"/>
      <c r="RJC122" s="432"/>
      <c r="RJD122" s="432"/>
      <c r="RJE122" s="432"/>
      <c r="RJF122" s="432"/>
      <c r="RJG122" s="432"/>
      <c r="RJH122" s="432"/>
      <c r="RJI122" s="432"/>
      <c r="RJJ122" s="432"/>
      <c r="RJK122" s="432"/>
      <c r="RJL122" s="432"/>
      <c r="RJM122" s="432"/>
      <c r="RJN122" s="432"/>
      <c r="RJO122" s="432"/>
      <c r="RJP122" s="432"/>
      <c r="RJQ122" s="432"/>
      <c r="RJR122" s="432"/>
      <c r="RJS122" s="432"/>
      <c r="RJT122" s="432"/>
      <c r="RJU122" s="432"/>
      <c r="RJV122" s="432"/>
      <c r="RJW122" s="432"/>
      <c r="RJX122" s="432"/>
      <c r="RJY122" s="432"/>
      <c r="RJZ122" s="432"/>
      <c r="RKA122" s="432"/>
      <c r="RKB122" s="432"/>
      <c r="RKC122" s="432"/>
      <c r="RKD122" s="432"/>
      <c r="RKE122" s="432"/>
      <c r="RKF122" s="432"/>
      <c r="RKG122" s="432"/>
      <c r="RKH122" s="432"/>
      <c r="RKI122" s="432"/>
      <c r="RKJ122" s="432"/>
      <c r="RKK122" s="432"/>
      <c r="RKL122" s="432"/>
      <c r="RKM122" s="432"/>
      <c r="RKN122" s="432"/>
      <c r="RKO122" s="432"/>
      <c r="RKP122" s="432"/>
      <c r="RKQ122" s="432"/>
      <c r="RKR122" s="432"/>
      <c r="RKS122" s="432"/>
      <c r="RKT122" s="432"/>
      <c r="RKU122" s="432"/>
      <c r="RKV122" s="432"/>
      <c r="RKW122" s="432"/>
      <c r="RKX122" s="432"/>
      <c r="RKY122" s="432"/>
      <c r="RKZ122" s="432"/>
      <c r="RLA122" s="432"/>
      <c r="RLB122" s="432"/>
      <c r="RLC122" s="432"/>
      <c r="RLD122" s="432"/>
      <c r="RLE122" s="432"/>
      <c r="RLF122" s="432"/>
      <c r="RLG122" s="432"/>
      <c r="RLH122" s="432"/>
      <c r="RLI122" s="432"/>
      <c r="RLJ122" s="432"/>
      <c r="RLK122" s="432"/>
      <c r="RLL122" s="432"/>
      <c r="RLM122" s="432"/>
      <c r="RLN122" s="432"/>
      <c r="RLO122" s="432"/>
      <c r="RLP122" s="432"/>
      <c r="RLQ122" s="432"/>
      <c r="RLR122" s="432"/>
      <c r="RLS122" s="432"/>
      <c r="RLT122" s="432"/>
      <c r="RLU122" s="432"/>
      <c r="RLV122" s="432"/>
      <c r="RLW122" s="432"/>
      <c r="RLX122" s="432"/>
      <c r="RLY122" s="432"/>
      <c r="RLZ122" s="432"/>
      <c r="RMA122" s="432"/>
      <c r="RMB122" s="432"/>
      <c r="RMC122" s="432"/>
      <c r="RMD122" s="432"/>
      <c r="RME122" s="432"/>
      <c r="RMF122" s="432"/>
      <c r="RMG122" s="432"/>
      <c r="RMH122" s="432"/>
      <c r="RMI122" s="432"/>
      <c r="RMJ122" s="432"/>
      <c r="RMK122" s="432"/>
      <c r="RML122" s="432"/>
      <c r="RMM122" s="432"/>
      <c r="RMN122" s="432"/>
      <c r="RMO122" s="432"/>
      <c r="RMP122" s="432"/>
      <c r="RMQ122" s="432"/>
      <c r="RMR122" s="432"/>
      <c r="RMS122" s="432"/>
      <c r="RMT122" s="432"/>
      <c r="RMU122" s="432"/>
      <c r="RMV122" s="432"/>
      <c r="RMW122" s="432"/>
      <c r="RMX122" s="432"/>
      <c r="RMY122" s="432"/>
      <c r="RMZ122" s="432"/>
      <c r="RNA122" s="432"/>
      <c r="RNB122" s="432"/>
      <c r="RNC122" s="432"/>
      <c r="RND122" s="432"/>
      <c r="RNE122" s="432"/>
      <c r="RNF122" s="432"/>
      <c r="RNG122" s="432"/>
      <c r="RNH122" s="432"/>
      <c r="RNI122" s="432"/>
      <c r="RNJ122" s="432"/>
      <c r="RNK122" s="432"/>
      <c r="RNL122" s="432"/>
      <c r="RNM122" s="432"/>
      <c r="RNN122" s="432"/>
      <c r="RNO122" s="432"/>
      <c r="RNP122" s="432"/>
      <c r="RNQ122" s="432"/>
      <c r="RNR122" s="432"/>
      <c r="RNS122" s="432"/>
      <c r="RNT122" s="432"/>
      <c r="RNU122" s="432"/>
      <c r="RNV122" s="432"/>
      <c r="RNW122" s="432"/>
      <c r="RNX122" s="432"/>
      <c r="RNY122" s="432"/>
      <c r="RNZ122" s="432"/>
      <c r="ROA122" s="432"/>
      <c r="ROB122" s="432"/>
      <c r="ROC122" s="432"/>
      <c r="ROD122" s="432"/>
      <c r="ROE122" s="432"/>
      <c r="ROF122" s="432"/>
      <c r="ROG122" s="432"/>
      <c r="ROH122" s="432"/>
      <c r="ROI122" s="432"/>
      <c r="ROJ122" s="432"/>
      <c r="ROK122" s="432"/>
      <c r="ROL122" s="432"/>
      <c r="ROM122" s="432"/>
      <c r="RON122" s="432"/>
      <c r="ROO122" s="432"/>
      <c r="ROP122" s="432"/>
      <c r="ROQ122" s="432"/>
      <c r="ROR122" s="432"/>
      <c r="ROS122" s="432"/>
      <c r="ROT122" s="432"/>
      <c r="ROU122" s="432"/>
      <c r="ROV122" s="432"/>
      <c r="ROW122" s="432"/>
      <c r="ROX122" s="432"/>
      <c r="ROY122" s="432"/>
      <c r="ROZ122" s="432"/>
      <c r="RPA122" s="432"/>
      <c r="RPB122" s="432"/>
      <c r="RPC122" s="432"/>
      <c r="RPD122" s="432"/>
      <c r="RPE122" s="432"/>
      <c r="RPF122" s="432"/>
      <c r="RPG122" s="432"/>
      <c r="RPH122" s="432"/>
      <c r="RPI122" s="432"/>
      <c r="RPJ122" s="432"/>
      <c r="RPK122" s="432"/>
      <c r="RPL122" s="432"/>
      <c r="RPM122" s="432"/>
      <c r="RPN122" s="432"/>
      <c r="RPO122" s="432"/>
      <c r="RPP122" s="432"/>
      <c r="RPQ122" s="432"/>
      <c r="RPR122" s="432"/>
      <c r="RPS122" s="432"/>
      <c r="RPT122" s="432"/>
      <c r="RPU122" s="432"/>
      <c r="RPV122" s="432"/>
      <c r="RPW122" s="432"/>
      <c r="RPX122" s="432"/>
      <c r="RPY122" s="432"/>
      <c r="RPZ122" s="432"/>
      <c r="RQA122" s="432"/>
      <c r="RQB122" s="432"/>
      <c r="RQC122" s="432"/>
      <c r="RQD122" s="432"/>
      <c r="RQE122" s="432"/>
      <c r="RQF122" s="432"/>
      <c r="RQG122" s="432"/>
      <c r="RQH122" s="432"/>
      <c r="RQI122" s="432"/>
      <c r="RQJ122" s="432"/>
      <c r="RQK122" s="432"/>
      <c r="RQL122" s="432"/>
      <c r="RQM122" s="432"/>
      <c r="RQN122" s="432"/>
      <c r="RQO122" s="432"/>
      <c r="RQP122" s="432"/>
      <c r="RQQ122" s="432"/>
      <c r="RQR122" s="432"/>
      <c r="RQS122" s="432"/>
      <c r="RQT122" s="432"/>
      <c r="RQU122" s="432"/>
      <c r="RQV122" s="432"/>
      <c r="RQW122" s="432"/>
      <c r="RQX122" s="432"/>
      <c r="RQY122" s="432"/>
      <c r="RQZ122" s="432"/>
      <c r="RRA122" s="432"/>
      <c r="RRB122" s="432"/>
      <c r="RRC122" s="432"/>
      <c r="RRD122" s="432"/>
      <c r="RRE122" s="432"/>
      <c r="RRF122" s="432"/>
      <c r="RRG122" s="432"/>
      <c r="RRH122" s="432"/>
      <c r="RRI122" s="432"/>
      <c r="RRJ122" s="432"/>
      <c r="RRK122" s="432"/>
      <c r="RRL122" s="432"/>
      <c r="RRM122" s="432"/>
      <c r="RRN122" s="432"/>
      <c r="RRO122" s="432"/>
      <c r="RRP122" s="432"/>
      <c r="RRQ122" s="432"/>
      <c r="RRR122" s="432"/>
      <c r="RRS122" s="432"/>
      <c r="RRT122" s="432"/>
      <c r="RRU122" s="432"/>
      <c r="RRV122" s="432"/>
      <c r="RRW122" s="432"/>
      <c r="RRX122" s="432"/>
      <c r="RRY122" s="432"/>
      <c r="RRZ122" s="432"/>
      <c r="RSA122" s="432"/>
      <c r="RSB122" s="432"/>
      <c r="RSC122" s="432"/>
      <c r="RSD122" s="432"/>
      <c r="RSE122" s="432"/>
      <c r="RSF122" s="432"/>
      <c r="RSG122" s="432"/>
      <c r="RSH122" s="432"/>
      <c r="RSI122" s="432"/>
      <c r="RSJ122" s="432"/>
      <c r="RSK122" s="432"/>
      <c r="RSL122" s="432"/>
      <c r="RSM122" s="432"/>
      <c r="RSN122" s="432"/>
      <c r="RSO122" s="432"/>
      <c r="RSP122" s="432"/>
      <c r="RSQ122" s="432"/>
      <c r="RSR122" s="432"/>
      <c r="RSS122" s="432"/>
      <c r="RST122" s="432"/>
      <c r="RSU122" s="432"/>
      <c r="RSV122" s="432"/>
      <c r="RSW122" s="432"/>
      <c r="RSX122" s="432"/>
      <c r="RSY122" s="432"/>
      <c r="RSZ122" s="432"/>
      <c r="RTA122" s="432"/>
      <c r="RTB122" s="432"/>
      <c r="RTC122" s="432"/>
      <c r="RTD122" s="432"/>
      <c r="RTE122" s="432"/>
      <c r="RTF122" s="432"/>
      <c r="RTG122" s="432"/>
      <c r="RTH122" s="432"/>
      <c r="RTI122" s="432"/>
      <c r="RTJ122" s="432"/>
      <c r="RTK122" s="432"/>
      <c r="RTL122" s="432"/>
      <c r="RTM122" s="432"/>
      <c r="RTN122" s="432"/>
      <c r="RTO122" s="432"/>
      <c r="RTP122" s="432"/>
      <c r="RTQ122" s="432"/>
      <c r="RTR122" s="432"/>
      <c r="RTS122" s="432"/>
      <c r="RTT122" s="432"/>
      <c r="RTU122" s="432"/>
      <c r="RTV122" s="432"/>
      <c r="RTW122" s="432"/>
      <c r="RTX122" s="432"/>
      <c r="RTY122" s="432"/>
      <c r="RTZ122" s="432"/>
      <c r="RUA122" s="432"/>
      <c r="RUB122" s="432"/>
      <c r="RUC122" s="432"/>
      <c r="RUD122" s="432"/>
      <c r="RUE122" s="432"/>
      <c r="RUF122" s="432"/>
      <c r="RUG122" s="432"/>
      <c r="RUH122" s="432"/>
      <c r="RUI122" s="432"/>
      <c r="RUJ122" s="432"/>
      <c r="RUK122" s="432"/>
      <c r="RUL122" s="432"/>
      <c r="RUM122" s="432"/>
      <c r="RUN122" s="432"/>
      <c r="RUO122" s="432"/>
      <c r="RUP122" s="432"/>
      <c r="RUQ122" s="432"/>
      <c r="RUR122" s="432"/>
      <c r="RUS122" s="432"/>
      <c r="RUT122" s="432"/>
      <c r="RUU122" s="432"/>
      <c r="RUV122" s="432"/>
      <c r="RUW122" s="432"/>
      <c r="RUX122" s="432"/>
      <c r="RUY122" s="432"/>
      <c r="RUZ122" s="432"/>
      <c r="RVA122" s="432"/>
      <c r="RVB122" s="432"/>
      <c r="RVC122" s="432"/>
      <c r="RVD122" s="432"/>
      <c r="RVE122" s="432"/>
      <c r="RVF122" s="432"/>
      <c r="RVG122" s="432"/>
      <c r="RVH122" s="432"/>
      <c r="RVI122" s="432"/>
      <c r="RVJ122" s="432"/>
      <c r="RVK122" s="432"/>
      <c r="RVL122" s="432"/>
      <c r="RVM122" s="432"/>
      <c r="RVN122" s="432"/>
      <c r="RVO122" s="432"/>
      <c r="RVP122" s="432"/>
      <c r="RVQ122" s="432"/>
      <c r="RVR122" s="432"/>
      <c r="RVS122" s="432"/>
      <c r="RVT122" s="432"/>
      <c r="RVU122" s="432"/>
      <c r="RVV122" s="432"/>
      <c r="RVW122" s="432"/>
      <c r="RVX122" s="432"/>
      <c r="RVY122" s="432"/>
      <c r="RVZ122" s="432"/>
      <c r="RWA122" s="432"/>
      <c r="RWB122" s="432"/>
      <c r="RWC122" s="432"/>
      <c r="RWD122" s="432"/>
      <c r="RWE122" s="432"/>
      <c r="RWF122" s="432"/>
      <c r="RWG122" s="432"/>
      <c r="RWH122" s="432"/>
      <c r="RWI122" s="432"/>
      <c r="RWJ122" s="432"/>
      <c r="RWK122" s="432"/>
      <c r="RWL122" s="432"/>
      <c r="RWM122" s="432"/>
      <c r="RWN122" s="432"/>
      <c r="RWO122" s="432"/>
      <c r="RWP122" s="432"/>
      <c r="RWQ122" s="432"/>
      <c r="RWR122" s="432"/>
      <c r="RWS122" s="432"/>
      <c r="RWT122" s="432"/>
      <c r="RWU122" s="432"/>
      <c r="RWV122" s="432"/>
      <c r="RWW122" s="432"/>
      <c r="RWX122" s="432"/>
      <c r="RWY122" s="432"/>
      <c r="RWZ122" s="432"/>
      <c r="RXA122" s="432"/>
      <c r="RXB122" s="432"/>
      <c r="RXC122" s="432"/>
      <c r="RXD122" s="432"/>
      <c r="RXE122" s="432"/>
      <c r="RXF122" s="432"/>
      <c r="RXG122" s="432"/>
      <c r="RXH122" s="432"/>
      <c r="RXI122" s="432"/>
      <c r="RXJ122" s="432"/>
      <c r="RXK122" s="432"/>
      <c r="RXL122" s="432"/>
      <c r="RXM122" s="432"/>
      <c r="RXN122" s="432"/>
      <c r="RXO122" s="432"/>
      <c r="RXP122" s="432"/>
      <c r="RXQ122" s="432"/>
      <c r="RXR122" s="432"/>
      <c r="RXS122" s="432"/>
      <c r="RXT122" s="432"/>
      <c r="RXU122" s="432"/>
      <c r="RXV122" s="432"/>
      <c r="RXW122" s="432"/>
      <c r="RXX122" s="432"/>
      <c r="RXY122" s="432"/>
      <c r="RXZ122" s="432"/>
      <c r="RYA122" s="432"/>
      <c r="RYB122" s="432"/>
      <c r="RYC122" s="432"/>
      <c r="RYD122" s="432"/>
      <c r="RYE122" s="432"/>
      <c r="RYF122" s="432"/>
      <c r="RYG122" s="432"/>
      <c r="RYH122" s="432"/>
      <c r="RYI122" s="432"/>
      <c r="RYJ122" s="432"/>
      <c r="RYK122" s="432"/>
      <c r="RYL122" s="432"/>
      <c r="RYM122" s="432"/>
      <c r="RYN122" s="432"/>
      <c r="RYO122" s="432"/>
      <c r="RYP122" s="432"/>
      <c r="RYQ122" s="432"/>
      <c r="RYR122" s="432"/>
      <c r="RYS122" s="432"/>
      <c r="RYT122" s="432"/>
      <c r="RYU122" s="432"/>
      <c r="RYV122" s="432"/>
      <c r="RYW122" s="432"/>
      <c r="RYX122" s="432"/>
      <c r="RYY122" s="432"/>
      <c r="RYZ122" s="432"/>
      <c r="RZA122" s="432"/>
      <c r="RZB122" s="432"/>
      <c r="RZC122" s="432"/>
      <c r="RZD122" s="432"/>
      <c r="RZE122" s="432"/>
      <c r="RZF122" s="432"/>
      <c r="RZG122" s="432"/>
      <c r="RZH122" s="432"/>
      <c r="RZI122" s="432"/>
      <c r="RZJ122" s="432"/>
      <c r="RZK122" s="432"/>
      <c r="RZL122" s="432"/>
      <c r="RZM122" s="432"/>
      <c r="RZN122" s="432"/>
      <c r="RZO122" s="432"/>
      <c r="RZP122" s="432"/>
      <c r="RZQ122" s="432"/>
      <c r="RZR122" s="432"/>
      <c r="RZS122" s="432"/>
      <c r="RZT122" s="432"/>
      <c r="RZU122" s="432"/>
      <c r="RZV122" s="432"/>
      <c r="RZW122" s="432"/>
      <c r="RZX122" s="432"/>
      <c r="RZY122" s="432"/>
      <c r="RZZ122" s="432"/>
      <c r="SAA122" s="432"/>
      <c r="SAB122" s="432"/>
      <c r="SAC122" s="432"/>
      <c r="SAD122" s="432"/>
      <c r="SAE122" s="432"/>
      <c r="SAF122" s="432"/>
      <c r="SAG122" s="432"/>
      <c r="SAH122" s="432"/>
      <c r="SAI122" s="432"/>
      <c r="SAJ122" s="432"/>
      <c r="SAK122" s="432"/>
      <c r="SAL122" s="432"/>
      <c r="SAM122" s="432"/>
      <c r="SAN122" s="432"/>
      <c r="SAO122" s="432"/>
      <c r="SAP122" s="432"/>
      <c r="SAQ122" s="432"/>
      <c r="SAR122" s="432"/>
      <c r="SAS122" s="432"/>
      <c r="SAT122" s="432"/>
      <c r="SAU122" s="432"/>
      <c r="SAV122" s="432"/>
      <c r="SAW122" s="432"/>
      <c r="SAX122" s="432"/>
      <c r="SAY122" s="432"/>
      <c r="SAZ122" s="432"/>
      <c r="SBA122" s="432"/>
      <c r="SBB122" s="432"/>
      <c r="SBC122" s="432"/>
      <c r="SBD122" s="432"/>
      <c r="SBE122" s="432"/>
      <c r="SBF122" s="432"/>
      <c r="SBG122" s="432"/>
      <c r="SBH122" s="432"/>
      <c r="SBI122" s="432"/>
      <c r="SBJ122" s="432"/>
      <c r="SBK122" s="432"/>
      <c r="SBL122" s="432"/>
      <c r="SBM122" s="432"/>
      <c r="SBN122" s="432"/>
      <c r="SBO122" s="432"/>
      <c r="SBP122" s="432"/>
      <c r="SBQ122" s="432"/>
      <c r="SBR122" s="432"/>
      <c r="SBS122" s="432"/>
      <c r="SBT122" s="432"/>
      <c r="SBU122" s="432"/>
      <c r="SBV122" s="432"/>
      <c r="SBW122" s="432"/>
      <c r="SBX122" s="432"/>
      <c r="SBY122" s="432"/>
      <c r="SBZ122" s="432"/>
      <c r="SCA122" s="432"/>
      <c r="SCB122" s="432"/>
      <c r="SCC122" s="432"/>
      <c r="SCD122" s="432"/>
      <c r="SCE122" s="432"/>
      <c r="SCF122" s="432"/>
      <c r="SCG122" s="432"/>
      <c r="SCH122" s="432"/>
      <c r="SCI122" s="432"/>
      <c r="SCJ122" s="432"/>
      <c r="SCK122" s="432"/>
      <c r="SCL122" s="432"/>
      <c r="SCM122" s="432"/>
      <c r="SCN122" s="432"/>
      <c r="SCO122" s="432"/>
      <c r="SCP122" s="432"/>
      <c r="SCQ122" s="432"/>
      <c r="SCR122" s="432"/>
      <c r="SCS122" s="432"/>
      <c r="SCT122" s="432"/>
      <c r="SCU122" s="432"/>
      <c r="SCV122" s="432"/>
      <c r="SCW122" s="432"/>
      <c r="SCX122" s="432"/>
      <c r="SCY122" s="432"/>
      <c r="SCZ122" s="432"/>
      <c r="SDA122" s="432"/>
      <c r="SDB122" s="432"/>
      <c r="SDC122" s="432"/>
      <c r="SDD122" s="432"/>
      <c r="SDE122" s="432"/>
      <c r="SDF122" s="432"/>
      <c r="SDG122" s="432"/>
      <c r="SDH122" s="432"/>
      <c r="SDI122" s="432"/>
      <c r="SDJ122" s="432"/>
      <c r="SDK122" s="432"/>
      <c r="SDL122" s="432"/>
      <c r="SDM122" s="432"/>
      <c r="SDN122" s="432"/>
      <c r="SDO122" s="432"/>
      <c r="SDP122" s="432"/>
      <c r="SDQ122" s="432"/>
      <c r="SDR122" s="432"/>
      <c r="SDS122" s="432"/>
      <c r="SDT122" s="432"/>
      <c r="SDU122" s="432"/>
      <c r="SDV122" s="432"/>
      <c r="SDW122" s="432"/>
      <c r="SDX122" s="432"/>
      <c r="SDY122" s="432"/>
      <c r="SDZ122" s="432"/>
      <c r="SEA122" s="432"/>
      <c r="SEB122" s="432"/>
      <c r="SEC122" s="432"/>
      <c r="SED122" s="432"/>
      <c r="SEE122" s="432"/>
      <c r="SEF122" s="432"/>
      <c r="SEG122" s="432"/>
      <c r="SEH122" s="432"/>
      <c r="SEI122" s="432"/>
      <c r="SEJ122" s="432"/>
      <c r="SEK122" s="432"/>
      <c r="SEL122" s="432"/>
      <c r="SEM122" s="432"/>
      <c r="SEN122" s="432"/>
      <c r="SEO122" s="432"/>
      <c r="SEP122" s="432"/>
      <c r="SEQ122" s="432"/>
      <c r="SER122" s="432"/>
      <c r="SES122" s="432"/>
      <c r="SET122" s="432"/>
      <c r="SEU122" s="432"/>
      <c r="SEV122" s="432"/>
      <c r="SEW122" s="432"/>
      <c r="SEX122" s="432"/>
      <c r="SEY122" s="432"/>
      <c r="SEZ122" s="432"/>
      <c r="SFA122" s="432"/>
      <c r="SFB122" s="432"/>
      <c r="SFC122" s="432"/>
      <c r="SFD122" s="432"/>
      <c r="SFE122" s="432"/>
      <c r="SFF122" s="432"/>
      <c r="SFG122" s="432"/>
      <c r="SFH122" s="432"/>
      <c r="SFI122" s="432"/>
      <c r="SFJ122" s="432"/>
      <c r="SFK122" s="432"/>
      <c r="SFL122" s="432"/>
      <c r="SFM122" s="432"/>
      <c r="SFN122" s="432"/>
      <c r="SFO122" s="432"/>
      <c r="SFP122" s="432"/>
      <c r="SFQ122" s="432"/>
      <c r="SFR122" s="432"/>
      <c r="SFS122" s="432"/>
      <c r="SFT122" s="432"/>
      <c r="SFU122" s="432"/>
      <c r="SFV122" s="432"/>
      <c r="SFW122" s="432"/>
      <c r="SFX122" s="432"/>
      <c r="SFY122" s="432"/>
      <c r="SFZ122" s="432"/>
      <c r="SGA122" s="432"/>
      <c r="SGB122" s="432"/>
      <c r="SGC122" s="432"/>
      <c r="SGD122" s="432"/>
      <c r="SGE122" s="432"/>
      <c r="SGF122" s="432"/>
      <c r="SGG122" s="432"/>
      <c r="SGH122" s="432"/>
      <c r="SGI122" s="432"/>
      <c r="SGJ122" s="432"/>
      <c r="SGK122" s="432"/>
      <c r="SGL122" s="432"/>
      <c r="SGM122" s="432"/>
      <c r="SGN122" s="432"/>
      <c r="SGO122" s="432"/>
      <c r="SGP122" s="432"/>
      <c r="SGQ122" s="432"/>
      <c r="SGR122" s="432"/>
      <c r="SGS122" s="432"/>
      <c r="SGT122" s="432"/>
      <c r="SGU122" s="432"/>
      <c r="SGV122" s="432"/>
      <c r="SGW122" s="432"/>
      <c r="SGX122" s="432"/>
      <c r="SGY122" s="432"/>
      <c r="SGZ122" s="432"/>
      <c r="SHA122" s="432"/>
      <c r="SHB122" s="432"/>
      <c r="SHC122" s="432"/>
      <c r="SHD122" s="432"/>
      <c r="SHE122" s="432"/>
      <c r="SHF122" s="432"/>
      <c r="SHG122" s="432"/>
      <c r="SHH122" s="432"/>
      <c r="SHI122" s="432"/>
      <c r="SHJ122" s="432"/>
      <c r="SHK122" s="432"/>
      <c r="SHL122" s="432"/>
      <c r="SHM122" s="432"/>
      <c r="SHN122" s="432"/>
      <c r="SHO122" s="432"/>
      <c r="SHP122" s="432"/>
      <c r="SHQ122" s="432"/>
      <c r="SHR122" s="432"/>
      <c r="SHS122" s="432"/>
      <c r="SHT122" s="432"/>
      <c r="SHU122" s="432"/>
      <c r="SHV122" s="432"/>
      <c r="SHW122" s="432"/>
      <c r="SHX122" s="432"/>
      <c r="SHY122" s="432"/>
      <c r="SHZ122" s="432"/>
      <c r="SIA122" s="432"/>
      <c r="SIB122" s="432"/>
      <c r="SIC122" s="432"/>
      <c r="SID122" s="432"/>
      <c r="SIE122" s="432"/>
      <c r="SIF122" s="432"/>
      <c r="SIG122" s="432"/>
      <c r="SIH122" s="432"/>
      <c r="SII122" s="432"/>
      <c r="SIJ122" s="432"/>
      <c r="SIK122" s="432"/>
      <c r="SIL122" s="432"/>
      <c r="SIM122" s="432"/>
      <c r="SIN122" s="432"/>
      <c r="SIO122" s="432"/>
      <c r="SIP122" s="432"/>
      <c r="SIQ122" s="432"/>
      <c r="SIR122" s="432"/>
      <c r="SIS122" s="432"/>
      <c r="SIT122" s="432"/>
      <c r="SIU122" s="432"/>
      <c r="SIV122" s="432"/>
      <c r="SIW122" s="432"/>
      <c r="SIX122" s="432"/>
      <c r="SIY122" s="432"/>
      <c r="SIZ122" s="432"/>
      <c r="SJA122" s="432"/>
      <c r="SJB122" s="432"/>
      <c r="SJC122" s="432"/>
      <c r="SJD122" s="432"/>
      <c r="SJE122" s="432"/>
      <c r="SJF122" s="432"/>
      <c r="SJG122" s="432"/>
      <c r="SJH122" s="432"/>
      <c r="SJI122" s="432"/>
      <c r="SJJ122" s="432"/>
      <c r="SJK122" s="432"/>
      <c r="SJL122" s="432"/>
      <c r="SJM122" s="432"/>
      <c r="SJN122" s="432"/>
      <c r="SJO122" s="432"/>
      <c r="SJP122" s="432"/>
      <c r="SJQ122" s="432"/>
      <c r="SJR122" s="432"/>
      <c r="SJS122" s="432"/>
      <c r="SJT122" s="432"/>
      <c r="SJU122" s="432"/>
      <c r="SJV122" s="432"/>
      <c r="SJW122" s="432"/>
      <c r="SJX122" s="432"/>
      <c r="SJY122" s="432"/>
      <c r="SJZ122" s="432"/>
      <c r="SKA122" s="432"/>
      <c r="SKB122" s="432"/>
      <c r="SKC122" s="432"/>
      <c r="SKD122" s="432"/>
      <c r="SKE122" s="432"/>
      <c r="SKF122" s="432"/>
      <c r="SKG122" s="432"/>
      <c r="SKH122" s="432"/>
      <c r="SKI122" s="432"/>
      <c r="SKJ122" s="432"/>
      <c r="SKK122" s="432"/>
      <c r="SKL122" s="432"/>
      <c r="SKM122" s="432"/>
      <c r="SKN122" s="432"/>
      <c r="SKO122" s="432"/>
      <c r="SKP122" s="432"/>
      <c r="SKQ122" s="432"/>
      <c r="SKR122" s="432"/>
      <c r="SKS122" s="432"/>
      <c r="SKT122" s="432"/>
      <c r="SKU122" s="432"/>
      <c r="SKV122" s="432"/>
      <c r="SKW122" s="432"/>
      <c r="SKX122" s="432"/>
      <c r="SKY122" s="432"/>
      <c r="SKZ122" s="432"/>
      <c r="SLA122" s="432"/>
      <c r="SLB122" s="432"/>
      <c r="SLC122" s="432"/>
      <c r="SLD122" s="432"/>
      <c r="SLE122" s="432"/>
      <c r="SLF122" s="432"/>
      <c r="SLG122" s="432"/>
      <c r="SLH122" s="432"/>
      <c r="SLI122" s="432"/>
      <c r="SLJ122" s="432"/>
      <c r="SLK122" s="432"/>
      <c r="SLL122" s="432"/>
      <c r="SLM122" s="432"/>
      <c r="SLN122" s="432"/>
      <c r="SLO122" s="432"/>
      <c r="SLP122" s="432"/>
      <c r="SLQ122" s="432"/>
      <c r="SLR122" s="432"/>
      <c r="SLS122" s="432"/>
      <c r="SLT122" s="432"/>
      <c r="SLU122" s="432"/>
      <c r="SLV122" s="432"/>
      <c r="SLW122" s="432"/>
      <c r="SLX122" s="432"/>
      <c r="SLY122" s="432"/>
      <c r="SLZ122" s="432"/>
      <c r="SMA122" s="432"/>
      <c r="SMB122" s="432"/>
      <c r="SMC122" s="432"/>
      <c r="SMD122" s="432"/>
      <c r="SME122" s="432"/>
      <c r="SMF122" s="432"/>
      <c r="SMG122" s="432"/>
      <c r="SMH122" s="432"/>
      <c r="SMI122" s="432"/>
      <c r="SMJ122" s="432"/>
      <c r="SMK122" s="432"/>
      <c r="SML122" s="432"/>
      <c r="SMM122" s="432"/>
      <c r="SMN122" s="432"/>
      <c r="SMO122" s="432"/>
      <c r="SMP122" s="432"/>
      <c r="SMQ122" s="432"/>
      <c r="SMR122" s="432"/>
      <c r="SMS122" s="432"/>
      <c r="SMT122" s="432"/>
      <c r="SMU122" s="432"/>
      <c r="SMV122" s="432"/>
      <c r="SMW122" s="432"/>
      <c r="SMX122" s="432"/>
      <c r="SMY122" s="432"/>
      <c r="SMZ122" s="432"/>
      <c r="SNA122" s="432"/>
      <c r="SNB122" s="432"/>
      <c r="SNC122" s="432"/>
      <c r="SND122" s="432"/>
      <c r="SNE122" s="432"/>
      <c r="SNF122" s="432"/>
      <c r="SNG122" s="432"/>
      <c r="SNH122" s="432"/>
      <c r="SNI122" s="432"/>
      <c r="SNJ122" s="432"/>
      <c r="SNK122" s="432"/>
      <c r="SNL122" s="432"/>
      <c r="SNM122" s="432"/>
      <c r="SNN122" s="432"/>
      <c r="SNO122" s="432"/>
      <c r="SNP122" s="432"/>
      <c r="SNQ122" s="432"/>
      <c r="SNR122" s="432"/>
      <c r="SNS122" s="432"/>
      <c r="SNT122" s="432"/>
      <c r="SNU122" s="432"/>
      <c r="SNV122" s="432"/>
      <c r="SNW122" s="432"/>
      <c r="SNX122" s="432"/>
      <c r="SNY122" s="432"/>
      <c r="SNZ122" s="432"/>
      <c r="SOA122" s="432"/>
      <c r="SOB122" s="432"/>
      <c r="SOC122" s="432"/>
      <c r="SOD122" s="432"/>
      <c r="SOE122" s="432"/>
      <c r="SOF122" s="432"/>
      <c r="SOG122" s="432"/>
      <c r="SOH122" s="432"/>
      <c r="SOI122" s="432"/>
      <c r="SOJ122" s="432"/>
      <c r="SOK122" s="432"/>
      <c r="SOL122" s="432"/>
      <c r="SOM122" s="432"/>
      <c r="SON122" s="432"/>
      <c r="SOO122" s="432"/>
      <c r="SOP122" s="432"/>
      <c r="SOQ122" s="432"/>
      <c r="SOR122" s="432"/>
      <c r="SOS122" s="432"/>
      <c r="SOT122" s="432"/>
      <c r="SOU122" s="432"/>
      <c r="SOV122" s="432"/>
      <c r="SOW122" s="432"/>
      <c r="SOX122" s="432"/>
      <c r="SOY122" s="432"/>
      <c r="SOZ122" s="432"/>
      <c r="SPA122" s="432"/>
      <c r="SPB122" s="432"/>
      <c r="SPC122" s="432"/>
      <c r="SPD122" s="432"/>
      <c r="SPE122" s="432"/>
      <c r="SPF122" s="432"/>
      <c r="SPG122" s="432"/>
      <c r="SPH122" s="432"/>
      <c r="SPI122" s="432"/>
      <c r="SPJ122" s="432"/>
      <c r="SPK122" s="432"/>
      <c r="SPL122" s="432"/>
      <c r="SPM122" s="432"/>
      <c r="SPN122" s="432"/>
      <c r="SPO122" s="432"/>
      <c r="SPP122" s="432"/>
      <c r="SPQ122" s="432"/>
      <c r="SPR122" s="432"/>
      <c r="SPS122" s="432"/>
      <c r="SPT122" s="432"/>
      <c r="SPU122" s="432"/>
      <c r="SPV122" s="432"/>
      <c r="SPW122" s="432"/>
      <c r="SPX122" s="432"/>
      <c r="SPY122" s="432"/>
      <c r="SPZ122" s="432"/>
      <c r="SQA122" s="432"/>
      <c r="SQB122" s="432"/>
      <c r="SQC122" s="432"/>
      <c r="SQD122" s="432"/>
      <c r="SQE122" s="432"/>
      <c r="SQF122" s="432"/>
      <c r="SQG122" s="432"/>
      <c r="SQH122" s="432"/>
      <c r="SQI122" s="432"/>
      <c r="SQJ122" s="432"/>
      <c r="SQK122" s="432"/>
      <c r="SQL122" s="432"/>
      <c r="SQM122" s="432"/>
      <c r="SQN122" s="432"/>
      <c r="SQO122" s="432"/>
      <c r="SQP122" s="432"/>
      <c r="SQQ122" s="432"/>
      <c r="SQR122" s="432"/>
      <c r="SQS122" s="432"/>
      <c r="SQT122" s="432"/>
      <c r="SQU122" s="432"/>
      <c r="SQV122" s="432"/>
      <c r="SQW122" s="432"/>
      <c r="SQX122" s="432"/>
      <c r="SQY122" s="432"/>
      <c r="SQZ122" s="432"/>
      <c r="SRA122" s="432"/>
      <c r="SRB122" s="432"/>
      <c r="SRC122" s="432"/>
      <c r="SRD122" s="432"/>
      <c r="SRE122" s="432"/>
      <c r="SRF122" s="432"/>
      <c r="SRG122" s="432"/>
      <c r="SRH122" s="432"/>
      <c r="SRI122" s="432"/>
      <c r="SRJ122" s="432"/>
      <c r="SRK122" s="432"/>
      <c r="SRL122" s="432"/>
      <c r="SRM122" s="432"/>
      <c r="SRN122" s="432"/>
      <c r="SRO122" s="432"/>
      <c r="SRP122" s="432"/>
      <c r="SRQ122" s="432"/>
      <c r="SRR122" s="432"/>
      <c r="SRS122" s="432"/>
      <c r="SRT122" s="432"/>
      <c r="SRU122" s="432"/>
      <c r="SRV122" s="432"/>
      <c r="SRW122" s="432"/>
      <c r="SRX122" s="432"/>
      <c r="SRY122" s="432"/>
      <c r="SRZ122" s="432"/>
      <c r="SSA122" s="432"/>
      <c r="SSB122" s="432"/>
      <c r="SSC122" s="432"/>
      <c r="SSD122" s="432"/>
      <c r="SSE122" s="432"/>
      <c r="SSF122" s="432"/>
      <c r="SSG122" s="432"/>
      <c r="SSH122" s="432"/>
      <c r="SSI122" s="432"/>
      <c r="SSJ122" s="432"/>
      <c r="SSK122" s="432"/>
      <c r="SSL122" s="432"/>
      <c r="SSM122" s="432"/>
      <c r="SSN122" s="432"/>
      <c r="SSO122" s="432"/>
      <c r="SSP122" s="432"/>
      <c r="SSQ122" s="432"/>
      <c r="SSR122" s="432"/>
      <c r="SSS122" s="432"/>
      <c r="SST122" s="432"/>
      <c r="SSU122" s="432"/>
      <c r="SSV122" s="432"/>
      <c r="SSW122" s="432"/>
      <c r="SSX122" s="432"/>
      <c r="SSY122" s="432"/>
      <c r="SSZ122" s="432"/>
      <c r="STA122" s="432"/>
      <c r="STB122" s="432"/>
      <c r="STC122" s="432"/>
      <c r="STD122" s="432"/>
      <c r="STE122" s="432"/>
      <c r="STF122" s="432"/>
      <c r="STG122" s="432"/>
      <c r="STH122" s="432"/>
      <c r="STI122" s="432"/>
      <c r="STJ122" s="432"/>
      <c r="STK122" s="432"/>
      <c r="STL122" s="432"/>
      <c r="STM122" s="432"/>
      <c r="STN122" s="432"/>
      <c r="STO122" s="432"/>
      <c r="STP122" s="432"/>
      <c r="STQ122" s="432"/>
      <c r="STR122" s="432"/>
      <c r="STS122" s="432"/>
      <c r="STT122" s="432"/>
      <c r="STU122" s="432"/>
      <c r="STV122" s="432"/>
      <c r="STW122" s="432"/>
      <c r="STX122" s="432"/>
      <c r="STY122" s="432"/>
      <c r="STZ122" s="432"/>
      <c r="SUA122" s="432"/>
      <c r="SUB122" s="432"/>
      <c r="SUC122" s="432"/>
      <c r="SUD122" s="432"/>
      <c r="SUE122" s="432"/>
      <c r="SUF122" s="432"/>
      <c r="SUG122" s="432"/>
      <c r="SUH122" s="432"/>
      <c r="SUI122" s="432"/>
      <c r="SUJ122" s="432"/>
      <c r="SUK122" s="432"/>
      <c r="SUL122" s="432"/>
      <c r="SUM122" s="432"/>
      <c r="SUN122" s="432"/>
      <c r="SUO122" s="432"/>
      <c r="SUP122" s="432"/>
      <c r="SUQ122" s="432"/>
      <c r="SUR122" s="432"/>
      <c r="SUS122" s="432"/>
      <c r="SUT122" s="432"/>
      <c r="SUU122" s="432"/>
      <c r="SUV122" s="432"/>
      <c r="SUW122" s="432"/>
      <c r="SUX122" s="432"/>
      <c r="SUY122" s="432"/>
      <c r="SUZ122" s="432"/>
      <c r="SVA122" s="432"/>
      <c r="SVB122" s="432"/>
      <c r="SVC122" s="432"/>
      <c r="SVD122" s="432"/>
      <c r="SVE122" s="432"/>
      <c r="SVF122" s="432"/>
      <c r="SVG122" s="432"/>
      <c r="SVH122" s="432"/>
      <c r="SVI122" s="432"/>
      <c r="SVJ122" s="432"/>
      <c r="SVK122" s="432"/>
      <c r="SVL122" s="432"/>
      <c r="SVM122" s="432"/>
      <c r="SVN122" s="432"/>
      <c r="SVO122" s="432"/>
      <c r="SVP122" s="432"/>
      <c r="SVQ122" s="432"/>
      <c r="SVR122" s="432"/>
      <c r="SVS122" s="432"/>
      <c r="SVT122" s="432"/>
      <c r="SVU122" s="432"/>
      <c r="SVV122" s="432"/>
      <c r="SVW122" s="432"/>
      <c r="SVX122" s="432"/>
      <c r="SVY122" s="432"/>
      <c r="SVZ122" s="432"/>
      <c r="SWA122" s="432"/>
      <c r="SWB122" s="432"/>
      <c r="SWC122" s="432"/>
      <c r="SWD122" s="432"/>
      <c r="SWE122" s="432"/>
      <c r="SWF122" s="432"/>
      <c r="SWG122" s="432"/>
      <c r="SWH122" s="432"/>
      <c r="SWI122" s="432"/>
      <c r="SWJ122" s="432"/>
      <c r="SWK122" s="432"/>
      <c r="SWL122" s="432"/>
      <c r="SWM122" s="432"/>
      <c r="SWN122" s="432"/>
      <c r="SWO122" s="432"/>
      <c r="SWP122" s="432"/>
      <c r="SWQ122" s="432"/>
      <c r="SWR122" s="432"/>
      <c r="SWS122" s="432"/>
      <c r="SWT122" s="432"/>
      <c r="SWU122" s="432"/>
      <c r="SWV122" s="432"/>
      <c r="SWW122" s="432"/>
      <c r="SWX122" s="432"/>
      <c r="SWY122" s="432"/>
      <c r="SWZ122" s="432"/>
      <c r="SXA122" s="432"/>
      <c r="SXB122" s="432"/>
      <c r="SXC122" s="432"/>
      <c r="SXD122" s="432"/>
      <c r="SXE122" s="432"/>
      <c r="SXF122" s="432"/>
      <c r="SXG122" s="432"/>
      <c r="SXH122" s="432"/>
      <c r="SXI122" s="432"/>
      <c r="SXJ122" s="432"/>
      <c r="SXK122" s="432"/>
      <c r="SXL122" s="432"/>
      <c r="SXM122" s="432"/>
      <c r="SXN122" s="432"/>
      <c r="SXO122" s="432"/>
      <c r="SXP122" s="432"/>
      <c r="SXQ122" s="432"/>
      <c r="SXR122" s="432"/>
      <c r="SXS122" s="432"/>
      <c r="SXT122" s="432"/>
      <c r="SXU122" s="432"/>
      <c r="SXV122" s="432"/>
      <c r="SXW122" s="432"/>
      <c r="SXX122" s="432"/>
      <c r="SXY122" s="432"/>
      <c r="SXZ122" s="432"/>
      <c r="SYA122" s="432"/>
      <c r="SYB122" s="432"/>
      <c r="SYC122" s="432"/>
      <c r="SYD122" s="432"/>
      <c r="SYE122" s="432"/>
      <c r="SYF122" s="432"/>
      <c r="SYG122" s="432"/>
      <c r="SYH122" s="432"/>
      <c r="SYI122" s="432"/>
      <c r="SYJ122" s="432"/>
      <c r="SYK122" s="432"/>
      <c r="SYL122" s="432"/>
      <c r="SYM122" s="432"/>
      <c r="SYN122" s="432"/>
      <c r="SYO122" s="432"/>
      <c r="SYP122" s="432"/>
      <c r="SYQ122" s="432"/>
      <c r="SYR122" s="432"/>
      <c r="SYS122" s="432"/>
      <c r="SYT122" s="432"/>
      <c r="SYU122" s="432"/>
      <c r="SYV122" s="432"/>
      <c r="SYW122" s="432"/>
      <c r="SYX122" s="432"/>
      <c r="SYY122" s="432"/>
      <c r="SYZ122" s="432"/>
      <c r="SZA122" s="432"/>
      <c r="SZB122" s="432"/>
      <c r="SZC122" s="432"/>
      <c r="SZD122" s="432"/>
      <c r="SZE122" s="432"/>
      <c r="SZF122" s="432"/>
      <c r="SZG122" s="432"/>
      <c r="SZH122" s="432"/>
      <c r="SZI122" s="432"/>
      <c r="SZJ122" s="432"/>
      <c r="SZK122" s="432"/>
      <c r="SZL122" s="432"/>
      <c r="SZM122" s="432"/>
      <c r="SZN122" s="432"/>
      <c r="SZO122" s="432"/>
      <c r="SZP122" s="432"/>
      <c r="SZQ122" s="432"/>
      <c r="SZR122" s="432"/>
      <c r="SZS122" s="432"/>
      <c r="SZT122" s="432"/>
      <c r="SZU122" s="432"/>
      <c r="SZV122" s="432"/>
      <c r="SZW122" s="432"/>
      <c r="SZX122" s="432"/>
      <c r="SZY122" s="432"/>
      <c r="SZZ122" s="432"/>
      <c r="TAA122" s="432"/>
      <c r="TAB122" s="432"/>
      <c r="TAC122" s="432"/>
      <c r="TAD122" s="432"/>
      <c r="TAE122" s="432"/>
      <c r="TAF122" s="432"/>
      <c r="TAG122" s="432"/>
      <c r="TAH122" s="432"/>
      <c r="TAI122" s="432"/>
      <c r="TAJ122" s="432"/>
      <c r="TAK122" s="432"/>
      <c r="TAL122" s="432"/>
      <c r="TAM122" s="432"/>
      <c r="TAN122" s="432"/>
      <c r="TAO122" s="432"/>
      <c r="TAP122" s="432"/>
      <c r="TAQ122" s="432"/>
      <c r="TAR122" s="432"/>
      <c r="TAS122" s="432"/>
      <c r="TAT122" s="432"/>
      <c r="TAU122" s="432"/>
      <c r="TAV122" s="432"/>
      <c r="TAW122" s="432"/>
      <c r="TAX122" s="432"/>
      <c r="TAY122" s="432"/>
      <c r="TAZ122" s="432"/>
      <c r="TBA122" s="432"/>
      <c r="TBB122" s="432"/>
      <c r="TBC122" s="432"/>
      <c r="TBD122" s="432"/>
      <c r="TBE122" s="432"/>
      <c r="TBF122" s="432"/>
      <c r="TBG122" s="432"/>
      <c r="TBH122" s="432"/>
      <c r="TBI122" s="432"/>
      <c r="TBJ122" s="432"/>
      <c r="TBK122" s="432"/>
      <c r="TBL122" s="432"/>
      <c r="TBM122" s="432"/>
      <c r="TBN122" s="432"/>
      <c r="TBO122" s="432"/>
      <c r="TBP122" s="432"/>
      <c r="TBQ122" s="432"/>
      <c r="TBR122" s="432"/>
      <c r="TBS122" s="432"/>
      <c r="TBT122" s="432"/>
      <c r="TBU122" s="432"/>
      <c r="TBV122" s="432"/>
      <c r="TBW122" s="432"/>
      <c r="TBX122" s="432"/>
      <c r="TBY122" s="432"/>
      <c r="TBZ122" s="432"/>
      <c r="TCA122" s="432"/>
      <c r="TCB122" s="432"/>
      <c r="TCC122" s="432"/>
      <c r="TCD122" s="432"/>
      <c r="TCE122" s="432"/>
      <c r="TCF122" s="432"/>
      <c r="TCG122" s="432"/>
      <c r="TCH122" s="432"/>
      <c r="TCI122" s="432"/>
      <c r="TCJ122" s="432"/>
      <c r="TCK122" s="432"/>
      <c r="TCL122" s="432"/>
      <c r="TCM122" s="432"/>
      <c r="TCN122" s="432"/>
      <c r="TCO122" s="432"/>
      <c r="TCP122" s="432"/>
      <c r="TCQ122" s="432"/>
      <c r="TCR122" s="432"/>
      <c r="TCS122" s="432"/>
      <c r="TCT122" s="432"/>
      <c r="TCU122" s="432"/>
      <c r="TCV122" s="432"/>
      <c r="TCW122" s="432"/>
      <c r="TCX122" s="432"/>
      <c r="TCY122" s="432"/>
      <c r="TCZ122" s="432"/>
      <c r="TDA122" s="432"/>
      <c r="TDB122" s="432"/>
      <c r="TDC122" s="432"/>
      <c r="TDD122" s="432"/>
      <c r="TDE122" s="432"/>
      <c r="TDF122" s="432"/>
      <c r="TDG122" s="432"/>
      <c r="TDH122" s="432"/>
      <c r="TDI122" s="432"/>
      <c r="TDJ122" s="432"/>
      <c r="TDK122" s="432"/>
      <c r="TDL122" s="432"/>
      <c r="TDM122" s="432"/>
      <c r="TDN122" s="432"/>
      <c r="TDO122" s="432"/>
      <c r="TDP122" s="432"/>
      <c r="TDQ122" s="432"/>
      <c r="TDR122" s="432"/>
      <c r="TDS122" s="432"/>
      <c r="TDT122" s="432"/>
      <c r="TDU122" s="432"/>
      <c r="TDV122" s="432"/>
      <c r="TDW122" s="432"/>
      <c r="TDX122" s="432"/>
      <c r="TDY122" s="432"/>
      <c r="TDZ122" s="432"/>
      <c r="TEA122" s="432"/>
      <c r="TEB122" s="432"/>
      <c r="TEC122" s="432"/>
      <c r="TED122" s="432"/>
      <c r="TEE122" s="432"/>
      <c r="TEF122" s="432"/>
      <c r="TEG122" s="432"/>
      <c r="TEH122" s="432"/>
      <c r="TEI122" s="432"/>
      <c r="TEJ122" s="432"/>
      <c r="TEK122" s="432"/>
      <c r="TEL122" s="432"/>
      <c r="TEM122" s="432"/>
      <c r="TEN122" s="432"/>
      <c r="TEO122" s="432"/>
      <c r="TEP122" s="432"/>
      <c r="TEQ122" s="432"/>
      <c r="TER122" s="432"/>
      <c r="TES122" s="432"/>
      <c r="TET122" s="432"/>
      <c r="TEU122" s="432"/>
      <c r="TEV122" s="432"/>
      <c r="TEW122" s="432"/>
      <c r="TEX122" s="432"/>
      <c r="TEY122" s="432"/>
      <c r="TEZ122" s="432"/>
      <c r="TFA122" s="432"/>
      <c r="TFB122" s="432"/>
      <c r="TFC122" s="432"/>
      <c r="TFD122" s="432"/>
      <c r="TFE122" s="432"/>
      <c r="TFF122" s="432"/>
      <c r="TFG122" s="432"/>
      <c r="TFH122" s="432"/>
      <c r="TFI122" s="432"/>
      <c r="TFJ122" s="432"/>
      <c r="TFK122" s="432"/>
      <c r="TFL122" s="432"/>
      <c r="TFM122" s="432"/>
      <c r="TFN122" s="432"/>
      <c r="TFO122" s="432"/>
      <c r="TFP122" s="432"/>
      <c r="TFQ122" s="432"/>
      <c r="TFR122" s="432"/>
      <c r="TFS122" s="432"/>
      <c r="TFT122" s="432"/>
      <c r="TFU122" s="432"/>
      <c r="TFV122" s="432"/>
      <c r="TFW122" s="432"/>
      <c r="TFX122" s="432"/>
      <c r="TFY122" s="432"/>
      <c r="TFZ122" s="432"/>
      <c r="TGA122" s="432"/>
      <c r="TGB122" s="432"/>
      <c r="TGC122" s="432"/>
      <c r="TGD122" s="432"/>
      <c r="TGE122" s="432"/>
      <c r="TGF122" s="432"/>
      <c r="TGG122" s="432"/>
      <c r="TGH122" s="432"/>
      <c r="TGI122" s="432"/>
      <c r="TGJ122" s="432"/>
      <c r="TGK122" s="432"/>
      <c r="TGL122" s="432"/>
      <c r="TGM122" s="432"/>
      <c r="TGN122" s="432"/>
      <c r="TGO122" s="432"/>
      <c r="TGP122" s="432"/>
      <c r="TGQ122" s="432"/>
      <c r="TGR122" s="432"/>
      <c r="TGS122" s="432"/>
      <c r="TGT122" s="432"/>
      <c r="TGU122" s="432"/>
      <c r="TGV122" s="432"/>
      <c r="TGW122" s="432"/>
      <c r="TGX122" s="432"/>
      <c r="TGY122" s="432"/>
      <c r="TGZ122" s="432"/>
      <c r="THA122" s="432"/>
      <c r="THB122" s="432"/>
      <c r="THC122" s="432"/>
      <c r="THD122" s="432"/>
      <c r="THE122" s="432"/>
      <c r="THF122" s="432"/>
      <c r="THG122" s="432"/>
      <c r="THH122" s="432"/>
      <c r="THI122" s="432"/>
      <c r="THJ122" s="432"/>
      <c r="THK122" s="432"/>
      <c r="THL122" s="432"/>
      <c r="THM122" s="432"/>
      <c r="THN122" s="432"/>
      <c r="THO122" s="432"/>
      <c r="THP122" s="432"/>
      <c r="THQ122" s="432"/>
      <c r="THR122" s="432"/>
      <c r="THS122" s="432"/>
      <c r="THT122" s="432"/>
      <c r="THU122" s="432"/>
      <c r="THV122" s="432"/>
      <c r="THW122" s="432"/>
      <c r="THX122" s="432"/>
      <c r="THY122" s="432"/>
      <c r="THZ122" s="432"/>
      <c r="TIA122" s="432"/>
      <c r="TIB122" s="432"/>
      <c r="TIC122" s="432"/>
      <c r="TID122" s="432"/>
      <c r="TIE122" s="432"/>
      <c r="TIF122" s="432"/>
      <c r="TIG122" s="432"/>
      <c r="TIH122" s="432"/>
      <c r="TII122" s="432"/>
      <c r="TIJ122" s="432"/>
      <c r="TIK122" s="432"/>
      <c r="TIL122" s="432"/>
      <c r="TIM122" s="432"/>
      <c r="TIN122" s="432"/>
      <c r="TIO122" s="432"/>
      <c r="TIP122" s="432"/>
      <c r="TIQ122" s="432"/>
      <c r="TIR122" s="432"/>
      <c r="TIS122" s="432"/>
      <c r="TIT122" s="432"/>
      <c r="TIU122" s="432"/>
      <c r="TIV122" s="432"/>
      <c r="TIW122" s="432"/>
      <c r="TIX122" s="432"/>
      <c r="TIY122" s="432"/>
      <c r="TIZ122" s="432"/>
      <c r="TJA122" s="432"/>
      <c r="TJB122" s="432"/>
      <c r="TJC122" s="432"/>
      <c r="TJD122" s="432"/>
      <c r="TJE122" s="432"/>
      <c r="TJF122" s="432"/>
      <c r="TJG122" s="432"/>
      <c r="TJH122" s="432"/>
      <c r="TJI122" s="432"/>
      <c r="TJJ122" s="432"/>
      <c r="TJK122" s="432"/>
      <c r="TJL122" s="432"/>
      <c r="TJM122" s="432"/>
      <c r="TJN122" s="432"/>
      <c r="TJO122" s="432"/>
      <c r="TJP122" s="432"/>
      <c r="TJQ122" s="432"/>
      <c r="TJR122" s="432"/>
      <c r="TJS122" s="432"/>
      <c r="TJT122" s="432"/>
      <c r="TJU122" s="432"/>
      <c r="TJV122" s="432"/>
      <c r="TJW122" s="432"/>
      <c r="TJX122" s="432"/>
      <c r="TJY122" s="432"/>
      <c r="TJZ122" s="432"/>
      <c r="TKA122" s="432"/>
      <c r="TKB122" s="432"/>
      <c r="TKC122" s="432"/>
      <c r="TKD122" s="432"/>
      <c r="TKE122" s="432"/>
      <c r="TKF122" s="432"/>
      <c r="TKG122" s="432"/>
      <c r="TKH122" s="432"/>
      <c r="TKI122" s="432"/>
      <c r="TKJ122" s="432"/>
      <c r="TKK122" s="432"/>
      <c r="TKL122" s="432"/>
      <c r="TKM122" s="432"/>
      <c r="TKN122" s="432"/>
      <c r="TKO122" s="432"/>
      <c r="TKP122" s="432"/>
      <c r="TKQ122" s="432"/>
      <c r="TKR122" s="432"/>
      <c r="TKS122" s="432"/>
      <c r="TKT122" s="432"/>
      <c r="TKU122" s="432"/>
      <c r="TKV122" s="432"/>
      <c r="TKW122" s="432"/>
      <c r="TKX122" s="432"/>
      <c r="TKY122" s="432"/>
      <c r="TKZ122" s="432"/>
      <c r="TLA122" s="432"/>
      <c r="TLB122" s="432"/>
      <c r="TLC122" s="432"/>
      <c r="TLD122" s="432"/>
      <c r="TLE122" s="432"/>
      <c r="TLF122" s="432"/>
      <c r="TLG122" s="432"/>
      <c r="TLH122" s="432"/>
      <c r="TLI122" s="432"/>
      <c r="TLJ122" s="432"/>
      <c r="TLK122" s="432"/>
      <c r="TLL122" s="432"/>
      <c r="TLM122" s="432"/>
      <c r="TLN122" s="432"/>
      <c r="TLO122" s="432"/>
      <c r="TLP122" s="432"/>
      <c r="TLQ122" s="432"/>
      <c r="TLR122" s="432"/>
      <c r="TLS122" s="432"/>
      <c r="TLT122" s="432"/>
      <c r="TLU122" s="432"/>
      <c r="TLV122" s="432"/>
      <c r="TLW122" s="432"/>
      <c r="TLX122" s="432"/>
      <c r="TLY122" s="432"/>
      <c r="TLZ122" s="432"/>
      <c r="TMA122" s="432"/>
      <c r="TMB122" s="432"/>
      <c r="TMC122" s="432"/>
      <c r="TMD122" s="432"/>
      <c r="TME122" s="432"/>
      <c r="TMF122" s="432"/>
      <c r="TMG122" s="432"/>
      <c r="TMH122" s="432"/>
      <c r="TMI122" s="432"/>
      <c r="TMJ122" s="432"/>
      <c r="TMK122" s="432"/>
      <c r="TML122" s="432"/>
      <c r="TMM122" s="432"/>
      <c r="TMN122" s="432"/>
      <c r="TMO122" s="432"/>
      <c r="TMP122" s="432"/>
      <c r="TMQ122" s="432"/>
      <c r="TMR122" s="432"/>
      <c r="TMS122" s="432"/>
      <c r="TMT122" s="432"/>
      <c r="TMU122" s="432"/>
      <c r="TMV122" s="432"/>
      <c r="TMW122" s="432"/>
      <c r="TMX122" s="432"/>
      <c r="TMY122" s="432"/>
      <c r="TMZ122" s="432"/>
      <c r="TNA122" s="432"/>
      <c r="TNB122" s="432"/>
      <c r="TNC122" s="432"/>
      <c r="TND122" s="432"/>
      <c r="TNE122" s="432"/>
      <c r="TNF122" s="432"/>
      <c r="TNG122" s="432"/>
      <c r="TNH122" s="432"/>
      <c r="TNI122" s="432"/>
      <c r="TNJ122" s="432"/>
      <c r="TNK122" s="432"/>
      <c r="TNL122" s="432"/>
      <c r="TNM122" s="432"/>
      <c r="TNN122" s="432"/>
      <c r="TNO122" s="432"/>
      <c r="TNP122" s="432"/>
      <c r="TNQ122" s="432"/>
      <c r="TNR122" s="432"/>
      <c r="TNS122" s="432"/>
      <c r="TNT122" s="432"/>
      <c r="TNU122" s="432"/>
      <c r="TNV122" s="432"/>
      <c r="TNW122" s="432"/>
      <c r="TNX122" s="432"/>
      <c r="TNY122" s="432"/>
      <c r="TNZ122" s="432"/>
      <c r="TOA122" s="432"/>
      <c r="TOB122" s="432"/>
      <c r="TOC122" s="432"/>
      <c r="TOD122" s="432"/>
      <c r="TOE122" s="432"/>
      <c r="TOF122" s="432"/>
      <c r="TOG122" s="432"/>
      <c r="TOH122" s="432"/>
      <c r="TOI122" s="432"/>
      <c r="TOJ122" s="432"/>
      <c r="TOK122" s="432"/>
      <c r="TOL122" s="432"/>
      <c r="TOM122" s="432"/>
      <c r="TON122" s="432"/>
      <c r="TOO122" s="432"/>
      <c r="TOP122" s="432"/>
      <c r="TOQ122" s="432"/>
      <c r="TOR122" s="432"/>
      <c r="TOS122" s="432"/>
      <c r="TOT122" s="432"/>
      <c r="TOU122" s="432"/>
      <c r="TOV122" s="432"/>
      <c r="TOW122" s="432"/>
      <c r="TOX122" s="432"/>
      <c r="TOY122" s="432"/>
      <c r="TOZ122" s="432"/>
      <c r="TPA122" s="432"/>
      <c r="TPB122" s="432"/>
      <c r="TPC122" s="432"/>
      <c r="TPD122" s="432"/>
      <c r="TPE122" s="432"/>
      <c r="TPF122" s="432"/>
      <c r="TPG122" s="432"/>
      <c r="TPH122" s="432"/>
      <c r="TPI122" s="432"/>
      <c r="TPJ122" s="432"/>
      <c r="TPK122" s="432"/>
      <c r="TPL122" s="432"/>
      <c r="TPM122" s="432"/>
      <c r="TPN122" s="432"/>
      <c r="TPO122" s="432"/>
      <c r="TPP122" s="432"/>
      <c r="TPQ122" s="432"/>
      <c r="TPR122" s="432"/>
      <c r="TPS122" s="432"/>
      <c r="TPT122" s="432"/>
      <c r="TPU122" s="432"/>
      <c r="TPV122" s="432"/>
      <c r="TPW122" s="432"/>
      <c r="TPX122" s="432"/>
      <c r="TPY122" s="432"/>
      <c r="TPZ122" s="432"/>
      <c r="TQA122" s="432"/>
      <c r="TQB122" s="432"/>
      <c r="TQC122" s="432"/>
      <c r="TQD122" s="432"/>
      <c r="TQE122" s="432"/>
      <c r="TQF122" s="432"/>
      <c r="TQG122" s="432"/>
      <c r="TQH122" s="432"/>
      <c r="TQI122" s="432"/>
      <c r="TQJ122" s="432"/>
      <c r="TQK122" s="432"/>
      <c r="TQL122" s="432"/>
      <c r="TQM122" s="432"/>
      <c r="TQN122" s="432"/>
      <c r="TQO122" s="432"/>
      <c r="TQP122" s="432"/>
      <c r="TQQ122" s="432"/>
      <c r="TQR122" s="432"/>
      <c r="TQS122" s="432"/>
      <c r="TQT122" s="432"/>
      <c r="TQU122" s="432"/>
      <c r="TQV122" s="432"/>
      <c r="TQW122" s="432"/>
      <c r="TQX122" s="432"/>
      <c r="TQY122" s="432"/>
      <c r="TQZ122" s="432"/>
      <c r="TRA122" s="432"/>
      <c r="TRB122" s="432"/>
      <c r="TRC122" s="432"/>
      <c r="TRD122" s="432"/>
      <c r="TRE122" s="432"/>
      <c r="TRF122" s="432"/>
      <c r="TRG122" s="432"/>
      <c r="TRH122" s="432"/>
      <c r="TRI122" s="432"/>
      <c r="TRJ122" s="432"/>
      <c r="TRK122" s="432"/>
      <c r="TRL122" s="432"/>
      <c r="TRM122" s="432"/>
      <c r="TRN122" s="432"/>
      <c r="TRO122" s="432"/>
      <c r="TRP122" s="432"/>
      <c r="TRQ122" s="432"/>
      <c r="TRR122" s="432"/>
      <c r="TRS122" s="432"/>
      <c r="TRT122" s="432"/>
      <c r="TRU122" s="432"/>
      <c r="TRV122" s="432"/>
      <c r="TRW122" s="432"/>
      <c r="TRX122" s="432"/>
      <c r="TRY122" s="432"/>
      <c r="TRZ122" s="432"/>
      <c r="TSA122" s="432"/>
      <c r="TSB122" s="432"/>
      <c r="TSC122" s="432"/>
      <c r="TSD122" s="432"/>
      <c r="TSE122" s="432"/>
      <c r="TSF122" s="432"/>
      <c r="TSG122" s="432"/>
      <c r="TSH122" s="432"/>
      <c r="TSI122" s="432"/>
      <c r="TSJ122" s="432"/>
      <c r="TSK122" s="432"/>
      <c r="TSL122" s="432"/>
      <c r="TSM122" s="432"/>
      <c r="TSN122" s="432"/>
      <c r="TSO122" s="432"/>
      <c r="TSP122" s="432"/>
      <c r="TSQ122" s="432"/>
      <c r="TSR122" s="432"/>
      <c r="TSS122" s="432"/>
      <c r="TST122" s="432"/>
      <c r="TSU122" s="432"/>
      <c r="TSV122" s="432"/>
      <c r="TSW122" s="432"/>
      <c r="TSX122" s="432"/>
      <c r="TSY122" s="432"/>
      <c r="TSZ122" s="432"/>
      <c r="TTA122" s="432"/>
      <c r="TTB122" s="432"/>
      <c r="TTC122" s="432"/>
      <c r="TTD122" s="432"/>
      <c r="TTE122" s="432"/>
      <c r="TTF122" s="432"/>
      <c r="TTG122" s="432"/>
      <c r="TTH122" s="432"/>
      <c r="TTI122" s="432"/>
      <c r="TTJ122" s="432"/>
      <c r="TTK122" s="432"/>
      <c r="TTL122" s="432"/>
      <c r="TTM122" s="432"/>
      <c r="TTN122" s="432"/>
      <c r="TTO122" s="432"/>
      <c r="TTP122" s="432"/>
      <c r="TTQ122" s="432"/>
      <c r="TTR122" s="432"/>
      <c r="TTS122" s="432"/>
      <c r="TTT122" s="432"/>
      <c r="TTU122" s="432"/>
      <c r="TTV122" s="432"/>
      <c r="TTW122" s="432"/>
      <c r="TTX122" s="432"/>
      <c r="TTY122" s="432"/>
      <c r="TTZ122" s="432"/>
      <c r="TUA122" s="432"/>
      <c r="TUB122" s="432"/>
      <c r="TUC122" s="432"/>
      <c r="TUD122" s="432"/>
      <c r="TUE122" s="432"/>
      <c r="TUF122" s="432"/>
      <c r="TUG122" s="432"/>
      <c r="TUH122" s="432"/>
      <c r="TUI122" s="432"/>
      <c r="TUJ122" s="432"/>
      <c r="TUK122" s="432"/>
      <c r="TUL122" s="432"/>
      <c r="TUM122" s="432"/>
      <c r="TUN122" s="432"/>
      <c r="TUO122" s="432"/>
      <c r="TUP122" s="432"/>
      <c r="TUQ122" s="432"/>
      <c r="TUR122" s="432"/>
      <c r="TUS122" s="432"/>
      <c r="TUT122" s="432"/>
      <c r="TUU122" s="432"/>
      <c r="TUV122" s="432"/>
      <c r="TUW122" s="432"/>
      <c r="TUX122" s="432"/>
      <c r="TUY122" s="432"/>
      <c r="TUZ122" s="432"/>
      <c r="TVA122" s="432"/>
      <c r="TVB122" s="432"/>
      <c r="TVC122" s="432"/>
      <c r="TVD122" s="432"/>
      <c r="TVE122" s="432"/>
      <c r="TVF122" s="432"/>
      <c r="TVG122" s="432"/>
      <c r="TVH122" s="432"/>
      <c r="TVI122" s="432"/>
      <c r="TVJ122" s="432"/>
      <c r="TVK122" s="432"/>
      <c r="TVL122" s="432"/>
      <c r="TVM122" s="432"/>
      <c r="TVN122" s="432"/>
      <c r="TVO122" s="432"/>
      <c r="TVP122" s="432"/>
      <c r="TVQ122" s="432"/>
      <c r="TVR122" s="432"/>
      <c r="TVS122" s="432"/>
      <c r="TVT122" s="432"/>
      <c r="TVU122" s="432"/>
      <c r="TVV122" s="432"/>
      <c r="TVW122" s="432"/>
      <c r="TVX122" s="432"/>
      <c r="TVY122" s="432"/>
      <c r="TVZ122" s="432"/>
      <c r="TWA122" s="432"/>
      <c r="TWB122" s="432"/>
      <c r="TWC122" s="432"/>
      <c r="TWD122" s="432"/>
      <c r="TWE122" s="432"/>
      <c r="TWF122" s="432"/>
      <c r="TWG122" s="432"/>
      <c r="TWH122" s="432"/>
      <c r="TWI122" s="432"/>
      <c r="TWJ122" s="432"/>
      <c r="TWK122" s="432"/>
      <c r="TWL122" s="432"/>
      <c r="TWM122" s="432"/>
      <c r="TWN122" s="432"/>
      <c r="TWO122" s="432"/>
      <c r="TWP122" s="432"/>
      <c r="TWQ122" s="432"/>
      <c r="TWR122" s="432"/>
      <c r="TWS122" s="432"/>
      <c r="TWT122" s="432"/>
      <c r="TWU122" s="432"/>
      <c r="TWV122" s="432"/>
      <c r="TWW122" s="432"/>
      <c r="TWX122" s="432"/>
      <c r="TWY122" s="432"/>
      <c r="TWZ122" s="432"/>
      <c r="TXA122" s="432"/>
      <c r="TXB122" s="432"/>
      <c r="TXC122" s="432"/>
      <c r="TXD122" s="432"/>
      <c r="TXE122" s="432"/>
      <c r="TXF122" s="432"/>
      <c r="TXG122" s="432"/>
      <c r="TXH122" s="432"/>
      <c r="TXI122" s="432"/>
      <c r="TXJ122" s="432"/>
      <c r="TXK122" s="432"/>
      <c r="TXL122" s="432"/>
      <c r="TXM122" s="432"/>
      <c r="TXN122" s="432"/>
      <c r="TXO122" s="432"/>
      <c r="TXP122" s="432"/>
      <c r="TXQ122" s="432"/>
      <c r="TXR122" s="432"/>
      <c r="TXS122" s="432"/>
      <c r="TXT122" s="432"/>
      <c r="TXU122" s="432"/>
      <c r="TXV122" s="432"/>
      <c r="TXW122" s="432"/>
      <c r="TXX122" s="432"/>
      <c r="TXY122" s="432"/>
      <c r="TXZ122" s="432"/>
      <c r="TYA122" s="432"/>
      <c r="TYB122" s="432"/>
      <c r="TYC122" s="432"/>
      <c r="TYD122" s="432"/>
      <c r="TYE122" s="432"/>
      <c r="TYF122" s="432"/>
      <c r="TYG122" s="432"/>
      <c r="TYH122" s="432"/>
      <c r="TYI122" s="432"/>
      <c r="TYJ122" s="432"/>
      <c r="TYK122" s="432"/>
      <c r="TYL122" s="432"/>
      <c r="TYM122" s="432"/>
      <c r="TYN122" s="432"/>
      <c r="TYO122" s="432"/>
      <c r="TYP122" s="432"/>
      <c r="TYQ122" s="432"/>
      <c r="TYR122" s="432"/>
      <c r="TYS122" s="432"/>
      <c r="TYT122" s="432"/>
      <c r="TYU122" s="432"/>
      <c r="TYV122" s="432"/>
      <c r="TYW122" s="432"/>
      <c r="TYX122" s="432"/>
      <c r="TYY122" s="432"/>
      <c r="TYZ122" s="432"/>
      <c r="TZA122" s="432"/>
      <c r="TZB122" s="432"/>
      <c r="TZC122" s="432"/>
      <c r="TZD122" s="432"/>
      <c r="TZE122" s="432"/>
      <c r="TZF122" s="432"/>
      <c r="TZG122" s="432"/>
      <c r="TZH122" s="432"/>
      <c r="TZI122" s="432"/>
      <c r="TZJ122" s="432"/>
      <c r="TZK122" s="432"/>
      <c r="TZL122" s="432"/>
      <c r="TZM122" s="432"/>
      <c r="TZN122" s="432"/>
      <c r="TZO122" s="432"/>
      <c r="TZP122" s="432"/>
      <c r="TZQ122" s="432"/>
      <c r="TZR122" s="432"/>
      <c r="TZS122" s="432"/>
      <c r="TZT122" s="432"/>
      <c r="TZU122" s="432"/>
      <c r="TZV122" s="432"/>
      <c r="TZW122" s="432"/>
      <c r="TZX122" s="432"/>
      <c r="TZY122" s="432"/>
      <c r="TZZ122" s="432"/>
      <c r="UAA122" s="432"/>
      <c r="UAB122" s="432"/>
      <c r="UAC122" s="432"/>
      <c r="UAD122" s="432"/>
      <c r="UAE122" s="432"/>
      <c r="UAF122" s="432"/>
      <c r="UAG122" s="432"/>
      <c r="UAH122" s="432"/>
      <c r="UAI122" s="432"/>
      <c r="UAJ122" s="432"/>
      <c r="UAK122" s="432"/>
      <c r="UAL122" s="432"/>
      <c r="UAM122" s="432"/>
      <c r="UAN122" s="432"/>
      <c r="UAO122" s="432"/>
      <c r="UAP122" s="432"/>
      <c r="UAQ122" s="432"/>
      <c r="UAR122" s="432"/>
      <c r="UAS122" s="432"/>
      <c r="UAT122" s="432"/>
      <c r="UAU122" s="432"/>
      <c r="UAV122" s="432"/>
      <c r="UAW122" s="432"/>
      <c r="UAX122" s="432"/>
      <c r="UAY122" s="432"/>
      <c r="UAZ122" s="432"/>
      <c r="UBA122" s="432"/>
      <c r="UBB122" s="432"/>
      <c r="UBC122" s="432"/>
      <c r="UBD122" s="432"/>
      <c r="UBE122" s="432"/>
      <c r="UBF122" s="432"/>
      <c r="UBG122" s="432"/>
      <c r="UBH122" s="432"/>
      <c r="UBI122" s="432"/>
      <c r="UBJ122" s="432"/>
      <c r="UBK122" s="432"/>
      <c r="UBL122" s="432"/>
      <c r="UBM122" s="432"/>
      <c r="UBN122" s="432"/>
      <c r="UBO122" s="432"/>
      <c r="UBP122" s="432"/>
      <c r="UBQ122" s="432"/>
      <c r="UBR122" s="432"/>
      <c r="UBS122" s="432"/>
      <c r="UBT122" s="432"/>
      <c r="UBU122" s="432"/>
      <c r="UBV122" s="432"/>
      <c r="UBW122" s="432"/>
      <c r="UBX122" s="432"/>
      <c r="UBY122" s="432"/>
      <c r="UBZ122" s="432"/>
      <c r="UCA122" s="432"/>
      <c r="UCB122" s="432"/>
      <c r="UCC122" s="432"/>
      <c r="UCD122" s="432"/>
      <c r="UCE122" s="432"/>
      <c r="UCF122" s="432"/>
      <c r="UCG122" s="432"/>
      <c r="UCH122" s="432"/>
      <c r="UCI122" s="432"/>
      <c r="UCJ122" s="432"/>
      <c r="UCK122" s="432"/>
      <c r="UCL122" s="432"/>
      <c r="UCM122" s="432"/>
      <c r="UCN122" s="432"/>
      <c r="UCO122" s="432"/>
      <c r="UCP122" s="432"/>
      <c r="UCQ122" s="432"/>
      <c r="UCR122" s="432"/>
      <c r="UCS122" s="432"/>
      <c r="UCT122" s="432"/>
      <c r="UCU122" s="432"/>
      <c r="UCV122" s="432"/>
      <c r="UCW122" s="432"/>
      <c r="UCX122" s="432"/>
      <c r="UCY122" s="432"/>
      <c r="UCZ122" s="432"/>
      <c r="UDA122" s="432"/>
      <c r="UDB122" s="432"/>
      <c r="UDC122" s="432"/>
      <c r="UDD122" s="432"/>
      <c r="UDE122" s="432"/>
      <c r="UDF122" s="432"/>
      <c r="UDG122" s="432"/>
      <c r="UDH122" s="432"/>
      <c r="UDI122" s="432"/>
      <c r="UDJ122" s="432"/>
      <c r="UDK122" s="432"/>
      <c r="UDL122" s="432"/>
      <c r="UDM122" s="432"/>
      <c r="UDN122" s="432"/>
      <c r="UDO122" s="432"/>
      <c r="UDP122" s="432"/>
      <c r="UDQ122" s="432"/>
      <c r="UDR122" s="432"/>
      <c r="UDS122" s="432"/>
      <c r="UDT122" s="432"/>
      <c r="UDU122" s="432"/>
      <c r="UDV122" s="432"/>
      <c r="UDW122" s="432"/>
      <c r="UDX122" s="432"/>
      <c r="UDY122" s="432"/>
      <c r="UDZ122" s="432"/>
      <c r="UEA122" s="432"/>
      <c r="UEB122" s="432"/>
      <c r="UEC122" s="432"/>
      <c r="UED122" s="432"/>
      <c r="UEE122" s="432"/>
      <c r="UEF122" s="432"/>
      <c r="UEG122" s="432"/>
      <c r="UEH122" s="432"/>
      <c r="UEI122" s="432"/>
      <c r="UEJ122" s="432"/>
      <c r="UEK122" s="432"/>
      <c r="UEL122" s="432"/>
      <c r="UEM122" s="432"/>
      <c r="UEN122" s="432"/>
      <c r="UEO122" s="432"/>
      <c r="UEP122" s="432"/>
      <c r="UEQ122" s="432"/>
      <c r="UER122" s="432"/>
      <c r="UES122" s="432"/>
      <c r="UET122" s="432"/>
      <c r="UEU122" s="432"/>
      <c r="UEV122" s="432"/>
      <c r="UEW122" s="432"/>
      <c r="UEX122" s="432"/>
      <c r="UEY122" s="432"/>
      <c r="UEZ122" s="432"/>
      <c r="UFA122" s="432"/>
      <c r="UFB122" s="432"/>
      <c r="UFC122" s="432"/>
      <c r="UFD122" s="432"/>
      <c r="UFE122" s="432"/>
      <c r="UFF122" s="432"/>
      <c r="UFG122" s="432"/>
      <c r="UFH122" s="432"/>
      <c r="UFI122" s="432"/>
      <c r="UFJ122" s="432"/>
      <c r="UFK122" s="432"/>
      <c r="UFL122" s="432"/>
      <c r="UFM122" s="432"/>
      <c r="UFN122" s="432"/>
      <c r="UFO122" s="432"/>
      <c r="UFP122" s="432"/>
      <c r="UFQ122" s="432"/>
      <c r="UFR122" s="432"/>
      <c r="UFS122" s="432"/>
      <c r="UFT122" s="432"/>
      <c r="UFU122" s="432"/>
      <c r="UFV122" s="432"/>
      <c r="UFW122" s="432"/>
      <c r="UFX122" s="432"/>
      <c r="UFY122" s="432"/>
      <c r="UFZ122" s="432"/>
      <c r="UGA122" s="432"/>
      <c r="UGB122" s="432"/>
      <c r="UGC122" s="432"/>
      <c r="UGD122" s="432"/>
      <c r="UGE122" s="432"/>
      <c r="UGF122" s="432"/>
      <c r="UGG122" s="432"/>
      <c r="UGH122" s="432"/>
      <c r="UGI122" s="432"/>
      <c r="UGJ122" s="432"/>
      <c r="UGK122" s="432"/>
      <c r="UGL122" s="432"/>
      <c r="UGM122" s="432"/>
      <c r="UGN122" s="432"/>
      <c r="UGO122" s="432"/>
      <c r="UGP122" s="432"/>
      <c r="UGQ122" s="432"/>
      <c r="UGR122" s="432"/>
      <c r="UGS122" s="432"/>
      <c r="UGT122" s="432"/>
      <c r="UGU122" s="432"/>
      <c r="UGV122" s="432"/>
      <c r="UGW122" s="432"/>
      <c r="UGX122" s="432"/>
      <c r="UGY122" s="432"/>
      <c r="UGZ122" s="432"/>
      <c r="UHA122" s="432"/>
      <c r="UHB122" s="432"/>
      <c r="UHC122" s="432"/>
      <c r="UHD122" s="432"/>
      <c r="UHE122" s="432"/>
      <c r="UHF122" s="432"/>
      <c r="UHG122" s="432"/>
      <c r="UHH122" s="432"/>
      <c r="UHI122" s="432"/>
      <c r="UHJ122" s="432"/>
      <c r="UHK122" s="432"/>
      <c r="UHL122" s="432"/>
      <c r="UHM122" s="432"/>
      <c r="UHN122" s="432"/>
      <c r="UHO122" s="432"/>
      <c r="UHP122" s="432"/>
      <c r="UHQ122" s="432"/>
      <c r="UHR122" s="432"/>
      <c r="UHS122" s="432"/>
      <c r="UHT122" s="432"/>
      <c r="UHU122" s="432"/>
      <c r="UHV122" s="432"/>
      <c r="UHW122" s="432"/>
      <c r="UHX122" s="432"/>
      <c r="UHY122" s="432"/>
      <c r="UHZ122" s="432"/>
      <c r="UIA122" s="432"/>
      <c r="UIB122" s="432"/>
      <c r="UIC122" s="432"/>
      <c r="UID122" s="432"/>
      <c r="UIE122" s="432"/>
      <c r="UIF122" s="432"/>
      <c r="UIG122" s="432"/>
      <c r="UIH122" s="432"/>
      <c r="UII122" s="432"/>
      <c r="UIJ122" s="432"/>
      <c r="UIK122" s="432"/>
      <c r="UIL122" s="432"/>
      <c r="UIM122" s="432"/>
      <c r="UIN122" s="432"/>
      <c r="UIO122" s="432"/>
      <c r="UIP122" s="432"/>
      <c r="UIQ122" s="432"/>
      <c r="UIR122" s="432"/>
      <c r="UIS122" s="432"/>
      <c r="UIT122" s="432"/>
      <c r="UIU122" s="432"/>
      <c r="UIV122" s="432"/>
      <c r="UIW122" s="432"/>
      <c r="UIX122" s="432"/>
      <c r="UIY122" s="432"/>
      <c r="UIZ122" s="432"/>
      <c r="UJA122" s="432"/>
      <c r="UJB122" s="432"/>
      <c r="UJC122" s="432"/>
      <c r="UJD122" s="432"/>
      <c r="UJE122" s="432"/>
      <c r="UJF122" s="432"/>
      <c r="UJG122" s="432"/>
      <c r="UJH122" s="432"/>
      <c r="UJI122" s="432"/>
      <c r="UJJ122" s="432"/>
      <c r="UJK122" s="432"/>
      <c r="UJL122" s="432"/>
      <c r="UJM122" s="432"/>
      <c r="UJN122" s="432"/>
      <c r="UJO122" s="432"/>
      <c r="UJP122" s="432"/>
      <c r="UJQ122" s="432"/>
      <c r="UJR122" s="432"/>
      <c r="UJS122" s="432"/>
      <c r="UJT122" s="432"/>
      <c r="UJU122" s="432"/>
      <c r="UJV122" s="432"/>
      <c r="UJW122" s="432"/>
      <c r="UJX122" s="432"/>
      <c r="UJY122" s="432"/>
      <c r="UJZ122" s="432"/>
      <c r="UKA122" s="432"/>
      <c r="UKB122" s="432"/>
      <c r="UKC122" s="432"/>
      <c r="UKD122" s="432"/>
      <c r="UKE122" s="432"/>
      <c r="UKF122" s="432"/>
      <c r="UKG122" s="432"/>
      <c r="UKH122" s="432"/>
      <c r="UKI122" s="432"/>
      <c r="UKJ122" s="432"/>
      <c r="UKK122" s="432"/>
      <c r="UKL122" s="432"/>
      <c r="UKM122" s="432"/>
      <c r="UKN122" s="432"/>
      <c r="UKO122" s="432"/>
      <c r="UKP122" s="432"/>
      <c r="UKQ122" s="432"/>
      <c r="UKR122" s="432"/>
      <c r="UKS122" s="432"/>
      <c r="UKT122" s="432"/>
      <c r="UKU122" s="432"/>
      <c r="UKV122" s="432"/>
      <c r="UKW122" s="432"/>
      <c r="UKX122" s="432"/>
      <c r="UKY122" s="432"/>
      <c r="UKZ122" s="432"/>
      <c r="ULA122" s="432"/>
      <c r="ULB122" s="432"/>
      <c r="ULC122" s="432"/>
      <c r="ULD122" s="432"/>
      <c r="ULE122" s="432"/>
      <c r="ULF122" s="432"/>
      <c r="ULG122" s="432"/>
      <c r="ULH122" s="432"/>
      <c r="ULI122" s="432"/>
      <c r="ULJ122" s="432"/>
      <c r="ULK122" s="432"/>
      <c r="ULL122" s="432"/>
      <c r="ULM122" s="432"/>
      <c r="ULN122" s="432"/>
      <c r="ULO122" s="432"/>
      <c r="ULP122" s="432"/>
      <c r="ULQ122" s="432"/>
      <c r="ULR122" s="432"/>
      <c r="ULS122" s="432"/>
      <c r="ULT122" s="432"/>
      <c r="ULU122" s="432"/>
      <c r="ULV122" s="432"/>
      <c r="ULW122" s="432"/>
      <c r="ULX122" s="432"/>
      <c r="ULY122" s="432"/>
      <c r="ULZ122" s="432"/>
      <c r="UMA122" s="432"/>
      <c r="UMB122" s="432"/>
      <c r="UMC122" s="432"/>
      <c r="UMD122" s="432"/>
      <c r="UME122" s="432"/>
      <c r="UMF122" s="432"/>
      <c r="UMG122" s="432"/>
      <c r="UMH122" s="432"/>
      <c r="UMI122" s="432"/>
      <c r="UMJ122" s="432"/>
      <c r="UMK122" s="432"/>
      <c r="UML122" s="432"/>
      <c r="UMM122" s="432"/>
      <c r="UMN122" s="432"/>
      <c r="UMO122" s="432"/>
      <c r="UMP122" s="432"/>
      <c r="UMQ122" s="432"/>
      <c r="UMR122" s="432"/>
      <c r="UMS122" s="432"/>
      <c r="UMT122" s="432"/>
      <c r="UMU122" s="432"/>
      <c r="UMV122" s="432"/>
      <c r="UMW122" s="432"/>
      <c r="UMX122" s="432"/>
      <c r="UMY122" s="432"/>
      <c r="UMZ122" s="432"/>
      <c r="UNA122" s="432"/>
      <c r="UNB122" s="432"/>
      <c r="UNC122" s="432"/>
      <c r="UND122" s="432"/>
      <c r="UNE122" s="432"/>
      <c r="UNF122" s="432"/>
      <c r="UNG122" s="432"/>
      <c r="UNH122" s="432"/>
      <c r="UNI122" s="432"/>
      <c r="UNJ122" s="432"/>
      <c r="UNK122" s="432"/>
      <c r="UNL122" s="432"/>
      <c r="UNM122" s="432"/>
      <c r="UNN122" s="432"/>
      <c r="UNO122" s="432"/>
      <c r="UNP122" s="432"/>
      <c r="UNQ122" s="432"/>
      <c r="UNR122" s="432"/>
      <c r="UNS122" s="432"/>
      <c r="UNT122" s="432"/>
      <c r="UNU122" s="432"/>
      <c r="UNV122" s="432"/>
      <c r="UNW122" s="432"/>
      <c r="UNX122" s="432"/>
      <c r="UNY122" s="432"/>
      <c r="UNZ122" s="432"/>
      <c r="UOA122" s="432"/>
      <c r="UOB122" s="432"/>
      <c r="UOC122" s="432"/>
      <c r="UOD122" s="432"/>
      <c r="UOE122" s="432"/>
      <c r="UOF122" s="432"/>
      <c r="UOG122" s="432"/>
      <c r="UOH122" s="432"/>
      <c r="UOI122" s="432"/>
      <c r="UOJ122" s="432"/>
      <c r="UOK122" s="432"/>
      <c r="UOL122" s="432"/>
      <c r="UOM122" s="432"/>
      <c r="UON122" s="432"/>
      <c r="UOO122" s="432"/>
      <c r="UOP122" s="432"/>
      <c r="UOQ122" s="432"/>
      <c r="UOR122" s="432"/>
      <c r="UOS122" s="432"/>
      <c r="UOT122" s="432"/>
      <c r="UOU122" s="432"/>
      <c r="UOV122" s="432"/>
      <c r="UOW122" s="432"/>
      <c r="UOX122" s="432"/>
      <c r="UOY122" s="432"/>
      <c r="UOZ122" s="432"/>
      <c r="UPA122" s="432"/>
      <c r="UPB122" s="432"/>
      <c r="UPC122" s="432"/>
      <c r="UPD122" s="432"/>
      <c r="UPE122" s="432"/>
      <c r="UPF122" s="432"/>
      <c r="UPG122" s="432"/>
      <c r="UPH122" s="432"/>
      <c r="UPI122" s="432"/>
      <c r="UPJ122" s="432"/>
      <c r="UPK122" s="432"/>
      <c r="UPL122" s="432"/>
      <c r="UPM122" s="432"/>
      <c r="UPN122" s="432"/>
      <c r="UPO122" s="432"/>
      <c r="UPP122" s="432"/>
      <c r="UPQ122" s="432"/>
      <c r="UPR122" s="432"/>
      <c r="UPS122" s="432"/>
      <c r="UPT122" s="432"/>
      <c r="UPU122" s="432"/>
      <c r="UPV122" s="432"/>
      <c r="UPW122" s="432"/>
      <c r="UPX122" s="432"/>
      <c r="UPY122" s="432"/>
      <c r="UPZ122" s="432"/>
      <c r="UQA122" s="432"/>
      <c r="UQB122" s="432"/>
      <c r="UQC122" s="432"/>
      <c r="UQD122" s="432"/>
      <c r="UQE122" s="432"/>
      <c r="UQF122" s="432"/>
      <c r="UQG122" s="432"/>
      <c r="UQH122" s="432"/>
      <c r="UQI122" s="432"/>
      <c r="UQJ122" s="432"/>
      <c r="UQK122" s="432"/>
      <c r="UQL122" s="432"/>
      <c r="UQM122" s="432"/>
      <c r="UQN122" s="432"/>
      <c r="UQO122" s="432"/>
      <c r="UQP122" s="432"/>
      <c r="UQQ122" s="432"/>
      <c r="UQR122" s="432"/>
      <c r="UQS122" s="432"/>
      <c r="UQT122" s="432"/>
      <c r="UQU122" s="432"/>
      <c r="UQV122" s="432"/>
      <c r="UQW122" s="432"/>
      <c r="UQX122" s="432"/>
      <c r="UQY122" s="432"/>
      <c r="UQZ122" s="432"/>
      <c r="URA122" s="432"/>
      <c r="URB122" s="432"/>
      <c r="URC122" s="432"/>
      <c r="URD122" s="432"/>
      <c r="URE122" s="432"/>
      <c r="URF122" s="432"/>
      <c r="URG122" s="432"/>
      <c r="URH122" s="432"/>
      <c r="URI122" s="432"/>
      <c r="URJ122" s="432"/>
      <c r="URK122" s="432"/>
      <c r="URL122" s="432"/>
      <c r="URM122" s="432"/>
      <c r="URN122" s="432"/>
      <c r="URO122" s="432"/>
      <c r="URP122" s="432"/>
      <c r="URQ122" s="432"/>
      <c r="URR122" s="432"/>
      <c r="URS122" s="432"/>
      <c r="URT122" s="432"/>
      <c r="URU122" s="432"/>
      <c r="URV122" s="432"/>
      <c r="URW122" s="432"/>
      <c r="URX122" s="432"/>
      <c r="URY122" s="432"/>
      <c r="URZ122" s="432"/>
      <c r="USA122" s="432"/>
      <c r="USB122" s="432"/>
      <c r="USC122" s="432"/>
      <c r="USD122" s="432"/>
      <c r="USE122" s="432"/>
      <c r="USF122" s="432"/>
      <c r="USG122" s="432"/>
      <c r="USH122" s="432"/>
      <c r="USI122" s="432"/>
      <c r="USJ122" s="432"/>
      <c r="USK122" s="432"/>
      <c r="USL122" s="432"/>
      <c r="USM122" s="432"/>
      <c r="USN122" s="432"/>
      <c r="USO122" s="432"/>
      <c r="USP122" s="432"/>
      <c r="USQ122" s="432"/>
      <c r="USR122" s="432"/>
      <c r="USS122" s="432"/>
      <c r="UST122" s="432"/>
      <c r="USU122" s="432"/>
      <c r="USV122" s="432"/>
      <c r="USW122" s="432"/>
      <c r="USX122" s="432"/>
      <c r="USY122" s="432"/>
      <c r="USZ122" s="432"/>
      <c r="UTA122" s="432"/>
      <c r="UTB122" s="432"/>
      <c r="UTC122" s="432"/>
      <c r="UTD122" s="432"/>
      <c r="UTE122" s="432"/>
      <c r="UTF122" s="432"/>
      <c r="UTG122" s="432"/>
      <c r="UTH122" s="432"/>
      <c r="UTI122" s="432"/>
      <c r="UTJ122" s="432"/>
      <c r="UTK122" s="432"/>
      <c r="UTL122" s="432"/>
      <c r="UTM122" s="432"/>
      <c r="UTN122" s="432"/>
      <c r="UTO122" s="432"/>
      <c r="UTP122" s="432"/>
      <c r="UTQ122" s="432"/>
      <c r="UTR122" s="432"/>
      <c r="UTS122" s="432"/>
      <c r="UTT122" s="432"/>
      <c r="UTU122" s="432"/>
      <c r="UTV122" s="432"/>
      <c r="UTW122" s="432"/>
      <c r="UTX122" s="432"/>
      <c r="UTY122" s="432"/>
      <c r="UTZ122" s="432"/>
      <c r="UUA122" s="432"/>
      <c r="UUB122" s="432"/>
      <c r="UUC122" s="432"/>
      <c r="UUD122" s="432"/>
      <c r="UUE122" s="432"/>
      <c r="UUF122" s="432"/>
      <c r="UUG122" s="432"/>
      <c r="UUH122" s="432"/>
      <c r="UUI122" s="432"/>
      <c r="UUJ122" s="432"/>
      <c r="UUK122" s="432"/>
      <c r="UUL122" s="432"/>
      <c r="UUM122" s="432"/>
      <c r="UUN122" s="432"/>
      <c r="UUO122" s="432"/>
      <c r="UUP122" s="432"/>
      <c r="UUQ122" s="432"/>
      <c r="UUR122" s="432"/>
      <c r="UUS122" s="432"/>
      <c r="UUT122" s="432"/>
      <c r="UUU122" s="432"/>
      <c r="UUV122" s="432"/>
      <c r="UUW122" s="432"/>
      <c r="UUX122" s="432"/>
      <c r="UUY122" s="432"/>
      <c r="UUZ122" s="432"/>
      <c r="UVA122" s="432"/>
      <c r="UVB122" s="432"/>
      <c r="UVC122" s="432"/>
      <c r="UVD122" s="432"/>
      <c r="UVE122" s="432"/>
      <c r="UVF122" s="432"/>
      <c r="UVG122" s="432"/>
      <c r="UVH122" s="432"/>
      <c r="UVI122" s="432"/>
      <c r="UVJ122" s="432"/>
      <c r="UVK122" s="432"/>
      <c r="UVL122" s="432"/>
      <c r="UVM122" s="432"/>
      <c r="UVN122" s="432"/>
      <c r="UVO122" s="432"/>
      <c r="UVP122" s="432"/>
      <c r="UVQ122" s="432"/>
      <c r="UVR122" s="432"/>
      <c r="UVS122" s="432"/>
      <c r="UVT122" s="432"/>
      <c r="UVU122" s="432"/>
      <c r="UVV122" s="432"/>
      <c r="UVW122" s="432"/>
      <c r="UVX122" s="432"/>
      <c r="UVY122" s="432"/>
      <c r="UVZ122" s="432"/>
      <c r="UWA122" s="432"/>
      <c r="UWB122" s="432"/>
      <c r="UWC122" s="432"/>
      <c r="UWD122" s="432"/>
      <c r="UWE122" s="432"/>
      <c r="UWF122" s="432"/>
      <c r="UWG122" s="432"/>
      <c r="UWH122" s="432"/>
      <c r="UWI122" s="432"/>
      <c r="UWJ122" s="432"/>
      <c r="UWK122" s="432"/>
      <c r="UWL122" s="432"/>
      <c r="UWM122" s="432"/>
      <c r="UWN122" s="432"/>
      <c r="UWO122" s="432"/>
      <c r="UWP122" s="432"/>
      <c r="UWQ122" s="432"/>
      <c r="UWR122" s="432"/>
      <c r="UWS122" s="432"/>
      <c r="UWT122" s="432"/>
      <c r="UWU122" s="432"/>
      <c r="UWV122" s="432"/>
      <c r="UWW122" s="432"/>
      <c r="UWX122" s="432"/>
      <c r="UWY122" s="432"/>
      <c r="UWZ122" s="432"/>
      <c r="UXA122" s="432"/>
      <c r="UXB122" s="432"/>
      <c r="UXC122" s="432"/>
      <c r="UXD122" s="432"/>
      <c r="UXE122" s="432"/>
      <c r="UXF122" s="432"/>
      <c r="UXG122" s="432"/>
      <c r="UXH122" s="432"/>
      <c r="UXI122" s="432"/>
      <c r="UXJ122" s="432"/>
      <c r="UXK122" s="432"/>
      <c r="UXL122" s="432"/>
      <c r="UXM122" s="432"/>
      <c r="UXN122" s="432"/>
      <c r="UXO122" s="432"/>
      <c r="UXP122" s="432"/>
      <c r="UXQ122" s="432"/>
      <c r="UXR122" s="432"/>
      <c r="UXS122" s="432"/>
      <c r="UXT122" s="432"/>
      <c r="UXU122" s="432"/>
      <c r="UXV122" s="432"/>
      <c r="UXW122" s="432"/>
      <c r="UXX122" s="432"/>
      <c r="UXY122" s="432"/>
      <c r="UXZ122" s="432"/>
      <c r="UYA122" s="432"/>
      <c r="UYB122" s="432"/>
      <c r="UYC122" s="432"/>
      <c r="UYD122" s="432"/>
      <c r="UYE122" s="432"/>
      <c r="UYF122" s="432"/>
      <c r="UYG122" s="432"/>
      <c r="UYH122" s="432"/>
      <c r="UYI122" s="432"/>
      <c r="UYJ122" s="432"/>
      <c r="UYK122" s="432"/>
      <c r="UYL122" s="432"/>
      <c r="UYM122" s="432"/>
      <c r="UYN122" s="432"/>
      <c r="UYO122" s="432"/>
      <c r="UYP122" s="432"/>
      <c r="UYQ122" s="432"/>
      <c r="UYR122" s="432"/>
      <c r="UYS122" s="432"/>
      <c r="UYT122" s="432"/>
      <c r="UYU122" s="432"/>
      <c r="UYV122" s="432"/>
      <c r="UYW122" s="432"/>
      <c r="UYX122" s="432"/>
      <c r="UYY122" s="432"/>
      <c r="UYZ122" s="432"/>
      <c r="UZA122" s="432"/>
      <c r="UZB122" s="432"/>
      <c r="UZC122" s="432"/>
      <c r="UZD122" s="432"/>
      <c r="UZE122" s="432"/>
      <c r="UZF122" s="432"/>
      <c r="UZG122" s="432"/>
      <c r="UZH122" s="432"/>
      <c r="UZI122" s="432"/>
      <c r="UZJ122" s="432"/>
      <c r="UZK122" s="432"/>
      <c r="UZL122" s="432"/>
      <c r="UZM122" s="432"/>
      <c r="UZN122" s="432"/>
      <c r="UZO122" s="432"/>
      <c r="UZP122" s="432"/>
      <c r="UZQ122" s="432"/>
      <c r="UZR122" s="432"/>
      <c r="UZS122" s="432"/>
      <c r="UZT122" s="432"/>
      <c r="UZU122" s="432"/>
      <c r="UZV122" s="432"/>
      <c r="UZW122" s="432"/>
      <c r="UZX122" s="432"/>
      <c r="UZY122" s="432"/>
      <c r="UZZ122" s="432"/>
      <c r="VAA122" s="432"/>
      <c r="VAB122" s="432"/>
      <c r="VAC122" s="432"/>
      <c r="VAD122" s="432"/>
      <c r="VAE122" s="432"/>
      <c r="VAF122" s="432"/>
      <c r="VAG122" s="432"/>
      <c r="VAH122" s="432"/>
      <c r="VAI122" s="432"/>
      <c r="VAJ122" s="432"/>
      <c r="VAK122" s="432"/>
      <c r="VAL122" s="432"/>
      <c r="VAM122" s="432"/>
      <c r="VAN122" s="432"/>
      <c r="VAO122" s="432"/>
      <c r="VAP122" s="432"/>
      <c r="VAQ122" s="432"/>
      <c r="VAR122" s="432"/>
      <c r="VAS122" s="432"/>
      <c r="VAT122" s="432"/>
      <c r="VAU122" s="432"/>
      <c r="VAV122" s="432"/>
      <c r="VAW122" s="432"/>
      <c r="VAX122" s="432"/>
      <c r="VAY122" s="432"/>
      <c r="VAZ122" s="432"/>
      <c r="VBA122" s="432"/>
      <c r="VBB122" s="432"/>
      <c r="VBC122" s="432"/>
      <c r="VBD122" s="432"/>
      <c r="VBE122" s="432"/>
      <c r="VBF122" s="432"/>
      <c r="VBG122" s="432"/>
      <c r="VBH122" s="432"/>
      <c r="VBI122" s="432"/>
      <c r="VBJ122" s="432"/>
      <c r="VBK122" s="432"/>
      <c r="VBL122" s="432"/>
      <c r="VBM122" s="432"/>
      <c r="VBN122" s="432"/>
      <c r="VBO122" s="432"/>
      <c r="VBP122" s="432"/>
      <c r="VBQ122" s="432"/>
      <c r="VBR122" s="432"/>
      <c r="VBS122" s="432"/>
      <c r="VBT122" s="432"/>
      <c r="VBU122" s="432"/>
      <c r="VBV122" s="432"/>
      <c r="VBW122" s="432"/>
      <c r="VBX122" s="432"/>
      <c r="VBY122" s="432"/>
      <c r="VBZ122" s="432"/>
      <c r="VCA122" s="432"/>
      <c r="VCB122" s="432"/>
      <c r="VCC122" s="432"/>
      <c r="VCD122" s="432"/>
      <c r="VCE122" s="432"/>
      <c r="VCF122" s="432"/>
      <c r="VCG122" s="432"/>
      <c r="VCH122" s="432"/>
      <c r="VCI122" s="432"/>
      <c r="VCJ122" s="432"/>
      <c r="VCK122" s="432"/>
      <c r="VCL122" s="432"/>
      <c r="VCM122" s="432"/>
      <c r="VCN122" s="432"/>
      <c r="VCO122" s="432"/>
      <c r="VCP122" s="432"/>
      <c r="VCQ122" s="432"/>
      <c r="VCR122" s="432"/>
      <c r="VCS122" s="432"/>
      <c r="VCT122" s="432"/>
      <c r="VCU122" s="432"/>
      <c r="VCV122" s="432"/>
      <c r="VCW122" s="432"/>
      <c r="VCX122" s="432"/>
      <c r="VCY122" s="432"/>
      <c r="VCZ122" s="432"/>
      <c r="VDA122" s="432"/>
      <c r="VDB122" s="432"/>
      <c r="VDC122" s="432"/>
      <c r="VDD122" s="432"/>
      <c r="VDE122" s="432"/>
      <c r="VDF122" s="432"/>
      <c r="VDG122" s="432"/>
      <c r="VDH122" s="432"/>
      <c r="VDI122" s="432"/>
      <c r="VDJ122" s="432"/>
      <c r="VDK122" s="432"/>
      <c r="VDL122" s="432"/>
      <c r="VDM122" s="432"/>
      <c r="VDN122" s="432"/>
      <c r="VDO122" s="432"/>
      <c r="VDP122" s="432"/>
      <c r="VDQ122" s="432"/>
      <c r="VDR122" s="432"/>
      <c r="VDS122" s="432"/>
      <c r="VDT122" s="432"/>
      <c r="VDU122" s="432"/>
      <c r="VDV122" s="432"/>
      <c r="VDW122" s="432"/>
      <c r="VDX122" s="432"/>
      <c r="VDY122" s="432"/>
      <c r="VDZ122" s="432"/>
      <c r="VEA122" s="432"/>
      <c r="VEB122" s="432"/>
      <c r="VEC122" s="432"/>
      <c r="VED122" s="432"/>
      <c r="VEE122" s="432"/>
      <c r="VEF122" s="432"/>
      <c r="VEG122" s="432"/>
      <c r="VEH122" s="432"/>
      <c r="VEI122" s="432"/>
      <c r="VEJ122" s="432"/>
      <c r="VEK122" s="432"/>
      <c r="VEL122" s="432"/>
      <c r="VEM122" s="432"/>
      <c r="VEN122" s="432"/>
      <c r="VEO122" s="432"/>
      <c r="VEP122" s="432"/>
      <c r="VEQ122" s="432"/>
      <c r="VER122" s="432"/>
      <c r="VES122" s="432"/>
      <c r="VET122" s="432"/>
      <c r="VEU122" s="432"/>
      <c r="VEV122" s="432"/>
      <c r="VEW122" s="432"/>
      <c r="VEX122" s="432"/>
      <c r="VEY122" s="432"/>
      <c r="VEZ122" s="432"/>
      <c r="VFA122" s="432"/>
      <c r="VFB122" s="432"/>
      <c r="VFC122" s="432"/>
      <c r="VFD122" s="432"/>
      <c r="VFE122" s="432"/>
      <c r="VFF122" s="432"/>
      <c r="VFG122" s="432"/>
      <c r="VFH122" s="432"/>
      <c r="VFI122" s="432"/>
      <c r="VFJ122" s="432"/>
      <c r="VFK122" s="432"/>
      <c r="VFL122" s="432"/>
      <c r="VFM122" s="432"/>
      <c r="VFN122" s="432"/>
      <c r="VFO122" s="432"/>
      <c r="VFP122" s="432"/>
      <c r="VFQ122" s="432"/>
      <c r="VFR122" s="432"/>
      <c r="VFS122" s="432"/>
      <c r="VFT122" s="432"/>
      <c r="VFU122" s="432"/>
      <c r="VFV122" s="432"/>
      <c r="VFW122" s="432"/>
      <c r="VFX122" s="432"/>
      <c r="VFY122" s="432"/>
      <c r="VFZ122" s="432"/>
      <c r="VGA122" s="432"/>
      <c r="VGB122" s="432"/>
      <c r="VGC122" s="432"/>
      <c r="VGD122" s="432"/>
      <c r="VGE122" s="432"/>
      <c r="VGF122" s="432"/>
      <c r="VGG122" s="432"/>
      <c r="VGH122" s="432"/>
      <c r="VGI122" s="432"/>
      <c r="VGJ122" s="432"/>
      <c r="VGK122" s="432"/>
      <c r="VGL122" s="432"/>
      <c r="VGM122" s="432"/>
      <c r="VGN122" s="432"/>
      <c r="VGO122" s="432"/>
      <c r="VGP122" s="432"/>
      <c r="VGQ122" s="432"/>
      <c r="VGR122" s="432"/>
      <c r="VGS122" s="432"/>
      <c r="VGT122" s="432"/>
      <c r="VGU122" s="432"/>
      <c r="VGV122" s="432"/>
      <c r="VGW122" s="432"/>
      <c r="VGX122" s="432"/>
      <c r="VGY122" s="432"/>
      <c r="VGZ122" s="432"/>
      <c r="VHA122" s="432"/>
      <c r="VHB122" s="432"/>
      <c r="VHC122" s="432"/>
      <c r="VHD122" s="432"/>
      <c r="VHE122" s="432"/>
      <c r="VHF122" s="432"/>
      <c r="VHG122" s="432"/>
      <c r="VHH122" s="432"/>
      <c r="VHI122" s="432"/>
      <c r="VHJ122" s="432"/>
      <c r="VHK122" s="432"/>
      <c r="VHL122" s="432"/>
      <c r="VHM122" s="432"/>
      <c r="VHN122" s="432"/>
      <c r="VHO122" s="432"/>
      <c r="VHP122" s="432"/>
      <c r="VHQ122" s="432"/>
      <c r="VHR122" s="432"/>
      <c r="VHS122" s="432"/>
      <c r="VHT122" s="432"/>
      <c r="VHU122" s="432"/>
      <c r="VHV122" s="432"/>
      <c r="VHW122" s="432"/>
      <c r="VHX122" s="432"/>
      <c r="VHY122" s="432"/>
      <c r="VHZ122" s="432"/>
      <c r="VIA122" s="432"/>
      <c r="VIB122" s="432"/>
      <c r="VIC122" s="432"/>
      <c r="VID122" s="432"/>
      <c r="VIE122" s="432"/>
      <c r="VIF122" s="432"/>
      <c r="VIG122" s="432"/>
      <c r="VIH122" s="432"/>
      <c r="VII122" s="432"/>
      <c r="VIJ122" s="432"/>
      <c r="VIK122" s="432"/>
      <c r="VIL122" s="432"/>
      <c r="VIM122" s="432"/>
      <c r="VIN122" s="432"/>
      <c r="VIO122" s="432"/>
      <c r="VIP122" s="432"/>
      <c r="VIQ122" s="432"/>
      <c r="VIR122" s="432"/>
      <c r="VIS122" s="432"/>
      <c r="VIT122" s="432"/>
      <c r="VIU122" s="432"/>
      <c r="VIV122" s="432"/>
      <c r="VIW122" s="432"/>
      <c r="VIX122" s="432"/>
      <c r="VIY122" s="432"/>
      <c r="VIZ122" s="432"/>
      <c r="VJA122" s="432"/>
      <c r="VJB122" s="432"/>
      <c r="VJC122" s="432"/>
      <c r="VJD122" s="432"/>
      <c r="VJE122" s="432"/>
      <c r="VJF122" s="432"/>
      <c r="VJG122" s="432"/>
      <c r="VJH122" s="432"/>
      <c r="VJI122" s="432"/>
      <c r="VJJ122" s="432"/>
      <c r="VJK122" s="432"/>
      <c r="VJL122" s="432"/>
      <c r="VJM122" s="432"/>
      <c r="VJN122" s="432"/>
      <c r="VJO122" s="432"/>
      <c r="VJP122" s="432"/>
      <c r="VJQ122" s="432"/>
      <c r="VJR122" s="432"/>
      <c r="VJS122" s="432"/>
      <c r="VJT122" s="432"/>
      <c r="VJU122" s="432"/>
      <c r="VJV122" s="432"/>
      <c r="VJW122" s="432"/>
      <c r="VJX122" s="432"/>
      <c r="VJY122" s="432"/>
      <c r="VJZ122" s="432"/>
      <c r="VKA122" s="432"/>
      <c r="VKB122" s="432"/>
      <c r="VKC122" s="432"/>
      <c r="VKD122" s="432"/>
      <c r="VKE122" s="432"/>
      <c r="VKF122" s="432"/>
      <c r="VKG122" s="432"/>
      <c r="VKH122" s="432"/>
      <c r="VKI122" s="432"/>
      <c r="VKJ122" s="432"/>
      <c r="VKK122" s="432"/>
      <c r="VKL122" s="432"/>
      <c r="VKM122" s="432"/>
      <c r="VKN122" s="432"/>
      <c r="VKO122" s="432"/>
      <c r="VKP122" s="432"/>
      <c r="VKQ122" s="432"/>
      <c r="VKR122" s="432"/>
      <c r="VKS122" s="432"/>
      <c r="VKT122" s="432"/>
      <c r="VKU122" s="432"/>
      <c r="VKV122" s="432"/>
      <c r="VKW122" s="432"/>
      <c r="VKX122" s="432"/>
      <c r="VKY122" s="432"/>
      <c r="VKZ122" s="432"/>
      <c r="VLA122" s="432"/>
      <c r="VLB122" s="432"/>
      <c r="VLC122" s="432"/>
      <c r="VLD122" s="432"/>
      <c r="VLE122" s="432"/>
      <c r="VLF122" s="432"/>
      <c r="VLG122" s="432"/>
      <c r="VLH122" s="432"/>
      <c r="VLI122" s="432"/>
      <c r="VLJ122" s="432"/>
      <c r="VLK122" s="432"/>
      <c r="VLL122" s="432"/>
      <c r="VLM122" s="432"/>
      <c r="VLN122" s="432"/>
      <c r="VLO122" s="432"/>
      <c r="VLP122" s="432"/>
      <c r="VLQ122" s="432"/>
      <c r="VLR122" s="432"/>
      <c r="VLS122" s="432"/>
      <c r="VLT122" s="432"/>
      <c r="VLU122" s="432"/>
      <c r="VLV122" s="432"/>
      <c r="VLW122" s="432"/>
      <c r="VLX122" s="432"/>
      <c r="VLY122" s="432"/>
      <c r="VLZ122" s="432"/>
      <c r="VMA122" s="432"/>
      <c r="VMB122" s="432"/>
      <c r="VMC122" s="432"/>
      <c r="VMD122" s="432"/>
      <c r="VME122" s="432"/>
      <c r="VMF122" s="432"/>
      <c r="VMG122" s="432"/>
      <c r="VMH122" s="432"/>
      <c r="VMI122" s="432"/>
      <c r="VMJ122" s="432"/>
      <c r="VMK122" s="432"/>
      <c r="VML122" s="432"/>
      <c r="VMM122" s="432"/>
      <c r="VMN122" s="432"/>
      <c r="VMO122" s="432"/>
      <c r="VMP122" s="432"/>
      <c r="VMQ122" s="432"/>
      <c r="VMR122" s="432"/>
      <c r="VMS122" s="432"/>
      <c r="VMT122" s="432"/>
      <c r="VMU122" s="432"/>
      <c r="VMV122" s="432"/>
      <c r="VMW122" s="432"/>
      <c r="VMX122" s="432"/>
      <c r="VMY122" s="432"/>
      <c r="VMZ122" s="432"/>
      <c r="VNA122" s="432"/>
      <c r="VNB122" s="432"/>
      <c r="VNC122" s="432"/>
      <c r="VND122" s="432"/>
      <c r="VNE122" s="432"/>
      <c r="VNF122" s="432"/>
      <c r="VNG122" s="432"/>
      <c r="VNH122" s="432"/>
      <c r="VNI122" s="432"/>
      <c r="VNJ122" s="432"/>
      <c r="VNK122" s="432"/>
      <c r="VNL122" s="432"/>
      <c r="VNM122" s="432"/>
      <c r="VNN122" s="432"/>
      <c r="VNO122" s="432"/>
      <c r="VNP122" s="432"/>
      <c r="VNQ122" s="432"/>
      <c r="VNR122" s="432"/>
      <c r="VNS122" s="432"/>
      <c r="VNT122" s="432"/>
      <c r="VNU122" s="432"/>
      <c r="VNV122" s="432"/>
      <c r="VNW122" s="432"/>
      <c r="VNX122" s="432"/>
      <c r="VNY122" s="432"/>
      <c r="VNZ122" s="432"/>
      <c r="VOA122" s="432"/>
      <c r="VOB122" s="432"/>
      <c r="VOC122" s="432"/>
      <c r="VOD122" s="432"/>
      <c r="VOE122" s="432"/>
      <c r="VOF122" s="432"/>
      <c r="VOG122" s="432"/>
      <c r="VOH122" s="432"/>
      <c r="VOI122" s="432"/>
      <c r="VOJ122" s="432"/>
      <c r="VOK122" s="432"/>
      <c r="VOL122" s="432"/>
      <c r="VOM122" s="432"/>
      <c r="VON122" s="432"/>
      <c r="VOO122" s="432"/>
      <c r="VOP122" s="432"/>
      <c r="VOQ122" s="432"/>
      <c r="VOR122" s="432"/>
      <c r="VOS122" s="432"/>
      <c r="VOT122" s="432"/>
      <c r="VOU122" s="432"/>
      <c r="VOV122" s="432"/>
      <c r="VOW122" s="432"/>
      <c r="VOX122" s="432"/>
      <c r="VOY122" s="432"/>
      <c r="VOZ122" s="432"/>
      <c r="VPA122" s="432"/>
      <c r="VPB122" s="432"/>
      <c r="VPC122" s="432"/>
      <c r="VPD122" s="432"/>
      <c r="VPE122" s="432"/>
      <c r="VPF122" s="432"/>
      <c r="VPG122" s="432"/>
      <c r="VPH122" s="432"/>
      <c r="VPI122" s="432"/>
      <c r="VPJ122" s="432"/>
      <c r="VPK122" s="432"/>
      <c r="VPL122" s="432"/>
      <c r="VPM122" s="432"/>
      <c r="VPN122" s="432"/>
      <c r="VPO122" s="432"/>
      <c r="VPP122" s="432"/>
      <c r="VPQ122" s="432"/>
      <c r="VPR122" s="432"/>
      <c r="VPS122" s="432"/>
      <c r="VPT122" s="432"/>
      <c r="VPU122" s="432"/>
      <c r="VPV122" s="432"/>
      <c r="VPW122" s="432"/>
      <c r="VPX122" s="432"/>
      <c r="VPY122" s="432"/>
      <c r="VPZ122" s="432"/>
      <c r="VQA122" s="432"/>
      <c r="VQB122" s="432"/>
      <c r="VQC122" s="432"/>
      <c r="VQD122" s="432"/>
      <c r="VQE122" s="432"/>
      <c r="VQF122" s="432"/>
      <c r="VQG122" s="432"/>
      <c r="VQH122" s="432"/>
      <c r="VQI122" s="432"/>
      <c r="VQJ122" s="432"/>
      <c r="VQK122" s="432"/>
      <c r="VQL122" s="432"/>
      <c r="VQM122" s="432"/>
      <c r="VQN122" s="432"/>
      <c r="VQO122" s="432"/>
      <c r="VQP122" s="432"/>
      <c r="VQQ122" s="432"/>
      <c r="VQR122" s="432"/>
      <c r="VQS122" s="432"/>
      <c r="VQT122" s="432"/>
      <c r="VQU122" s="432"/>
      <c r="VQV122" s="432"/>
      <c r="VQW122" s="432"/>
      <c r="VQX122" s="432"/>
      <c r="VQY122" s="432"/>
      <c r="VQZ122" s="432"/>
      <c r="VRA122" s="432"/>
      <c r="VRB122" s="432"/>
      <c r="VRC122" s="432"/>
      <c r="VRD122" s="432"/>
      <c r="VRE122" s="432"/>
      <c r="VRF122" s="432"/>
      <c r="VRG122" s="432"/>
      <c r="VRH122" s="432"/>
      <c r="VRI122" s="432"/>
      <c r="VRJ122" s="432"/>
      <c r="VRK122" s="432"/>
      <c r="VRL122" s="432"/>
      <c r="VRM122" s="432"/>
      <c r="VRN122" s="432"/>
      <c r="VRO122" s="432"/>
      <c r="VRP122" s="432"/>
      <c r="VRQ122" s="432"/>
      <c r="VRR122" s="432"/>
      <c r="VRS122" s="432"/>
      <c r="VRT122" s="432"/>
      <c r="VRU122" s="432"/>
      <c r="VRV122" s="432"/>
      <c r="VRW122" s="432"/>
      <c r="VRX122" s="432"/>
      <c r="VRY122" s="432"/>
      <c r="VRZ122" s="432"/>
      <c r="VSA122" s="432"/>
      <c r="VSB122" s="432"/>
      <c r="VSC122" s="432"/>
      <c r="VSD122" s="432"/>
      <c r="VSE122" s="432"/>
      <c r="VSF122" s="432"/>
      <c r="VSG122" s="432"/>
      <c r="VSH122" s="432"/>
      <c r="VSI122" s="432"/>
      <c r="VSJ122" s="432"/>
      <c r="VSK122" s="432"/>
      <c r="VSL122" s="432"/>
      <c r="VSM122" s="432"/>
      <c r="VSN122" s="432"/>
      <c r="VSO122" s="432"/>
      <c r="VSP122" s="432"/>
      <c r="VSQ122" s="432"/>
      <c r="VSR122" s="432"/>
      <c r="VSS122" s="432"/>
      <c r="VST122" s="432"/>
      <c r="VSU122" s="432"/>
      <c r="VSV122" s="432"/>
      <c r="VSW122" s="432"/>
      <c r="VSX122" s="432"/>
      <c r="VSY122" s="432"/>
      <c r="VSZ122" s="432"/>
      <c r="VTA122" s="432"/>
      <c r="VTB122" s="432"/>
      <c r="VTC122" s="432"/>
      <c r="VTD122" s="432"/>
      <c r="VTE122" s="432"/>
      <c r="VTF122" s="432"/>
      <c r="VTG122" s="432"/>
      <c r="VTH122" s="432"/>
      <c r="VTI122" s="432"/>
      <c r="VTJ122" s="432"/>
      <c r="VTK122" s="432"/>
      <c r="VTL122" s="432"/>
      <c r="VTM122" s="432"/>
      <c r="VTN122" s="432"/>
      <c r="VTO122" s="432"/>
      <c r="VTP122" s="432"/>
      <c r="VTQ122" s="432"/>
      <c r="VTR122" s="432"/>
      <c r="VTS122" s="432"/>
      <c r="VTT122" s="432"/>
      <c r="VTU122" s="432"/>
      <c r="VTV122" s="432"/>
      <c r="VTW122" s="432"/>
      <c r="VTX122" s="432"/>
      <c r="VTY122" s="432"/>
      <c r="VTZ122" s="432"/>
      <c r="VUA122" s="432"/>
      <c r="VUB122" s="432"/>
      <c r="VUC122" s="432"/>
      <c r="VUD122" s="432"/>
      <c r="VUE122" s="432"/>
      <c r="VUF122" s="432"/>
      <c r="VUG122" s="432"/>
      <c r="VUH122" s="432"/>
      <c r="VUI122" s="432"/>
      <c r="VUJ122" s="432"/>
      <c r="VUK122" s="432"/>
      <c r="VUL122" s="432"/>
      <c r="VUM122" s="432"/>
      <c r="VUN122" s="432"/>
      <c r="VUO122" s="432"/>
      <c r="VUP122" s="432"/>
      <c r="VUQ122" s="432"/>
      <c r="VUR122" s="432"/>
      <c r="VUS122" s="432"/>
      <c r="VUT122" s="432"/>
      <c r="VUU122" s="432"/>
      <c r="VUV122" s="432"/>
      <c r="VUW122" s="432"/>
      <c r="VUX122" s="432"/>
      <c r="VUY122" s="432"/>
      <c r="VUZ122" s="432"/>
      <c r="VVA122" s="432"/>
      <c r="VVB122" s="432"/>
      <c r="VVC122" s="432"/>
      <c r="VVD122" s="432"/>
      <c r="VVE122" s="432"/>
      <c r="VVF122" s="432"/>
      <c r="VVG122" s="432"/>
      <c r="VVH122" s="432"/>
      <c r="VVI122" s="432"/>
      <c r="VVJ122" s="432"/>
      <c r="VVK122" s="432"/>
      <c r="VVL122" s="432"/>
      <c r="VVM122" s="432"/>
      <c r="VVN122" s="432"/>
      <c r="VVO122" s="432"/>
      <c r="VVP122" s="432"/>
      <c r="VVQ122" s="432"/>
      <c r="VVR122" s="432"/>
      <c r="VVS122" s="432"/>
      <c r="VVT122" s="432"/>
      <c r="VVU122" s="432"/>
      <c r="VVV122" s="432"/>
      <c r="VVW122" s="432"/>
      <c r="VVX122" s="432"/>
      <c r="VVY122" s="432"/>
      <c r="VVZ122" s="432"/>
      <c r="VWA122" s="432"/>
      <c r="VWB122" s="432"/>
      <c r="VWC122" s="432"/>
      <c r="VWD122" s="432"/>
      <c r="VWE122" s="432"/>
      <c r="VWF122" s="432"/>
      <c r="VWG122" s="432"/>
      <c r="VWH122" s="432"/>
      <c r="VWI122" s="432"/>
      <c r="VWJ122" s="432"/>
      <c r="VWK122" s="432"/>
      <c r="VWL122" s="432"/>
      <c r="VWM122" s="432"/>
      <c r="VWN122" s="432"/>
      <c r="VWO122" s="432"/>
      <c r="VWP122" s="432"/>
      <c r="VWQ122" s="432"/>
      <c r="VWR122" s="432"/>
      <c r="VWS122" s="432"/>
      <c r="VWT122" s="432"/>
      <c r="VWU122" s="432"/>
      <c r="VWV122" s="432"/>
      <c r="VWW122" s="432"/>
      <c r="VWX122" s="432"/>
      <c r="VWY122" s="432"/>
      <c r="VWZ122" s="432"/>
      <c r="VXA122" s="432"/>
      <c r="VXB122" s="432"/>
      <c r="VXC122" s="432"/>
      <c r="VXD122" s="432"/>
      <c r="VXE122" s="432"/>
      <c r="VXF122" s="432"/>
      <c r="VXG122" s="432"/>
      <c r="VXH122" s="432"/>
      <c r="VXI122" s="432"/>
      <c r="VXJ122" s="432"/>
      <c r="VXK122" s="432"/>
      <c r="VXL122" s="432"/>
      <c r="VXM122" s="432"/>
      <c r="VXN122" s="432"/>
      <c r="VXO122" s="432"/>
      <c r="VXP122" s="432"/>
      <c r="VXQ122" s="432"/>
      <c r="VXR122" s="432"/>
      <c r="VXS122" s="432"/>
      <c r="VXT122" s="432"/>
      <c r="VXU122" s="432"/>
      <c r="VXV122" s="432"/>
      <c r="VXW122" s="432"/>
      <c r="VXX122" s="432"/>
      <c r="VXY122" s="432"/>
      <c r="VXZ122" s="432"/>
      <c r="VYA122" s="432"/>
      <c r="VYB122" s="432"/>
      <c r="VYC122" s="432"/>
      <c r="VYD122" s="432"/>
      <c r="VYE122" s="432"/>
      <c r="VYF122" s="432"/>
      <c r="VYG122" s="432"/>
      <c r="VYH122" s="432"/>
      <c r="VYI122" s="432"/>
      <c r="VYJ122" s="432"/>
      <c r="VYK122" s="432"/>
      <c r="VYL122" s="432"/>
      <c r="VYM122" s="432"/>
      <c r="VYN122" s="432"/>
      <c r="VYO122" s="432"/>
      <c r="VYP122" s="432"/>
      <c r="VYQ122" s="432"/>
      <c r="VYR122" s="432"/>
      <c r="VYS122" s="432"/>
      <c r="VYT122" s="432"/>
      <c r="VYU122" s="432"/>
      <c r="VYV122" s="432"/>
      <c r="VYW122" s="432"/>
      <c r="VYX122" s="432"/>
      <c r="VYY122" s="432"/>
      <c r="VYZ122" s="432"/>
      <c r="VZA122" s="432"/>
      <c r="VZB122" s="432"/>
      <c r="VZC122" s="432"/>
      <c r="VZD122" s="432"/>
      <c r="VZE122" s="432"/>
      <c r="VZF122" s="432"/>
      <c r="VZG122" s="432"/>
      <c r="VZH122" s="432"/>
      <c r="VZI122" s="432"/>
      <c r="VZJ122" s="432"/>
      <c r="VZK122" s="432"/>
      <c r="VZL122" s="432"/>
      <c r="VZM122" s="432"/>
      <c r="VZN122" s="432"/>
      <c r="VZO122" s="432"/>
      <c r="VZP122" s="432"/>
      <c r="VZQ122" s="432"/>
      <c r="VZR122" s="432"/>
      <c r="VZS122" s="432"/>
      <c r="VZT122" s="432"/>
      <c r="VZU122" s="432"/>
      <c r="VZV122" s="432"/>
      <c r="VZW122" s="432"/>
      <c r="VZX122" s="432"/>
      <c r="VZY122" s="432"/>
      <c r="VZZ122" s="432"/>
      <c r="WAA122" s="432"/>
      <c r="WAB122" s="432"/>
      <c r="WAC122" s="432"/>
      <c r="WAD122" s="432"/>
      <c r="WAE122" s="432"/>
      <c r="WAF122" s="432"/>
      <c r="WAG122" s="432"/>
      <c r="WAH122" s="432"/>
      <c r="WAI122" s="432"/>
      <c r="WAJ122" s="432"/>
      <c r="WAK122" s="432"/>
      <c r="WAL122" s="432"/>
      <c r="WAM122" s="432"/>
      <c r="WAN122" s="432"/>
      <c r="WAO122" s="432"/>
      <c r="WAP122" s="432"/>
      <c r="WAQ122" s="432"/>
      <c r="WAR122" s="432"/>
      <c r="WAS122" s="432"/>
      <c r="WAT122" s="432"/>
      <c r="WAU122" s="432"/>
      <c r="WAV122" s="432"/>
      <c r="WAW122" s="432"/>
      <c r="WAX122" s="432"/>
      <c r="WAY122" s="432"/>
      <c r="WAZ122" s="432"/>
      <c r="WBA122" s="432"/>
      <c r="WBB122" s="432"/>
      <c r="WBC122" s="432"/>
      <c r="WBD122" s="432"/>
      <c r="WBE122" s="432"/>
      <c r="WBF122" s="432"/>
      <c r="WBG122" s="432"/>
      <c r="WBH122" s="432"/>
      <c r="WBI122" s="432"/>
      <c r="WBJ122" s="432"/>
      <c r="WBK122" s="432"/>
      <c r="WBL122" s="432"/>
      <c r="WBM122" s="432"/>
      <c r="WBN122" s="432"/>
      <c r="WBO122" s="432"/>
      <c r="WBP122" s="432"/>
      <c r="WBQ122" s="432"/>
      <c r="WBR122" s="432"/>
      <c r="WBS122" s="432"/>
      <c r="WBT122" s="432"/>
      <c r="WBU122" s="432"/>
      <c r="WBV122" s="432"/>
      <c r="WBW122" s="432"/>
      <c r="WBX122" s="432"/>
      <c r="WBY122" s="432"/>
      <c r="WBZ122" s="432"/>
      <c r="WCA122" s="432"/>
      <c r="WCB122" s="432"/>
      <c r="WCC122" s="432"/>
      <c r="WCD122" s="432"/>
      <c r="WCE122" s="432"/>
      <c r="WCF122" s="432"/>
      <c r="WCG122" s="432"/>
      <c r="WCH122" s="432"/>
      <c r="WCI122" s="432"/>
      <c r="WCJ122" s="432"/>
      <c r="WCK122" s="432"/>
      <c r="WCL122" s="432"/>
      <c r="WCM122" s="432"/>
      <c r="WCN122" s="432"/>
      <c r="WCO122" s="432"/>
      <c r="WCP122" s="432"/>
      <c r="WCQ122" s="432"/>
      <c r="WCR122" s="432"/>
      <c r="WCS122" s="432"/>
      <c r="WCT122" s="432"/>
      <c r="WCU122" s="432"/>
      <c r="WCV122" s="432"/>
      <c r="WCW122" s="432"/>
      <c r="WCX122" s="432"/>
      <c r="WCY122" s="432"/>
      <c r="WCZ122" s="432"/>
      <c r="WDA122" s="432"/>
      <c r="WDB122" s="432"/>
      <c r="WDC122" s="432"/>
      <c r="WDD122" s="432"/>
      <c r="WDE122" s="432"/>
      <c r="WDF122" s="432"/>
      <c r="WDG122" s="432"/>
      <c r="WDH122" s="432"/>
      <c r="WDI122" s="432"/>
      <c r="WDJ122" s="432"/>
      <c r="WDK122" s="432"/>
      <c r="WDL122" s="432"/>
      <c r="WDM122" s="432"/>
      <c r="WDN122" s="432"/>
      <c r="WDO122" s="432"/>
      <c r="WDP122" s="432"/>
      <c r="WDQ122" s="432"/>
      <c r="WDR122" s="432"/>
      <c r="WDS122" s="432"/>
      <c r="WDT122" s="432"/>
      <c r="WDU122" s="432"/>
      <c r="WDV122" s="432"/>
      <c r="WDW122" s="432"/>
      <c r="WDX122" s="432"/>
      <c r="WDY122" s="432"/>
      <c r="WDZ122" s="432"/>
      <c r="WEA122" s="432"/>
      <c r="WEB122" s="432"/>
      <c r="WEC122" s="432"/>
      <c r="WED122" s="432"/>
      <c r="WEE122" s="432"/>
      <c r="WEF122" s="432"/>
      <c r="WEG122" s="432"/>
      <c r="WEH122" s="432"/>
      <c r="WEI122" s="432"/>
      <c r="WEJ122" s="432"/>
      <c r="WEK122" s="432"/>
      <c r="WEL122" s="432"/>
      <c r="WEM122" s="432"/>
      <c r="WEN122" s="432"/>
      <c r="WEO122" s="432"/>
      <c r="WEP122" s="432"/>
      <c r="WEQ122" s="432"/>
      <c r="WER122" s="432"/>
      <c r="WES122" s="432"/>
      <c r="WET122" s="432"/>
      <c r="WEU122" s="432"/>
      <c r="WEV122" s="432"/>
      <c r="WEW122" s="432"/>
      <c r="WEX122" s="432"/>
      <c r="WEY122" s="432"/>
      <c r="WEZ122" s="432"/>
      <c r="WFA122" s="432"/>
      <c r="WFB122" s="432"/>
      <c r="WFC122" s="432"/>
      <c r="WFD122" s="432"/>
      <c r="WFE122" s="432"/>
      <c r="WFF122" s="432"/>
      <c r="WFG122" s="432"/>
      <c r="WFH122" s="432"/>
      <c r="WFI122" s="432"/>
      <c r="WFJ122" s="432"/>
      <c r="WFK122" s="432"/>
      <c r="WFL122" s="432"/>
      <c r="WFM122" s="432"/>
      <c r="WFN122" s="432"/>
      <c r="WFO122" s="432"/>
      <c r="WFP122" s="432"/>
      <c r="WFQ122" s="432"/>
      <c r="WFR122" s="432"/>
      <c r="WFS122" s="432"/>
      <c r="WFT122" s="432"/>
      <c r="WFU122" s="432"/>
      <c r="WFV122" s="432"/>
      <c r="WFW122" s="432"/>
      <c r="WFX122" s="432"/>
      <c r="WFY122" s="432"/>
      <c r="WFZ122" s="432"/>
      <c r="WGA122" s="432"/>
      <c r="WGB122" s="432"/>
      <c r="WGC122" s="432"/>
      <c r="WGD122" s="432"/>
      <c r="WGE122" s="432"/>
      <c r="WGF122" s="432"/>
      <c r="WGG122" s="432"/>
      <c r="WGH122" s="432"/>
      <c r="WGI122" s="432"/>
      <c r="WGJ122" s="432"/>
      <c r="WGK122" s="432"/>
      <c r="WGL122" s="432"/>
      <c r="WGM122" s="432"/>
      <c r="WGN122" s="432"/>
      <c r="WGO122" s="432"/>
      <c r="WGP122" s="432"/>
      <c r="WGQ122" s="432"/>
      <c r="WGR122" s="432"/>
      <c r="WGS122" s="432"/>
      <c r="WGT122" s="432"/>
      <c r="WGU122" s="432"/>
      <c r="WGV122" s="432"/>
      <c r="WGW122" s="432"/>
      <c r="WGX122" s="432"/>
      <c r="WGY122" s="432"/>
      <c r="WGZ122" s="432"/>
      <c r="WHA122" s="432"/>
      <c r="WHB122" s="432"/>
      <c r="WHC122" s="432"/>
      <c r="WHD122" s="432"/>
      <c r="WHE122" s="432"/>
      <c r="WHF122" s="432"/>
      <c r="WHG122" s="432"/>
      <c r="WHH122" s="432"/>
      <c r="WHI122" s="432"/>
      <c r="WHJ122" s="432"/>
      <c r="WHK122" s="432"/>
      <c r="WHL122" s="432"/>
      <c r="WHM122" s="432"/>
      <c r="WHN122" s="432"/>
      <c r="WHO122" s="432"/>
      <c r="WHP122" s="432"/>
      <c r="WHQ122" s="432"/>
      <c r="WHR122" s="432"/>
      <c r="WHS122" s="432"/>
      <c r="WHT122" s="432"/>
      <c r="WHU122" s="432"/>
      <c r="WHV122" s="432"/>
      <c r="WHW122" s="432"/>
      <c r="WHX122" s="432"/>
      <c r="WHY122" s="432"/>
      <c r="WHZ122" s="432"/>
      <c r="WIA122" s="432"/>
      <c r="WIB122" s="432"/>
      <c r="WIC122" s="432"/>
      <c r="WID122" s="432"/>
      <c r="WIE122" s="432"/>
      <c r="WIF122" s="432"/>
      <c r="WIG122" s="432"/>
      <c r="WIH122" s="432"/>
      <c r="WII122" s="432"/>
      <c r="WIJ122" s="432"/>
      <c r="WIK122" s="432"/>
      <c r="WIL122" s="432"/>
      <c r="WIM122" s="432"/>
      <c r="WIN122" s="432"/>
      <c r="WIO122" s="432"/>
      <c r="WIP122" s="432"/>
      <c r="WIQ122" s="432"/>
      <c r="WIR122" s="432"/>
      <c r="WIS122" s="432"/>
      <c r="WIT122" s="432"/>
      <c r="WIU122" s="432"/>
      <c r="WIV122" s="432"/>
      <c r="WIW122" s="432"/>
      <c r="WIX122" s="432"/>
      <c r="WIY122" s="432"/>
      <c r="WIZ122" s="432"/>
      <c r="WJA122" s="432"/>
      <c r="WJB122" s="432"/>
      <c r="WJC122" s="432"/>
      <c r="WJD122" s="432"/>
      <c r="WJE122" s="432"/>
      <c r="WJF122" s="432"/>
      <c r="WJG122" s="432"/>
      <c r="WJH122" s="432"/>
      <c r="WJI122" s="432"/>
      <c r="WJJ122" s="432"/>
      <c r="WJK122" s="432"/>
      <c r="WJL122" s="432"/>
      <c r="WJM122" s="432"/>
      <c r="WJN122" s="432"/>
      <c r="WJO122" s="432"/>
      <c r="WJP122" s="432"/>
      <c r="WJQ122" s="432"/>
      <c r="WJR122" s="432"/>
      <c r="WJS122" s="432"/>
      <c r="WJT122" s="432"/>
      <c r="WJU122" s="432"/>
      <c r="WJV122" s="432"/>
      <c r="WJW122" s="432"/>
      <c r="WJX122" s="432"/>
      <c r="WJY122" s="432"/>
      <c r="WJZ122" s="432"/>
      <c r="WKA122" s="432"/>
      <c r="WKB122" s="432"/>
      <c r="WKC122" s="432"/>
      <c r="WKD122" s="432"/>
      <c r="WKE122" s="432"/>
      <c r="WKF122" s="432"/>
      <c r="WKG122" s="432"/>
      <c r="WKH122" s="432"/>
      <c r="WKI122" s="432"/>
      <c r="WKJ122" s="432"/>
      <c r="WKK122" s="432"/>
      <c r="WKL122" s="432"/>
      <c r="WKM122" s="432"/>
      <c r="WKN122" s="432"/>
      <c r="WKO122" s="432"/>
      <c r="WKP122" s="432"/>
      <c r="WKQ122" s="432"/>
      <c r="WKR122" s="432"/>
      <c r="WKS122" s="432"/>
      <c r="WKT122" s="432"/>
      <c r="WKU122" s="432"/>
      <c r="WKV122" s="432"/>
      <c r="WKW122" s="432"/>
      <c r="WKX122" s="432"/>
      <c r="WKY122" s="432"/>
      <c r="WKZ122" s="432"/>
      <c r="WLA122" s="432"/>
      <c r="WLB122" s="432"/>
      <c r="WLC122" s="432"/>
      <c r="WLD122" s="432"/>
      <c r="WLE122" s="432"/>
      <c r="WLF122" s="432"/>
      <c r="WLG122" s="432"/>
      <c r="WLH122" s="432"/>
      <c r="WLI122" s="432"/>
      <c r="WLJ122" s="432"/>
      <c r="WLK122" s="432"/>
      <c r="WLL122" s="432"/>
      <c r="WLM122" s="432"/>
      <c r="WLN122" s="432"/>
      <c r="WLO122" s="432"/>
      <c r="WLP122" s="432"/>
      <c r="WLQ122" s="432"/>
      <c r="WLR122" s="432"/>
      <c r="WLS122" s="432"/>
      <c r="WLT122" s="432"/>
      <c r="WLU122" s="432"/>
      <c r="WLV122" s="432"/>
      <c r="WLW122" s="432"/>
      <c r="WLX122" s="432"/>
      <c r="WLY122" s="432"/>
      <c r="WLZ122" s="432"/>
      <c r="WMA122" s="432"/>
      <c r="WMB122" s="432"/>
      <c r="WMC122" s="432"/>
      <c r="WMD122" s="432"/>
      <c r="WME122" s="432"/>
      <c r="WMF122" s="432"/>
      <c r="WMG122" s="432"/>
      <c r="WMH122" s="432"/>
      <c r="WMI122" s="432"/>
      <c r="WMJ122" s="432"/>
      <c r="WMK122" s="432"/>
      <c r="WML122" s="432"/>
      <c r="WMM122" s="432"/>
      <c r="WMN122" s="432"/>
      <c r="WMO122" s="432"/>
      <c r="WMP122" s="432"/>
      <c r="WMQ122" s="432"/>
      <c r="WMR122" s="432"/>
      <c r="WMS122" s="432"/>
      <c r="WMT122" s="432"/>
      <c r="WMU122" s="432"/>
      <c r="WMV122" s="432"/>
      <c r="WMW122" s="432"/>
      <c r="WMX122" s="432"/>
      <c r="WMY122" s="432"/>
      <c r="WMZ122" s="432"/>
      <c r="WNA122" s="432"/>
      <c r="WNB122" s="432"/>
      <c r="WNC122" s="432"/>
      <c r="WND122" s="432"/>
      <c r="WNE122" s="432"/>
      <c r="WNF122" s="432"/>
      <c r="WNG122" s="432"/>
      <c r="WNH122" s="432"/>
      <c r="WNI122" s="432"/>
      <c r="WNJ122" s="432"/>
      <c r="WNK122" s="432"/>
      <c r="WNL122" s="432"/>
      <c r="WNM122" s="432"/>
      <c r="WNN122" s="432"/>
      <c r="WNO122" s="432"/>
      <c r="WNP122" s="432"/>
      <c r="WNQ122" s="432"/>
      <c r="WNR122" s="432"/>
      <c r="WNS122" s="432"/>
      <c r="WNT122" s="432"/>
      <c r="WNU122" s="432"/>
      <c r="WNV122" s="432"/>
      <c r="WNW122" s="432"/>
      <c r="WNX122" s="432"/>
      <c r="WNY122" s="432"/>
      <c r="WNZ122" s="432"/>
      <c r="WOA122" s="432"/>
      <c r="WOB122" s="432"/>
      <c r="WOC122" s="432"/>
      <c r="WOD122" s="432"/>
      <c r="WOE122" s="432"/>
      <c r="WOF122" s="432"/>
      <c r="WOG122" s="432"/>
      <c r="WOH122" s="432"/>
      <c r="WOI122" s="432"/>
      <c r="WOJ122" s="432"/>
      <c r="WOK122" s="432"/>
      <c r="WOL122" s="432"/>
      <c r="WOM122" s="432"/>
      <c r="WON122" s="432"/>
      <c r="WOO122" s="432"/>
      <c r="WOP122" s="432"/>
      <c r="WOQ122" s="432"/>
      <c r="WOR122" s="432"/>
      <c r="WOS122" s="432"/>
      <c r="WOT122" s="432"/>
      <c r="WOU122" s="432"/>
      <c r="WOV122" s="432"/>
      <c r="WOW122" s="432"/>
      <c r="WOX122" s="432"/>
      <c r="WOY122" s="432"/>
      <c r="WOZ122" s="432"/>
      <c r="WPA122" s="432"/>
      <c r="WPB122" s="432"/>
      <c r="WPC122" s="432"/>
      <c r="WPD122" s="432"/>
      <c r="WPE122" s="432"/>
      <c r="WPF122" s="432"/>
      <c r="WPG122" s="432"/>
      <c r="WPH122" s="432"/>
      <c r="WPI122" s="432"/>
      <c r="WPJ122" s="432"/>
      <c r="WPK122" s="432"/>
      <c r="WPL122" s="432"/>
      <c r="WPM122" s="432"/>
      <c r="WPN122" s="432"/>
      <c r="WPO122" s="432"/>
      <c r="WPP122" s="432"/>
      <c r="WPQ122" s="432"/>
      <c r="WPR122" s="432"/>
      <c r="WPS122" s="432"/>
      <c r="WPT122" s="432"/>
      <c r="WPU122" s="432"/>
      <c r="WPV122" s="432"/>
      <c r="WPW122" s="432"/>
      <c r="WPX122" s="432"/>
      <c r="WPY122" s="432"/>
      <c r="WPZ122" s="432"/>
      <c r="WQA122" s="432"/>
      <c r="WQB122" s="432"/>
      <c r="WQC122" s="432"/>
      <c r="WQD122" s="432"/>
      <c r="WQE122" s="432"/>
      <c r="WQF122" s="432"/>
      <c r="WQG122" s="432"/>
      <c r="WQH122" s="432"/>
      <c r="WQI122" s="432"/>
      <c r="WQJ122" s="432"/>
      <c r="WQK122" s="432"/>
      <c r="WQL122" s="432"/>
      <c r="WQM122" s="432"/>
      <c r="WQN122" s="432"/>
      <c r="WQO122" s="432"/>
      <c r="WQP122" s="432"/>
      <c r="WQQ122" s="432"/>
      <c r="WQR122" s="432"/>
      <c r="WQS122" s="432"/>
      <c r="WQT122" s="432"/>
      <c r="WQU122" s="432"/>
      <c r="WQV122" s="432"/>
      <c r="WQW122" s="432"/>
      <c r="WQX122" s="432"/>
      <c r="WQY122" s="432"/>
      <c r="WQZ122" s="432"/>
      <c r="WRA122" s="432"/>
      <c r="WRB122" s="432"/>
      <c r="WRC122" s="432"/>
      <c r="WRD122" s="432"/>
      <c r="WRE122" s="432"/>
      <c r="WRF122" s="432"/>
      <c r="WRG122" s="432"/>
      <c r="WRH122" s="432"/>
      <c r="WRI122" s="432"/>
      <c r="WRJ122" s="432"/>
      <c r="WRK122" s="432"/>
      <c r="WRL122" s="432"/>
      <c r="WRM122" s="432"/>
      <c r="WRN122" s="432"/>
      <c r="WRO122" s="432"/>
      <c r="WRP122" s="432"/>
      <c r="WRQ122" s="432"/>
      <c r="WRR122" s="432"/>
      <c r="WRS122" s="432"/>
      <c r="WRT122" s="432"/>
      <c r="WRU122" s="432"/>
      <c r="WRV122" s="432"/>
      <c r="WRW122" s="432"/>
      <c r="WRX122" s="432"/>
      <c r="WRY122" s="432"/>
      <c r="WRZ122" s="432"/>
      <c r="WSA122" s="432"/>
      <c r="WSB122" s="432"/>
      <c r="WSC122" s="432"/>
      <c r="WSD122" s="432"/>
      <c r="WSE122" s="432"/>
      <c r="WSF122" s="432"/>
      <c r="WSG122" s="432"/>
      <c r="WSH122" s="432"/>
      <c r="WSI122" s="432"/>
      <c r="WSJ122" s="432"/>
      <c r="WSK122" s="432"/>
      <c r="WSL122" s="432"/>
      <c r="WSM122" s="432"/>
      <c r="WSN122" s="432"/>
      <c r="WSO122" s="432"/>
      <c r="WSP122" s="432"/>
      <c r="WSQ122" s="432"/>
      <c r="WSR122" s="432"/>
      <c r="WSS122" s="432"/>
      <c r="WST122" s="432"/>
      <c r="WSU122" s="432"/>
      <c r="WSV122" s="432"/>
      <c r="WSW122" s="432"/>
      <c r="WSX122" s="432"/>
      <c r="WSY122" s="432"/>
      <c r="WSZ122" s="432"/>
      <c r="WTA122" s="432"/>
      <c r="WTB122" s="432"/>
      <c r="WTC122" s="432"/>
      <c r="WTD122" s="432"/>
      <c r="WTE122" s="432"/>
      <c r="WTF122" s="432"/>
      <c r="WTG122" s="432"/>
      <c r="WTH122" s="432"/>
      <c r="WTI122" s="432"/>
      <c r="WTJ122" s="432"/>
      <c r="WTK122" s="432"/>
      <c r="WTL122" s="432"/>
      <c r="WTM122" s="432"/>
      <c r="WTN122" s="432"/>
      <c r="WTO122" s="432"/>
      <c r="WTP122" s="432"/>
      <c r="WTQ122" s="432"/>
      <c r="WTR122" s="432"/>
      <c r="WTS122" s="432"/>
      <c r="WTT122" s="432"/>
      <c r="WTU122" s="432"/>
      <c r="WTV122" s="432"/>
      <c r="WTW122" s="432"/>
      <c r="WTX122" s="432"/>
      <c r="WTY122" s="432"/>
      <c r="WTZ122" s="432"/>
      <c r="WUA122" s="432"/>
      <c r="WUB122" s="432"/>
      <c r="WUC122" s="432"/>
      <c r="WUD122" s="432"/>
      <c r="WUE122" s="432"/>
      <c r="WUF122" s="432"/>
      <c r="WUG122" s="432"/>
      <c r="WUH122" s="432"/>
      <c r="WUI122" s="432"/>
      <c r="WUJ122" s="432"/>
      <c r="WUK122" s="432"/>
      <c r="WUL122" s="432"/>
      <c r="WUM122" s="432"/>
      <c r="WUN122" s="432"/>
      <c r="WUO122" s="432"/>
      <c r="WUP122" s="432"/>
      <c r="WUQ122" s="432"/>
      <c r="WUR122" s="432"/>
      <c r="WUS122" s="432"/>
      <c r="WUT122" s="432"/>
      <c r="WUU122" s="432"/>
      <c r="WUV122" s="432"/>
      <c r="WUW122" s="432"/>
      <c r="WUX122" s="432"/>
      <c r="WUY122" s="432"/>
      <c r="WUZ122" s="432"/>
      <c r="WVA122" s="432"/>
      <c r="WVB122" s="432"/>
      <c r="WVC122" s="432"/>
      <c r="WVD122" s="432"/>
      <c r="WVE122" s="432"/>
      <c r="WVF122" s="432"/>
      <c r="WVG122" s="432"/>
      <c r="WVH122" s="432"/>
      <c r="WVI122" s="432"/>
      <c r="WVJ122" s="432"/>
      <c r="WVK122" s="432"/>
      <c r="WVL122" s="432"/>
      <c r="WVM122" s="432"/>
      <c r="WVN122" s="432"/>
      <c r="WVO122" s="432"/>
      <c r="WVP122" s="432"/>
      <c r="WVQ122" s="432"/>
      <c r="WVR122" s="432"/>
      <c r="WVS122" s="432"/>
      <c r="WVT122" s="432"/>
      <c r="WVU122" s="432"/>
      <c r="WVV122" s="432"/>
      <c r="WVW122" s="432"/>
      <c r="WVX122" s="432"/>
      <c r="WVY122" s="432"/>
      <c r="WVZ122" s="432"/>
      <c r="WWA122" s="432"/>
      <c r="WWB122" s="432"/>
      <c r="WWC122" s="432"/>
      <c r="WWD122" s="432"/>
      <c r="WWE122" s="432"/>
      <c r="WWF122" s="432"/>
      <c r="WWG122" s="432"/>
      <c r="WWH122" s="432"/>
      <c r="WWI122" s="432"/>
      <c r="WWJ122" s="432"/>
      <c r="WWK122" s="432"/>
      <c r="WWL122" s="432"/>
      <c r="WWM122" s="432"/>
      <c r="WWN122" s="432"/>
      <c r="WWO122" s="432"/>
      <c r="WWP122" s="432"/>
      <c r="WWQ122" s="432"/>
      <c r="WWR122" s="432"/>
      <c r="WWS122" s="432"/>
      <c r="WWT122" s="432"/>
      <c r="WWU122" s="432"/>
      <c r="WWV122" s="432"/>
      <c r="WWW122" s="432"/>
      <c r="WWX122" s="432"/>
      <c r="WWY122" s="432"/>
      <c r="WWZ122" s="432"/>
      <c r="WXA122" s="432"/>
      <c r="WXB122" s="432"/>
      <c r="WXC122" s="432"/>
      <c r="WXD122" s="432"/>
      <c r="WXE122" s="432"/>
      <c r="WXF122" s="432"/>
      <c r="WXG122" s="432"/>
      <c r="WXH122" s="432"/>
      <c r="WXI122" s="432"/>
      <c r="WXJ122" s="432"/>
      <c r="WXK122" s="432"/>
      <c r="WXL122" s="432"/>
      <c r="WXM122" s="432"/>
      <c r="WXN122" s="432"/>
      <c r="WXO122" s="432"/>
      <c r="WXP122" s="432"/>
      <c r="WXQ122" s="432"/>
      <c r="WXR122" s="432"/>
      <c r="WXS122" s="432"/>
      <c r="WXT122" s="432"/>
      <c r="WXU122" s="432"/>
      <c r="WXV122" s="432"/>
      <c r="WXW122" s="432"/>
      <c r="WXX122" s="432"/>
      <c r="WXY122" s="432"/>
      <c r="WXZ122" s="432"/>
      <c r="WYA122" s="432"/>
      <c r="WYB122" s="432"/>
      <c r="WYC122" s="432"/>
      <c r="WYD122" s="432"/>
      <c r="WYE122" s="432"/>
      <c r="WYF122" s="432"/>
      <c r="WYG122" s="432"/>
      <c r="WYH122" s="432"/>
      <c r="WYI122" s="432"/>
      <c r="WYJ122" s="432"/>
      <c r="WYK122" s="432"/>
      <c r="WYL122" s="432"/>
      <c r="WYM122" s="432"/>
      <c r="WYN122" s="432"/>
      <c r="WYO122" s="432"/>
      <c r="WYP122" s="432"/>
      <c r="WYQ122" s="432"/>
      <c r="WYR122" s="432"/>
      <c r="WYS122" s="432"/>
      <c r="WYT122" s="432"/>
      <c r="WYU122" s="432"/>
      <c r="WYV122" s="432"/>
      <c r="WYW122" s="432"/>
      <c r="WYX122" s="432"/>
      <c r="WYY122" s="432"/>
      <c r="WYZ122" s="432"/>
      <c r="WZA122" s="432"/>
      <c r="WZB122" s="432"/>
      <c r="WZC122" s="432"/>
      <c r="WZD122" s="432"/>
      <c r="WZE122" s="432"/>
      <c r="WZF122" s="432"/>
      <c r="WZG122" s="432"/>
      <c r="WZH122" s="432"/>
      <c r="WZI122" s="432"/>
      <c r="WZJ122" s="432"/>
      <c r="WZK122" s="432"/>
      <c r="WZL122" s="432"/>
      <c r="WZM122" s="432"/>
      <c r="WZN122" s="432"/>
      <c r="WZO122" s="432"/>
      <c r="WZP122" s="432"/>
      <c r="WZQ122" s="432"/>
      <c r="WZR122" s="432"/>
      <c r="WZS122" s="432"/>
      <c r="WZT122" s="432"/>
      <c r="WZU122" s="432"/>
      <c r="WZV122" s="432"/>
      <c r="WZW122" s="432"/>
      <c r="WZX122" s="432"/>
      <c r="WZY122" s="432"/>
      <c r="WZZ122" s="432"/>
      <c r="XAA122" s="432"/>
      <c r="XAB122" s="432"/>
      <c r="XAC122" s="432"/>
      <c r="XAD122" s="432"/>
      <c r="XAE122" s="432"/>
      <c r="XAF122" s="432"/>
      <c r="XAG122" s="432"/>
      <c r="XAH122" s="432"/>
      <c r="XAI122" s="432"/>
      <c r="XAJ122" s="432"/>
      <c r="XAK122" s="432"/>
      <c r="XAL122" s="432"/>
      <c r="XAM122" s="432"/>
      <c r="XAN122" s="432"/>
      <c r="XAO122" s="432"/>
      <c r="XAP122" s="432"/>
      <c r="XAQ122" s="432"/>
      <c r="XAR122" s="432"/>
      <c r="XAS122" s="432"/>
      <c r="XAT122" s="432"/>
      <c r="XAU122" s="432"/>
      <c r="XAV122" s="432"/>
      <c r="XAW122" s="432"/>
      <c r="XAX122" s="432"/>
      <c r="XAY122" s="432"/>
      <c r="XAZ122" s="432"/>
      <c r="XBA122" s="432"/>
      <c r="XBB122" s="432"/>
      <c r="XBC122" s="432"/>
      <c r="XBD122" s="432"/>
      <c r="XBE122" s="432"/>
      <c r="XBF122" s="432"/>
      <c r="XBG122" s="432"/>
      <c r="XBH122" s="432"/>
      <c r="XBI122" s="432"/>
      <c r="XBJ122" s="432"/>
      <c r="XBK122" s="432"/>
      <c r="XBL122" s="432"/>
      <c r="XBM122" s="432"/>
      <c r="XBN122" s="432"/>
      <c r="XBO122" s="432"/>
      <c r="XBP122" s="432"/>
      <c r="XBQ122" s="432"/>
      <c r="XBR122" s="432"/>
      <c r="XBS122" s="432"/>
      <c r="XBT122" s="432"/>
      <c r="XBU122" s="432"/>
      <c r="XBV122" s="432"/>
      <c r="XBW122" s="432"/>
      <c r="XBX122" s="432"/>
      <c r="XBY122" s="432"/>
      <c r="XBZ122" s="432"/>
      <c r="XCA122" s="432"/>
      <c r="XCB122" s="432"/>
      <c r="XCC122" s="432"/>
      <c r="XCD122" s="432"/>
      <c r="XCE122" s="432"/>
      <c r="XCF122" s="432"/>
      <c r="XCG122" s="432"/>
      <c r="XCH122" s="432"/>
      <c r="XCI122" s="432"/>
      <c r="XCJ122" s="432"/>
      <c r="XCK122" s="432"/>
      <c r="XCL122" s="432"/>
      <c r="XCM122" s="432"/>
      <c r="XCN122" s="432"/>
      <c r="XCO122" s="432"/>
      <c r="XCP122" s="432"/>
      <c r="XCQ122" s="432"/>
      <c r="XCR122" s="432"/>
      <c r="XCS122" s="432"/>
      <c r="XCT122" s="432"/>
      <c r="XCU122" s="432"/>
      <c r="XCV122" s="432"/>
      <c r="XCW122" s="432"/>
      <c r="XCX122" s="432"/>
      <c r="XCY122" s="432"/>
      <c r="XCZ122" s="432"/>
      <c r="XDA122" s="432"/>
      <c r="XDB122" s="432"/>
      <c r="XDC122" s="432"/>
      <c r="XDD122" s="432"/>
      <c r="XDE122" s="432"/>
      <c r="XDF122" s="432"/>
      <c r="XDG122" s="432"/>
      <c r="XDH122" s="432"/>
      <c r="XDI122" s="432"/>
      <c r="XDJ122" s="432"/>
      <c r="XDK122" s="432"/>
      <c r="XDL122" s="432"/>
      <c r="XDM122" s="432"/>
      <c r="XDN122" s="432"/>
      <c r="XDO122" s="432"/>
      <c r="XDP122" s="432"/>
      <c r="XDQ122" s="432"/>
      <c r="XDR122" s="432"/>
      <c r="XDS122" s="432"/>
      <c r="XDT122" s="432"/>
      <c r="XDU122" s="432"/>
      <c r="XDV122" s="432"/>
      <c r="XDW122" s="432"/>
      <c r="XDX122" s="432"/>
      <c r="XDY122" s="432"/>
      <c r="XDZ122" s="432"/>
      <c r="XEA122" s="432"/>
      <c r="XEB122" s="432"/>
      <c r="XEC122" s="432"/>
      <c r="XED122" s="432"/>
      <c r="XEE122" s="432"/>
      <c r="XEF122" s="432"/>
      <c r="XEG122" s="432"/>
      <c r="XEH122" s="432"/>
      <c r="XEI122" s="432"/>
      <c r="XEJ122" s="432"/>
      <c r="XEK122" s="432"/>
      <c r="XEL122" s="432"/>
      <c r="XEM122" s="432"/>
      <c r="XEN122" s="432"/>
      <c r="XEO122" s="432"/>
      <c r="XEP122" s="432"/>
      <c r="XEQ122" s="432"/>
      <c r="XER122" s="432"/>
      <c r="XES122" s="432"/>
      <c r="XET122" s="432"/>
      <c r="XEU122" s="432"/>
      <c r="XEV122" s="432"/>
      <c r="XEW122" s="432"/>
      <c r="XEX122" s="432"/>
      <c r="XEY122" s="432"/>
      <c r="XEZ122" s="432"/>
      <c r="XFA122" s="432"/>
      <c r="XFB122" s="432"/>
      <c r="XFC122" s="432"/>
      <c r="XFD122" s="432"/>
    </row>
    <row r="123" spans="1:16384" ht="32.25" customHeight="1" x14ac:dyDescent="0.2">
      <c r="Q123" s="432"/>
      <c r="R123" s="216"/>
      <c r="S123" s="217"/>
    </row>
    <row r="124" spans="1:16384" ht="32.25" customHeight="1" x14ac:dyDescent="0.2">
      <c r="A124" s="512" t="s">
        <v>4430</v>
      </c>
      <c r="B124" s="512" t="s">
        <v>4478</v>
      </c>
    </row>
    <row r="125" spans="1:16384" ht="32.25" customHeight="1" x14ac:dyDescent="0.2">
      <c r="A125" s="516" t="s">
        <v>4358</v>
      </c>
      <c r="B125" s="518">
        <f>COUNTIF(E12:P121,"&lt;=5")</f>
        <v>37</v>
      </c>
    </row>
    <row r="126" spans="1:16384" ht="32.25" customHeight="1" x14ac:dyDescent="0.2">
      <c r="A126" s="502" t="s">
        <v>4359</v>
      </c>
      <c r="B126" s="515">
        <f>COUNTIFS(E12:P121,"&gt;5",E12:P121,"&lt;=14")</f>
        <v>7</v>
      </c>
    </row>
    <row r="127" spans="1:16384" ht="32.25" customHeight="1" x14ac:dyDescent="0.2">
      <c r="A127" s="503" t="s">
        <v>4360</v>
      </c>
      <c r="B127" s="509">
        <f>COUNTIFS(E12:P121,"&gt;14",E12:P121,"&lt;=35")</f>
        <v>5</v>
      </c>
    </row>
    <row r="128" spans="1:16384" ht="32.25" customHeight="1" x14ac:dyDescent="0.2">
      <c r="A128" s="504" t="s">
        <v>4361</v>
      </c>
      <c r="B128" s="509">
        <f>COUNTIFS(E12:P121,"&gt;35",E12:P121,"&lt;=80")</f>
        <v>23</v>
      </c>
    </row>
    <row r="129" spans="1:2" ht="32.25" customHeight="1" x14ac:dyDescent="0.2">
      <c r="A129" s="505" t="s">
        <v>4362</v>
      </c>
      <c r="B129" s="509">
        <f>COUNTIFS(E12:P121,"&gt;80",E12:P121,"&lt;=100")</f>
        <v>83</v>
      </c>
    </row>
    <row r="130" spans="1:2" ht="32.25" customHeight="1" x14ac:dyDescent="0.2">
      <c r="A130" s="533" t="s">
        <v>4363</v>
      </c>
      <c r="B130" s="534">
        <f>COUNT(E12:P121)</f>
        <v>155</v>
      </c>
    </row>
    <row r="131" spans="1:2" ht="36" customHeight="1" x14ac:dyDescent="0.2">
      <c r="A131" s="508" t="s">
        <v>4366</v>
      </c>
      <c r="B131" s="510">
        <f>B130-B125</f>
        <v>118</v>
      </c>
    </row>
    <row r="132" spans="1:2" x14ac:dyDescent="0.2"/>
    <row r="133" spans="1:2" x14ac:dyDescent="0.2"/>
    <row r="134" spans="1:2" x14ac:dyDescent="0.2"/>
    <row r="135" spans="1:2" x14ac:dyDescent="0.2"/>
    <row r="136" spans="1:2" x14ac:dyDescent="0.2"/>
    <row r="137" spans="1:2" x14ac:dyDescent="0.2"/>
    <row r="138" spans="1:2" x14ac:dyDescent="0.2"/>
    <row r="139" spans="1:2" x14ac:dyDescent="0.2"/>
    <row r="140" spans="1:2" x14ac:dyDescent="0.2"/>
    <row r="141" spans="1:2" x14ac:dyDescent="0.2"/>
    <row r="142" spans="1:2" x14ac:dyDescent="0.2"/>
    <row r="143" spans="1:2" x14ac:dyDescent="0.2"/>
    <row r="144" spans="1:2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</sheetData>
  <autoFilter ref="A11:W122">
    <sortState ref="A13:W122">
      <sortCondition ref="A11:A136"/>
    </sortState>
  </autoFilter>
  <customSheetViews>
    <customSheetView guid="{45C8AF51-29EC-46A5-AB7F-1F0634E55D82}" scale="60" hiddenRows="1" hiddenColumns="1">
      <pane xSplit="2.18957345971564" ySplit="11" topLeftCell="D12" activePane="bottomRight" state="frozenSplit"/>
      <selection pane="bottomRight" activeCell="C12" sqref="C1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hiddenRows="1" hiddenColumns="1">
      <pane xSplit="3" ySplit="11" topLeftCell="D107" activePane="bottomRight" state="frozenSplit"/>
      <selection pane="bottomRight" activeCell="A12" sqref="A12:A12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AEDE1BDB-8710-4CDA-8488-31F49D423ACE}" scale="60" hiddenRows="1" hiddenColumns="1">
      <pane xSplit="3" ySplit="11" topLeftCell="D93" activePane="bottomRight" state="frozenSplit"/>
      <selection pane="bottomRight" activeCell="S150" sqref="S15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75DD7674-E7DE-4BB1-A36D-76AA33452CB3}" scale="60" showAutoFilter="1" hiddenRows="1" hiddenColumns="1">
      <pane xSplit="3" ySplit="11" topLeftCell="G12" activePane="bottomRight" state="frozenSplit"/>
      <selection pane="bottomRight" activeCell="C21" sqref="C2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1:W122">
        <sortState ref="A13:W122">
          <sortCondition ref="A11:A136"/>
        </sortState>
      </autoFilter>
    </customSheetView>
  </customSheetViews>
  <mergeCells count="22">
    <mergeCell ref="A10:A11"/>
    <mergeCell ref="E10:P10"/>
    <mergeCell ref="Q10:Q11"/>
    <mergeCell ref="S10:S11"/>
    <mergeCell ref="R10:R11"/>
    <mergeCell ref="B10:B11"/>
    <mergeCell ref="C10:C11"/>
    <mergeCell ref="D10:D11"/>
    <mergeCell ref="A8:B8"/>
    <mergeCell ref="S5:S6"/>
    <mergeCell ref="A7:B7"/>
    <mergeCell ref="E5:G6"/>
    <mergeCell ref="B1:D1"/>
    <mergeCell ref="B2:D2"/>
    <mergeCell ref="B4:D4"/>
    <mergeCell ref="B5:B6"/>
    <mergeCell ref="C5:C6"/>
    <mergeCell ref="D5:D6"/>
    <mergeCell ref="H5:J6"/>
    <mergeCell ref="K5:M6"/>
    <mergeCell ref="N5:P6"/>
    <mergeCell ref="Q5:R6"/>
  </mergeCells>
  <phoneticPr fontId="2" type="noConversion"/>
  <conditionalFormatting sqref="E12:Q17 Q19:Q123 E19:P122">
    <cfRule type="containsBlanks" dxfId="2874" priority="2469" stopIfTrue="1">
      <formula>LEN(TRIM(E12))=0</formula>
    </cfRule>
    <cfRule type="cellIs" dxfId="2873" priority="2470" stopIfTrue="1" operator="between">
      <formula>80.1</formula>
      <formula>100</formula>
    </cfRule>
    <cfRule type="cellIs" dxfId="2872" priority="2471" stopIfTrue="1" operator="between">
      <formula>35.1</formula>
      <formula>80</formula>
    </cfRule>
    <cfRule type="cellIs" dxfId="2871" priority="2472" stopIfTrue="1" operator="between">
      <formula>14.1</formula>
      <formula>35</formula>
    </cfRule>
    <cfRule type="cellIs" dxfId="2870" priority="2473" stopIfTrue="1" operator="between">
      <formula>5.1</formula>
      <formula>14</formula>
    </cfRule>
    <cfRule type="cellIs" dxfId="2869" priority="2474" stopIfTrue="1" operator="between">
      <formula>0</formula>
      <formula>5</formula>
    </cfRule>
    <cfRule type="containsBlanks" dxfId="2868" priority="2475" stopIfTrue="1">
      <formula>LEN(TRIM(E12))=0</formula>
    </cfRule>
  </conditionalFormatting>
  <conditionalFormatting sqref="E53:P53 E81:J81 K81:P84 P85:P92 O87:O92 N85:N92 E106:P109 E74:P74">
    <cfRule type="containsBlanks" dxfId="2867" priority="839" stopIfTrue="1">
      <formula>LEN(TRIM(E53))=0</formula>
    </cfRule>
    <cfRule type="cellIs" dxfId="2866" priority="840" stopIfTrue="1" operator="between">
      <formula>79.1</formula>
      <formula>100</formula>
    </cfRule>
    <cfRule type="cellIs" dxfId="2865" priority="841" stopIfTrue="1" operator="between">
      <formula>34.1</formula>
      <formula>79</formula>
    </cfRule>
    <cfRule type="cellIs" dxfId="2864" priority="842" stopIfTrue="1" operator="between">
      <formula>13.1</formula>
      <formula>34</formula>
    </cfRule>
    <cfRule type="cellIs" dxfId="2863" priority="843" stopIfTrue="1" operator="between">
      <formula>5.1</formula>
      <formula>13</formula>
    </cfRule>
    <cfRule type="cellIs" dxfId="2862" priority="844" stopIfTrue="1" operator="between">
      <formula>0</formula>
      <formula>5</formula>
    </cfRule>
    <cfRule type="containsBlanks" dxfId="2861" priority="845" stopIfTrue="1">
      <formula>LEN(TRIM(E53))=0</formula>
    </cfRule>
  </conditionalFormatting>
  <conditionalFormatting sqref="F12:P12 F52:H52 K52:P52 G35:P35 O41:P41 F31:P32 N30:P30 F22:P23 O36 L25:P25 J24:P24 M38:P38 K33:P33 K30:L30 O29:P29 H28:P28 J40:P40 G27:P27 K26:P26">
    <cfRule type="containsBlanks" dxfId="2860" priority="874" stopIfTrue="1">
      <formula>LEN(TRIM(F12))=0</formula>
    </cfRule>
    <cfRule type="cellIs" dxfId="2859" priority="875" stopIfTrue="1" operator="between">
      <formula>80.1</formula>
      <formula>100</formula>
    </cfRule>
    <cfRule type="cellIs" dxfId="2858" priority="876" stopIfTrue="1" operator="between">
      <formula>35.1</formula>
      <formula>80</formula>
    </cfRule>
    <cfRule type="cellIs" dxfId="2857" priority="877" stopIfTrue="1" operator="between">
      <formula>14.1</formula>
      <formula>35</formula>
    </cfRule>
    <cfRule type="cellIs" dxfId="2856" priority="878" stopIfTrue="1" operator="between">
      <formula>5.1</formula>
      <formula>14</formula>
    </cfRule>
    <cfRule type="cellIs" dxfId="2855" priority="879" stopIfTrue="1" operator="between">
      <formula>0</formula>
      <formula>5</formula>
    </cfRule>
    <cfRule type="containsBlanks" dxfId="2854" priority="880" stopIfTrue="1">
      <formula>LEN(TRIM(F12))=0</formula>
    </cfRule>
  </conditionalFormatting>
  <conditionalFormatting sqref="G50:P50">
    <cfRule type="containsBlanks" dxfId="2853" priority="825" stopIfTrue="1">
      <formula>LEN(TRIM(G50))=0</formula>
    </cfRule>
    <cfRule type="cellIs" dxfId="2852" priority="826" stopIfTrue="1" operator="between">
      <formula>79.1</formula>
      <formula>100</formula>
    </cfRule>
    <cfRule type="cellIs" dxfId="2851" priority="827" stopIfTrue="1" operator="between">
      <formula>34.1</formula>
      <formula>79</formula>
    </cfRule>
    <cfRule type="cellIs" dxfId="2850" priority="828" stopIfTrue="1" operator="between">
      <formula>13.1</formula>
      <formula>34</formula>
    </cfRule>
    <cfRule type="cellIs" dxfId="2849" priority="829" stopIfTrue="1" operator="between">
      <formula>5.1</formula>
      <formula>13</formula>
    </cfRule>
    <cfRule type="cellIs" dxfId="2848" priority="830" stopIfTrue="1" operator="between">
      <formula>0</formula>
      <formula>5</formula>
    </cfRule>
    <cfRule type="containsBlanks" dxfId="2847" priority="831" stopIfTrue="1">
      <formula>LEN(TRIM(G50))=0</formula>
    </cfRule>
  </conditionalFormatting>
  <conditionalFormatting sqref="E21:P21">
    <cfRule type="containsBlanks" dxfId="2846" priority="846" stopIfTrue="1">
      <formula>LEN(TRIM(E21))=0</formula>
    </cfRule>
    <cfRule type="cellIs" dxfId="2845" priority="847" stopIfTrue="1" operator="between">
      <formula>79.1</formula>
      <formula>100</formula>
    </cfRule>
    <cfRule type="cellIs" dxfId="2844" priority="848" stopIfTrue="1" operator="between">
      <formula>34.1</formula>
      <formula>79</formula>
    </cfRule>
    <cfRule type="cellIs" dxfId="2843" priority="849" stopIfTrue="1" operator="between">
      <formula>13.1</formula>
      <formula>34</formula>
    </cfRule>
    <cfRule type="cellIs" dxfId="2842" priority="850" stopIfTrue="1" operator="between">
      <formula>5.1</formula>
      <formula>13</formula>
    </cfRule>
    <cfRule type="cellIs" dxfId="2841" priority="851" stopIfTrue="1" operator="between">
      <formula>0</formula>
      <formula>5</formula>
    </cfRule>
    <cfRule type="containsBlanks" dxfId="2840" priority="852" stopIfTrue="1">
      <formula>LEN(TRIM(E21))=0</formula>
    </cfRule>
  </conditionalFormatting>
  <conditionalFormatting sqref="J52">
    <cfRule type="containsBlanks" dxfId="2839" priority="818" stopIfTrue="1">
      <formula>LEN(TRIM(J52))=0</formula>
    </cfRule>
    <cfRule type="cellIs" dxfId="2838" priority="819" stopIfTrue="1" operator="between">
      <formula>79.1</formula>
      <formula>100</formula>
    </cfRule>
    <cfRule type="cellIs" dxfId="2837" priority="820" stopIfTrue="1" operator="between">
      <formula>34.1</formula>
      <formula>79</formula>
    </cfRule>
    <cfRule type="cellIs" dxfId="2836" priority="821" stopIfTrue="1" operator="between">
      <formula>13.1</formula>
      <formula>34</formula>
    </cfRule>
    <cfRule type="cellIs" dxfId="2835" priority="822" stopIfTrue="1" operator="between">
      <formula>5.1</formula>
      <formula>13</formula>
    </cfRule>
    <cfRule type="cellIs" dxfId="2834" priority="823" stopIfTrue="1" operator="between">
      <formula>0</formula>
      <formula>5</formula>
    </cfRule>
    <cfRule type="containsBlanks" dxfId="2833" priority="824" stopIfTrue="1">
      <formula>LEN(TRIM(J52))=0</formula>
    </cfRule>
  </conditionalFormatting>
  <conditionalFormatting sqref="E44:P44">
    <cfRule type="containsBlanks" dxfId="2832" priority="762" stopIfTrue="1">
      <formula>LEN(TRIM(E44))=0</formula>
    </cfRule>
    <cfRule type="cellIs" dxfId="2831" priority="763" stopIfTrue="1" operator="between">
      <formula>79.1</formula>
      <formula>100</formula>
    </cfRule>
    <cfRule type="cellIs" dxfId="2830" priority="764" stopIfTrue="1" operator="between">
      <formula>34.1</formula>
      <formula>79</formula>
    </cfRule>
    <cfRule type="cellIs" dxfId="2829" priority="765" stopIfTrue="1" operator="between">
      <formula>13.1</formula>
      <formula>34</formula>
    </cfRule>
    <cfRule type="cellIs" dxfId="2828" priority="766" stopIfTrue="1" operator="between">
      <formula>5.1</formula>
      <formula>13</formula>
    </cfRule>
    <cfRule type="cellIs" dxfId="2827" priority="767" stopIfTrue="1" operator="between">
      <formula>0</formula>
      <formula>5</formula>
    </cfRule>
    <cfRule type="containsBlanks" dxfId="2826" priority="768" stopIfTrue="1">
      <formula>LEN(TRIM(E44))=0</formula>
    </cfRule>
  </conditionalFormatting>
  <conditionalFormatting sqref="E45:P45">
    <cfRule type="containsBlanks" dxfId="2825" priority="797" stopIfTrue="1">
      <formula>LEN(TRIM(E45))=0</formula>
    </cfRule>
    <cfRule type="cellIs" dxfId="2824" priority="798" stopIfTrue="1" operator="between">
      <formula>79.1</formula>
      <formula>100</formula>
    </cfRule>
    <cfRule type="cellIs" dxfId="2823" priority="799" stopIfTrue="1" operator="between">
      <formula>34.1</formula>
      <formula>79</formula>
    </cfRule>
    <cfRule type="cellIs" dxfId="2822" priority="800" stopIfTrue="1" operator="between">
      <formula>13.1</formula>
      <formula>34</formula>
    </cfRule>
    <cfRule type="cellIs" dxfId="2821" priority="801" stopIfTrue="1" operator="between">
      <formula>5.1</formula>
      <formula>13</formula>
    </cfRule>
    <cfRule type="cellIs" dxfId="2820" priority="802" stopIfTrue="1" operator="between">
      <formula>0</formula>
      <formula>5</formula>
    </cfRule>
    <cfRule type="containsBlanks" dxfId="2819" priority="803" stopIfTrue="1">
      <formula>LEN(TRIM(E45))=0</formula>
    </cfRule>
  </conditionalFormatting>
  <conditionalFormatting sqref="E49:P49">
    <cfRule type="containsBlanks" dxfId="2818" priority="811" stopIfTrue="1">
      <formula>LEN(TRIM(E49))=0</formula>
    </cfRule>
    <cfRule type="cellIs" dxfId="2817" priority="812" stopIfTrue="1" operator="between">
      <formula>79.1</formula>
      <formula>100</formula>
    </cfRule>
    <cfRule type="cellIs" dxfId="2816" priority="813" stopIfTrue="1" operator="between">
      <formula>34.1</formula>
      <formula>79</formula>
    </cfRule>
    <cfRule type="cellIs" dxfId="2815" priority="814" stopIfTrue="1" operator="between">
      <formula>13.1</formula>
      <formula>34</formula>
    </cfRule>
    <cfRule type="cellIs" dxfId="2814" priority="815" stopIfTrue="1" operator="between">
      <formula>5.1</formula>
      <formula>13</formula>
    </cfRule>
    <cfRule type="cellIs" dxfId="2813" priority="816" stopIfTrue="1" operator="between">
      <formula>0</formula>
      <formula>5</formula>
    </cfRule>
    <cfRule type="containsBlanks" dxfId="2812" priority="817" stopIfTrue="1">
      <formula>LEN(TRIM(E49))=0</formula>
    </cfRule>
  </conditionalFormatting>
  <conditionalFormatting sqref="E48:P48">
    <cfRule type="containsBlanks" dxfId="2811" priority="748" stopIfTrue="1">
      <formula>LEN(TRIM(E48))=0</formula>
    </cfRule>
    <cfRule type="cellIs" dxfId="2810" priority="749" stopIfTrue="1" operator="between">
      <formula>79.1</formula>
      <formula>100</formula>
    </cfRule>
    <cfRule type="cellIs" dxfId="2809" priority="750" stopIfTrue="1" operator="between">
      <formula>34.1</formula>
      <formula>79</formula>
    </cfRule>
    <cfRule type="cellIs" dxfId="2808" priority="751" stopIfTrue="1" operator="between">
      <formula>13.1</formula>
      <formula>34</formula>
    </cfRule>
    <cfRule type="cellIs" dxfId="2807" priority="752" stopIfTrue="1" operator="between">
      <formula>5.1</formula>
      <formula>13</formula>
    </cfRule>
    <cfRule type="cellIs" dxfId="2806" priority="753" stopIfTrue="1" operator="between">
      <formula>0</formula>
      <formula>5</formula>
    </cfRule>
    <cfRule type="containsBlanks" dxfId="2805" priority="754" stopIfTrue="1">
      <formula>LEN(TRIM(E48))=0</formula>
    </cfRule>
  </conditionalFormatting>
  <conditionalFormatting sqref="N39:P39">
    <cfRule type="containsBlanks" dxfId="2804" priority="769" stopIfTrue="1">
      <formula>LEN(TRIM(N39))=0</formula>
    </cfRule>
    <cfRule type="cellIs" dxfId="2803" priority="770" stopIfTrue="1" operator="between">
      <formula>79.1</formula>
      <formula>100</formula>
    </cfRule>
    <cfRule type="cellIs" dxfId="2802" priority="771" stopIfTrue="1" operator="between">
      <formula>34.1</formula>
      <formula>79</formula>
    </cfRule>
    <cfRule type="cellIs" dxfId="2801" priority="772" stopIfTrue="1" operator="between">
      <formula>13.1</formula>
      <formula>34</formula>
    </cfRule>
    <cfRule type="cellIs" dxfId="2800" priority="773" stopIfTrue="1" operator="between">
      <formula>5.1</formula>
      <formula>13</formula>
    </cfRule>
    <cfRule type="cellIs" dxfId="2799" priority="774" stopIfTrue="1" operator="between">
      <formula>0</formula>
      <formula>5</formula>
    </cfRule>
    <cfRule type="containsBlanks" dxfId="2798" priority="775" stopIfTrue="1">
      <formula>LEN(TRIM(N39))=0</formula>
    </cfRule>
  </conditionalFormatting>
  <conditionalFormatting sqref="K36:N36 P36">
    <cfRule type="containsBlanks" dxfId="2797" priority="783" stopIfTrue="1">
      <formula>LEN(TRIM(K36))=0</formula>
    </cfRule>
    <cfRule type="cellIs" dxfId="2796" priority="784" stopIfTrue="1" operator="between">
      <formula>79.1</formula>
      <formula>100</formula>
    </cfRule>
    <cfRule type="cellIs" dxfId="2795" priority="785" stopIfTrue="1" operator="between">
      <formula>34.1</formula>
      <formula>79</formula>
    </cfRule>
    <cfRule type="cellIs" dxfId="2794" priority="786" stopIfTrue="1" operator="between">
      <formula>13.1</formula>
      <formula>34</formula>
    </cfRule>
    <cfRule type="cellIs" dxfId="2793" priority="787" stopIfTrue="1" operator="between">
      <formula>5.1</formula>
      <formula>13</formula>
    </cfRule>
    <cfRule type="cellIs" dxfId="2792" priority="788" stopIfTrue="1" operator="between">
      <formula>0</formula>
      <formula>5</formula>
    </cfRule>
    <cfRule type="containsBlanks" dxfId="2791" priority="789" stopIfTrue="1">
      <formula>LEN(TRIM(K36))=0</formula>
    </cfRule>
  </conditionalFormatting>
  <conditionalFormatting sqref="I34:P34">
    <cfRule type="containsBlanks" dxfId="2790" priority="776" stopIfTrue="1">
      <formula>LEN(TRIM(I34))=0</formula>
    </cfRule>
    <cfRule type="cellIs" dxfId="2789" priority="777" stopIfTrue="1" operator="between">
      <formula>79.1</formula>
      <formula>100</formula>
    </cfRule>
    <cfRule type="cellIs" dxfId="2788" priority="778" stopIfTrue="1" operator="between">
      <formula>34.1</formula>
      <formula>79</formula>
    </cfRule>
    <cfRule type="cellIs" dxfId="2787" priority="779" stopIfTrue="1" operator="between">
      <formula>13.1</formula>
      <formula>34</formula>
    </cfRule>
    <cfRule type="cellIs" dxfId="2786" priority="780" stopIfTrue="1" operator="between">
      <formula>5.1</formula>
      <formula>13</formula>
    </cfRule>
    <cfRule type="cellIs" dxfId="2785" priority="781" stopIfTrue="1" operator="between">
      <formula>0</formula>
      <formula>5</formula>
    </cfRule>
    <cfRule type="containsBlanks" dxfId="2784" priority="782" stopIfTrue="1">
      <formula>LEN(TRIM(I34))=0</formula>
    </cfRule>
  </conditionalFormatting>
  <conditionalFormatting sqref="I51:P51 I52">
    <cfRule type="containsBlanks" dxfId="2783" priority="755" stopIfTrue="1">
      <formula>LEN(TRIM(I51))=0</formula>
    </cfRule>
    <cfRule type="cellIs" dxfId="2782" priority="756" stopIfTrue="1" operator="between">
      <formula>79.1</formula>
      <formula>100</formula>
    </cfRule>
    <cfRule type="cellIs" dxfId="2781" priority="757" stopIfTrue="1" operator="between">
      <formula>34.1</formula>
      <formula>79</formula>
    </cfRule>
    <cfRule type="cellIs" dxfId="2780" priority="758" stopIfTrue="1" operator="between">
      <formula>13.1</formula>
      <formula>34</formula>
    </cfRule>
    <cfRule type="cellIs" dxfId="2779" priority="759" stopIfTrue="1" operator="between">
      <formula>5.1</formula>
      <formula>13</formula>
    </cfRule>
    <cfRule type="cellIs" dxfId="2778" priority="760" stopIfTrue="1" operator="between">
      <formula>0</formula>
      <formula>5</formula>
    </cfRule>
    <cfRule type="containsBlanks" dxfId="2777" priority="761" stopIfTrue="1">
      <formula>LEN(TRIM(I51))=0</formula>
    </cfRule>
  </conditionalFormatting>
  <conditionalFormatting sqref="E82:J82 J84 H83:J83">
    <cfRule type="containsBlanks" dxfId="2776" priority="727" stopIfTrue="1">
      <formula>LEN(TRIM(E82))=0</formula>
    </cfRule>
    <cfRule type="cellIs" dxfId="2775" priority="728" stopIfTrue="1" operator="between">
      <formula>79.1</formula>
      <formula>100</formula>
    </cfRule>
    <cfRule type="cellIs" dxfId="2774" priority="729" stopIfTrue="1" operator="between">
      <formula>34.1</formula>
      <formula>79</formula>
    </cfRule>
    <cfRule type="cellIs" dxfId="2773" priority="730" stopIfTrue="1" operator="between">
      <formula>13.1</formula>
      <formula>34</formula>
    </cfRule>
    <cfRule type="cellIs" dxfId="2772" priority="731" stopIfTrue="1" operator="between">
      <formula>5.1</formula>
      <formula>13</formula>
    </cfRule>
    <cfRule type="cellIs" dxfId="2771" priority="732" stopIfTrue="1" operator="between">
      <formula>0</formula>
      <formula>5</formula>
    </cfRule>
    <cfRule type="containsBlanks" dxfId="2770" priority="733" stopIfTrue="1">
      <formula>LEN(TRIM(E82))=0</formula>
    </cfRule>
  </conditionalFormatting>
  <conditionalFormatting sqref="M30">
    <cfRule type="containsBlanks" dxfId="2769" priority="657" stopIfTrue="1">
      <formula>LEN(TRIM(M30))=0</formula>
    </cfRule>
    <cfRule type="cellIs" dxfId="2768" priority="658" stopIfTrue="1" operator="between">
      <formula>79.1</formula>
      <formula>100</formula>
    </cfRule>
    <cfRule type="cellIs" dxfId="2767" priority="659" stopIfTrue="1" operator="between">
      <formula>34.1</formula>
      <formula>79</formula>
    </cfRule>
    <cfRule type="cellIs" dxfId="2766" priority="660" stopIfTrue="1" operator="between">
      <formula>13.1</formula>
      <formula>34</formula>
    </cfRule>
    <cfRule type="cellIs" dxfId="2765" priority="661" stopIfTrue="1" operator="between">
      <formula>5.1</formula>
      <formula>13</formula>
    </cfRule>
    <cfRule type="cellIs" dxfId="2764" priority="662" stopIfTrue="1" operator="between">
      <formula>0</formula>
      <formula>5</formula>
    </cfRule>
    <cfRule type="containsBlanks" dxfId="2763" priority="663" stopIfTrue="1">
      <formula>LEN(TRIM(M30))=0</formula>
    </cfRule>
  </conditionalFormatting>
  <conditionalFormatting sqref="E43:H43 K43 O43:P43">
    <cfRule type="containsBlanks" dxfId="2762" priority="685" stopIfTrue="1">
      <formula>LEN(TRIM(E43))=0</formula>
    </cfRule>
    <cfRule type="cellIs" dxfId="2761" priority="686" stopIfTrue="1" operator="between">
      <formula>79.1</formula>
      <formula>100</formula>
    </cfRule>
    <cfRule type="cellIs" dxfId="2760" priority="687" stopIfTrue="1" operator="between">
      <formula>34.1</formula>
      <formula>79</formula>
    </cfRule>
    <cfRule type="cellIs" dxfId="2759" priority="688" stopIfTrue="1" operator="between">
      <formula>13.1</formula>
      <formula>34</formula>
    </cfRule>
    <cfRule type="cellIs" dxfId="2758" priority="689" stopIfTrue="1" operator="between">
      <formula>5.1</formula>
      <formula>13</formula>
    </cfRule>
    <cfRule type="cellIs" dxfId="2757" priority="690" stopIfTrue="1" operator="between">
      <formula>0</formula>
      <formula>5</formula>
    </cfRule>
    <cfRule type="containsBlanks" dxfId="2756" priority="691" stopIfTrue="1">
      <formula>LEN(TRIM(E43))=0</formula>
    </cfRule>
  </conditionalFormatting>
  <conditionalFormatting sqref="I43:J43">
    <cfRule type="containsBlanks" dxfId="2755" priority="678" stopIfTrue="1">
      <formula>LEN(TRIM(I43))=0</formula>
    </cfRule>
    <cfRule type="cellIs" dxfId="2754" priority="679" stopIfTrue="1" operator="between">
      <formula>79.1</formula>
      <formula>100</formula>
    </cfRule>
    <cfRule type="cellIs" dxfId="2753" priority="680" stopIfTrue="1" operator="between">
      <formula>34.1</formula>
      <formula>79</formula>
    </cfRule>
    <cfRule type="cellIs" dxfId="2752" priority="681" stopIfTrue="1" operator="between">
      <formula>13.1</formula>
      <formula>34</formula>
    </cfRule>
    <cfRule type="cellIs" dxfId="2751" priority="682" stopIfTrue="1" operator="between">
      <formula>5.1</formula>
      <formula>13</formula>
    </cfRule>
    <cfRule type="cellIs" dxfId="2750" priority="683" stopIfTrue="1" operator="between">
      <formula>0</formula>
      <formula>5</formula>
    </cfRule>
    <cfRule type="containsBlanks" dxfId="2749" priority="684" stopIfTrue="1">
      <formula>LEN(TRIM(I43))=0</formula>
    </cfRule>
  </conditionalFormatting>
  <conditionalFormatting sqref="L43:N43">
    <cfRule type="containsBlanks" dxfId="2748" priority="671" stopIfTrue="1">
      <formula>LEN(TRIM(L43))=0</formula>
    </cfRule>
    <cfRule type="cellIs" dxfId="2747" priority="672" stopIfTrue="1" operator="between">
      <formula>79.1</formula>
      <formula>100</formula>
    </cfRule>
    <cfRule type="cellIs" dxfId="2746" priority="673" stopIfTrue="1" operator="between">
      <formula>34.1</formula>
      <formula>79</formula>
    </cfRule>
    <cfRule type="cellIs" dxfId="2745" priority="674" stopIfTrue="1" operator="between">
      <formula>13.1</formula>
      <formula>34</formula>
    </cfRule>
    <cfRule type="cellIs" dxfId="2744" priority="675" stopIfTrue="1" operator="between">
      <formula>5.1</formula>
      <formula>13</formula>
    </cfRule>
    <cfRule type="cellIs" dxfId="2743" priority="676" stopIfTrue="1" operator="between">
      <formula>0</formula>
      <formula>5</formula>
    </cfRule>
    <cfRule type="containsBlanks" dxfId="2742" priority="677" stopIfTrue="1">
      <formula>LEN(TRIM(L43))=0</formula>
    </cfRule>
  </conditionalFormatting>
  <conditionalFormatting sqref="G42:H42 J42:M42 O42:P42">
    <cfRule type="containsBlanks" dxfId="2741" priority="650" stopIfTrue="1">
      <formula>LEN(TRIM(G42))=0</formula>
    </cfRule>
    <cfRule type="cellIs" dxfId="2740" priority="651" stopIfTrue="1" operator="between">
      <formula>79.1</formula>
      <formula>100</formula>
    </cfRule>
    <cfRule type="cellIs" dxfId="2739" priority="652" stopIfTrue="1" operator="between">
      <formula>34.1</formula>
      <formula>79</formula>
    </cfRule>
    <cfRule type="cellIs" dxfId="2738" priority="653" stopIfTrue="1" operator="between">
      <formula>13.1</formula>
      <formula>34</formula>
    </cfRule>
    <cfRule type="cellIs" dxfId="2737" priority="654" stopIfTrue="1" operator="between">
      <formula>5.1</formula>
      <formula>13</formula>
    </cfRule>
    <cfRule type="cellIs" dxfId="2736" priority="655" stopIfTrue="1" operator="between">
      <formula>0</formula>
      <formula>5</formula>
    </cfRule>
    <cfRule type="containsBlanks" dxfId="2735" priority="656" stopIfTrue="1">
      <formula>LEN(TRIM(G42))=0</formula>
    </cfRule>
  </conditionalFormatting>
  <conditionalFormatting sqref="I42">
    <cfRule type="containsBlanks" dxfId="2734" priority="643" stopIfTrue="1">
      <formula>LEN(TRIM(I42))=0</formula>
    </cfRule>
    <cfRule type="cellIs" dxfId="2733" priority="644" stopIfTrue="1" operator="between">
      <formula>79.1</formula>
      <formula>100</formula>
    </cfRule>
    <cfRule type="cellIs" dxfId="2732" priority="645" stopIfTrue="1" operator="between">
      <formula>34.1</formula>
      <formula>79</formula>
    </cfRule>
    <cfRule type="cellIs" dxfId="2731" priority="646" stopIfTrue="1" operator="between">
      <formula>13.1</formula>
      <formula>34</formula>
    </cfRule>
    <cfRule type="cellIs" dxfId="2730" priority="647" stopIfTrue="1" operator="between">
      <formula>5.1</formula>
      <formula>13</formula>
    </cfRule>
    <cfRule type="cellIs" dxfId="2729" priority="648" stopIfTrue="1" operator="between">
      <formula>0</formula>
      <formula>5</formula>
    </cfRule>
    <cfRule type="containsBlanks" dxfId="2728" priority="649" stopIfTrue="1">
      <formula>LEN(TRIM(I42))=0</formula>
    </cfRule>
  </conditionalFormatting>
  <conditionalFormatting sqref="N42">
    <cfRule type="containsBlanks" dxfId="2727" priority="636" stopIfTrue="1">
      <formula>LEN(TRIM(N42))=0</formula>
    </cfRule>
    <cfRule type="cellIs" dxfId="2726" priority="637" stopIfTrue="1" operator="between">
      <formula>79.1</formula>
      <formula>100</formula>
    </cfRule>
    <cfRule type="cellIs" dxfId="2725" priority="638" stopIfTrue="1" operator="between">
      <formula>34.1</formula>
      <formula>79</formula>
    </cfRule>
    <cfRule type="cellIs" dxfId="2724" priority="639" stopIfTrue="1" operator="between">
      <formula>13.1</formula>
      <formula>34</formula>
    </cfRule>
    <cfRule type="cellIs" dxfId="2723" priority="640" stopIfTrue="1" operator="between">
      <formula>5.1</formula>
      <formula>13</formula>
    </cfRule>
    <cfRule type="cellIs" dxfId="2722" priority="641" stopIfTrue="1" operator="between">
      <formula>0</formula>
      <formula>5</formula>
    </cfRule>
    <cfRule type="containsBlanks" dxfId="2721" priority="642" stopIfTrue="1">
      <formula>LEN(TRIM(N42))=0</formula>
    </cfRule>
  </conditionalFormatting>
  <conditionalFormatting sqref="E54:P56 L69:P70 H57:P57 O58:P58">
    <cfRule type="containsBlanks" dxfId="2720" priority="629" stopIfTrue="1">
      <formula>LEN(TRIM(E54))=0</formula>
    </cfRule>
    <cfRule type="cellIs" dxfId="2719" priority="630" stopIfTrue="1" operator="between">
      <formula>79.1</formula>
      <formula>100</formula>
    </cfRule>
    <cfRule type="cellIs" dxfId="2718" priority="631" stopIfTrue="1" operator="between">
      <formula>34.1</formula>
      <formula>79</formula>
    </cfRule>
    <cfRule type="cellIs" dxfId="2717" priority="632" stopIfTrue="1" operator="between">
      <formula>13.1</formula>
      <formula>34</formula>
    </cfRule>
    <cfRule type="cellIs" dxfId="2716" priority="633" stopIfTrue="1" operator="between">
      <formula>5.1</formula>
      <formula>13</formula>
    </cfRule>
    <cfRule type="cellIs" dxfId="2715" priority="634" stopIfTrue="1" operator="between">
      <formula>0</formula>
      <formula>5</formula>
    </cfRule>
    <cfRule type="containsBlanks" dxfId="2714" priority="635" stopIfTrue="1">
      <formula>LEN(TRIM(E54))=0</formula>
    </cfRule>
  </conditionalFormatting>
  <conditionalFormatting sqref="K71:P71 P72:P73 O76:P76">
    <cfRule type="containsBlanks" dxfId="2713" priority="622" stopIfTrue="1">
      <formula>LEN(TRIM(K71))=0</formula>
    </cfRule>
    <cfRule type="cellIs" dxfId="2712" priority="623" stopIfTrue="1" operator="between">
      <formula>79.1</formula>
      <formula>100</formula>
    </cfRule>
    <cfRule type="cellIs" dxfId="2711" priority="624" stopIfTrue="1" operator="between">
      <formula>34.1</formula>
      <formula>79</formula>
    </cfRule>
    <cfRule type="cellIs" dxfId="2710" priority="625" stopIfTrue="1" operator="between">
      <formula>13.1</formula>
      <formula>34</formula>
    </cfRule>
    <cfRule type="cellIs" dxfId="2709" priority="626" stopIfTrue="1" operator="between">
      <formula>5.1</formula>
      <formula>13</formula>
    </cfRule>
    <cfRule type="cellIs" dxfId="2708" priority="627" stopIfTrue="1" operator="between">
      <formula>0</formula>
      <formula>5</formula>
    </cfRule>
    <cfRule type="containsBlanks" dxfId="2707" priority="628" stopIfTrue="1">
      <formula>LEN(TRIM(K71))=0</formula>
    </cfRule>
  </conditionalFormatting>
  <conditionalFormatting sqref="E99:P102 O98:P98">
    <cfRule type="containsBlanks" dxfId="2706" priority="587" stopIfTrue="1">
      <formula>LEN(TRIM(E98))=0</formula>
    </cfRule>
    <cfRule type="cellIs" dxfId="2705" priority="588" stopIfTrue="1" operator="between">
      <formula>79.1</formula>
      <formula>100</formula>
    </cfRule>
    <cfRule type="cellIs" dxfId="2704" priority="589" stopIfTrue="1" operator="between">
      <formula>34.1</formula>
      <formula>79</formula>
    </cfRule>
    <cfRule type="cellIs" dxfId="2703" priority="590" stopIfTrue="1" operator="between">
      <formula>13.1</formula>
      <formula>34</formula>
    </cfRule>
    <cfRule type="cellIs" dxfId="2702" priority="591" stopIfTrue="1" operator="between">
      <formula>5.1</formula>
      <formula>13</formula>
    </cfRule>
    <cfRule type="cellIs" dxfId="2701" priority="592" stopIfTrue="1" operator="between">
      <formula>0</formula>
      <formula>5</formula>
    </cfRule>
    <cfRule type="containsBlanks" dxfId="2700" priority="593" stopIfTrue="1">
      <formula>LEN(TRIM(E98))=0</formula>
    </cfRule>
  </conditionalFormatting>
  <conditionalFormatting sqref="E85:J87">
    <cfRule type="containsBlanks" dxfId="2699" priority="594" stopIfTrue="1">
      <formula>LEN(TRIM(E85))=0</formula>
    </cfRule>
    <cfRule type="cellIs" dxfId="2698" priority="595" stopIfTrue="1" operator="between">
      <formula>79.1</formula>
      <formula>100</formula>
    </cfRule>
    <cfRule type="cellIs" dxfId="2697" priority="596" stopIfTrue="1" operator="between">
      <formula>34.1</formula>
      <formula>79</formula>
    </cfRule>
    <cfRule type="cellIs" dxfId="2696" priority="597" stopIfTrue="1" operator="between">
      <formula>13.1</formula>
      <formula>34</formula>
    </cfRule>
    <cfRule type="cellIs" dxfId="2695" priority="598" stopIfTrue="1" operator="between">
      <formula>5.1</formula>
      <formula>13</formula>
    </cfRule>
    <cfRule type="cellIs" dxfId="2694" priority="599" stopIfTrue="1" operator="between">
      <formula>0</formula>
      <formula>5</formula>
    </cfRule>
    <cfRule type="containsBlanks" dxfId="2693" priority="600" stopIfTrue="1">
      <formula>LEN(TRIM(E85))=0</formula>
    </cfRule>
  </conditionalFormatting>
  <conditionalFormatting sqref="O85:O86 M87">
    <cfRule type="containsBlanks" dxfId="2692" priority="580" stopIfTrue="1">
      <formula>LEN(TRIM(M85))=0</formula>
    </cfRule>
    <cfRule type="cellIs" dxfId="2691" priority="581" stopIfTrue="1" operator="between">
      <formula>79.1</formula>
      <formula>100</formula>
    </cfRule>
    <cfRule type="cellIs" dxfId="2690" priority="582" stopIfTrue="1" operator="between">
      <formula>34.1</formula>
      <formula>79</formula>
    </cfRule>
    <cfRule type="cellIs" dxfId="2689" priority="583" stopIfTrue="1" operator="between">
      <formula>13.1</formula>
      <formula>34</formula>
    </cfRule>
    <cfRule type="cellIs" dxfId="2688" priority="584" stopIfTrue="1" operator="between">
      <formula>5.1</formula>
      <formula>13</formula>
    </cfRule>
    <cfRule type="cellIs" dxfId="2687" priority="585" stopIfTrue="1" operator="between">
      <formula>0</formula>
      <formula>5</formula>
    </cfRule>
    <cfRule type="containsBlanks" dxfId="2686" priority="586" stopIfTrue="1">
      <formula>LEN(TRIM(M85))=0</formula>
    </cfRule>
  </conditionalFormatting>
  <conditionalFormatting sqref="M85:M86">
    <cfRule type="containsBlanks" dxfId="2685" priority="552" stopIfTrue="1">
      <formula>LEN(TRIM(M85))=0</formula>
    </cfRule>
    <cfRule type="cellIs" dxfId="2684" priority="553" stopIfTrue="1" operator="between">
      <formula>79.1</formula>
      <formula>100</formula>
    </cfRule>
    <cfRule type="cellIs" dxfId="2683" priority="554" stopIfTrue="1" operator="between">
      <formula>34.1</formula>
      <formula>79</formula>
    </cfRule>
    <cfRule type="cellIs" dxfId="2682" priority="555" stopIfTrue="1" operator="between">
      <formula>13.1</formula>
      <formula>34</formula>
    </cfRule>
    <cfRule type="cellIs" dxfId="2681" priority="556" stopIfTrue="1" operator="between">
      <formula>5.1</formula>
      <formula>13</formula>
    </cfRule>
    <cfRule type="cellIs" dxfId="2680" priority="557" stopIfTrue="1" operator="between">
      <formula>0</formula>
      <formula>5</formula>
    </cfRule>
    <cfRule type="containsBlanks" dxfId="2679" priority="558" stopIfTrue="1">
      <formula>LEN(TRIM(M85))=0</formula>
    </cfRule>
  </conditionalFormatting>
  <conditionalFormatting sqref="L85:L87">
    <cfRule type="containsBlanks" dxfId="2678" priority="545" stopIfTrue="1">
      <formula>LEN(TRIM(L85))=0</formula>
    </cfRule>
    <cfRule type="cellIs" dxfId="2677" priority="546" stopIfTrue="1" operator="between">
      <formula>79.1</formula>
      <formula>100</formula>
    </cfRule>
    <cfRule type="cellIs" dxfId="2676" priority="547" stopIfTrue="1" operator="between">
      <formula>34.1</formula>
      <formula>79</formula>
    </cfRule>
    <cfRule type="cellIs" dxfId="2675" priority="548" stopIfTrue="1" operator="between">
      <formula>13.1</formula>
      <formula>34</formula>
    </cfRule>
    <cfRule type="cellIs" dxfId="2674" priority="549" stopIfTrue="1" operator="between">
      <formula>5.1</formula>
      <formula>13</formula>
    </cfRule>
    <cfRule type="cellIs" dxfId="2673" priority="550" stopIfTrue="1" operator="between">
      <formula>0</formula>
      <formula>5</formula>
    </cfRule>
    <cfRule type="containsBlanks" dxfId="2672" priority="551" stopIfTrue="1">
      <formula>LEN(TRIM(L85))=0</formula>
    </cfRule>
  </conditionalFormatting>
  <conditionalFormatting sqref="K85:K87">
    <cfRule type="containsBlanks" dxfId="2671" priority="531" stopIfTrue="1">
      <formula>LEN(TRIM(K85))=0</formula>
    </cfRule>
    <cfRule type="cellIs" dxfId="2670" priority="532" stopIfTrue="1" operator="between">
      <formula>79.1</formula>
      <formula>100</formula>
    </cfRule>
    <cfRule type="cellIs" dxfId="2669" priority="533" stopIfTrue="1" operator="between">
      <formula>34.1</formula>
      <formula>79</formula>
    </cfRule>
    <cfRule type="cellIs" dxfId="2668" priority="534" stopIfTrue="1" operator="between">
      <formula>13.1</formula>
      <formula>34</formula>
    </cfRule>
    <cfRule type="cellIs" dxfId="2667" priority="535" stopIfTrue="1" operator="between">
      <formula>5.1</formula>
      <formula>13</formula>
    </cfRule>
    <cfRule type="cellIs" dxfId="2666" priority="536" stopIfTrue="1" operator="between">
      <formula>0</formula>
      <formula>5</formula>
    </cfRule>
    <cfRule type="containsBlanks" dxfId="2665" priority="537" stopIfTrue="1">
      <formula>LEN(TRIM(K85))=0</formula>
    </cfRule>
  </conditionalFormatting>
  <conditionalFormatting sqref="R12:R17 R19:R123">
    <cfRule type="cellIs" dxfId="2664" priority="495" stopIfTrue="1" operator="equal">
      <formula>"NO"</formula>
    </cfRule>
  </conditionalFormatting>
  <conditionalFormatting sqref="S122:S123">
    <cfRule type="cellIs" dxfId="2663" priority="496" stopIfTrue="1" operator="equal">
      <formula>"INVIABLE SANITARIAMENTE"</formula>
    </cfRule>
  </conditionalFormatting>
  <conditionalFormatting sqref="S122:S123">
    <cfRule type="containsText" dxfId="2662" priority="483" stopIfTrue="1" operator="containsText" text="INVIABLE SANITARIAMENTE">
      <formula>NOT(ISERROR(SEARCH("INVIABLE SANITARIAMENTE",S122)))</formula>
    </cfRule>
    <cfRule type="containsText" dxfId="2661" priority="484" stopIfTrue="1" operator="containsText" text="ALTO">
      <formula>NOT(ISERROR(SEARCH("ALTO",S122)))</formula>
    </cfRule>
    <cfRule type="containsText" dxfId="2660" priority="485" stopIfTrue="1" operator="containsText" text="MEDIO">
      <formula>NOT(ISERROR(SEARCH("MEDIO",S122)))</formula>
    </cfRule>
    <cfRule type="containsText" dxfId="2659" priority="486" stopIfTrue="1" operator="containsText" text="BAJO">
      <formula>NOT(ISERROR(SEARCH("BAJO",S122)))</formula>
    </cfRule>
    <cfRule type="containsText" dxfId="2658" priority="487" stopIfTrue="1" operator="containsText" text="SIN RIESGO">
      <formula>NOT(ISERROR(SEARCH("SIN RIESGO",S122)))</formula>
    </cfRule>
  </conditionalFormatting>
  <conditionalFormatting sqref="S122:S123">
    <cfRule type="containsText" dxfId="2657" priority="482" stopIfTrue="1" operator="containsText" text="SIN RIESGO">
      <formula>NOT(ISERROR(SEARCH("SIN RIESGO",S122)))</formula>
    </cfRule>
  </conditionalFormatting>
  <conditionalFormatting sqref="E13:P13">
    <cfRule type="containsBlanks" dxfId="2656" priority="475" stopIfTrue="1">
      <formula>LEN(TRIM(E13))=0</formula>
    </cfRule>
    <cfRule type="cellIs" dxfId="2655" priority="476" stopIfTrue="1" operator="between">
      <formula>80.1</formula>
      <formula>100</formula>
    </cfRule>
    <cfRule type="cellIs" dxfId="2654" priority="477" stopIfTrue="1" operator="between">
      <formula>35.1</formula>
      <formula>80</formula>
    </cfRule>
    <cfRule type="cellIs" dxfId="2653" priority="478" stopIfTrue="1" operator="between">
      <formula>14.1</formula>
      <formula>35</formula>
    </cfRule>
    <cfRule type="cellIs" dxfId="2652" priority="479" stopIfTrue="1" operator="between">
      <formula>5.1</formula>
      <formula>14</formula>
    </cfRule>
    <cfRule type="cellIs" dxfId="2651" priority="480" stopIfTrue="1" operator="between">
      <formula>0</formula>
      <formula>5</formula>
    </cfRule>
    <cfRule type="containsBlanks" dxfId="2650" priority="481" stopIfTrue="1">
      <formula>LEN(TRIM(E13))=0</formula>
    </cfRule>
  </conditionalFormatting>
  <conditionalFormatting sqref="E57:G57">
    <cfRule type="containsBlanks" dxfId="2649" priority="341" stopIfTrue="1">
      <formula>LEN(TRIM(E57))=0</formula>
    </cfRule>
    <cfRule type="cellIs" dxfId="2648" priority="342" stopIfTrue="1" operator="between">
      <formula>79.1</formula>
      <formula>100</formula>
    </cfRule>
    <cfRule type="cellIs" dxfId="2647" priority="343" stopIfTrue="1" operator="between">
      <formula>34.1</formula>
      <formula>79</formula>
    </cfRule>
    <cfRule type="cellIs" dxfId="2646" priority="344" stopIfTrue="1" operator="between">
      <formula>13.1</formula>
      <formula>34</formula>
    </cfRule>
    <cfRule type="cellIs" dxfId="2645" priority="345" stopIfTrue="1" operator="between">
      <formula>5.1</formula>
      <formula>13</formula>
    </cfRule>
    <cfRule type="cellIs" dxfId="2644" priority="346" stopIfTrue="1" operator="between">
      <formula>0</formula>
      <formula>5</formula>
    </cfRule>
    <cfRule type="containsBlanks" dxfId="2643" priority="347" stopIfTrue="1">
      <formula>LEN(TRIM(E57))=0</formula>
    </cfRule>
  </conditionalFormatting>
  <conditionalFormatting sqref="E24:H24">
    <cfRule type="containsBlanks" dxfId="2642" priority="439" stopIfTrue="1">
      <formula>LEN(TRIM(E24))=0</formula>
    </cfRule>
    <cfRule type="cellIs" dxfId="2641" priority="440" stopIfTrue="1" operator="between">
      <formula>79.1</formula>
      <formula>100</formula>
    </cfRule>
    <cfRule type="cellIs" dxfId="2640" priority="441" stopIfTrue="1" operator="between">
      <formula>34.1</formula>
      <formula>79</formula>
    </cfRule>
    <cfRule type="cellIs" dxfId="2639" priority="442" stopIfTrue="1" operator="between">
      <formula>13.1</formula>
      <formula>34</formula>
    </cfRule>
    <cfRule type="cellIs" dxfId="2638" priority="443" stopIfTrue="1" operator="between">
      <formula>5.1</formula>
      <formula>13</formula>
    </cfRule>
    <cfRule type="cellIs" dxfId="2637" priority="444" stopIfTrue="1" operator="between">
      <formula>0</formula>
      <formula>5</formula>
    </cfRule>
    <cfRule type="containsBlanks" dxfId="2636" priority="445" stopIfTrue="1">
      <formula>LEN(TRIM(E24))=0</formula>
    </cfRule>
  </conditionalFormatting>
  <conditionalFormatting sqref="I24">
    <cfRule type="containsBlanks" dxfId="2635" priority="432" stopIfTrue="1">
      <formula>LEN(TRIM(I24))=0</formula>
    </cfRule>
    <cfRule type="cellIs" dxfId="2634" priority="433" stopIfTrue="1" operator="between">
      <formula>79.1</formula>
      <formula>100</formula>
    </cfRule>
    <cfRule type="cellIs" dxfId="2633" priority="434" stopIfTrue="1" operator="between">
      <formula>34.1</formula>
      <formula>79</formula>
    </cfRule>
    <cfRule type="cellIs" dxfId="2632" priority="435" stopIfTrue="1" operator="between">
      <formula>13.1</formula>
      <formula>34</formula>
    </cfRule>
    <cfRule type="cellIs" dxfId="2631" priority="436" stopIfTrue="1" operator="between">
      <formula>5.1</formula>
      <formula>13</formula>
    </cfRule>
    <cfRule type="cellIs" dxfId="2630" priority="437" stopIfTrue="1" operator="between">
      <formula>0</formula>
      <formula>5</formula>
    </cfRule>
    <cfRule type="containsBlanks" dxfId="2629" priority="438" stopIfTrue="1">
      <formula>LEN(TRIM(I24))=0</formula>
    </cfRule>
  </conditionalFormatting>
  <conditionalFormatting sqref="E46:H46 K46 O46:P46">
    <cfRule type="containsBlanks" dxfId="2628" priority="425" stopIfTrue="1">
      <formula>LEN(TRIM(E46))=0</formula>
    </cfRule>
    <cfRule type="cellIs" dxfId="2627" priority="426" stopIfTrue="1" operator="between">
      <formula>79.1</formula>
      <formula>100</formula>
    </cfRule>
    <cfRule type="cellIs" dxfId="2626" priority="427" stopIfTrue="1" operator="between">
      <formula>34.1</formula>
      <formula>79</formula>
    </cfRule>
    <cfRule type="cellIs" dxfId="2625" priority="428" stopIfTrue="1" operator="between">
      <formula>13.1</formula>
      <formula>34</formula>
    </cfRule>
    <cfRule type="cellIs" dxfId="2624" priority="429" stopIfTrue="1" operator="between">
      <formula>5.1</formula>
      <formula>13</formula>
    </cfRule>
    <cfRule type="cellIs" dxfId="2623" priority="430" stopIfTrue="1" operator="between">
      <formula>0</formula>
      <formula>5</formula>
    </cfRule>
    <cfRule type="containsBlanks" dxfId="2622" priority="431" stopIfTrue="1">
      <formula>LEN(TRIM(E46))=0</formula>
    </cfRule>
  </conditionalFormatting>
  <conditionalFormatting sqref="I46:J46">
    <cfRule type="containsBlanks" dxfId="2621" priority="418" stopIfTrue="1">
      <formula>LEN(TRIM(I46))=0</formula>
    </cfRule>
    <cfRule type="cellIs" dxfId="2620" priority="419" stopIfTrue="1" operator="between">
      <formula>79.1</formula>
      <formula>100</formula>
    </cfRule>
    <cfRule type="cellIs" dxfId="2619" priority="420" stopIfTrue="1" operator="between">
      <formula>34.1</formula>
      <formula>79</formula>
    </cfRule>
    <cfRule type="cellIs" dxfId="2618" priority="421" stopIfTrue="1" operator="between">
      <formula>13.1</formula>
      <formula>34</formula>
    </cfRule>
    <cfRule type="cellIs" dxfId="2617" priority="422" stopIfTrue="1" operator="between">
      <formula>5.1</formula>
      <formula>13</formula>
    </cfRule>
    <cfRule type="cellIs" dxfId="2616" priority="423" stopIfTrue="1" operator="between">
      <formula>0</formula>
      <formula>5</formula>
    </cfRule>
    <cfRule type="containsBlanks" dxfId="2615" priority="424" stopIfTrue="1">
      <formula>LEN(TRIM(I46))=0</formula>
    </cfRule>
  </conditionalFormatting>
  <conditionalFormatting sqref="L46:N46">
    <cfRule type="containsBlanks" dxfId="2614" priority="411" stopIfTrue="1">
      <formula>LEN(TRIM(L46))=0</formula>
    </cfRule>
    <cfRule type="cellIs" dxfId="2613" priority="412" stopIfTrue="1" operator="between">
      <formula>79.1</formula>
      <formula>100</formula>
    </cfRule>
    <cfRule type="cellIs" dxfId="2612" priority="413" stopIfTrue="1" operator="between">
      <formula>34.1</formula>
      <formula>79</formula>
    </cfRule>
    <cfRule type="cellIs" dxfId="2611" priority="414" stopIfTrue="1" operator="between">
      <formula>13.1</formula>
      <formula>34</formula>
    </cfRule>
    <cfRule type="cellIs" dxfId="2610" priority="415" stopIfTrue="1" operator="between">
      <formula>5.1</formula>
      <formula>13</formula>
    </cfRule>
    <cfRule type="cellIs" dxfId="2609" priority="416" stopIfTrue="1" operator="between">
      <formula>0</formula>
      <formula>5</formula>
    </cfRule>
    <cfRule type="containsBlanks" dxfId="2608" priority="417" stopIfTrue="1">
      <formula>LEN(TRIM(L46))=0</formula>
    </cfRule>
  </conditionalFormatting>
  <conditionalFormatting sqref="E47:H47 K47 O47:P47">
    <cfRule type="containsBlanks" dxfId="2607" priority="404" stopIfTrue="1">
      <formula>LEN(TRIM(E47))=0</formula>
    </cfRule>
    <cfRule type="cellIs" dxfId="2606" priority="405" stopIfTrue="1" operator="between">
      <formula>79.1</formula>
      <formula>100</formula>
    </cfRule>
    <cfRule type="cellIs" dxfId="2605" priority="406" stopIfTrue="1" operator="between">
      <formula>34.1</formula>
      <formula>79</formula>
    </cfRule>
    <cfRule type="cellIs" dxfId="2604" priority="407" stopIfTrue="1" operator="between">
      <formula>13.1</formula>
      <formula>34</formula>
    </cfRule>
    <cfRule type="cellIs" dxfId="2603" priority="408" stopIfTrue="1" operator="between">
      <formula>5.1</formula>
      <formula>13</formula>
    </cfRule>
    <cfRule type="cellIs" dxfId="2602" priority="409" stopIfTrue="1" operator="between">
      <formula>0</formula>
      <formula>5</formula>
    </cfRule>
    <cfRule type="containsBlanks" dxfId="2601" priority="410" stopIfTrue="1">
      <formula>LEN(TRIM(E47))=0</formula>
    </cfRule>
  </conditionalFormatting>
  <conditionalFormatting sqref="I47:J47">
    <cfRule type="containsBlanks" dxfId="2600" priority="397" stopIfTrue="1">
      <formula>LEN(TRIM(I47))=0</formula>
    </cfRule>
    <cfRule type="cellIs" dxfId="2599" priority="398" stopIfTrue="1" operator="between">
      <formula>79.1</formula>
      <formula>100</formula>
    </cfRule>
    <cfRule type="cellIs" dxfId="2598" priority="399" stopIfTrue="1" operator="between">
      <formula>34.1</formula>
      <formula>79</formula>
    </cfRule>
    <cfRule type="cellIs" dxfId="2597" priority="400" stopIfTrue="1" operator="between">
      <formula>13.1</formula>
      <formula>34</formula>
    </cfRule>
    <cfRule type="cellIs" dxfId="2596" priority="401" stopIfTrue="1" operator="between">
      <formula>5.1</formula>
      <formula>13</formula>
    </cfRule>
    <cfRule type="cellIs" dxfId="2595" priority="402" stopIfTrue="1" operator="between">
      <formula>0</formula>
      <formula>5</formula>
    </cfRule>
    <cfRule type="containsBlanks" dxfId="2594" priority="403" stopIfTrue="1">
      <formula>LEN(TRIM(I47))=0</formula>
    </cfRule>
  </conditionalFormatting>
  <conditionalFormatting sqref="L47:N47">
    <cfRule type="containsBlanks" dxfId="2593" priority="390" stopIfTrue="1">
      <formula>LEN(TRIM(L47))=0</formula>
    </cfRule>
    <cfRule type="cellIs" dxfId="2592" priority="391" stopIfTrue="1" operator="between">
      <formula>79.1</formula>
      <formula>100</formula>
    </cfRule>
    <cfRule type="cellIs" dxfId="2591" priority="392" stopIfTrue="1" operator="between">
      <formula>34.1</formula>
      <formula>79</formula>
    </cfRule>
    <cfRule type="cellIs" dxfId="2590" priority="393" stopIfTrue="1" operator="between">
      <formula>13.1</formula>
      <formula>34</formula>
    </cfRule>
    <cfRule type="cellIs" dxfId="2589" priority="394" stopIfTrue="1" operator="between">
      <formula>5.1</formula>
      <formula>13</formula>
    </cfRule>
    <cfRule type="cellIs" dxfId="2588" priority="395" stopIfTrue="1" operator="between">
      <formula>0</formula>
      <formula>5</formula>
    </cfRule>
    <cfRule type="containsBlanks" dxfId="2587" priority="396" stopIfTrue="1">
      <formula>LEN(TRIM(L47))=0</formula>
    </cfRule>
  </conditionalFormatting>
  <conditionalFormatting sqref="E37:P37">
    <cfRule type="containsBlanks" dxfId="2586" priority="383" stopIfTrue="1">
      <formula>LEN(TRIM(E37))=0</formula>
    </cfRule>
    <cfRule type="cellIs" dxfId="2585" priority="384" stopIfTrue="1" operator="between">
      <formula>79.1</formula>
      <formula>100</formula>
    </cfRule>
    <cfRule type="cellIs" dxfId="2584" priority="385" stopIfTrue="1" operator="between">
      <formula>34.1</formula>
      <formula>79</formula>
    </cfRule>
    <cfRule type="cellIs" dxfId="2583" priority="386" stopIfTrue="1" operator="between">
      <formula>13.1</formula>
      <formula>34</formula>
    </cfRule>
    <cfRule type="cellIs" dxfId="2582" priority="387" stopIfTrue="1" operator="between">
      <formula>5.1</formula>
      <formula>13</formula>
    </cfRule>
    <cfRule type="cellIs" dxfId="2581" priority="388" stopIfTrue="1" operator="between">
      <formula>0</formula>
      <formula>5</formula>
    </cfRule>
    <cfRule type="containsBlanks" dxfId="2580" priority="389" stopIfTrue="1">
      <formula>LEN(TRIM(E37))=0</formula>
    </cfRule>
  </conditionalFormatting>
  <conditionalFormatting sqref="E34:H34">
    <cfRule type="containsBlanks" dxfId="2579" priority="376" stopIfTrue="1">
      <formula>LEN(TRIM(E34))=0</formula>
    </cfRule>
    <cfRule type="cellIs" dxfId="2578" priority="377" stopIfTrue="1" operator="between">
      <formula>79.1</formula>
      <formula>100</formula>
    </cfRule>
    <cfRule type="cellIs" dxfId="2577" priority="378" stopIfTrue="1" operator="between">
      <formula>34.1</formula>
      <formula>79</formula>
    </cfRule>
    <cfRule type="cellIs" dxfId="2576" priority="379" stopIfTrue="1" operator="between">
      <formula>13.1</formula>
      <formula>34</formula>
    </cfRule>
    <cfRule type="cellIs" dxfId="2575" priority="380" stopIfTrue="1" operator="between">
      <formula>5.1</formula>
      <formula>13</formula>
    </cfRule>
    <cfRule type="cellIs" dxfId="2574" priority="381" stopIfTrue="1" operator="between">
      <formula>0</formula>
      <formula>5</formula>
    </cfRule>
    <cfRule type="containsBlanks" dxfId="2573" priority="382" stopIfTrue="1">
      <formula>LEN(TRIM(E34))=0</formula>
    </cfRule>
  </conditionalFormatting>
  <conditionalFormatting sqref="E33:J33">
    <cfRule type="containsBlanks" dxfId="2572" priority="369" stopIfTrue="1">
      <formula>LEN(TRIM(E33))=0</formula>
    </cfRule>
    <cfRule type="cellIs" dxfId="2571" priority="370" stopIfTrue="1" operator="between">
      <formula>79.1</formula>
      <formula>100</formula>
    </cfRule>
    <cfRule type="cellIs" dxfId="2570" priority="371" stopIfTrue="1" operator="between">
      <formula>34.1</formula>
      <formula>79</formula>
    </cfRule>
    <cfRule type="cellIs" dxfId="2569" priority="372" stopIfTrue="1" operator="between">
      <formula>13.1</formula>
      <formula>34</formula>
    </cfRule>
    <cfRule type="cellIs" dxfId="2568" priority="373" stopIfTrue="1" operator="between">
      <formula>5.1</formula>
      <formula>13</formula>
    </cfRule>
    <cfRule type="cellIs" dxfId="2567" priority="374" stopIfTrue="1" operator="between">
      <formula>0</formula>
      <formula>5</formula>
    </cfRule>
    <cfRule type="containsBlanks" dxfId="2566" priority="375" stopIfTrue="1">
      <formula>LEN(TRIM(E33))=0</formula>
    </cfRule>
  </conditionalFormatting>
  <conditionalFormatting sqref="E36:J36">
    <cfRule type="containsBlanks" dxfId="2565" priority="362" stopIfTrue="1">
      <formula>LEN(TRIM(E36))=0</formula>
    </cfRule>
    <cfRule type="cellIs" dxfId="2564" priority="363" stopIfTrue="1" operator="between">
      <formula>79.1</formula>
      <formula>100</formula>
    </cfRule>
    <cfRule type="cellIs" dxfId="2563" priority="364" stopIfTrue="1" operator="between">
      <formula>34.1</formula>
      <formula>79</formula>
    </cfRule>
    <cfRule type="cellIs" dxfId="2562" priority="365" stopIfTrue="1" operator="between">
      <formula>13.1</formula>
      <formula>34</formula>
    </cfRule>
    <cfRule type="cellIs" dxfId="2561" priority="366" stopIfTrue="1" operator="between">
      <formula>5.1</formula>
      <formula>13</formula>
    </cfRule>
    <cfRule type="cellIs" dxfId="2560" priority="367" stopIfTrue="1" operator="between">
      <formula>0</formula>
      <formula>5</formula>
    </cfRule>
    <cfRule type="containsBlanks" dxfId="2559" priority="368" stopIfTrue="1">
      <formula>LEN(TRIM(E36))=0</formula>
    </cfRule>
  </conditionalFormatting>
  <conditionalFormatting sqref="E35:F35">
    <cfRule type="containsBlanks" dxfId="2558" priority="355" stopIfTrue="1">
      <formula>LEN(TRIM(E35))=0</formula>
    </cfRule>
    <cfRule type="cellIs" dxfId="2557" priority="356" stopIfTrue="1" operator="between">
      <formula>79.1</formula>
      <formula>100</formula>
    </cfRule>
    <cfRule type="cellIs" dxfId="2556" priority="357" stopIfTrue="1" operator="between">
      <formula>34.1</formula>
      <formula>79</formula>
    </cfRule>
    <cfRule type="cellIs" dxfId="2555" priority="358" stopIfTrue="1" operator="between">
      <formula>13.1</formula>
      <formula>34</formula>
    </cfRule>
    <cfRule type="cellIs" dxfId="2554" priority="359" stopIfTrue="1" operator="between">
      <formula>5.1</formula>
      <formula>13</formula>
    </cfRule>
    <cfRule type="cellIs" dxfId="2553" priority="360" stopIfTrue="1" operator="between">
      <formula>0</formula>
      <formula>5</formula>
    </cfRule>
    <cfRule type="containsBlanks" dxfId="2552" priority="361" stopIfTrue="1">
      <formula>LEN(TRIM(E35))=0</formula>
    </cfRule>
  </conditionalFormatting>
  <conditionalFormatting sqref="E42:F42">
    <cfRule type="containsBlanks" dxfId="2551" priority="348" stopIfTrue="1">
      <formula>LEN(TRIM(E42))=0</formula>
    </cfRule>
    <cfRule type="cellIs" dxfId="2550" priority="349" stopIfTrue="1" operator="between">
      <formula>79.1</formula>
      <formula>100</formula>
    </cfRule>
    <cfRule type="cellIs" dxfId="2549" priority="350" stopIfTrue="1" operator="between">
      <formula>34.1</formula>
      <formula>79</formula>
    </cfRule>
    <cfRule type="cellIs" dxfId="2548" priority="351" stopIfTrue="1" operator="between">
      <formula>13.1</formula>
      <formula>34</formula>
    </cfRule>
    <cfRule type="cellIs" dxfId="2547" priority="352" stopIfTrue="1" operator="between">
      <formula>5.1</formula>
      <formula>13</formula>
    </cfRule>
    <cfRule type="cellIs" dxfId="2546" priority="353" stopIfTrue="1" operator="between">
      <formula>0</formula>
      <formula>5</formula>
    </cfRule>
    <cfRule type="containsBlanks" dxfId="2545" priority="354" stopIfTrue="1">
      <formula>LEN(TRIM(E42))=0</formula>
    </cfRule>
  </conditionalFormatting>
  <conditionalFormatting sqref="E30:H30 J30">
    <cfRule type="containsBlanks" dxfId="2544" priority="334" stopIfTrue="1">
      <formula>LEN(TRIM(E30))=0</formula>
    </cfRule>
    <cfRule type="cellIs" dxfId="2543" priority="335" stopIfTrue="1" operator="between">
      <formula>79.1</formula>
      <formula>100</formula>
    </cfRule>
    <cfRule type="cellIs" dxfId="2542" priority="336" stopIfTrue="1" operator="between">
      <formula>34.1</formula>
      <formula>79</formula>
    </cfRule>
    <cfRule type="cellIs" dxfId="2541" priority="337" stopIfTrue="1" operator="between">
      <formula>13.1</formula>
      <formula>34</formula>
    </cfRule>
    <cfRule type="cellIs" dxfId="2540" priority="338" stopIfTrue="1" operator="between">
      <formula>5.1</formula>
      <formula>13</formula>
    </cfRule>
    <cfRule type="cellIs" dxfId="2539" priority="339" stopIfTrue="1" operator="between">
      <formula>0</formula>
      <formula>5</formula>
    </cfRule>
    <cfRule type="containsBlanks" dxfId="2538" priority="340" stopIfTrue="1">
      <formula>LEN(TRIM(E30))=0</formula>
    </cfRule>
  </conditionalFormatting>
  <conditionalFormatting sqref="I30">
    <cfRule type="containsBlanks" dxfId="2537" priority="327" stopIfTrue="1">
      <formula>LEN(TRIM(I30))=0</formula>
    </cfRule>
    <cfRule type="cellIs" dxfId="2536" priority="328" stopIfTrue="1" operator="between">
      <formula>79.1</formula>
      <formula>100</formula>
    </cfRule>
    <cfRule type="cellIs" dxfId="2535" priority="329" stopIfTrue="1" operator="between">
      <formula>34.1</formula>
      <formula>79</formula>
    </cfRule>
    <cfRule type="cellIs" dxfId="2534" priority="330" stopIfTrue="1" operator="between">
      <formula>13.1</formula>
      <formula>34</formula>
    </cfRule>
    <cfRule type="cellIs" dxfId="2533" priority="331" stopIfTrue="1" operator="between">
      <formula>5.1</formula>
      <formula>13</formula>
    </cfRule>
    <cfRule type="cellIs" dxfId="2532" priority="332" stopIfTrue="1" operator="between">
      <formula>0</formula>
      <formula>5</formula>
    </cfRule>
    <cfRule type="containsBlanks" dxfId="2531" priority="333" stopIfTrue="1">
      <formula>LEN(TRIM(I30))=0</formula>
    </cfRule>
  </conditionalFormatting>
  <conditionalFormatting sqref="E39:H39 J39:M39">
    <cfRule type="containsBlanks" dxfId="2530" priority="320" stopIfTrue="1">
      <formula>LEN(TRIM(E39))=0</formula>
    </cfRule>
    <cfRule type="cellIs" dxfId="2529" priority="321" stopIfTrue="1" operator="between">
      <formula>79.1</formula>
      <formula>100</formula>
    </cfRule>
    <cfRule type="cellIs" dxfId="2528" priority="322" stopIfTrue="1" operator="between">
      <formula>34.1</formula>
      <formula>79</formula>
    </cfRule>
    <cfRule type="cellIs" dxfId="2527" priority="323" stopIfTrue="1" operator="between">
      <formula>13.1</formula>
      <formula>34</formula>
    </cfRule>
    <cfRule type="cellIs" dxfId="2526" priority="324" stopIfTrue="1" operator="between">
      <formula>5.1</formula>
      <formula>13</formula>
    </cfRule>
    <cfRule type="cellIs" dxfId="2525" priority="325" stopIfTrue="1" operator="between">
      <formula>0</formula>
      <formula>5</formula>
    </cfRule>
    <cfRule type="containsBlanks" dxfId="2524" priority="326" stopIfTrue="1">
      <formula>LEN(TRIM(E39))=0</formula>
    </cfRule>
  </conditionalFormatting>
  <conditionalFormatting sqref="I39">
    <cfRule type="containsBlanks" dxfId="2523" priority="313" stopIfTrue="1">
      <formula>LEN(TRIM(I39))=0</formula>
    </cfRule>
    <cfRule type="cellIs" dxfId="2522" priority="314" stopIfTrue="1" operator="between">
      <formula>79.1</formula>
      <formula>100</formula>
    </cfRule>
    <cfRule type="cellIs" dxfId="2521" priority="315" stopIfTrue="1" operator="between">
      <formula>34.1</formula>
      <formula>79</formula>
    </cfRule>
    <cfRule type="cellIs" dxfId="2520" priority="316" stopIfTrue="1" operator="between">
      <formula>13.1</formula>
      <formula>34</formula>
    </cfRule>
    <cfRule type="cellIs" dxfId="2519" priority="317" stopIfTrue="1" operator="between">
      <formula>5.1</formula>
      <formula>13</formula>
    </cfRule>
    <cfRule type="cellIs" dxfId="2518" priority="318" stopIfTrue="1" operator="between">
      <formula>0</formula>
      <formula>5</formula>
    </cfRule>
    <cfRule type="containsBlanks" dxfId="2517" priority="319" stopIfTrue="1">
      <formula>LEN(TRIM(I39))=0</formula>
    </cfRule>
  </conditionalFormatting>
  <conditionalFormatting sqref="E29:L29 N29">
    <cfRule type="containsBlanks" dxfId="2516" priority="306" stopIfTrue="1">
      <formula>LEN(TRIM(E29))=0</formula>
    </cfRule>
    <cfRule type="cellIs" dxfId="2515" priority="307" stopIfTrue="1" operator="between">
      <formula>79.1</formula>
      <formula>100</formula>
    </cfRule>
    <cfRule type="cellIs" dxfId="2514" priority="308" stopIfTrue="1" operator="between">
      <formula>34.1</formula>
      <formula>79</formula>
    </cfRule>
    <cfRule type="cellIs" dxfId="2513" priority="309" stopIfTrue="1" operator="between">
      <formula>13.1</formula>
      <formula>34</formula>
    </cfRule>
    <cfRule type="cellIs" dxfId="2512" priority="310" stopIfTrue="1" operator="between">
      <formula>5.1</formula>
      <formula>13</formula>
    </cfRule>
    <cfRule type="cellIs" dxfId="2511" priority="311" stopIfTrue="1" operator="between">
      <formula>0</formula>
      <formula>5</formula>
    </cfRule>
    <cfRule type="containsBlanks" dxfId="2510" priority="312" stopIfTrue="1">
      <formula>LEN(TRIM(E29))=0</formula>
    </cfRule>
  </conditionalFormatting>
  <conditionalFormatting sqref="M29">
    <cfRule type="containsBlanks" dxfId="2509" priority="299" stopIfTrue="1">
      <formula>LEN(TRIM(M29))=0</formula>
    </cfRule>
    <cfRule type="cellIs" dxfId="2508" priority="300" stopIfTrue="1" operator="between">
      <formula>79.1</formula>
      <formula>100</formula>
    </cfRule>
    <cfRule type="cellIs" dxfId="2507" priority="301" stopIfTrue="1" operator="between">
      <formula>34.1</formula>
      <formula>79</formula>
    </cfRule>
    <cfRule type="cellIs" dxfId="2506" priority="302" stopIfTrue="1" operator="between">
      <formula>13.1</formula>
      <formula>34</formula>
    </cfRule>
    <cfRule type="cellIs" dxfId="2505" priority="303" stopIfTrue="1" operator="between">
      <formula>5.1</formula>
      <formula>13</formula>
    </cfRule>
    <cfRule type="cellIs" dxfId="2504" priority="304" stopIfTrue="1" operator="between">
      <formula>0</formula>
      <formula>5</formula>
    </cfRule>
    <cfRule type="containsBlanks" dxfId="2503" priority="305" stopIfTrue="1">
      <formula>LEN(TRIM(M29))=0</formula>
    </cfRule>
  </conditionalFormatting>
  <conditionalFormatting sqref="E38:L38">
    <cfRule type="containsBlanks" dxfId="2502" priority="292" stopIfTrue="1">
      <formula>LEN(TRIM(E38))=0</formula>
    </cfRule>
    <cfRule type="cellIs" dxfId="2501" priority="293" stopIfTrue="1" operator="between">
      <formula>79.1</formula>
      <formula>100</formula>
    </cfRule>
    <cfRule type="cellIs" dxfId="2500" priority="294" stopIfTrue="1" operator="between">
      <formula>34.1</formula>
      <formula>79</formula>
    </cfRule>
    <cfRule type="cellIs" dxfId="2499" priority="295" stopIfTrue="1" operator="between">
      <formula>13.1</formula>
      <formula>34</formula>
    </cfRule>
    <cfRule type="cellIs" dxfId="2498" priority="296" stopIfTrue="1" operator="between">
      <formula>5.1</formula>
      <formula>13</formula>
    </cfRule>
    <cfRule type="cellIs" dxfId="2497" priority="297" stopIfTrue="1" operator="between">
      <formula>0</formula>
      <formula>5</formula>
    </cfRule>
    <cfRule type="containsBlanks" dxfId="2496" priority="298" stopIfTrue="1">
      <formula>LEN(TRIM(E38))=0</formula>
    </cfRule>
  </conditionalFormatting>
  <conditionalFormatting sqref="E28:G28">
    <cfRule type="containsBlanks" dxfId="2495" priority="285" stopIfTrue="1">
      <formula>LEN(TRIM(E28))=0</formula>
    </cfRule>
    <cfRule type="cellIs" dxfId="2494" priority="286" stopIfTrue="1" operator="between">
      <formula>79.1</formula>
      <formula>100</formula>
    </cfRule>
    <cfRule type="cellIs" dxfId="2493" priority="287" stopIfTrue="1" operator="between">
      <formula>34.1</formula>
      <formula>79</formula>
    </cfRule>
    <cfRule type="cellIs" dxfId="2492" priority="288" stopIfTrue="1" operator="between">
      <formula>13.1</formula>
      <formula>34</formula>
    </cfRule>
    <cfRule type="cellIs" dxfId="2491" priority="289" stopIfTrue="1" operator="between">
      <formula>5.1</formula>
      <formula>13</formula>
    </cfRule>
    <cfRule type="cellIs" dxfId="2490" priority="290" stopIfTrue="1" operator="between">
      <formula>0</formula>
      <formula>5</formula>
    </cfRule>
    <cfRule type="containsBlanks" dxfId="2489" priority="291" stopIfTrue="1">
      <formula>LEN(TRIM(E28))=0</formula>
    </cfRule>
  </conditionalFormatting>
  <conditionalFormatting sqref="E40:H40">
    <cfRule type="containsBlanks" dxfId="2488" priority="278" stopIfTrue="1">
      <formula>LEN(TRIM(E40))=0</formula>
    </cfRule>
    <cfRule type="cellIs" dxfId="2487" priority="279" stopIfTrue="1" operator="between">
      <formula>79.1</formula>
      <formula>100</formula>
    </cfRule>
    <cfRule type="cellIs" dxfId="2486" priority="280" stopIfTrue="1" operator="between">
      <formula>34.1</formula>
      <formula>79</formula>
    </cfRule>
    <cfRule type="cellIs" dxfId="2485" priority="281" stopIfTrue="1" operator="between">
      <formula>13.1</formula>
      <formula>34</formula>
    </cfRule>
    <cfRule type="cellIs" dxfId="2484" priority="282" stopIfTrue="1" operator="between">
      <formula>5.1</formula>
      <formula>13</formula>
    </cfRule>
    <cfRule type="cellIs" dxfId="2483" priority="283" stopIfTrue="1" operator="between">
      <formula>0</formula>
      <formula>5</formula>
    </cfRule>
    <cfRule type="containsBlanks" dxfId="2482" priority="284" stopIfTrue="1">
      <formula>LEN(TRIM(E40))=0</formula>
    </cfRule>
  </conditionalFormatting>
  <conditionalFormatting sqref="I40">
    <cfRule type="containsBlanks" dxfId="2481" priority="271" stopIfTrue="1">
      <formula>LEN(TRIM(I40))=0</formula>
    </cfRule>
    <cfRule type="cellIs" dxfId="2480" priority="272" stopIfTrue="1" operator="between">
      <formula>79.1</formula>
      <formula>100</formula>
    </cfRule>
    <cfRule type="cellIs" dxfId="2479" priority="273" stopIfTrue="1" operator="between">
      <formula>34.1</formula>
      <formula>79</formula>
    </cfRule>
    <cfRule type="cellIs" dxfId="2478" priority="274" stopIfTrue="1" operator="between">
      <formula>13.1</formula>
      <formula>34</formula>
    </cfRule>
    <cfRule type="cellIs" dxfId="2477" priority="275" stopIfTrue="1" operator="between">
      <formula>5.1</formula>
      <formula>13</formula>
    </cfRule>
    <cfRule type="cellIs" dxfId="2476" priority="276" stopIfTrue="1" operator="between">
      <formula>0</formula>
      <formula>5</formula>
    </cfRule>
    <cfRule type="containsBlanks" dxfId="2475" priority="277" stopIfTrue="1">
      <formula>LEN(TRIM(I40))=0</formula>
    </cfRule>
  </conditionalFormatting>
  <conditionalFormatting sqref="E41:H41 J41:N41">
    <cfRule type="containsBlanks" dxfId="2474" priority="264" stopIfTrue="1">
      <formula>LEN(TRIM(E41))=0</formula>
    </cfRule>
    <cfRule type="cellIs" dxfId="2473" priority="265" stopIfTrue="1" operator="between">
      <formula>79.1</formula>
      <formula>100</formula>
    </cfRule>
    <cfRule type="cellIs" dxfId="2472" priority="266" stopIfTrue="1" operator="between">
      <formula>34.1</formula>
      <formula>79</formula>
    </cfRule>
    <cfRule type="cellIs" dxfId="2471" priority="267" stopIfTrue="1" operator="between">
      <formula>13.1</formula>
      <formula>34</formula>
    </cfRule>
    <cfRule type="cellIs" dxfId="2470" priority="268" stopIfTrue="1" operator="between">
      <formula>5.1</formula>
      <formula>13</formula>
    </cfRule>
    <cfRule type="cellIs" dxfId="2469" priority="269" stopIfTrue="1" operator="between">
      <formula>0</formula>
      <formula>5</formula>
    </cfRule>
    <cfRule type="containsBlanks" dxfId="2468" priority="270" stopIfTrue="1">
      <formula>LEN(TRIM(E41))=0</formula>
    </cfRule>
  </conditionalFormatting>
  <conditionalFormatting sqref="I41">
    <cfRule type="containsBlanks" dxfId="2467" priority="257" stopIfTrue="1">
      <formula>LEN(TRIM(I41))=0</formula>
    </cfRule>
    <cfRule type="cellIs" dxfId="2466" priority="258" stopIfTrue="1" operator="between">
      <formula>79.1</formula>
      <formula>100</formula>
    </cfRule>
    <cfRule type="cellIs" dxfId="2465" priority="259" stopIfTrue="1" operator="between">
      <formula>34.1</formula>
      <formula>79</formula>
    </cfRule>
    <cfRule type="cellIs" dxfId="2464" priority="260" stopIfTrue="1" operator="between">
      <formula>13.1</formula>
      <formula>34</formula>
    </cfRule>
    <cfRule type="cellIs" dxfId="2463" priority="261" stopIfTrue="1" operator="between">
      <formula>5.1</formula>
      <formula>13</formula>
    </cfRule>
    <cfRule type="cellIs" dxfId="2462" priority="262" stopIfTrue="1" operator="between">
      <formula>0</formula>
      <formula>5</formula>
    </cfRule>
    <cfRule type="containsBlanks" dxfId="2461" priority="263" stopIfTrue="1">
      <formula>LEN(TRIM(I41))=0</formula>
    </cfRule>
  </conditionalFormatting>
  <conditionalFormatting sqref="E27:F27">
    <cfRule type="containsBlanks" dxfId="2460" priority="250" stopIfTrue="1">
      <formula>LEN(TRIM(E27))=0</formula>
    </cfRule>
    <cfRule type="cellIs" dxfId="2459" priority="251" stopIfTrue="1" operator="between">
      <formula>79.1</formula>
      <formula>100</formula>
    </cfRule>
    <cfRule type="cellIs" dxfId="2458" priority="252" stopIfTrue="1" operator="between">
      <formula>34.1</formula>
      <formula>79</formula>
    </cfRule>
    <cfRule type="cellIs" dxfId="2457" priority="253" stopIfTrue="1" operator="between">
      <formula>13.1</formula>
      <formula>34</formula>
    </cfRule>
    <cfRule type="cellIs" dxfId="2456" priority="254" stopIfTrue="1" operator="between">
      <formula>5.1</formula>
      <formula>13</formula>
    </cfRule>
    <cfRule type="cellIs" dxfId="2455" priority="255" stopIfTrue="1" operator="between">
      <formula>0</formula>
      <formula>5</formula>
    </cfRule>
    <cfRule type="containsBlanks" dxfId="2454" priority="256" stopIfTrue="1">
      <formula>LEN(TRIM(E27))=0</formula>
    </cfRule>
  </conditionalFormatting>
  <conditionalFormatting sqref="E51:H51">
    <cfRule type="containsBlanks" dxfId="2453" priority="243" stopIfTrue="1">
      <formula>LEN(TRIM(E51))=0</formula>
    </cfRule>
    <cfRule type="cellIs" dxfId="2452" priority="244" stopIfTrue="1" operator="between">
      <formula>79.1</formula>
      <formula>100</formula>
    </cfRule>
    <cfRule type="cellIs" dxfId="2451" priority="245" stopIfTrue="1" operator="between">
      <formula>34.1</formula>
      <formula>79</formula>
    </cfRule>
    <cfRule type="cellIs" dxfId="2450" priority="246" stopIfTrue="1" operator="between">
      <formula>13.1</formula>
      <formula>34</formula>
    </cfRule>
    <cfRule type="cellIs" dxfId="2449" priority="247" stopIfTrue="1" operator="between">
      <formula>5.1</formula>
      <formula>13</formula>
    </cfRule>
    <cfRule type="cellIs" dxfId="2448" priority="248" stopIfTrue="1" operator="between">
      <formula>0</formula>
      <formula>5</formula>
    </cfRule>
    <cfRule type="containsBlanks" dxfId="2447" priority="249" stopIfTrue="1">
      <formula>LEN(TRIM(E51))=0</formula>
    </cfRule>
  </conditionalFormatting>
  <conditionalFormatting sqref="E26:H26 J26">
    <cfRule type="containsBlanks" dxfId="2446" priority="236" stopIfTrue="1">
      <formula>LEN(TRIM(E26))=0</formula>
    </cfRule>
    <cfRule type="cellIs" dxfId="2445" priority="237" stopIfTrue="1" operator="between">
      <formula>79.1</formula>
      <formula>100</formula>
    </cfRule>
    <cfRule type="cellIs" dxfId="2444" priority="238" stopIfTrue="1" operator="between">
      <formula>34.1</formula>
      <formula>79</formula>
    </cfRule>
    <cfRule type="cellIs" dxfId="2443" priority="239" stopIfTrue="1" operator="between">
      <formula>13.1</formula>
      <formula>34</formula>
    </cfRule>
    <cfRule type="cellIs" dxfId="2442" priority="240" stopIfTrue="1" operator="between">
      <formula>5.1</formula>
      <formula>13</formula>
    </cfRule>
    <cfRule type="cellIs" dxfId="2441" priority="241" stopIfTrue="1" operator="between">
      <formula>0</formula>
      <formula>5</formula>
    </cfRule>
    <cfRule type="containsBlanks" dxfId="2440" priority="242" stopIfTrue="1">
      <formula>LEN(TRIM(E26))=0</formula>
    </cfRule>
  </conditionalFormatting>
  <conditionalFormatting sqref="I26">
    <cfRule type="containsBlanks" dxfId="2439" priority="229" stopIfTrue="1">
      <formula>LEN(TRIM(I26))=0</formula>
    </cfRule>
    <cfRule type="cellIs" dxfId="2438" priority="230" stopIfTrue="1" operator="between">
      <formula>79.1</formula>
      <formula>100</formula>
    </cfRule>
    <cfRule type="cellIs" dxfId="2437" priority="231" stopIfTrue="1" operator="between">
      <formula>34.1</formula>
      <formula>79</formula>
    </cfRule>
    <cfRule type="cellIs" dxfId="2436" priority="232" stopIfTrue="1" operator="between">
      <formula>13.1</formula>
      <formula>34</formula>
    </cfRule>
    <cfRule type="cellIs" dxfId="2435" priority="233" stopIfTrue="1" operator="between">
      <formula>5.1</formula>
      <formula>13</formula>
    </cfRule>
    <cfRule type="cellIs" dxfId="2434" priority="234" stopIfTrue="1" operator="between">
      <formula>0</formula>
      <formula>5</formula>
    </cfRule>
    <cfRule type="containsBlanks" dxfId="2433" priority="235" stopIfTrue="1">
      <formula>LEN(TRIM(I26))=0</formula>
    </cfRule>
  </conditionalFormatting>
  <conditionalFormatting sqref="E50:F50">
    <cfRule type="containsBlanks" dxfId="2432" priority="222" stopIfTrue="1">
      <formula>LEN(TRIM(E50))=0</formula>
    </cfRule>
    <cfRule type="cellIs" dxfId="2431" priority="223" stopIfTrue="1" operator="between">
      <formula>79.1</formula>
      <formula>100</formula>
    </cfRule>
    <cfRule type="cellIs" dxfId="2430" priority="224" stopIfTrue="1" operator="between">
      <formula>34.1</formula>
      <formula>79</formula>
    </cfRule>
    <cfRule type="cellIs" dxfId="2429" priority="225" stopIfTrue="1" operator="between">
      <formula>13.1</formula>
      <formula>34</formula>
    </cfRule>
    <cfRule type="cellIs" dxfId="2428" priority="226" stopIfTrue="1" operator="between">
      <formula>5.1</formula>
      <formula>13</formula>
    </cfRule>
    <cfRule type="cellIs" dxfId="2427" priority="227" stopIfTrue="1" operator="between">
      <formula>0</formula>
      <formula>5</formula>
    </cfRule>
    <cfRule type="containsBlanks" dxfId="2426" priority="228" stopIfTrue="1">
      <formula>LEN(TRIM(E50))=0</formula>
    </cfRule>
  </conditionalFormatting>
  <conditionalFormatting sqref="E25:H25 J25:K25">
    <cfRule type="containsBlanks" dxfId="2425" priority="215" stopIfTrue="1">
      <formula>LEN(TRIM(E25))=0</formula>
    </cfRule>
    <cfRule type="cellIs" dxfId="2424" priority="216" stopIfTrue="1" operator="between">
      <formula>79.1</formula>
      <formula>100</formula>
    </cfRule>
    <cfRule type="cellIs" dxfId="2423" priority="217" stopIfTrue="1" operator="between">
      <formula>34.1</formula>
      <formula>79</formula>
    </cfRule>
    <cfRule type="cellIs" dxfId="2422" priority="218" stopIfTrue="1" operator="between">
      <formula>13.1</formula>
      <formula>34</formula>
    </cfRule>
    <cfRule type="cellIs" dxfId="2421" priority="219" stopIfTrue="1" operator="between">
      <formula>5.1</formula>
      <formula>13</formula>
    </cfRule>
    <cfRule type="cellIs" dxfId="2420" priority="220" stopIfTrue="1" operator="between">
      <formula>0</formula>
      <formula>5</formula>
    </cfRule>
    <cfRule type="containsBlanks" dxfId="2419" priority="221" stopIfTrue="1">
      <formula>LEN(TRIM(E25))=0</formula>
    </cfRule>
  </conditionalFormatting>
  <conditionalFormatting sqref="I25">
    <cfRule type="containsBlanks" dxfId="2418" priority="208" stopIfTrue="1">
      <formula>LEN(TRIM(I25))=0</formula>
    </cfRule>
    <cfRule type="cellIs" dxfId="2417" priority="209" stopIfTrue="1" operator="between">
      <formula>79.1</formula>
      <formula>100</formula>
    </cfRule>
    <cfRule type="cellIs" dxfId="2416" priority="210" stopIfTrue="1" operator="between">
      <formula>34.1</formula>
      <formula>79</formula>
    </cfRule>
    <cfRule type="cellIs" dxfId="2415" priority="211" stopIfTrue="1" operator="between">
      <formula>13.1</formula>
      <formula>34</formula>
    </cfRule>
    <cfRule type="cellIs" dxfId="2414" priority="212" stopIfTrue="1" operator="between">
      <formula>5.1</formula>
      <formula>13</formula>
    </cfRule>
    <cfRule type="cellIs" dxfId="2413" priority="213" stopIfTrue="1" operator="between">
      <formula>0</formula>
      <formula>5</formula>
    </cfRule>
    <cfRule type="containsBlanks" dxfId="2412" priority="214" stopIfTrue="1">
      <formula>LEN(TRIM(I25))=0</formula>
    </cfRule>
  </conditionalFormatting>
  <conditionalFormatting sqref="E58:N58">
    <cfRule type="containsBlanks" dxfId="2411" priority="201" stopIfTrue="1">
      <formula>LEN(TRIM(E58))=0</formula>
    </cfRule>
    <cfRule type="cellIs" dxfId="2410" priority="202" stopIfTrue="1" operator="between">
      <formula>79.1</formula>
      <formula>100</formula>
    </cfRule>
    <cfRule type="cellIs" dxfId="2409" priority="203" stopIfTrue="1" operator="between">
      <formula>34.1</formula>
      <formula>79</formula>
    </cfRule>
    <cfRule type="cellIs" dxfId="2408" priority="204" stopIfTrue="1" operator="between">
      <formula>13.1</formula>
      <formula>34</formula>
    </cfRule>
    <cfRule type="cellIs" dxfId="2407" priority="205" stopIfTrue="1" operator="between">
      <formula>5.1</formula>
      <formula>13</formula>
    </cfRule>
    <cfRule type="cellIs" dxfId="2406" priority="206" stopIfTrue="1" operator="between">
      <formula>0</formula>
      <formula>5</formula>
    </cfRule>
    <cfRule type="containsBlanks" dxfId="2405" priority="207" stopIfTrue="1">
      <formula>LEN(TRIM(E58))=0</formula>
    </cfRule>
  </conditionalFormatting>
  <conditionalFormatting sqref="E59:P63">
    <cfRule type="containsBlanks" dxfId="2404" priority="194" stopIfTrue="1">
      <formula>LEN(TRIM(E59))=0</formula>
    </cfRule>
    <cfRule type="cellIs" dxfId="2403" priority="195" stopIfTrue="1" operator="between">
      <formula>79.1</formula>
      <formula>100</formula>
    </cfRule>
    <cfRule type="cellIs" dxfId="2402" priority="196" stopIfTrue="1" operator="between">
      <formula>34.1</formula>
      <formula>79</formula>
    </cfRule>
    <cfRule type="cellIs" dxfId="2401" priority="197" stopIfTrue="1" operator="between">
      <formula>13.1</formula>
      <formula>34</formula>
    </cfRule>
    <cfRule type="cellIs" dxfId="2400" priority="198" stopIfTrue="1" operator="between">
      <formula>5.1</formula>
      <formula>13</formula>
    </cfRule>
    <cfRule type="cellIs" dxfId="2399" priority="199" stopIfTrue="1" operator="between">
      <formula>0</formula>
      <formula>5</formula>
    </cfRule>
    <cfRule type="containsBlanks" dxfId="2398" priority="200" stopIfTrue="1">
      <formula>LEN(TRIM(E59))=0</formula>
    </cfRule>
  </conditionalFormatting>
  <conditionalFormatting sqref="E64:P68">
    <cfRule type="containsBlanks" dxfId="2397" priority="187" stopIfTrue="1">
      <formula>LEN(TRIM(E64))=0</formula>
    </cfRule>
    <cfRule type="cellIs" dxfId="2396" priority="188" stopIfTrue="1" operator="between">
      <formula>79.1</formula>
      <formula>100</formula>
    </cfRule>
    <cfRule type="cellIs" dxfId="2395" priority="189" stopIfTrue="1" operator="between">
      <formula>34.1</formula>
      <formula>79</formula>
    </cfRule>
    <cfRule type="cellIs" dxfId="2394" priority="190" stopIfTrue="1" operator="between">
      <formula>13.1</formula>
      <formula>34</formula>
    </cfRule>
    <cfRule type="cellIs" dxfId="2393" priority="191" stopIfTrue="1" operator="between">
      <formula>5.1</formula>
      <formula>13</formula>
    </cfRule>
    <cfRule type="cellIs" dxfId="2392" priority="192" stopIfTrue="1" operator="between">
      <formula>0</formula>
      <formula>5</formula>
    </cfRule>
    <cfRule type="containsBlanks" dxfId="2391" priority="193" stopIfTrue="1">
      <formula>LEN(TRIM(E64))=0</formula>
    </cfRule>
  </conditionalFormatting>
  <conditionalFormatting sqref="K69:K70">
    <cfRule type="containsBlanks" dxfId="2390" priority="180" stopIfTrue="1">
      <formula>LEN(TRIM(K69))=0</formula>
    </cfRule>
    <cfRule type="cellIs" dxfId="2389" priority="181" stopIfTrue="1" operator="between">
      <formula>79.1</formula>
      <formula>100</formula>
    </cfRule>
    <cfRule type="cellIs" dxfId="2388" priority="182" stopIfTrue="1" operator="between">
      <formula>34.1</formula>
      <formula>79</formula>
    </cfRule>
    <cfRule type="cellIs" dxfId="2387" priority="183" stopIfTrue="1" operator="between">
      <formula>13.1</formula>
      <formula>34</formula>
    </cfRule>
    <cfRule type="cellIs" dxfId="2386" priority="184" stopIfTrue="1" operator="between">
      <formula>5.1</formula>
      <formula>13</formula>
    </cfRule>
    <cfRule type="cellIs" dxfId="2385" priority="185" stopIfTrue="1" operator="between">
      <formula>0</formula>
      <formula>5</formula>
    </cfRule>
    <cfRule type="containsBlanks" dxfId="2384" priority="186" stopIfTrue="1">
      <formula>LEN(TRIM(K69))=0</formula>
    </cfRule>
  </conditionalFormatting>
  <conditionalFormatting sqref="E69:J70">
    <cfRule type="containsBlanks" dxfId="2383" priority="173" stopIfTrue="1">
      <formula>LEN(TRIM(E69))=0</formula>
    </cfRule>
    <cfRule type="cellIs" dxfId="2382" priority="174" stopIfTrue="1" operator="between">
      <formula>79.1</formula>
      <formula>100</formula>
    </cfRule>
    <cfRule type="cellIs" dxfId="2381" priority="175" stopIfTrue="1" operator="between">
      <formula>34.1</formula>
      <formula>79</formula>
    </cfRule>
    <cfRule type="cellIs" dxfId="2380" priority="176" stopIfTrue="1" operator="between">
      <formula>13.1</formula>
      <formula>34</formula>
    </cfRule>
    <cfRule type="cellIs" dxfId="2379" priority="177" stopIfTrue="1" operator="between">
      <formula>5.1</formula>
      <formula>13</formula>
    </cfRule>
    <cfRule type="cellIs" dxfId="2378" priority="178" stopIfTrue="1" operator="between">
      <formula>0</formula>
      <formula>5</formula>
    </cfRule>
    <cfRule type="containsBlanks" dxfId="2377" priority="179" stopIfTrue="1">
      <formula>LEN(TRIM(E69))=0</formula>
    </cfRule>
  </conditionalFormatting>
  <conditionalFormatting sqref="E71:J71">
    <cfRule type="containsBlanks" dxfId="2376" priority="166" stopIfTrue="1">
      <formula>LEN(TRIM(E71))=0</formula>
    </cfRule>
    <cfRule type="cellIs" dxfId="2375" priority="167" stopIfTrue="1" operator="between">
      <formula>79.1</formula>
      <formula>100</formula>
    </cfRule>
    <cfRule type="cellIs" dxfId="2374" priority="168" stopIfTrue="1" operator="between">
      <formula>34.1</formula>
      <formula>79</formula>
    </cfRule>
    <cfRule type="cellIs" dxfId="2373" priority="169" stopIfTrue="1" operator="between">
      <formula>13.1</formula>
      <formula>34</formula>
    </cfRule>
    <cfRule type="cellIs" dxfId="2372" priority="170" stopIfTrue="1" operator="between">
      <formula>5.1</formula>
      <formula>13</formula>
    </cfRule>
    <cfRule type="cellIs" dxfId="2371" priority="171" stopIfTrue="1" operator="between">
      <formula>0</formula>
      <formula>5</formula>
    </cfRule>
    <cfRule type="containsBlanks" dxfId="2370" priority="172" stopIfTrue="1">
      <formula>LEN(TRIM(E71))=0</formula>
    </cfRule>
  </conditionalFormatting>
  <conditionalFormatting sqref="E72:O73">
    <cfRule type="containsBlanks" dxfId="2369" priority="159" stopIfTrue="1">
      <formula>LEN(TRIM(E72))=0</formula>
    </cfRule>
    <cfRule type="cellIs" dxfId="2368" priority="160" stopIfTrue="1" operator="between">
      <formula>79.1</formula>
      <formula>100</formula>
    </cfRule>
    <cfRule type="cellIs" dxfId="2367" priority="161" stopIfTrue="1" operator="between">
      <formula>34.1</formula>
      <formula>79</formula>
    </cfRule>
    <cfRule type="cellIs" dxfId="2366" priority="162" stopIfTrue="1" operator="between">
      <formula>13.1</formula>
      <formula>34</formula>
    </cfRule>
    <cfRule type="cellIs" dxfId="2365" priority="163" stopIfTrue="1" operator="between">
      <formula>5.1</formula>
      <formula>13</formula>
    </cfRule>
    <cfRule type="cellIs" dxfId="2364" priority="164" stopIfTrue="1" operator="between">
      <formula>0</formula>
      <formula>5</formula>
    </cfRule>
    <cfRule type="containsBlanks" dxfId="2363" priority="165" stopIfTrue="1">
      <formula>LEN(TRIM(E72))=0</formula>
    </cfRule>
  </conditionalFormatting>
  <conditionalFormatting sqref="E75:P75">
    <cfRule type="containsBlanks" dxfId="2362" priority="152" stopIfTrue="1">
      <formula>LEN(TRIM(E75))=0</formula>
    </cfRule>
    <cfRule type="cellIs" dxfId="2361" priority="153" stopIfTrue="1" operator="between">
      <formula>80.1</formula>
      <formula>100</formula>
    </cfRule>
    <cfRule type="cellIs" dxfId="2360" priority="154" stopIfTrue="1" operator="between">
      <formula>35.1</formula>
      <formula>80</formula>
    </cfRule>
    <cfRule type="cellIs" dxfId="2359" priority="155" stopIfTrue="1" operator="between">
      <formula>14.1</formula>
      <formula>35</formula>
    </cfRule>
    <cfRule type="cellIs" dxfId="2358" priority="156" stopIfTrue="1" operator="between">
      <formula>5.1</formula>
      <formula>14</formula>
    </cfRule>
    <cfRule type="cellIs" dxfId="2357" priority="157" stopIfTrue="1" operator="between">
      <formula>0</formula>
      <formula>5</formula>
    </cfRule>
    <cfRule type="containsBlanks" dxfId="2356" priority="158" stopIfTrue="1">
      <formula>LEN(TRIM(E75))=0</formula>
    </cfRule>
  </conditionalFormatting>
  <conditionalFormatting sqref="E76:N76">
    <cfRule type="containsBlanks" dxfId="2355" priority="145" stopIfTrue="1">
      <formula>LEN(TRIM(E76))=0</formula>
    </cfRule>
    <cfRule type="cellIs" dxfId="2354" priority="146" stopIfTrue="1" operator="between">
      <formula>80.1</formula>
      <formula>100</formula>
    </cfRule>
    <cfRule type="cellIs" dxfId="2353" priority="147" stopIfTrue="1" operator="between">
      <formula>35.1</formula>
      <formula>80</formula>
    </cfRule>
    <cfRule type="cellIs" dxfId="2352" priority="148" stopIfTrue="1" operator="between">
      <formula>14.1</formula>
      <formula>35</formula>
    </cfRule>
    <cfRule type="cellIs" dxfId="2351" priority="149" stopIfTrue="1" operator="between">
      <formula>5.1</formula>
      <formula>14</formula>
    </cfRule>
    <cfRule type="cellIs" dxfId="2350" priority="150" stopIfTrue="1" operator="between">
      <formula>0</formula>
      <formula>5</formula>
    </cfRule>
    <cfRule type="containsBlanks" dxfId="2349" priority="151" stopIfTrue="1">
      <formula>LEN(TRIM(E76))=0</formula>
    </cfRule>
  </conditionalFormatting>
  <conditionalFormatting sqref="E77:P80">
    <cfRule type="containsBlanks" dxfId="2348" priority="138" stopIfTrue="1">
      <formula>LEN(TRIM(E77))=0</formula>
    </cfRule>
    <cfRule type="cellIs" dxfId="2347" priority="139" stopIfTrue="1" operator="between">
      <formula>80.1</formula>
      <formula>100</formula>
    </cfRule>
    <cfRule type="cellIs" dxfId="2346" priority="140" stopIfTrue="1" operator="between">
      <formula>35.1</formula>
      <formula>80</formula>
    </cfRule>
    <cfRule type="cellIs" dxfId="2345" priority="141" stopIfTrue="1" operator="between">
      <formula>14.1</formula>
      <formula>35</formula>
    </cfRule>
    <cfRule type="cellIs" dxfId="2344" priority="142" stopIfTrue="1" operator="between">
      <formula>5.1</formula>
      <formula>14</formula>
    </cfRule>
    <cfRule type="cellIs" dxfId="2343" priority="143" stopIfTrue="1" operator="between">
      <formula>0</formula>
      <formula>5</formula>
    </cfRule>
    <cfRule type="containsBlanks" dxfId="2342" priority="144" stopIfTrue="1">
      <formula>LEN(TRIM(E77))=0</formula>
    </cfRule>
  </conditionalFormatting>
  <conditionalFormatting sqref="E83:G83">
    <cfRule type="containsBlanks" dxfId="2341" priority="131" stopIfTrue="1">
      <formula>LEN(TRIM(E83))=0</formula>
    </cfRule>
    <cfRule type="cellIs" dxfId="2340" priority="132" stopIfTrue="1" operator="between">
      <formula>80.1</formula>
      <formula>100</formula>
    </cfRule>
    <cfRule type="cellIs" dxfId="2339" priority="133" stopIfTrue="1" operator="between">
      <formula>35.1</formula>
      <formula>80</formula>
    </cfRule>
    <cfRule type="cellIs" dxfId="2338" priority="134" stopIfTrue="1" operator="between">
      <formula>14.1</formula>
      <formula>35</formula>
    </cfRule>
    <cfRule type="cellIs" dxfId="2337" priority="135" stopIfTrue="1" operator="between">
      <formula>5.1</formula>
      <formula>14</formula>
    </cfRule>
    <cfRule type="cellIs" dxfId="2336" priority="136" stopIfTrue="1" operator="between">
      <formula>0</formula>
      <formula>5</formula>
    </cfRule>
    <cfRule type="containsBlanks" dxfId="2335" priority="137" stopIfTrue="1">
      <formula>LEN(TRIM(E83))=0</formula>
    </cfRule>
  </conditionalFormatting>
  <conditionalFormatting sqref="E84:I84">
    <cfRule type="containsBlanks" dxfId="2334" priority="124" stopIfTrue="1">
      <formula>LEN(TRIM(E84))=0</formula>
    </cfRule>
    <cfRule type="cellIs" dxfId="2333" priority="125" stopIfTrue="1" operator="between">
      <formula>79.1</formula>
      <formula>100</formula>
    </cfRule>
    <cfRule type="cellIs" dxfId="2332" priority="126" stopIfTrue="1" operator="between">
      <formula>34.1</formula>
      <formula>79</formula>
    </cfRule>
    <cfRule type="cellIs" dxfId="2331" priority="127" stopIfTrue="1" operator="between">
      <formula>13.1</formula>
      <formula>34</formula>
    </cfRule>
    <cfRule type="cellIs" dxfId="2330" priority="128" stopIfTrue="1" operator="between">
      <formula>5.1</formula>
      <formula>13</formula>
    </cfRule>
    <cfRule type="cellIs" dxfId="2329" priority="129" stopIfTrue="1" operator="between">
      <formula>0</formula>
      <formula>5</formula>
    </cfRule>
    <cfRule type="containsBlanks" dxfId="2328" priority="130" stopIfTrue="1">
      <formula>LEN(TRIM(E84))=0</formula>
    </cfRule>
  </conditionalFormatting>
  <conditionalFormatting sqref="E88:M92">
    <cfRule type="containsBlanks" dxfId="2327" priority="117" stopIfTrue="1">
      <formula>LEN(TRIM(E88))=0</formula>
    </cfRule>
    <cfRule type="cellIs" dxfId="2326" priority="118" stopIfTrue="1" operator="between">
      <formula>79.1</formula>
      <formula>100</formula>
    </cfRule>
    <cfRule type="cellIs" dxfId="2325" priority="119" stopIfTrue="1" operator="between">
      <formula>34.1</formula>
      <formula>79</formula>
    </cfRule>
    <cfRule type="cellIs" dxfId="2324" priority="120" stopIfTrue="1" operator="between">
      <formula>13.1</formula>
      <formula>34</formula>
    </cfRule>
    <cfRule type="cellIs" dxfId="2323" priority="121" stopIfTrue="1" operator="between">
      <formula>5.1</formula>
      <formula>13</formula>
    </cfRule>
    <cfRule type="cellIs" dxfId="2322" priority="122" stopIfTrue="1" operator="between">
      <formula>0</formula>
      <formula>5</formula>
    </cfRule>
    <cfRule type="containsBlanks" dxfId="2321" priority="123" stopIfTrue="1">
      <formula>LEN(TRIM(E88))=0</formula>
    </cfRule>
  </conditionalFormatting>
  <conditionalFormatting sqref="E93:P97">
    <cfRule type="containsBlanks" dxfId="2320" priority="110" stopIfTrue="1">
      <formula>LEN(TRIM(E93))=0</formula>
    </cfRule>
    <cfRule type="cellIs" dxfId="2319" priority="111" stopIfTrue="1" operator="between">
      <formula>79.1</formula>
      <formula>100</formula>
    </cfRule>
    <cfRule type="cellIs" dxfId="2318" priority="112" stopIfTrue="1" operator="between">
      <formula>34.1</formula>
      <formula>79</formula>
    </cfRule>
    <cfRule type="cellIs" dxfId="2317" priority="113" stopIfTrue="1" operator="between">
      <formula>13.1</formula>
      <formula>34</formula>
    </cfRule>
    <cfRule type="cellIs" dxfId="2316" priority="114" stopIfTrue="1" operator="between">
      <formula>5.1</formula>
      <formula>13</formula>
    </cfRule>
    <cfRule type="cellIs" dxfId="2315" priority="115" stopIfTrue="1" operator="between">
      <formula>0</formula>
      <formula>5</formula>
    </cfRule>
    <cfRule type="containsBlanks" dxfId="2314" priority="116" stopIfTrue="1">
      <formula>LEN(TRIM(E93))=0</formula>
    </cfRule>
  </conditionalFormatting>
  <conditionalFormatting sqref="E98:N98">
    <cfRule type="containsBlanks" dxfId="2313" priority="103" stopIfTrue="1">
      <formula>LEN(TRIM(E98))=0</formula>
    </cfRule>
    <cfRule type="cellIs" dxfId="2312" priority="104" stopIfTrue="1" operator="between">
      <formula>79.1</formula>
      <formula>100</formula>
    </cfRule>
    <cfRule type="cellIs" dxfId="2311" priority="105" stopIfTrue="1" operator="between">
      <formula>34.1</formula>
      <formula>79</formula>
    </cfRule>
    <cfRule type="cellIs" dxfId="2310" priority="106" stopIfTrue="1" operator="between">
      <formula>13.1</formula>
      <formula>34</formula>
    </cfRule>
    <cfRule type="cellIs" dxfId="2309" priority="107" stopIfTrue="1" operator="between">
      <formula>5.1</formula>
      <formula>13</formula>
    </cfRule>
    <cfRule type="cellIs" dxfId="2308" priority="108" stopIfTrue="1" operator="between">
      <formula>0</formula>
      <formula>5</formula>
    </cfRule>
    <cfRule type="containsBlanks" dxfId="2307" priority="109" stopIfTrue="1">
      <formula>LEN(TRIM(E98))=0</formula>
    </cfRule>
  </conditionalFormatting>
  <conditionalFormatting sqref="E103:P105">
    <cfRule type="containsBlanks" dxfId="2306" priority="96" stopIfTrue="1">
      <formula>LEN(TRIM(E103))=0</formula>
    </cfRule>
    <cfRule type="cellIs" dxfId="2305" priority="97" stopIfTrue="1" operator="between">
      <formula>79.1</formula>
      <formula>100</formula>
    </cfRule>
    <cfRule type="cellIs" dxfId="2304" priority="98" stopIfTrue="1" operator="between">
      <formula>34.1</formula>
      <formula>79</formula>
    </cfRule>
    <cfRule type="cellIs" dxfId="2303" priority="99" stopIfTrue="1" operator="between">
      <formula>13.1</formula>
      <formula>34</formula>
    </cfRule>
    <cfRule type="cellIs" dxfId="2302" priority="100" stopIfTrue="1" operator="between">
      <formula>5.1</formula>
      <formula>13</formula>
    </cfRule>
    <cfRule type="cellIs" dxfId="2301" priority="101" stopIfTrue="1" operator="between">
      <formula>0</formula>
      <formula>5</formula>
    </cfRule>
    <cfRule type="containsBlanks" dxfId="2300" priority="102" stopIfTrue="1">
      <formula>LEN(TRIM(E103))=0</formula>
    </cfRule>
  </conditionalFormatting>
  <conditionalFormatting sqref="Q110">
    <cfRule type="containsBlanks" dxfId="2299" priority="80" stopIfTrue="1">
      <formula>LEN(TRIM(Q110))=0</formula>
    </cfRule>
    <cfRule type="cellIs" dxfId="2298" priority="81" stopIfTrue="1" operator="between">
      <formula>80.1</formula>
      <formula>100</formula>
    </cfRule>
    <cfRule type="cellIs" dxfId="2297" priority="82" stopIfTrue="1" operator="between">
      <formula>35.1</formula>
      <formula>80</formula>
    </cfRule>
    <cfRule type="cellIs" dxfId="2296" priority="83" stopIfTrue="1" operator="between">
      <formula>14.1</formula>
      <formula>35</formula>
    </cfRule>
    <cfRule type="cellIs" dxfId="2295" priority="84" stopIfTrue="1" operator="between">
      <formula>5.1</formula>
      <formula>14</formula>
    </cfRule>
    <cfRule type="cellIs" dxfId="2294" priority="85" stopIfTrue="1" operator="between">
      <formula>0</formula>
      <formula>5</formula>
    </cfRule>
    <cfRule type="containsBlanks" dxfId="2293" priority="86" stopIfTrue="1">
      <formula>LEN(TRIM(Q110))=0</formula>
    </cfRule>
  </conditionalFormatting>
  <conditionalFormatting sqref="E110:M110">
    <cfRule type="containsBlanks" dxfId="2292" priority="67" stopIfTrue="1">
      <formula>LEN(TRIM(E110))=0</formula>
    </cfRule>
    <cfRule type="cellIs" dxfId="2291" priority="68" stopIfTrue="1" operator="between">
      <formula>79.1</formula>
      <formula>100</formula>
    </cfRule>
    <cfRule type="cellIs" dxfId="2290" priority="69" stopIfTrue="1" operator="between">
      <formula>34.1</formula>
      <formula>79</formula>
    </cfRule>
    <cfRule type="cellIs" dxfId="2289" priority="70" stopIfTrue="1" operator="between">
      <formula>13.1</formula>
      <formula>34</formula>
    </cfRule>
    <cfRule type="cellIs" dxfId="2288" priority="71" stopIfTrue="1" operator="between">
      <formula>5.1</formula>
      <formula>13</formula>
    </cfRule>
    <cfRule type="cellIs" dxfId="2287" priority="72" stopIfTrue="1" operator="between">
      <formula>0</formula>
      <formula>5</formula>
    </cfRule>
    <cfRule type="containsBlanks" dxfId="2286" priority="73" stopIfTrue="1">
      <formula>LEN(TRIM(E110))=0</formula>
    </cfRule>
  </conditionalFormatting>
  <conditionalFormatting sqref="S122:S123">
    <cfRule type="containsText" dxfId="2285" priority="53" stopIfTrue="1" operator="containsText" text="INVIABLE SANITARIAMENTE">
      <formula>NOT(ISERROR(SEARCH("INVIABLE SANITARIAMENTE",S122)))</formula>
    </cfRule>
    <cfRule type="containsText" dxfId="2284" priority="54" stopIfTrue="1" operator="containsText" text="ALTO">
      <formula>NOT(ISERROR(SEARCH("ALTO",S122)))</formula>
    </cfRule>
    <cfRule type="containsText" dxfId="2283" priority="55" stopIfTrue="1" operator="containsText" text="MEDIO">
      <formula>NOT(ISERROR(SEARCH("MEDIO",S122)))</formula>
    </cfRule>
    <cfRule type="containsText" dxfId="2282" priority="56" stopIfTrue="1" operator="containsText" text="BAJO">
      <formula>NOT(ISERROR(SEARCH("BAJO",S122)))</formula>
    </cfRule>
    <cfRule type="containsText" dxfId="2281" priority="57" stopIfTrue="1" operator="containsText" text="SIN RIESGO">
      <formula>NOT(ISERROR(SEARCH("SIN RIESGO",S122)))</formula>
    </cfRule>
  </conditionalFormatting>
  <conditionalFormatting sqref="R122:S123 R110:R121">
    <cfRule type="containsBlanks" dxfId="2280" priority="45" stopIfTrue="1">
      <formula>LEN(TRIM(R110))=0</formula>
    </cfRule>
    <cfRule type="cellIs" dxfId="2279" priority="46" stopIfTrue="1" operator="between">
      <formula>80.1</formula>
      <formula>100</formula>
    </cfRule>
    <cfRule type="cellIs" dxfId="2278" priority="47" stopIfTrue="1" operator="between">
      <formula>35.1</formula>
      <formula>80</formula>
    </cfRule>
    <cfRule type="cellIs" dxfId="2277" priority="48" stopIfTrue="1" operator="between">
      <formula>14.1</formula>
      <formula>35</formula>
    </cfRule>
    <cfRule type="cellIs" dxfId="2276" priority="49" stopIfTrue="1" operator="between">
      <formula>5.1</formula>
      <formula>14</formula>
    </cfRule>
    <cfRule type="cellIs" dxfId="2275" priority="50" stopIfTrue="1" operator="between">
      <formula>0</formula>
      <formula>5</formula>
    </cfRule>
    <cfRule type="containsBlanks" dxfId="2274" priority="51" stopIfTrue="1">
      <formula>LEN(TRIM(R110))=0</formula>
    </cfRule>
  </conditionalFormatting>
  <conditionalFormatting sqref="R111">
    <cfRule type="containsBlanks" dxfId="2273" priority="38" stopIfTrue="1">
      <formula>LEN(TRIM(R111))=0</formula>
    </cfRule>
    <cfRule type="cellIs" dxfId="2272" priority="39" stopIfTrue="1" operator="between">
      <formula>80.1</formula>
      <formula>100</formula>
    </cfRule>
    <cfRule type="cellIs" dxfId="2271" priority="40" stopIfTrue="1" operator="between">
      <formula>35.1</formula>
      <formula>80</formula>
    </cfRule>
    <cfRule type="cellIs" dxfId="2270" priority="41" stopIfTrue="1" operator="between">
      <formula>14.1</formula>
      <formula>35</formula>
    </cfRule>
    <cfRule type="cellIs" dxfId="2269" priority="42" stopIfTrue="1" operator="between">
      <formula>5.1</formula>
      <formula>14</formula>
    </cfRule>
    <cfRule type="cellIs" dxfId="2268" priority="43" stopIfTrue="1" operator="between">
      <formula>0</formula>
      <formula>5</formula>
    </cfRule>
    <cfRule type="containsBlanks" dxfId="2267" priority="44" stopIfTrue="1">
      <formula>LEN(TRIM(R111))=0</formula>
    </cfRule>
  </conditionalFormatting>
  <conditionalFormatting sqref="R18">
    <cfRule type="cellIs" dxfId="2266" priority="22" stopIfTrue="1" operator="equal">
      <formula>"NO"</formula>
    </cfRule>
  </conditionalFormatting>
  <conditionalFormatting sqref="E18:Q18">
    <cfRule type="containsBlanks" dxfId="2265" priority="14" stopIfTrue="1">
      <formula>LEN(TRIM(E18))=0</formula>
    </cfRule>
    <cfRule type="cellIs" dxfId="2264" priority="15" stopIfTrue="1" operator="between">
      <formula>80.1</formula>
      <formula>100</formula>
    </cfRule>
    <cfRule type="cellIs" dxfId="2263" priority="16" stopIfTrue="1" operator="between">
      <formula>35.1</formula>
      <formula>80</formula>
    </cfRule>
    <cfRule type="cellIs" dxfId="2262" priority="17" stopIfTrue="1" operator="between">
      <formula>14.1</formula>
      <formula>35</formula>
    </cfRule>
    <cfRule type="cellIs" dxfId="2261" priority="18" stopIfTrue="1" operator="between">
      <formula>5.1</formula>
      <formula>14</formula>
    </cfRule>
    <cfRule type="cellIs" dxfId="2260" priority="19" stopIfTrue="1" operator="between">
      <formula>0</formula>
      <formula>5</formula>
    </cfRule>
    <cfRule type="containsBlanks" dxfId="2259" priority="20" stopIfTrue="1">
      <formula>LEN(TRIM(E18))=0</formula>
    </cfRule>
  </conditionalFormatting>
  <conditionalFormatting sqref="S12:S121">
    <cfRule type="cellIs" dxfId="2258" priority="7" stopIfTrue="1" operator="equal">
      <formula>"INVIABLE SANITARIAMENTE"</formula>
    </cfRule>
  </conditionalFormatting>
  <conditionalFormatting sqref="S12:S121">
    <cfRule type="containsText" dxfId="2257" priority="2" stopIfTrue="1" operator="containsText" text="INVIABLE SANITARIAMENTE">
      <formula>NOT(ISERROR(SEARCH("INVIABLE SANITARIAMENTE",S12)))</formula>
    </cfRule>
    <cfRule type="containsText" dxfId="2256" priority="3" stopIfTrue="1" operator="containsText" text="ALTO">
      <formula>NOT(ISERROR(SEARCH("ALTO",S12)))</formula>
    </cfRule>
    <cfRule type="containsText" dxfId="2255" priority="4" stopIfTrue="1" operator="containsText" text="MEDIO">
      <formula>NOT(ISERROR(SEARCH("MEDIO",S12)))</formula>
    </cfRule>
    <cfRule type="containsText" dxfId="2254" priority="5" stopIfTrue="1" operator="containsText" text="BAJO">
      <formula>NOT(ISERROR(SEARCH("BAJO",S12)))</formula>
    </cfRule>
    <cfRule type="containsText" dxfId="2253" priority="6" stopIfTrue="1" operator="containsText" text="SIN RIESGO">
      <formula>NOT(ISERROR(SEARCH("SIN RIESGO",S12)))</formula>
    </cfRule>
  </conditionalFormatting>
  <conditionalFormatting sqref="S12:S121">
    <cfRule type="containsText" dxfId="2252" priority="1" stopIfTrue="1" operator="containsText" text="SIN RIESGO">
      <formula>NOT(ISERROR(SEARCH("SIN RIESGO",S12)))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99"/>
  <sheetViews>
    <sheetView zoomScale="60" zoomScaleNormal="80" workbookViewId="0">
      <pane xSplit="3" ySplit="11" topLeftCell="D12" activePane="bottomRight" state="frozenSplit"/>
      <selection pane="topRight" activeCell="D1" sqref="D1"/>
      <selection pane="bottomLeft" activeCell="A12" sqref="A12"/>
      <selection pane="bottomRight" activeCell="A12" sqref="A12"/>
    </sheetView>
  </sheetViews>
  <sheetFormatPr baseColWidth="10" defaultColWidth="0" defaultRowHeight="0" customHeight="1" zeroHeight="1" x14ac:dyDescent="0.2"/>
  <cols>
    <col min="1" max="1" width="34.85546875" style="148" customWidth="1"/>
    <col min="2" max="2" width="43.7109375" style="192" customWidth="1"/>
    <col min="3" max="3" width="70.85546875" style="192" customWidth="1"/>
    <col min="4" max="4" width="24.7109375" style="193" customWidth="1"/>
    <col min="5" max="18" width="10.7109375" style="170" customWidth="1"/>
    <col min="19" max="19" width="42.28515625" style="170" bestFit="1" customWidth="1"/>
    <col min="20" max="20" width="9.85546875" style="170" hidden="1" customWidth="1"/>
    <col min="21" max="16384" width="11.42578125" style="170" hidden="1"/>
  </cols>
  <sheetData>
    <row r="1" spans="1:23" ht="18" customHeight="1" x14ac:dyDescent="0.2">
      <c r="A1" s="134"/>
      <c r="B1" s="559" t="s">
        <v>258</v>
      </c>
      <c r="C1" s="559"/>
      <c r="D1" s="559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68" t="s">
        <v>546</v>
      </c>
      <c r="T1" s="138"/>
      <c r="U1" s="169"/>
      <c r="V1" s="169"/>
      <c r="W1" s="169"/>
    </row>
    <row r="2" spans="1:23" s="173" customFormat="1" ht="18" customHeight="1" x14ac:dyDescent="0.2">
      <c r="A2" s="134"/>
      <c r="B2" s="559" t="s">
        <v>259</v>
      </c>
      <c r="C2" s="559"/>
      <c r="D2" s="559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139"/>
      <c r="S2" s="171" t="s">
        <v>260</v>
      </c>
      <c r="T2" s="138"/>
      <c r="U2" s="172"/>
      <c r="V2" s="169"/>
      <c r="W2" s="169"/>
    </row>
    <row r="3" spans="1:23" ht="18" customHeight="1" x14ac:dyDescent="0.2">
      <c r="A3" s="134"/>
      <c r="B3" s="498" t="s">
        <v>4412</v>
      </c>
      <c r="C3" s="500"/>
      <c r="D3" s="499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140"/>
      <c r="S3" s="171" t="s">
        <v>547</v>
      </c>
      <c r="T3" s="138"/>
      <c r="U3" s="169"/>
      <c r="V3" s="169"/>
      <c r="W3" s="169"/>
    </row>
    <row r="4" spans="1:23" ht="18" customHeight="1" x14ac:dyDescent="0.2">
      <c r="A4" s="134"/>
      <c r="B4" s="559" t="s">
        <v>548</v>
      </c>
      <c r="C4" s="559"/>
      <c r="D4" s="559"/>
      <c r="R4" s="175"/>
      <c r="S4" s="171" t="s">
        <v>261</v>
      </c>
      <c r="T4" s="138"/>
      <c r="U4" s="169"/>
      <c r="V4" s="169"/>
      <c r="W4" s="169"/>
    </row>
    <row r="5" spans="1:23" s="176" customFormat="1" ht="15" customHeight="1" x14ac:dyDescent="0.2">
      <c r="A5" s="135"/>
      <c r="B5" s="565"/>
      <c r="C5" s="581"/>
      <c r="D5" s="564" t="s">
        <v>266</v>
      </c>
      <c r="E5" s="556" t="s">
        <v>255</v>
      </c>
      <c r="F5" s="556"/>
      <c r="G5" s="556"/>
      <c r="H5" s="580" t="s">
        <v>263</v>
      </c>
      <c r="I5" s="580"/>
      <c r="J5" s="580"/>
      <c r="K5" s="558" t="s">
        <v>264</v>
      </c>
      <c r="L5" s="558"/>
      <c r="M5" s="558"/>
      <c r="N5" s="555" t="s">
        <v>474</v>
      </c>
      <c r="O5" s="555"/>
      <c r="P5" s="555"/>
      <c r="Q5" s="549" t="s">
        <v>265</v>
      </c>
      <c r="R5" s="549"/>
      <c r="S5" s="550" t="s">
        <v>267</v>
      </c>
    </row>
    <row r="6" spans="1:23" s="176" customFormat="1" ht="12.75" customHeight="1" x14ac:dyDescent="0.2">
      <c r="A6" s="135"/>
      <c r="B6" s="565"/>
      <c r="C6" s="581"/>
      <c r="D6" s="564"/>
      <c r="E6" s="556"/>
      <c r="F6" s="556"/>
      <c r="G6" s="556"/>
      <c r="H6" s="580"/>
      <c r="I6" s="580"/>
      <c r="J6" s="580"/>
      <c r="K6" s="558"/>
      <c r="L6" s="558"/>
      <c r="M6" s="558"/>
      <c r="N6" s="555"/>
      <c r="O6" s="555"/>
      <c r="P6" s="555"/>
      <c r="Q6" s="549"/>
      <c r="R6" s="549"/>
      <c r="S6" s="550"/>
    </row>
    <row r="7" spans="1:23" s="176" customFormat="1" ht="9.75" customHeight="1" x14ac:dyDescent="0.2">
      <c r="A7" s="579"/>
      <c r="B7" s="579"/>
      <c r="C7" s="194"/>
      <c r="D7" s="13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77"/>
    </row>
    <row r="8" spans="1:23" s="176" customFormat="1" ht="5.25" customHeight="1" x14ac:dyDescent="0.2">
      <c r="A8" s="582"/>
      <c r="B8" s="582"/>
      <c r="C8" s="194"/>
      <c r="D8" s="130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77"/>
    </row>
    <row r="9" spans="1:23" s="176" customFormat="1" ht="19.5" customHeight="1" x14ac:dyDescent="0.2">
      <c r="A9" s="511" t="s">
        <v>625</v>
      </c>
      <c r="B9" s="124"/>
      <c r="C9" s="195"/>
      <c r="D9" s="131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5"/>
    </row>
    <row r="10" spans="1:23" ht="18" customHeight="1" x14ac:dyDescent="0.2">
      <c r="A10" s="563" t="s">
        <v>37</v>
      </c>
      <c r="B10" s="547" t="s">
        <v>38</v>
      </c>
      <c r="C10" s="547" t="s">
        <v>262</v>
      </c>
      <c r="D10" s="572" t="s">
        <v>454</v>
      </c>
      <c r="E10" s="552" t="s">
        <v>33</v>
      </c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48" t="s">
        <v>34</v>
      </c>
      <c r="R10" s="548" t="s">
        <v>36</v>
      </c>
      <c r="S10" s="547" t="s">
        <v>35</v>
      </c>
      <c r="T10" s="142"/>
    </row>
    <row r="11" spans="1:23" ht="24" customHeight="1" x14ac:dyDescent="0.2">
      <c r="A11" s="577"/>
      <c r="B11" s="572"/>
      <c r="C11" s="572"/>
      <c r="D11" s="573"/>
      <c r="E11" s="420" t="s">
        <v>21</v>
      </c>
      <c r="F11" s="420" t="s">
        <v>22</v>
      </c>
      <c r="G11" s="420" t="s">
        <v>23</v>
      </c>
      <c r="H11" s="420" t="s">
        <v>24</v>
      </c>
      <c r="I11" s="420" t="s">
        <v>25</v>
      </c>
      <c r="J11" s="420" t="s">
        <v>26</v>
      </c>
      <c r="K11" s="420" t="s">
        <v>27</v>
      </c>
      <c r="L11" s="420" t="s">
        <v>28</v>
      </c>
      <c r="M11" s="420" t="s">
        <v>29</v>
      </c>
      <c r="N11" s="420" t="s">
        <v>30</v>
      </c>
      <c r="O11" s="420" t="s">
        <v>31</v>
      </c>
      <c r="P11" s="420" t="s">
        <v>32</v>
      </c>
      <c r="Q11" s="576"/>
      <c r="R11" s="575"/>
      <c r="S11" s="576"/>
      <c r="T11" s="142"/>
    </row>
    <row r="12" spans="1:23" s="178" customFormat="1" ht="32.1" customHeight="1" x14ac:dyDescent="0.2">
      <c r="A12" s="127" t="s">
        <v>207</v>
      </c>
      <c r="B12" s="99" t="s">
        <v>493</v>
      </c>
      <c r="C12" s="113" t="s">
        <v>549</v>
      </c>
      <c r="D12" s="121">
        <v>17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45" t="e">
        <f t="shared" ref="Q12:Q75" si="0">AVERAGE(E12:P12)</f>
        <v>#DIV/0!</v>
      </c>
      <c r="R12" s="151" t="e">
        <f t="shared" ref="R12:R75" si="1">IF(Q12&lt;5,"SI","NO")</f>
        <v>#DIV/0!</v>
      </c>
      <c r="S12" s="152" t="e">
        <f t="shared" ref="S12:S43" si="2">IF(Q12&lt;=5,"Sin Riesgo",IF(Q12 &lt;=14,"Bajo",IF(Q12&lt;=35,"Medio",IF(Q12&lt;=80,"Alto","Inviable Sanitariamente"))))</f>
        <v>#DIV/0!</v>
      </c>
    </row>
    <row r="13" spans="1:23" s="178" customFormat="1" ht="32.1" customHeight="1" x14ac:dyDescent="0.2">
      <c r="A13" s="127" t="s">
        <v>207</v>
      </c>
      <c r="B13" s="99" t="s">
        <v>550</v>
      </c>
      <c r="C13" s="113" t="s">
        <v>551</v>
      </c>
      <c r="D13" s="121">
        <v>32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145" t="e">
        <f t="shared" si="0"/>
        <v>#DIV/0!</v>
      </c>
      <c r="R13" s="151" t="e">
        <f t="shared" si="1"/>
        <v>#DIV/0!</v>
      </c>
      <c r="S13" s="152" t="e">
        <f t="shared" si="2"/>
        <v>#DIV/0!</v>
      </c>
    </row>
    <row r="14" spans="1:23" s="178" customFormat="1" ht="32.1" customHeight="1" x14ac:dyDescent="0.2">
      <c r="A14" s="127" t="s">
        <v>207</v>
      </c>
      <c r="B14" s="99" t="s">
        <v>0</v>
      </c>
      <c r="C14" s="113" t="s">
        <v>423</v>
      </c>
      <c r="D14" s="121">
        <v>101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145" t="e">
        <f t="shared" si="0"/>
        <v>#DIV/0!</v>
      </c>
      <c r="R14" s="151" t="e">
        <f t="shared" si="1"/>
        <v>#DIV/0!</v>
      </c>
      <c r="S14" s="152" t="e">
        <f t="shared" si="2"/>
        <v>#DIV/0!</v>
      </c>
    </row>
    <row r="15" spans="1:23" s="178" customFormat="1" ht="32.1" customHeight="1" x14ac:dyDescent="0.2">
      <c r="A15" s="127" t="s">
        <v>207</v>
      </c>
      <c r="B15" s="99" t="s">
        <v>552</v>
      </c>
      <c r="C15" s="196" t="s">
        <v>553</v>
      </c>
      <c r="D15" s="121">
        <v>136</v>
      </c>
      <c r="E15" s="81"/>
      <c r="F15" s="81">
        <v>97.4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145">
        <f t="shared" si="0"/>
        <v>97.4</v>
      </c>
      <c r="R15" s="151" t="str">
        <f t="shared" si="1"/>
        <v>NO</v>
      </c>
      <c r="S15" s="152" t="str">
        <f t="shared" si="2"/>
        <v>Inviable Sanitariamente</v>
      </c>
    </row>
    <row r="16" spans="1:23" s="178" customFormat="1" ht="32.1" customHeight="1" x14ac:dyDescent="0.2">
      <c r="A16" s="127" t="s">
        <v>207</v>
      </c>
      <c r="B16" s="99" t="s">
        <v>2</v>
      </c>
      <c r="C16" s="113" t="s">
        <v>412</v>
      </c>
      <c r="D16" s="121">
        <v>27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145" t="e">
        <f t="shared" si="0"/>
        <v>#DIV/0!</v>
      </c>
      <c r="R16" s="151" t="e">
        <f t="shared" si="1"/>
        <v>#DIV/0!</v>
      </c>
      <c r="S16" s="152" t="e">
        <f t="shared" si="2"/>
        <v>#DIV/0!</v>
      </c>
    </row>
    <row r="17" spans="1:19" s="178" customFormat="1" ht="32.1" customHeight="1" x14ac:dyDescent="0.2">
      <c r="A17" s="127" t="s">
        <v>207</v>
      </c>
      <c r="B17" s="99" t="s">
        <v>484</v>
      </c>
      <c r="C17" s="113" t="s">
        <v>425</v>
      </c>
      <c r="D17" s="121">
        <v>45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145" t="e">
        <f t="shared" si="0"/>
        <v>#DIV/0!</v>
      </c>
      <c r="R17" s="151" t="e">
        <f t="shared" si="1"/>
        <v>#DIV/0!</v>
      </c>
      <c r="S17" s="152" t="e">
        <f t="shared" si="2"/>
        <v>#DIV/0!</v>
      </c>
    </row>
    <row r="18" spans="1:19" s="178" customFormat="1" ht="32.1" customHeight="1" x14ac:dyDescent="0.2">
      <c r="A18" s="127" t="s">
        <v>207</v>
      </c>
      <c r="B18" s="99" t="s">
        <v>485</v>
      </c>
      <c r="C18" s="113" t="s">
        <v>426</v>
      </c>
      <c r="D18" s="121">
        <v>99</v>
      </c>
      <c r="E18" s="81"/>
      <c r="F18" s="81">
        <v>97.4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145">
        <f t="shared" si="0"/>
        <v>97.4</v>
      </c>
      <c r="R18" s="151" t="str">
        <f t="shared" si="1"/>
        <v>NO</v>
      </c>
      <c r="S18" s="152" t="str">
        <f t="shared" si="2"/>
        <v>Inviable Sanitariamente</v>
      </c>
    </row>
    <row r="19" spans="1:19" s="178" customFormat="1" ht="32.1" customHeight="1" x14ac:dyDescent="0.2">
      <c r="A19" s="127" t="s">
        <v>207</v>
      </c>
      <c r="B19" s="99" t="s">
        <v>239</v>
      </c>
      <c r="C19" s="113" t="s">
        <v>554</v>
      </c>
      <c r="D19" s="116">
        <v>15</v>
      </c>
      <c r="E19" s="81"/>
      <c r="F19" s="81">
        <v>97.4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145">
        <f t="shared" si="0"/>
        <v>97.4</v>
      </c>
      <c r="R19" s="151" t="str">
        <f t="shared" si="1"/>
        <v>NO</v>
      </c>
      <c r="S19" s="152" t="str">
        <f t="shared" si="2"/>
        <v>Inviable Sanitariamente</v>
      </c>
    </row>
    <row r="20" spans="1:19" s="178" customFormat="1" ht="32.1" customHeight="1" x14ac:dyDescent="0.2">
      <c r="A20" s="127" t="s">
        <v>207</v>
      </c>
      <c r="B20" s="99" t="s">
        <v>48</v>
      </c>
      <c r="C20" s="113" t="s">
        <v>428</v>
      </c>
      <c r="D20" s="121">
        <v>46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145" t="e">
        <f t="shared" si="0"/>
        <v>#DIV/0!</v>
      </c>
      <c r="R20" s="151" t="e">
        <f t="shared" si="1"/>
        <v>#DIV/0!</v>
      </c>
      <c r="S20" s="152" t="e">
        <f t="shared" si="2"/>
        <v>#DIV/0!</v>
      </c>
    </row>
    <row r="21" spans="1:19" s="178" customFormat="1" ht="32.1" customHeight="1" x14ac:dyDescent="0.2">
      <c r="A21" s="127" t="s">
        <v>207</v>
      </c>
      <c r="B21" s="99" t="s">
        <v>555</v>
      </c>
      <c r="C21" s="113" t="s">
        <v>429</v>
      </c>
      <c r="D21" s="121">
        <v>109</v>
      </c>
      <c r="E21" s="81"/>
      <c r="F21" s="81"/>
      <c r="G21" s="81"/>
      <c r="H21" s="81">
        <v>97.4</v>
      </c>
      <c r="I21" s="81"/>
      <c r="J21" s="81"/>
      <c r="K21" s="81"/>
      <c r="L21" s="81"/>
      <c r="M21" s="81"/>
      <c r="N21" s="81"/>
      <c r="O21" s="81"/>
      <c r="P21" s="81"/>
      <c r="Q21" s="145">
        <f t="shared" si="0"/>
        <v>97.4</v>
      </c>
      <c r="R21" s="151" t="str">
        <f t="shared" si="1"/>
        <v>NO</v>
      </c>
      <c r="S21" s="152" t="str">
        <f t="shared" si="2"/>
        <v>Inviable Sanitariamente</v>
      </c>
    </row>
    <row r="22" spans="1:19" s="178" customFormat="1" ht="32.1" customHeight="1" x14ac:dyDescent="0.2">
      <c r="A22" s="127" t="s">
        <v>207</v>
      </c>
      <c r="B22" s="99" t="s">
        <v>486</v>
      </c>
      <c r="C22" s="113" t="s">
        <v>430</v>
      </c>
      <c r="D22" s="116">
        <v>57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145" t="e">
        <f t="shared" si="0"/>
        <v>#DIV/0!</v>
      </c>
      <c r="R22" s="151" t="e">
        <f t="shared" si="1"/>
        <v>#DIV/0!</v>
      </c>
      <c r="S22" s="152" t="e">
        <f t="shared" si="2"/>
        <v>#DIV/0!</v>
      </c>
    </row>
    <row r="23" spans="1:19" s="178" customFormat="1" ht="32.1" customHeight="1" x14ac:dyDescent="0.2">
      <c r="A23" s="127" t="s">
        <v>207</v>
      </c>
      <c r="B23" s="99" t="s">
        <v>556</v>
      </c>
      <c r="C23" s="113" t="s">
        <v>557</v>
      </c>
      <c r="D23" s="121">
        <v>48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45" t="e">
        <f t="shared" si="0"/>
        <v>#DIV/0!</v>
      </c>
      <c r="R23" s="151" t="e">
        <f t="shared" si="1"/>
        <v>#DIV/0!</v>
      </c>
      <c r="S23" s="152" t="e">
        <f t="shared" si="2"/>
        <v>#DIV/0!</v>
      </c>
    </row>
    <row r="24" spans="1:19" s="178" customFormat="1" ht="32.1" customHeight="1" x14ac:dyDescent="0.2">
      <c r="A24" s="127" t="s">
        <v>207</v>
      </c>
      <c r="B24" s="99" t="s">
        <v>558</v>
      </c>
      <c r="C24" s="113" t="s">
        <v>441</v>
      </c>
      <c r="D24" s="121">
        <v>25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45" t="e">
        <f t="shared" si="0"/>
        <v>#DIV/0!</v>
      </c>
      <c r="R24" s="151" t="e">
        <f t="shared" si="1"/>
        <v>#DIV/0!</v>
      </c>
      <c r="S24" s="152" t="e">
        <f t="shared" si="2"/>
        <v>#DIV/0!</v>
      </c>
    </row>
    <row r="25" spans="1:19" s="178" customFormat="1" ht="32.1" customHeight="1" x14ac:dyDescent="0.2">
      <c r="A25" s="127" t="s">
        <v>207</v>
      </c>
      <c r="B25" s="99" t="s">
        <v>559</v>
      </c>
      <c r="C25" s="113" t="s">
        <v>427</v>
      </c>
      <c r="D25" s="116">
        <v>28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145" t="e">
        <f t="shared" si="0"/>
        <v>#DIV/0!</v>
      </c>
      <c r="R25" s="151" t="e">
        <f t="shared" si="1"/>
        <v>#DIV/0!</v>
      </c>
      <c r="S25" s="152" t="e">
        <f t="shared" si="2"/>
        <v>#DIV/0!</v>
      </c>
    </row>
    <row r="26" spans="1:19" s="178" customFormat="1" ht="32.1" customHeight="1" x14ac:dyDescent="0.2">
      <c r="A26" s="127" t="s">
        <v>207</v>
      </c>
      <c r="B26" s="99" t="s">
        <v>6</v>
      </c>
      <c r="C26" s="113" t="s">
        <v>431</v>
      </c>
      <c r="D26" s="121">
        <v>38</v>
      </c>
      <c r="E26" s="81"/>
      <c r="F26" s="81"/>
      <c r="G26" s="81"/>
      <c r="H26" s="81">
        <v>26.55</v>
      </c>
      <c r="I26" s="81"/>
      <c r="J26" s="81"/>
      <c r="K26" s="81"/>
      <c r="L26" s="81"/>
      <c r="M26" s="81"/>
      <c r="N26" s="81"/>
      <c r="O26" s="81"/>
      <c r="P26" s="81"/>
      <c r="Q26" s="145">
        <f t="shared" si="0"/>
        <v>26.55</v>
      </c>
      <c r="R26" s="151" t="str">
        <f t="shared" si="1"/>
        <v>NO</v>
      </c>
      <c r="S26" s="152" t="str">
        <f t="shared" si="2"/>
        <v>Medio</v>
      </c>
    </row>
    <row r="27" spans="1:19" s="178" customFormat="1" ht="32.1" customHeight="1" x14ac:dyDescent="0.2">
      <c r="A27" s="127" t="s">
        <v>207</v>
      </c>
      <c r="B27" s="99" t="s">
        <v>560</v>
      </c>
      <c r="C27" s="113" t="s">
        <v>432</v>
      </c>
      <c r="D27" s="121">
        <v>16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145" t="e">
        <f t="shared" si="0"/>
        <v>#DIV/0!</v>
      </c>
      <c r="R27" s="151" t="e">
        <f t="shared" si="1"/>
        <v>#DIV/0!</v>
      </c>
      <c r="S27" s="152" t="e">
        <f t="shared" si="2"/>
        <v>#DIV/0!</v>
      </c>
    </row>
    <row r="28" spans="1:19" s="178" customFormat="1" ht="32.1" customHeight="1" x14ac:dyDescent="0.2">
      <c r="A28" s="127" t="s">
        <v>207</v>
      </c>
      <c r="B28" s="99" t="s">
        <v>478</v>
      </c>
      <c r="C28" s="113" t="s">
        <v>433</v>
      </c>
      <c r="D28" s="121">
        <v>31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145" t="e">
        <f t="shared" si="0"/>
        <v>#DIV/0!</v>
      </c>
      <c r="R28" s="151" t="e">
        <f t="shared" si="1"/>
        <v>#DIV/0!</v>
      </c>
      <c r="S28" s="152" t="e">
        <f t="shared" si="2"/>
        <v>#DIV/0!</v>
      </c>
    </row>
    <row r="29" spans="1:19" s="178" customFormat="1" ht="32.1" customHeight="1" x14ac:dyDescent="0.2">
      <c r="A29" s="127" t="s">
        <v>207</v>
      </c>
      <c r="B29" s="99" t="s">
        <v>487</v>
      </c>
      <c r="C29" s="113" t="s">
        <v>561</v>
      </c>
      <c r="D29" s="121">
        <v>81</v>
      </c>
      <c r="E29" s="81"/>
      <c r="F29" s="81"/>
      <c r="G29" s="81">
        <v>97.4</v>
      </c>
      <c r="H29" s="81">
        <v>97.35</v>
      </c>
      <c r="I29" s="81"/>
      <c r="J29" s="81"/>
      <c r="K29" s="81"/>
      <c r="L29" s="81">
        <v>97.4</v>
      </c>
      <c r="M29" s="81"/>
      <c r="N29" s="81"/>
      <c r="O29" s="81"/>
      <c r="P29" s="81"/>
      <c r="Q29" s="145">
        <f t="shared" si="0"/>
        <v>97.383333333333326</v>
      </c>
      <c r="R29" s="151" t="str">
        <f t="shared" si="1"/>
        <v>NO</v>
      </c>
      <c r="S29" s="152" t="str">
        <f t="shared" si="2"/>
        <v>Inviable Sanitariamente</v>
      </c>
    </row>
    <row r="30" spans="1:19" s="178" customFormat="1" ht="32.1" customHeight="1" x14ac:dyDescent="0.2">
      <c r="A30" s="127" t="s">
        <v>207</v>
      </c>
      <c r="B30" s="99" t="s">
        <v>488</v>
      </c>
      <c r="C30" s="113" t="s">
        <v>434</v>
      </c>
      <c r="D30" s="121">
        <v>14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145" t="e">
        <f t="shared" si="0"/>
        <v>#DIV/0!</v>
      </c>
      <c r="R30" s="151" t="e">
        <f t="shared" si="1"/>
        <v>#DIV/0!</v>
      </c>
      <c r="S30" s="152" t="e">
        <f t="shared" si="2"/>
        <v>#DIV/0!</v>
      </c>
    </row>
    <row r="31" spans="1:19" s="178" customFormat="1" ht="32.1" customHeight="1" x14ac:dyDescent="0.2">
      <c r="A31" s="127" t="s">
        <v>207</v>
      </c>
      <c r="B31" s="99" t="s">
        <v>562</v>
      </c>
      <c r="C31" s="113" t="s">
        <v>435</v>
      </c>
      <c r="D31" s="121">
        <v>28</v>
      </c>
      <c r="E31" s="81"/>
      <c r="F31" s="81"/>
      <c r="G31" s="81"/>
      <c r="H31" s="81"/>
      <c r="I31" s="81"/>
      <c r="J31" s="81"/>
      <c r="K31" s="81"/>
      <c r="L31" s="81">
        <v>97.4</v>
      </c>
      <c r="M31" s="81"/>
      <c r="N31" s="81"/>
      <c r="O31" s="81"/>
      <c r="P31" s="81"/>
      <c r="Q31" s="145">
        <f t="shared" si="0"/>
        <v>97.4</v>
      </c>
      <c r="R31" s="151" t="str">
        <f t="shared" si="1"/>
        <v>NO</v>
      </c>
      <c r="S31" s="152" t="str">
        <f t="shared" si="2"/>
        <v>Inviable Sanitariamente</v>
      </c>
    </row>
    <row r="32" spans="1:19" s="178" customFormat="1" ht="32.1" customHeight="1" x14ac:dyDescent="0.2">
      <c r="A32" s="127" t="s">
        <v>207</v>
      </c>
      <c r="B32" s="99" t="s">
        <v>16</v>
      </c>
      <c r="C32" s="113" t="s">
        <v>436</v>
      </c>
      <c r="D32" s="121">
        <v>36</v>
      </c>
      <c r="E32" s="81"/>
      <c r="F32" s="81"/>
      <c r="G32" s="81">
        <v>97.4</v>
      </c>
      <c r="H32" s="81"/>
      <c r="I32" s="81"/>
      <c r="J32" s="81"/>
      <c r="K32" s="81"/>
      <c r="L32" s="81"/>
      <c r="M32" s="81"/>
      <c r="N32" s="81"/>
      <c r="O32" s="81"/>
      <c r="P32" s="81"/>
      <c r="Q32" s="145">
        <f t="shared" si="0"/>
        <v>97.4</v>
      </c>
      <c r="R32" s="151" t="str">
        <f t="shared" si="1"/>
        <v>NO</v>
      </c>
      <c r="S32" s="152" t="str">
        <f t="shared" si="2"/>
        <v>Inviable Sanitariamente</v>
      </c>
    </row>
    <row r="33" spans="1:19" s="178" customFormat="1" ht="32.1" customHeight="1" x14ac:dyDescent="0.2">
      <c r="A33" s="127" t="s">
        <v>207</v>
      </c>
      <c r="B33" s="99" t="s">
        <v>563</v>
      </c>
      <c r="C33" s="113" t="s">
        <v>437</v>
      </c>
      <c r="D33" s="121">
        <v>54</v>
      </c>
      <c r="E33" s="81"/>
      <c r="F33" s="81">
        <v>97.4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145">
        <f t="shared" si="0"/>
        <v>97.4</v>
      </c>
      <c r="R33" s="151" t="str">
        <f t="shared" si="1"/>
        <v>NO</v>
      </c>
      <c r="S33" s="152" t="str">
        <f t="shared" si="2"/>
        <v>Inviable Sanitariamente</v>
      </c>
    </row>
    <row r="34" spans="1:19" s="178" customFormat="1" ht="32.1" customHeight="1" x14ac:dyDescent="0.2">
      <c r="A34" s="127" t="s">
        <v>207</v>
      </c>
      <c r="B34" s="99" t="s">
        <v>489</v>
      </c>
      <c r="C34" s="113" t="s">
        <v>438</v>
      </c>
      <c r="D34" s="121">
        <v>115</v>
      </c>
      <c r="E34" s="81"/>
      <c r="F34" s="81"/>
      <c r="G34" s="81"/>
      <c r="H34" s="81"/>
      <c r="I34" s="81"/>
      <c r="J34" s="81"/>
      <c r="K34" s="81"/>
      <c r="L34" s="81">
        <v>97.35</v>
      </c>
      <c r="M34" s="81"/>
      <c r="N34" s="81"/>
      <c r="O34" s="81"/>
      <c r="P34" s="81"/>
      <c r="Q34" s="145">
        <f t="shared" si="0"/>
        <v>97.35</v>
      </c>
      <c r="R34" s="151" t="str">
        <f t="shared" si="1"/>
        <v>NO</v>
      </c>
      <c r="S34" s="152" t="str">
        <f t="shared" si="2"/>
        <v>Inviable Sanitariamente</v>
      </c>
    </row>
    <row r="35" spans="1:19" s="178" customFormat="1" ht="32.1" customHeight="1" x14ac:dyDescent="0.2">
      <c r="A35" s="127" t="s">
        <v>207</v>
      </c>
      <c r="B35" s="99" t="s">
        <v>499</v>
      </c>
      <c r="C35" s="113" t="s">
        <v>452</v>
      </c>
      <c r="D35" s="121">
        <v>19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145" t="e">
        <f t="shared" si="0"/>
        <v>#DIV/0!</v>
      </c>
      <c r="R35" s="151" t="e">
        <f t="shared" si="1"/>
        <v>#DIV/0!</v>
      </c>
      <c r="S35" s="152" t="e">
        <f t="shared" si="2"/>
        <v>#DIV/0!</v>
      </c>
    </row>
    <row r="36" spans="1:19" s="178" customFormat="1" ht="32.1" customHeight="1" x14ac:dyDescent="0.2">
      <c r="A36" s="127" t="s">
        <v>207</v>
      </c>
      <c r="B36" s="99" t="s">
        <v>564</v>
      </c>
      <c r="C36" s="113" t="s">
        <v>496</v>
      </c>
      <c r="D36" s="121">
        <v>16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145" t="e">
        <f t="shared" si="0"/>
        <v>#DIV/0!</v>
      </c>
      <c r="R36" s="151" t="e">
        <f t="shared" si="1"/>
        <v>#DIV/0!</v>
      </c>
      <c r="S36" s="152" t="e">
        <f t="shared" si="2"/>
        <v>#DIV/0!</v>
      </c>
    </row>
    <row r="37" spans="1:19" s="178" customFormat="1" ht="32.1" customHeight="1" x14ac:dyDescent="0.2">
      <c r="A37" s="127" t="s">
        <v>207</v>
      </c>
      <c r="B37" s="99" t="s">
        <v>565</v>
      </c>
      <c r="C37" s="113" t="s">
        <v>490</v>
      </c>
      <c r="D37" s="121">
        <v>128</v>
      </c>
      <c r="E37" s="81"/>
      <c r="F37" s="81"/>
      <c r="G37" s="81"/>
      <c r="H37" s="81"/>
      <c r="I37" s="81">
        <v>97.4</v>
      </c>
      <c r="J37" s="81"/>
      <c r="K37" s="81"/>
      <c r="L37" s="81"/>
      <c r="M37" s="81"/>
      <c r="N37" s="81"/>
      <c r="O37" s="81"/>
      <c r="P37" s="81"/>
      <c r="Q37" s="145">
        <f t="shared" si="0"/>
        <v>97.4</v>
      </c>
      <c r="R37" s="151" t="str">
        <f t="shared" si="1"/>
        <v>NO</v>
      </c>
      <c r="S37" s="152" t="str">
        <f t="shared" si="2"/>
        <v>Inviable Sanitariamente</v>
      </c>
    </row>
    <row r="38" spans="1:19" s="178" customFormat="1" ht="32.1" customHeight="1" x14ac:dyDescent="0.2">
      <c r="A38" s="127" t="s">
        <v>207</v>
      </c>
      <c r="B38" s="99" t="s">
        <v>491</v>
      </c>
      <c r="C38" s="113" t="s">
        <v>439</v>
      </c>
      <c r="D38" s="121">
        <v>16</v>
      </c>
      <c r="E38" s="81"/>
      <c r="F38" s="81"/>
      <c r="G38" s="81"/>
      <c r="H38" s="81"/>
      <c r="I38" s="81"/>
      <c r="J38" s="81"/>
      <c r="K38" s="81"/>
      <c r="L38" s="81">
        <v>97.35</v>
      </c>
      <c r="M38" s="81"/>
      <c r="N38" s="81"/>
      <c r="O38" s="81"/>
      <c r="P38" s="81"/>
      <c r="Q38" s="145">
        <f t="shared" si="0"/>
        <v>97.35</v>
      </c>
      <c r="R38" s="151" t="str">
        <f t="shared" si="1"/>
        <v>NO</v>
      </c>
      <c r="S38" s="152" t="str">
        <f t="shared" si="2"/>
        <v>Inviable Sanitariamente</v>
      </c>
    </row>
    <row r="39" spans="1:19" s="178" customFormat="1" ht="32.1" customHeight="1" x14ac:dyDescent="0.2">
      <c r="A39" s="127" t="s">
        <v>207</v>
      </c>
      <c r="B39" s="99" t="s">
        <v>492</v>
      </c>
      <c r="C39" s="113" t="s">
        <v>440</v>
      </c>
      <c r="D39" s="121">
        <v>43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145" t="e">
        <f t="shared" si="0"/>
        <v>#DIV/0!</v>
      </c>
      <c r="R39" s="151" t="e">
        <f t="shared" si="1"/>
        <v>#DIV/0!</v>
      </c>
      <c r="S39" s="152" t="e">
        <f t="shared" si="2"/>
        <v>#DIV/0!</v>
      </c>
    </row>
    <row r="40" spans="1:19" s="178" customFormat="1" ht="32.1" customHeight="1" x14ac:dyDescent="0.2">
      <c r="A40" s="127" t="s">
        <v>207</v>
      </c>
      <c r="B40" s="99" t="s">
        <v>494</v>
      </c>
      <c r="C40" s="113" t="s">
        <v>442</v>
      </c>
      <c r="D40" s="121">
        <v>81</v>
      </c>
      <c r="E40" s="81"/>
      <c r="F40" s="81"/>
      <c r="G40" s="81"/>
      <c r="H40" s="81">
        <v>97.4</v>
      </c>
      <c r="I40" s="81"/>
      <c r="J40" s="81"/>
      <c r="K40" s="81"/>
      <c r="L40" s="81"/>
      <c r="M40" s="81"/>
      <c r="N40" s="81"/>
      <c r="O40" s="81"/>
      <c r="P40" s="81"/>
      <c r="Q40" s="145">
        <f t="shared" si="0"/>
        <v>97.4</v>
      </c>
      <c r="R40" s="151" t="str">
        <f t="shared" si="1"/>
        <v>NO</v>
      </c>
      <c r="S40" s="152" t="str">
        <f t="shared" si="2"/>
        <v>Inviable Sanitariamente</v>
      </c>
    </row>
    <row r="41" spans="1:19" s="178" customFormat="1" ht="32.1" customHeight="1" x14ac:dyDescent="0.2">
      <c r="A41" s="127" t="s">
        <v>207</v>
      </c>
      <c r="B41" s="99" t="s">
        <v>495</v>
      </c>
      <c r="C41" s="113" t="s">
        <v>443</v>
      </c>
      <c r="D41" s="121">
        <v>28</v>
      </c>
      <c r="E41" s="81"/>
      <c r="F41" s="81"/>
      <c r="G41" s="81"/>
      <c r="H41" s="81"/>
      <c r="I41" s="81"/>
      <c r="J41" s="81"/>
      <c r="K41" s="81"/>
      <c r="L41" s="81">
        <v>97.35</v>
      </c>
      <c r="M41" s="81"/>
      <c r="N41" s="81"/>
      <c r="O41" s="81"/>
      <c r="P41" s="81"/>
      <c r="Q41" s="145">
        <f t="shared" si="0"/>
        <v>97.35</v>
      </c>
      <c r="R41" s="151" t="str">
        <f t="shared" si="1"/>
        <v>NO</v>
      </c>
      <c r="S41" s="152" t="str">
        <f t="shared" si="2"/>
        <v>Inviable Sanitariamente</v>
      </c>
    </row>
    <row r="42" spans="1:19" s="178" customFormat="1" ht="32.1" customHeight="1" x14ac:dyDescent="0.2">
      <c r="A42" s="127" t="s">
        <v>207</v>
      </c>
      <c r="B42" s="99" t="s">
        <v>1</v>
      </c>
      <c r="C42" s="113" t="s">
        <v>566</v>
      </c>
      <c r="D42" s="116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145" t="e">
        <f t="shared" si="0"/>
        <v>#DIV/0!</v>
      </c>
      <c r="R42" s="151" t="e">
        <f t="shared" si="1"/>
        <v>#DIV/0!</v>
      </c>
      <c r="S42" s="152" t="e">
        <f t="shared" si="2"/>
        <v>#DIV/0!</v>
      </c>
    </row>
    <row r="43" spans="1:19" s="178" customFormat="1" ht="32.1" customHeight="1" x14ac:dyDescent="0.2">
      <c r="A43" s="127" t="s">
        <v>207</v>
      </c>
      <c r="B43" s="99" t="s">
        <v>567</v>
      </c>
      <c r="C43" s="113" t="s">
        <v>445</v>
      </c>
      <c r="D43" s="121">
        <v>28</v>
      </c>
      <c r="E43" s="81"/>
      <c r="F43" s="81"/>
      <c r="G43" s="81"/>
      <c r="H43" s="81"/>
      <c r="I43" s="81"/>
      <c r="J43" s="81"/>
      <c r="K43" s="81"/>
      <c r="L43" s="81">
        <v>97.35</v>
      </c>
      <c r="M43" s="81"/>
      <c r="N43" s="81"/>
      <c r="O43" s="81"/>
      <c r="P43" s="81"/>
      <c r="Q43" s="145">
        <f t="shared" si="0"/>
        <v>97.35</v>
      </c>
      <c r="R43" s="151" t="str">
        <f t="shared" si="1"/>
        <v>NO</v>
      </c>
      <c r="S43" s="152" t="str">
        <f t="shared" si="2"/>
        <v>Inviable Sanitariamente</v>
      </c>
    </row>
    <row r="44" spans="1:19" s="178" customFormat="1" ht="32.1" customHeight="1" x14ac:dyDescent="0.2">
      <c r="A44" s="127" t="s">
        <v>207</v>
      </c>
      <c r="B44" s="99" t="s">
        <v>236</v>
      </c>
      <c r="C44" s="113" t="s">
        <v>447</v>
      </c>
      <c r="D44" s="121">
        <v>27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145" t="e">
        <f t="shared" si="0"/>
        <v>#DIV/0!</v>
      </c>
      <c r="R44" s="151" t="e">
        <f t="shared" si="1"/>
        <v>#DIV/0!</v>
      </c>
      <c r="S44" s="152" t="e">
        <f t="shared" ref="S44:S61" si="3">IF(Q44&lt;=5,"Sin Riesgo",IF(Q44 &lt;=14,"Bajo",IF(Q44&lt;=35,"Medio",IF(Q44&lt;=80,"Alto","Inviable Sanitariamente"))))</f>
        <v>#DIV/0!</v>
      </c>
    </row>
    <row r="45" spans="1:19" s="178" customFormat="1" ht="32.1" customHeight="1" x14ac:dyDescent="0.2">
      <c r="A45" s="127" t="s">
        <v>207</v>
      </c>
      <c r="B45" s="99" t="s">
        <v>55</v>
      </c>
      <c r="C45" s="113" t="s">
        <v>448</v>
      </c>
      <c r="D45" s="121">
        <v>28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145" t="e">
        <f t="shared" si="0"/>
        <v>#DIV/0!</v>
      </c>
      <c r="R45" s="151" t="e">
        <f t="shared" si="1"/>
        <v>#DIV/0!</v>
      </c>
      <c r="S45" s="152" t="e">
        <f t="shared" si="3"/>
        <v>#DIV/0!</v>
      </c>
    </row>
    <row r="46" spans="1:19" s="178" customFormat="1" ht="32.1" customHeight="1" x14ac:dyDescent="0.2">
      <c r="A46" s="127" t="s">
        <v>207</v>
      </c>
      <c r="B46" s="99" t="s">
        <v>568</v>
      </c>
      <c r="C46" s="113" t="s">
        <v>569</v>
      </c>
      <c r="D46" s="121">
        <v>16</v>
      </c>
      <c r="E46" s="81"/>
      <c r="F46" s="81"/>
      <c r="G46" s="81"/>
      <c r="H46" s="81"/>
      <c r="I46" s="81"/>
      <c r="J46" s="81"/>
      <c r="K46" s="81"/>
      <c r="L46" s="81">
        <v>97.35</v>
      </c>
      <c r="M46" s="81"/>
      <c r="N46" s="81"/>
      <c r="O46" s="81"/>
      <c r="P46" s="81"/>
      <c r="Q46" s="145">
        <f t="shared" si="0"/>
        <v>97.35</v>
      </c>
      <c r="R46" s="151" t="str">
        <f t="shared" si="1"/>
        <v>NO</v>
      </c>
      <c r="S46" s="152" t="str">
        <f t="shared" si="3"/>
        <v>Inviable Sanitariamente</v>
      </c>
    </row>
    <row r="47" spans="1:19" s="178" customFormat="1" ht="32.1" customHeight="1" x14ac:dyDescent="0.2">
      <c r="A47" s="127" t="s">
        <v>207</v>
      </c>
      <c r="B47" s="99" t="s">
        <v>570</v>
      </c>
      <c r="C47" s="113" t="s">
        <v>444</v>
      </c>
      <c r="D47" s="121">
        <v>53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145" t="e">
        <f t="shared" si="0"/>
        <v>#DIV/0!</v>
      </c>
      <c r="R47" s="151" t="e">
        <f t="shared" si="1"/>
        <v>#DIV/0!</v>
      </c>
      <c r="S47" s="152" t="e">
        <f t="shared" si="3"/>
        <v>#DIV/0!</v>
      </c>
    </row>
    <row r="48" spans="1:19" s="178" customFormat="1" ht="32.1" customHeight="1" x14ac:dyDescent="0.2">
      <c r="A48" s="127" t="s">
        <v>207</v>
      </c>
      <c r="B48" s="99" t="s">
        <v>571</v>
      </c>
      <c r="C48" s="113" t="s">
        <v>572</v>
      </c>
      <c r="D48" s="121">
        <v>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145" t="e">
        <f t="shared" si="0"/>
        <v>#DIV/0!</v>
      </c>
      <c r="R48" s="151" t="e">
        <f t="shared" si="1"/>
        <v>#DIV/0!</v>
      </c>
      <c r="S48" s="152" t="e">
        <f t="shared" si="3"/>
        <v>#DIV/0!</v>
      </c>
    </row>
    <row r="49" spans="1:19" s="178" customFormat="1" ht="32.1" customHeight="1" x14ac:dyDescent="0.2">
      <c r="A49" s="127" t="s">
        <v>207</v>
      </c>
      <c r="B49" s="99" t="s">
        <v>61</v>
      </c>
      <c r="C49" s="113" t="s">
        <v>573</v>
      </c>
      <c r="D49" s="121">
        <v>46</v>
      </c>
      <c r="E49" s="81"/>
      <c r="F49" s="81">
        <v>97.34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145">
        <f t="shared" si="0"/>
        <v>97.34</v>
      </c>
      <c r="R49" s="151" t="str">
        <f t="shared" si="1"/>
        <v>NO</v>
      </c>
      <c r="S49" s="152" t="str">
        <f t="shared" si="3"/>
        <v>Inviable Sanitariamente</v>
      </c>
    </row>
    <row r="50" spans="1:19" s="178" customFormat="1" ht="32.1" customHeight="1" x14ac:dyDescent="0.2">
      <c r="A50" s="127" t="s">
        <v>207</v>
      </c>
      <c r="B50" s="99" t="s">
        <v>574</v>
      </c>
      <c r="C50" s="113" t="s">
        <v>575</v>
      </c>
      <c r="D50" s="121">
        <v>24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45" t="e">
        <f t="shared" si="0"/>
        <v>#DIV/0!</v>
      </c>
      <c r="R50" s="151" t="e">
        <f t="shared" si="1"/>
        <v>#DIV/0!</v>
      </c>
      <c r="S50" s="152" t="e">
        <f t="shared" si="3"/>
        <v>#DIV/0!</v>
      </c>
    </row>
    <row r="51" spans="1:19" s="178" customFormat="1" ht="32.1" customHeight="1" x14ac:dyDescent="0.2">
      <c r="A51" s="127" t="s">
        <v>207</v>
      </c>
      <c r="B51" s="99" t="s">
        <v>60</v>
      </c>
      <c r="C51" s="113" t="s">
        <v>576</v>
      </c>
      <c r="D51" s="116">
        <v>25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145" t="e">
        <f t="shared" si="0"/>
        <v>#DIV/0!</v>
      </c>
      <c r="R51" s="151" t="e">
        <f t="shared" si="1"/>
        <v>#DIV/0!</v>
      </c>
      <c r="S51" s="152" t="e">
        <f t="shared" si="3"/>
        <v>#DIV/0!</v>
      </c>
    </row>
    <row r="52" spans="1:19" s="178" customFormat="1" ht="32.1" customHeight="1" x14ac:dyDescent="0.2">
      <c r="A52" s="127" t="s">
        <v>207</v>
      </c>
      <c r="B52" s="99" t="s">
        <v>577</v>
      </c>
      <c r="C52" s="113" t="s">
        <v>578</v>
      </c>
      <c r="D52" s="121">
        <v>12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45" t="e">
        <f t="shared" si="0"/>
        <v>#DIV/0!</v>
      </c>
      <c r="R52" s="151" t="e">
        <f t="shared" si="1"/>
        <v>#DIV/0!</v>
      </c>
      <c r="S52" s="152" t="e">
        <f t="shared" si="3"/>
        <v>#DIV/0!</v>
      </c>
    </row>
    <row r="53" spans="1:19" s="178" customFormat="1" ht="32.1" customHeight="1" x14ac:dyDescent="0.2">
      <c r="A53" s="127" t="s">
        <v>207</v>
      </c>
      <c r="B53" s="99" t="s">
        <v>579</v>
      </c>
      <c r="C53" s="113" t="s">
        <v>580</v>
      </c>
      <c r="D53" s="116">
        <v>18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145" t="e">
        <f t="shared" si="0"/>
        <v>#DIV/0!</v>
      </c>
      <c r="R53" s="151" t="e">
        <f t="shared" si="1"/>
        <v>#DIV/0!</v>
      </c>
      <c r="S53" s="152" t="e">
        <f t="shared" si="3"/>
        <v>#DIV/0!</v>
      </c>
    </row>
    <row r="54" spans="1:19" s="178" customFormat="1" ht="32.1" customHeight="1" x14ac:dyDescent="0.2">
      <c r="A54" s="127" t="s">
        <v>207</v>
      </c>
      <c r="B54" s="99" t="s">
        <v>479</v>
      </c>
      <c r="C54" s="113" t="s">
        <v>411</v>
      </c>
      <c r="D54" s="121">
        <v>51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145" t="e">
        <f t="shared" si="0"/>
        <v>#DIV/0!</v>
      </c>
      <c r="R54" s="151" t="e">
        <f t="shared" si="1"/>
        <v>#DIV/0!</v>
      </c>
      <c r="S54" s="152" t="e">
        <f t="shared" si="3"/>
        <v>#DIV/0!</v>
      </c>
    </row>
    <row r="55" spans="1:19" s="178" customFormat="1" ht="32.1" customHeight="1" x14ac:dyDescent="0.2">
      <c r="A55" s="127" t="s">
        <v>207</v>
      </c>
      <c r="B55" s="99" t="s">
        <v>243</v>
      </c>
      <c r="C55" s="113" t="s">
        <v>581</v>
      </c>
      <c r="D55" s="116">
        <v>101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145" t="e">
        <f t="shared" si="0"/>
        <v>#DIV/0!</v>
      </c>
      <c r="R55" s="151" t="e">
        <f t="shared" si="1"/>
        <v>#DIV/0!</v>
      </c>
      <c r="S55" s="152" t="e">
        <f t="shared" si="3"/>
        <v>#DIV/0!</v>
      </c>
    </row>
    <row r="56" spans="1:19" s="178" customFormat="1" ht="32.1" customHeight="1" x14ac:dyDescent="0.2">
      <c r="A56" s="127" t="s">
        <v>207</v>
      </c>
      <c r="B56" s="99" t="s">
        <v>582</v>
      </c>
      <c r="C56" s="113" t="s">
        <v>449</v>
      </c>
      <c r="D56" s="121">
        <v>38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145" t="e">
        <f t="shared" si="0"/>
        <v>#DIV/0!</v>
      </c>
      <c r="R56" s="151" t="e">
        <f t="shared" si="1"/>
        <v>#DIV/0!</v>
      </c>
      <c r="S56" s="152" t="e">
        <f t="shared" si="3"/>
        <v>#DIV/0!</v>
      </c>
    </row>
    <row r="57" spans="1:19" s="178" customFormat="1" ht="32.1" customHeight="1" x14ac:dyDescent="0.2">
      <c r="A57" s="127" t="s">
        <v>207</v>
      </c>
      <c r="B57" s="99" t="s">
        <v>497</v>
      </c>
      <c r="C57" s="113" t="s">
        <v>450</v>
      </c>
      <c r="D57" s="121">
        <v>10</v>
      </c>
      <c r="E57" s="81"/>
      <c r="F57" s="81"/>
      <c r="G57" s="81"/>
      <c r="H57" s="81"/>
      <c r="I57" s="81"/>
      <c r="J57" s="81"/>
      <c r="K57" s="81"/>
      <c r="L57" s="81">
        <v>97.35</v>
      </c>
      <c r="M57" s="81"/>
      <c r="N57" s="81"/>
      <c r="O57" s="81"/>
      <c r="P57" s="81"/>
      <c r="Q57" s="145">
        <f t="shared" si="0"/>
        <v>97.35</v>
      </c>
      <c r="R57" s="151" t="str">
        <f t="shared" si="1"/>
        <v>NO</v>
      </c>
      <c r="S57" s="152" t="str">
        <f t="shared" si="3"/>
        <v>Inviable Sanitariamente</v>
      </c>
    </row>
    <row r="58" spans="1:19" s="178" customFormat="1" ht="32.1" customHeight="1" x14ac:dyDescent="0.2">
      <c r="A58" s="127" t="s">
        <v>207</v>
      </c>
      <c r="B58" s="99" t="s">
        <v>583</v>
      </c>
      <c r="C58" s="113" t="s">
        <v>424</v>
      </c>
      <c r="D58" s="121">
        <v>98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145" t="e">
        <f t="shared" si="0"/>
        <v>#DIV/0!</v>
      </c>
      <c r="R58" s="151" t="e">
        <f t="shared" si="1"/>
        <v>#DIV/0!</v>
      </c>
      <c r="S58" s="152" t="e">
        <f t="shared" si="3"/>
        <v>#DIV/0!</v>
      </c>
    </row>
    <row r="59" spans="1:19" s="178" customFormat="1" ht="32.1" customHeight="1" x14ac:dyDescent="0.2">
      <c r="A59" s="127" t="s">
        <v>207</v>
      </c>
      <c r="B59" s="99" t="s">
        <v>500</v>
      </c>
      <c r="C59" s="113" t="s">
        <v>453</v>
      </c>
      <c r="D59" s="121">
        <v>24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145" t="e">
        <f t="shared" si="0"/>
        <v>#DIV/0!</v>
      </c>
      <c r="R59" s="151" t="e">
        <f t="shared" si="1"/>
        <v>#DIV/0!</v>
      </c>
      <c r="S59" s="152" t="e">
        <f t="shared" si="3"/>
        <v>#DIV/0!</v>
      </c>
    </row>
    <row r="60" spans="1:19" s="178" customFormat="1" ht="32.1" customHeight="1" x14ac:dyDescent="0.2">
      <c r="A60" s="127" t="s">
        <v>207</v>
      </c>
      <c r="B60" s="99" t="s">
        <v>498</v>
      </c>
      <c r="C60" s="113" t="s">
        <v>451</v>
      </c>
      <c r="D60" s="121">
        <v>39</v>
      </c>
      <c r="E60" s="81"/>
      <c r="F60" s="81"/>
      <c r="G60" s="81"/>
      <c r="H60" s="81"/>
      <c r="I60" s="81"/>
      <c r="J60" s="81"/>
      <c r="K60" s="81"/>
      <c r="L60" s="81">
        <v>97.35</v>
      </c>
      <c r="M60" s="81"/>
      <c r="N60" s="81"/>
      <c r="O60" s="81"/>
      <c r="P60" s="81"/>
      <c r="Q60" s="145">
        <f t="shared" si="0"/>
        <v>97.35</v>
      </c>
      <c r="R60" s="151" t="str">
        <f t="shared" si="1"/>
        <v>NO</v>
      </c>
      <c r="S60" s="152" t="str">
        <f t="shared" si="3"/>
        <v>Inviable Sanitariamente</v>
      </c>
    </row>
    <row r="61" spans="1:19" s="178" customFormat="1" ht="32.1" customHeight="1" x14ac:dyDescent="0.2">
      <c r="A61" s="127" t="s">
        <v>207</v>
      </c>
      <c r="B61" s="99" t="s">
        <v>19</v>
      </c>
      <c r="C61" s="113" t="s">
        <v>446</v>
      </c>
      <c r="D61" s="121">
        <v>42</v>
      </c>
      <c r="E61" s="81"/>
      <c r="F61" s="81">
        <v>0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145">
        <f t="shared" si="0"/>
        <v>0</v>
      </c>
      <c r="R61" s="151" t="str">
        <f t="shared" si="1"/>
        <v>SI</v>
      </c>
      <c r="S61" s="152" t="str">
        <f t="shared" si="3"/>
        <v>Sin Riesgo</v>
      </c>
    </row>
    <row r="62" spans="1:19" s="178" customFormat="1" ht="32.1" customHeight="1" x14ac:dyDescent="0.2">
      <c r="A62" s="127" t="s">
        <v>208</v>
      </c>
      <c r="B62" s="99" t="s">
        <v>584</v>
      </c>
      <c r="C62" s="113" t="s">
        <v>585</v>
      </c>
      <c r="D62" s="121">
        <v>43</v>
      </c>
      <c r="E62" s="81"/>
      <c r="F62" s="81">
        <v>53.1</v>
      </c>
      <c r="G62" s="81"/>
      <c r="H62" s="81"/>
      <c r="I62" s="81"/>
      <c r="J62" s="81"/>
      <c r="K62" s="81">
        <v>53.1</v>
      </c>
      <c r="L62" s="81"/>
      <c r="M62" s="81">
        <v>26.1</v>
      </c>
      <c r="N62" s="81"/>
      <c r="O62" s="81"/>
      <c r="P62" s="81"/>
      <c r="Q62" s="145">
        <f t="shared" si="0"/>
        <v>44.1</v>
      </c>
      <c r="R62" s="151" t="str">
        <f t="shared" si="1"/>
        <v>NO</v>
      </c>
      <c r="S62" s="152" t="str">
        <f t="shared" ref="S62:S93" si="4">IF(Q62&lt;5,"Sin Riesgo",IF(Q62 &lt;=14,"Bajo",IF(Q62&lt;=35,"Medio",IF(Q62&lt;=80,"Alto","Inviable Sanitariamente"))))</f>
        <v>Alto</v>
      </c>
    </row>
    <row r="63" spans="1:19" s="178" customFormat="1" ht="32.1" customHeight="1" x14ac:dyDescent="0.2">
      <c r="A63" s="127" t="s">
        <v>208</v>
      </c>
      <c r="B63" s="99" t="s">
        <v>586</v>
      </c>
      <c r="C63" s="113" t="s">
        <v>587</v>
      </c>
      <c r="D63" s="121">
        <v>23</v>
      </c>
      <c r="E63" s="81"/>
      <c r="F63" s="81">
        <v>53.1</v>
      </c>
      <c r="G63" s="81"/>
      <c r="H63" s="81"/>
      <c r="I63" s="81"/>
      <c r="J63" s="81">
        <v>53.1</v>
      </c>
      <c r="K63" s="81"/>
      <c r="L63" s="81"/>
      <c r="M63" s="81"/>
      <c r="N63" s="81">
        <v>97.3</v>
      </c>
      <c r="O63" s="81"/>
      <c r="P63" s="81"/>
      <c r="Q63" s="145">
        <f t="shared" si="0"/>
        <v>67.833333333333329</v>
      </c>
      <c r="R63" s="151" t="str">
        <f t="shared" si="1"/>
        <v>NO</v>
      </c>
      <c r="S63" s="152" t="str">
        <f t="shared" si="4"/>
        <v>Alto</v>
      </c>
    </row>
    <row r="64" spans="1:19" s="178" customFormat="1" ht="32.1" customHeight="1" x14ac:dyDescent="0.2">
      <c r="A64" s="127" t="s">
        <v>208</v>
      </c>
      <c r="B64" s="99" t="s">
        <v>588</v>
      </c>
      <c r="C64" s="113" t="s">
        <v>589</v>
      </c>
      <c r="D64" s="121">
        <v>28</v>
      </c>
      <c r="E64" s="81"/>
      <c r="F64" s="81"/>
      <c r="G64" s="81">
        <v>26.5</v>
      </c>
      <c r="H64" s="81"/>
      <c r="I64" s="81"/>
      <c r="J64" s="81"/>
      <c r="K64" s="81">
        <v>53.1</v>
      </c>
      <c r="L64" s="81"/>
      <c r="M64" s="81"/>
      <c r="N64" s="81">
        <v>53.1</v>
      </c>
      <c r="O64" s="81"/>
      <c r="P64" s="81"/>
      <c r="Q64" s="145">
        <f t="shared" si="0"/>
        <v>44.233333333333327</v>
      </c>
      <c r="R64" s="151" t="str">
        <f t="shared" si="1"/>
        <v>NO</v>
      </c>
      <c r="S64" s="152" t="str">
        <f t="shared" si="4"/>
        <v>Alto</v>
      </c>
    </row>
    <row r="65" spans="1:19" s="178" customFormat="1" ht="32.1" customHeight="1" x14ac:dyDescent="0.2">
      <c r="A65" s="127" t="s">
        <v>208</v>
      </c>
      <c r="B65" s="99" t="s">
        <v>63</v>
      </c>
      <c r="C65" s="113" t="s">
        <v>590</v>
      </c>
      <c r="D65" s="121">
        <v>37</v>
      </c>
      <c r="E65" s="81"/>
      <c r="F65" s="81"/>
      <c r="G65" s="81"/>
      <c r="H65" s="81">
        <v>0</v>
      </c>
      <c r="I65" s="81"/>
      <c r="J65" s="81"/>
      <c r="K65" s="81"/>
      <c r="L65" s="81">
        <v>53.1</v>
      </c>
      <c r="M65" s="81"/>
      <c r="N65" s="81"/>
      <c r="O65" s="81">
        <v>53.1</v>
      </c>
      <c r="P65" s="81"/>
      <c r="Q65" s="145">
        <f t="shared" si="0"/>
        <v>35.4</v>
      </c>
      <c r="R65" s="151" t="str">
        <f t="shared" si="1"/>
        <v>NO</v>
      </c>
      <c r="S65" s="152" t="str">
        <f t="shared" si="4"/>
        <v>Alto</v>
      </c>
    </row>
    <row r="66" spans="1:19" s="178" customFormat="1" ht="32.1" customHeight="1" x14ac:dyDescent="0.2">
      <c r="A66" s="127" t="s">
        <v>208</v>
      </c>
      <c r="B66" s="99" t="s">
        <v>591</v>
      </c>
      <c r="C66" s="113" t="s">
        <v>592</v>
      </c>
      <c r="D66" s="121">
        <v>111</v>
      </c>
      <c r="E66" s="81">
        <v>0</v>
      </c>
      <c r="F66" s="81"/>
      <c r="G66" s="81">
        <v>53.1</v>
      </c>
      <c r="H66" s="81">
        <v>0</v>
      </c>
      <c r="I66" s="81"/>
      <c r="J66" s="81">
        <v>0</v>
      </c>
      <c r="K66" s="81"/>
      <c r="L66" s="81">
        <v>0</v>
      </c>
      <c r="M66" s="81">
        <v>26.5</v>
      </c>
      <c r="N66" s="81"/>
      <c r="O66" s="81">
        <v>0</v>
      </c>
      <c r="P66" s="81"/>
      <c r="Q66" s="145">
        <f t="shared" si="0"/>
        <v>11.37142857142857</v>
      </c>
      <c r="R66" s="151" t="str">
        <f t="shared" si="1"/>
        <v>NO</v>
      </c>
      <c r="S66" s="152" t="str">
        <f t="shared" si="4"/>
        <v>Bajo</v>
      </c>
    </row>
    <row r="67" spans="1:19" s="178" customFormat="1" ht="32.1" customHeight="1" x14ac:dyDescent="0.2">
      <c r="A67" s="127" t="s">
        <v>208</v>
      </c>
      <c r="B67" s="99" t="s">
        <v>593</v>
      </c>
      <c r="C67" s="113" t="s">
        <v>594</v>
      </c>
      <c r="D67" s="121">
        <v>124</v>
      </c>
      <c r="E67" s="81">
        <v>26.5</v>
      </c>
      <c r="F67" s="81"/>
      <c r="G67" s="81"/>
      <c r="H67" s="81"/>
      <c r="I67" s="81"/>
      <c r="J67" s="81"/>
      <c r="K67" s="81"/>
      <c r="L67" s="81"/>
      <c r="M67" s="81"/>
      <c r="N67" s="81"/>
      <c r="O67" s="81">
        <v>53.1</v>
      </c>
      <c r="P67" s="81"/>
      <c r="Q67" s="145">
        <f t="shared" si="0"/>
        <v>39.799999999999997</v>
      </c>
      <c r="R67" s="151" t="str">
        <f t="shared" si="1"/>
        <v>NO</v>
      </c>
      <c r="S67" s="152" t="str">
        <f t="shared" si="4"/>
        <v>Alto</v>
      </c>
    </row>
    <row r="68" spans="1:19" s="178" customFormat="1" ht="32.1" customHeight="1" x14ac:dyDescent="0.2">
      <c r="A68" s="127" t="s">
        <v>208</v>
      </c>
      <c r="B68" s="99" t="s">
        <v>595</v>
      </c>
      <c r="C68" s="113" t="s">
        <v>596</v>
      </c>
      <c r="D68" s="121">
        <v>40</v>
      </c>
      <c r="E68" s="81"/>
      <c r="F68" s="81"/>
      <c r="G68" s="81"/>
      <c r="H68" s="81">
        <v>53.1</v>
      </c>
      <c r="I68" s="81"/>
      <c r="J68" s="81"/>
      <c r="K68" s="81">
        <v>53.1</v>
      </c>
      <c r="L68" s="81"/>
      <c r="M68" s="81">
        <v>53.1</v>
      </c>
      <c r="N68" s="81">
        <v>53.1</v>
      </c>
      <c r="O68" s="81"/>
      <c r="P68" s="81"/>
      <c r="Q68" s="145">
        <f t="shared" si="0"/>
        <v>53.1</v>
      </c>
      <c r="R68" s="151" t="str">
        <f t="shared" si="1"/>
        <v>NO</v>
      </c>
      <c r="S68" s="152" t="str">
        <f t="shared" si="4"/>
        <v>Alto</v>
      </c>
    </row>
    <row r="69" spans="1:19" s="178" customFormat="1" ht="32.1" customHeight="1" x14ac:dyDescent="0.2">
      <c r="A69" s="127" t="s">
        <v>209</v>
      </c>
      <c r="B69" s="100" t="s">
        <v>597</v>
      </c>
      <c r="C69" s="197" t="s">
        <v>598</v>
      </c>
      <c r="D69" s="121">
        <v>60</v>
      </c>
      <c r="E69" s="81"/>
      <c r="F69" s="81"/>
      <c r="G69" s="81"/>
      <c r="H69" s="81"/>
      <c r="I69" s="81"/>
      <c r="J69" s="81">
        <v>53</v>
      </c>
      <c r="K69" s="81"/>
      <c r="L69" s="81"/>
      <c r="M69" s="81"/>
      <c r="N69" s="81"/>
      <c r="O69" s="81"/>
      <c r="P69" s="81"/>
      <c r="Q69" s="145">
        <f t="shared" si="0"/>
        <v>53</v>
      </c>
      <c r="R69" s="151" t="str">
        <f t="shared" si="1"/>
        <v>NO</v>
      </c>
      <c r="S69" s="152" t="str">
        <f t="shared" si="4"/>
        <v>Alto</v>
      </c>
    </row>
    <row r="70" spans="1:19" s="178" customFormat="1" ht="32.1" customHeight="1" x14ac:dyDescent="0.2">
      <c r="A70" s="127" t="s">
        <v>209</v>
      </c>
      <c r="B70" s="100" t="s">
        <v>17</v>
      </c>
      <c r="C70" s="197" t="s">
        <v>599</v>
      </c>
      <c r="D70" s="121">
        <v>45</v>
      </c>
      <c r="E70" s="81"/>
      <c r="F70" s="81"/>
      <c r="G70" s="81"/>
      <c r="H70" s="81"/>
      <c r="I70" s="81"/>
      <c r="J70" s="81">
        <v>97</v>
      </c>
      <c r="K70" s="81"/>
      <c r="L70" s="81"/>
      <c r="M70" s="81"/>
      <c r="N70" s="81"/>
      <c r="O70" s="81"/>
      <c r="P70" s="81"/>
      <c r="Q70" s="145">
        <f t="shared" si="0"/>
        <v>97</v>
      </c>
      <c r="R70" s="151" t="str">
        <f t="shared" si="1"/>
        <v>NO</v>
      </c>
      <c r="S70" s="152" t="str">
        <f t="shared" si="4"/>
        <v>Inviable Sanitariamente</v>
      </c>
    </row>
    <row r="71" spans="1:19" s="178" customFormat="1" ht="32.1" customHeight="1" x14ac:dyDescent="0.2">
      <c r="A71" s="127" t="s">
        <v>209</v>
      </c>
      <c r="B71" s="100" t="s">
        <v>600</v>
      </c>
      <c r="C71" s="197" t="s">
        <v>601</v>
      </c>
      <c r="D71" s="121">
        <v>28</v>
      </c>
      <c r="E71" s="81"/>
      <c r="F71" s="81"/>
      <c r="G71" s="81"/>
      <c r="H71" s="81"/>
      <c r="I71" s="81"/>
      <c r="J71" s="81"/>
      <c r="K71" s="81"/>
      <c r="L71" s="81"/>
      <c r="M71" s="81"/>
      <c r="N71" s="81">
        <v>97</v>
      </c>
      <c r="O71" s="81"/>
      <c r="P71" s="81"/>
      <c r="Q71" s="145">
        <f t="shared" si="0"/>
        <v>97</v>
      </c>
      <c r="R71" s="151" t="str">
        <f t="shared" si="1"/>
        <v>NO</v>
      </c>
      <c r="S71" s="152" t="str">
        <f t="shared" si="4"/>
        <v>Inviable Sanitariamente</v>
      </c>
    </row>
    <row r="72" spans="1:19" s="178" customFormat="1" ht="32.1" customHeight="1" x14ac:dyDescent="0.2">
      <c r="A72" s="127" t="s">
        <v>209</v>
      </c>
      <c r="B72" s="100" t="s">
        <v>49</v>
      </c>
      <c r="C72" s="197" t="s">
        <v>602</v>
      </c>
      <c r="D72" s="121">
        <v>19</v>
      </c>
      <c r="E72" s="81"/>
      <c r="F72" s="81"/>
      <c r="G72" s="81">
        <v>53</v>
      </c>
      <c r="H72" s="81"/>
      <c r="I72" s="81"/>
      <c r="J72" s="81"/>
      <c r="K72" s="81"/>
      <c r="L72" s="81"/>
      <c r="M72" s="81"/>
      <c r="N72" s="81"/>
      <c r="O72" s="81"/>
      <c r="P72" s="81"/>
      <c r="Q72" s="145">
        <f t="shared" si="0"/>
        <v>53</v>
      </c>
      <c r="R72" s="151" t="str">
        <f t="shared" si="1"/>
        <v>NO</v>
      </c>
      <c r="S72" s="152" t="str">
        <f t="shared" si="4"/>
        <v>Alto</v>
      </c>
    </row>
    <row r="73" spans="1:19" s="178" customFormat="1" ht="32.1" customHeight="1" x14ac:dyDescent="0.2">
      <c r="A73" s="127" t="s">
        <v>209</v>
      </c>
      <c r="B73" s="100" t="s">
        <v>65</v>
      </c>
      <c r="C73" s="197" t="s">
        <v>603</v>
      </c>
      <c r="D73" s="121">
        <v>40</v>
      </c>
      <c r="E73" s="81"/>
      <c r="F73" s="81"/>
      <c r="G73" s="81"/>
      <c r="H73" s="81"/>
      <c r="I73" s="81"/>
      <c r="J73" s="81">
        <v>53</v>
      </c>
      <c r="K73" s="81"/>
      <c r="L73" s="81"/>
      <c r="M73" s="81"/>
      <c r="N73" s="81"/>
      <c r="O73" s="81"/>
      <c r="P73" s="81"/>
      <c r="Q73" s="145">
        <f t="shared" si="0"/>
        <v>53</v>
      </c>
      <c r="R73" s="151" t="str">
        <f t="shared" si="1"/>
        <v>NO</v>
      </c>
      <c r="S73" s="152" t="str">
        <f t="shared" si="4"/>
        <v>Alto</v>
      </c>
    </row>
    <row r="74" spans="1:19" s="178" customFormat="1" ht="32.1" customHeight="1" x14ac:dyDescent="0.2">
      <c r="A74" s="127" t="s">
        <v>209</v>
      </c>
      <c r="B74" s="100" t="s">
        <v>482</v>
      </c>
      <c r="C74" s="197" t="s">
        <v>604</v>
      </c>
      <c r="D74" s="121">
        <v>13</v>
      </c>
      <c r="E74" s="81"/>
      <c r="F74" s="81"/>
      <c r="G74" s="81"/>
      <c r="H74" s="81"/>
      <c r="I74" s="81"/>
      <c r="J74" s="81"/>
      <c r="K74" s="81"/>
      <c r="L74" s="81"/>
      <c r="M74" s="81">
        <v>97</v>
      </c>
      <c r="N74" s="81"/>
      <c r="O74" s="81"/>
      <c r="P74" s="81"/>
      <c r="Q74" s="145">
        <f t="shared" si="0"/>
        <v>97</v>
      </c>
      <c r="R74" s="151" t="str">
        <f t="shared" si="1"/>
        <v>NO</v>
      </c>
      <c r="S74" s="152" t="str">
        <f t="shared" si="4"/>
        <v>Inviable Sanitariamente</v>
      </c>
    </row>
    <row r="75" spans="1:19" s="178" customFormat="1" ht="32.1" customHeight="1" x14ac:dyDescent="0.2">
      <c r="A75" s="127" t="s">
        <v>209</v>
      </c>
      <c r="B75" s="100" t="s">
        <v>100</v>
      </c>
      <c r="C75" s="197" t="s">
        <v>605</v>
      </c>
      <c r="D75" s="121">
        <v>18</v>
      </c>
      <c r="E75" s="81"/>
      <c r="F75" s="81"/>
      <c r="G75" s="81"/>
      <c r="H75" s="81"/>
      <c r="I75" s="81">
        <v>53</v>
      </c>
      <c r="J75" s="81"/>
      <c r="K75" s="81"/>
      <c r="L75" s="81"/>
      <c r="M75" s="81"/>
      <c r="N75" s="81"/>
      <c r="O75" s="81"/>
      <c r="P75" s="81"/>
      <c r="Q75" s="145">
        <f t="shared" si="0"/>
        <v>53</v>
      </c>
      <c r="R75" s="151" t="str">
        <f t="shared" si="1"/>
        <v>NO</v>
      </c>
      <c r="S75" s="152" t="str">
        <f t="shared" si="4"/>
        <v>Alto</v>
      </c>
    </row>
    <row r="76" spans="1:19" s="178" customFormat="1" ht="32.1" customHeight="1" x14ac:dyDescent="0.2">
      <c r="A76" s="127" t="s">
        <v>209</v>
      </c>
      <c r="B76" s="100" t="s">
        <v>18</v>
      </c>
      <c r="C76" s="197" t="s">
        <v>606</v>
      </c>
      <c r="D76" s="116">
        <v>37</v>
      </c>
      <c r="E76" s="81"/>
      <c r="F76" s="81"/>
      <c r="G76" s="81"/>
      <c r="H76" s="81"/>
      <c r="I76" s="81"/>
      <c r="J76" s="81">
        <v>53</v>
      </c>
      <c r="K76" s="81"/>
      <c r="L76" s="81"/>
      <c r="M76" s="81"/>
      <c r="N76" s="81"/>
      <c r="O76" s="81"/>
      <c r="P76" s="81"/>
      <c r="Q76" s="145">
        <f t="shared" ref="Q76:Q139" si="5">AVERAGE(E76:P76)</f>
        <v>53</v>
      </c>
      <c r="R76" s="151" t="str">
        <f t="shared" ref="R76:R139" si="6">IF(Q76&lt;5,"SI","NO")</f>
        <v>NO</v>
      </c>
      <c r="S76" s="152" t="str">
        <f t="shared" si="4"/>
        <v>Alto</v>
      </c>
    </row>
    <row r="77" spans="1:19" s="178" customFormat="1" ht="32.1" customHeight="1" x14ac:dyDescent="0.2">
      <c r="A77" s="127" t="s">
        <v>209</v>
      </c>
      <c r="B77" s="100" t="s">
        <v>19</v>
      </c>
      <c r="C77" s="197" t="s">
        <v>607</v>
      </c>
      <c r="D77" s="121">
        <v>22</v>
      </c>
      <c r="E77" s="81"/>
      <c r="F77" s="81"/>
      <c r="G77" s="81">
        <v>53</v>
      </c>
      <c r="H77" s="81"/>
      <c r="I77" s="176"/>
      <c r="J77" s="81"/>
      <c r="K77" s="81"/>
      <c r="L77" s="81"/>
      <c r="M77" s="81"/>
      <c r="N77" s="81"/>
      <c r="O77" s="81"/>
      <c r="P77" s="81"/>
      <c r="Q77" s="145">
        <f t="shared" si="5"/>
        <v>53</v>
      </c>
      <c r="R77" s="151" t="str">
        <f t="shared" si="6"/>
        <v>NO</v>
      </c>
      <c r="S77" s="152" t="str">
        <f t="shared" si="4"/>
        <v>Alto</v>
      </c>
    </row>
    <row r="78" spans="1:19" s="178" customFormat="1" ht="32.1" customHeight="1" x14ac:dyDescent="0.2">
      <c r="A78" s="127" t="s">
        <v>209</v>
      </c>
      <c r="B78" s="100" t="s">
        <v>608</v>
      </c>
      <c r="C78" s="197" t="s">
        <v>609</v>
      </c>
      <c r="D78" s="121">
        <v>27</v>
      </c>
      <c r="E78" s="81"/>
      <c r="F78" s="81"/>
      <c r="G78" s="81"/>
      <c r="H78" s="81"/>
      <c r="I78" s="81"/>
      <c r="J78" s="81">
        <v>53</v>
      </c>
      <c r="K78" s="81"/>
      <c r="L78" s="81"/>
      <c r="M78" s="81"/>
      <c r="N78" s="81"/>
      <c r="O78" s="81"/>
      <c r="P78" s="81"/>
      <c r="Q78" s="145">
        <f t="shared" si="5"/>
        <v>53</v>
      </c>
      <c r="R78" s="151" t="str">
        <f t="shared" si="6"/>
        <v>NO</v>
      </c>
      <c r="S78" s="152" t="str">
        <f t="shared" si="4"/>
        <v>Alto</v>
      </c>
    </row>
    <row r="79" spans="1:19" s="178" customFormat="1" ht="32.1" customHeight="1" x14ac:dyDescent="0.2">
      <c r="A79" s="127" t="s">
        <v>209</v>
      </c>
      <c r="B79" s="100" t="s">
        <v>483</v>
      </c>
      <c r="C79" s="197" t="s">
        <v>610</v>
      </c>
      <c r="D79" s="116">
        <v>18</v>
      </c>
      <c r="E79" s="81"/>
      <c r="F79" s="81"/>
      <c r="G79" s="81"/>
      <c r="H79" s="81">
        <v>53</v>
      </c>
      <c r="I79" s="81"/>
      <c r="J79" s="81"/>
      <c r="K79" s="81"/>
      <c r="L79" s="81"/>
      <c r="M79" s="81"/>
      <c r="N79" s="81"/>
      <c r="O79" s="81"/>
      <c r="P79" s="81"/>
      <c r="Q79" s="145">
        <f t="shared" si="5"/>
        <v>53</v>
      </c>
      <c r="R79" s="151" t="str">
        <f t="shared" si="6"/>
        <v>NO</v>
      </c>
      <c r="S79" s="152" t="str">
        <f t="shared" si="4"/>
        <v>Alto</v>
      </c>
    </row>
    <row r="80" spans="1:19" s="178" customFormat="1" ht="32.1" customHeight="1" x14ac:dyDescent="0.2">
      <c r="A80" s="127" t="s">
        <v>209</v>
      </c>
      <c r="B80" s="100" t="s">
        <v>244</v>
      </c>
      <c r="C80" s="197" t="s">
        <v>611</v>
      </c>
      <c r="D80" s="121">
        <v>31</v>
      </c>
      <c r="E80" s="81"/>
      <c r="F80" s="81"/>
      <c r="G80" s="81"/>
      <c r="H80" s="81"/>
      <c r="I80" s="81"/>
      <c r="J80" s="81">
        <v>53</v>
      </c>
      <c r="K80" s="81"/>
      <c r="L80" s="81"/>
      <c r="M80" s="81"/>
      <c r="N80" s="81"/>
      <c r="O80" s="81"/>
      <c r="P80" s="81"/>
      <c r="Q80" s="145">
        <f t="shared" si="5"/>
        <v>53</v>
      </c>
      <c r="R80" s="151" t="str">
        <f t="shared" si="6"/>
        <v>NO</v>
      </c>
      <c r="S80" s="152" t="str">
        <f t="shared" si="4"/>
        <v>Alto</v>
      </c>
    </row>
    <row r="81" spans="1:19" s="178" customFormat="1" ht="32.1" customHeight="1" x14ac:dyDescent="0.2">
      <c r="A81" s="127" t="s">
        <v>209</v>
      </c>
      <c r="B81" s="100" t="s">
        <v>612</v>
      </c>
      <c r="C81" s="197" t="s">
        <v>613</v>
      </c>
      <c r="D81" s="121">
        <v>24</v>
      </c>
      <c r="E81" s="81"/>
      <c r="F81" s="81"/>
      <c r="G81" s="81">
        <v>53</v>
      </c>
      <c r="H81" s="81"/>
      <c r="I81" s="81"/>
      <c r="J81" s="81"/>
      <c r="K81" s="81"/>
      <c r="L81" s="81"/>
      <c r="M81" s="81"/>
      <c r="N81" s="81"/>
      <c r="O81" s="81"/>
      <c r="P81" s="81"/>
      <c r="Q81" s="145">
        <f t="shared" si="5"/>
        <v>53</v>
      </c>
      <c r="R81" s="151" t="str">
        <f t="shared" si="6"/>
        <v>NO</v>
      </c>
      <c r="S81" s="152" t="str">
        <f t="shared" si="4"/>
        <v>Alto</v>
      </c>
    </row>
    <row r="82" spans="1:19" s="178" customFormat="1" ht="32.1" customHeight="1" x14ac:dyDescent="0.2">
      <c r="A82" s="127" t="s">
        <v>209</v>
      </c>
      <c r="B82" s="100" t="s">
        <v>78</v>
      </c>
      <c r="C82" s="197" t="s">
        <v>614</v>
      </c>
      <c r="D82" s="116">
        <v>23</v>
      </c>
      <c r="E82" s="81"/>
      <c r="F82" s="81"/>
      <c r="G82" s="81"/>
      <c r="H82" s="81"/>
      <c r="I82" s="81"/>
      <c r="J82" s="81"/>
      <c r="K82" s="81"/>
      <c r="L82" s="81"/>
      <c r="M82" s="81"/>
      <c r="N82" s="81">
        <v>97</v>
      </c>
      <c r="O82" s="81"/>
      <c r="P82" s="81"/>
      <c r="Q82" s="145">
        <f t="shared" si="5"/>
        <v>97</v>
      </c>
      <c r="R82" s="151" t="str">
        <f t="shared" si="6"/>
        <v>NO</v>
      </c>
      <c r="S82" s="152" t="str">
        <f t="shared" si="4"/>
        <v>Inviable Sanitariamente</v>
      </c>
    </row>
    <row r="83" spans="1:19" s="178" customFormat="1" ht="32.1" customHeight="1" x14ac:dyDescent="0.2">
      <c r="A83" s="127" t="s">
        <v>209</v>
      </c>
      <c r="B83" s="100" t="s">
        <v>615</v>
      </c>
      <c r="C83" s="197" t="s">
        <v>616</v>
      </c>
      <c r="D83" s="121">
        <v>27</v>
      </c>
      <c r="E83" s="81"/>
      <c r="F83" s="81"/>
      <c r="G83" s="81">
        <v>53</v>
      </c>
      <c r="H83" s="81"/>
      <c r="I83" s="81"/>
      <c r="J83" s="81"/>
      <c r="K83" s="81"/>
      <c r="L83" s="81"/>
      <c r="M83" s="81"/>
      <c r="N83" s="81"/>
      <c r="O83" s="81"/>
      <c r="P83" s="81"/>
      <c r="Q83" s="145">
        <f t="shared" si="5"/>
        <v>53</v>
      </c>
      <c r="R83" s="151" t="str">
        <f t="shared" si="6"/>
        <v>NO</v>
      </c>
      <c r="S83" s="152" t="str">
        <f t="shared" si="4"/>
        <v>Alto</v>
      </c>
    </row>
    <row r="84" spans="1:19" s="178" customFormat="1" ht="32.1" customHeight="1" x14ac:dyDescent="0.2">
      <c r="A84" s="127" t="s">
        <v>209</v>
      </c>
      <c r="B84" s="100" t="s">
        <v>617</v>
      </c>
      <c r="C84" s="197" t="s">
        <v>618</v>
      </c>
      <c r="D84" s="121">
        <v>28</v>
      </c>
      <c r="E84" s="81"/>
      <c r="F84" s="81"/>
      <c r="G84" s="176"/>
      <c r="H84" s="81"/>
      <c r="I84" s="81">
        <v>53</v>
      </c>
      <c r="J84" s="81"/>
      <c r="K84" s="81"/>
      <c r="L84" s="81"/>
      <c r="M84" s="81"/>
      <c r="N84" s="81"/>
      <c r="O84" s="81"/>
      <c r="P84" s="81"/>
      <c r="Q84" s="145">
        <f t="shared" si="5"/>
        <v>53</v>
      </c>
      <c r="R84" s="151" t="str">
        <f t="shared" si="6"/>
        <v>NO</v>
      </c>
      <c r="S84" s="152" t="str">
        <f t="shared" si="4"/>
        <v>Alto</v>
      </c>
    </row>
    <row r="85" spans="1:19" s="178" customFormat="1" ht="32.1" customHeight="1" x14ac:dyDescent="0.2">
      <c r="A85" s="127" t="s">
        <v>209</v>
      </c>
      <c r="B85" s="100" t="s">
        <v>619</v>
      </c>
      <c r="C85" s="197" t="s">
        <v>620</v>
      </c>
      <c r="D85" s="121">
        <v>24</v>
      </c>
      <c r="E85" s="81"/>
      <c r="F85" s="81"/>
      <c r="G85" s="81"/>
      <c r="H85" s="81">
        <v>53</v>
      </c>
      <c r="I85" s="81"/>
      <c r="J85" s="81"/>
      <c r="K85" s="81"/>
      <c r="L85" s="81"/>
      <c r="M85" s="81"/>
      <c r="N85" s="81"/>
      <c r="O85" s="81"/>
      <c r="P85" s="81"/>
      <c r="Q85" s="145">
        <f t="shared" si="5"/>
        <v>53</v>
      </c>
      <c r="R85" s="151" t="str">
        <f t="shared" si="6"/>
        <v>NO</v>
      </c>
      <c r="S85" s="152" t="str">
        <f t="shared" si="4"/>
        <v>Alto</v>
      </c>
    </row>
    <row r="86" spans="1:19" s="178" customFormat="1" ht="32.1" customHeight="1" x14ac:dyDescent="0.2">
      <c r="A86" s="127" t="s">
        <v>209</v>
      </c>
      <c r="B86" s="100" t="s">
        <v>621</v>
      </c>
      <c r="C86" s="197" t="s">
        <v>622</v>
      </c>
      <c r="D86" s="121">
        <v>17</v>
      </c>
      <c r="E86" s="81"/>
      <c r="F86" s="81"/>
      <c r="G86" s="179"/>
      <c r="H86" s="81"/>
      <c r="I86" s="81"/>
      <c r="J86" s="81"/>
      <c r="K86" s="81"/>
      <c r="L86" s="81"/>
      <c r="M86" s="81">
        <v>97</v>
      </c>
      <c r="N86" s="81"/>
      <c r="O86" s="81"/>
      <c r="P86" s="81"/>
      <c r="Q86" s="145">
        <f t="shared" si="5"/>
        <v>97</v>
      </c>
      <c r="R86" s="151" t="str">
        <f t="shared" si="6"/>
        <v>NO</v>
      </c>
      <c r="S86" s="152" t="str">
        <f t="shared" si="4"/>
        <v>Inviable Sanitariamente</v>
      </c>
    </row>
    <row r="87" spans="1:19" s="178" customFormat="1" ht="32.1" customHeight="1" x14ac:dyDescent="0.2">
      <c r="A87" s="127" t="s">
        <v>209</v>
      </c>
      <c r="B87" s="100" t="s">
        <v>623</v>
      </c>
      <c r="C87" s="197" t="s">
        <v>624</v>
      </c>
      <c r="D87" s="121">
        <v>24</v>
      </c>
      <c r="E87" s="81"/>
      <c r="F87" s="81"/>
      <c r="G87" s="81"/>
      <c r="H87" s="81"/>
      <c r="I87" s="81"/>
      <c r="J87" s="81"/>
      <c r="K87" s="81"/>
      <c r="L87" s="81"/>
      <c r="M87" s="81"/>
      <c r="N87" s="81">
        <v>97</v>
      </c>
      <c r="O87" s="81"/>
      <c r="P87" s="81"/>
      <c r="Q87" s="145">
        <f t="shared" si="5"/>
        <v>97</v>
      </c>
      <c r="R87" s="151" t="str">
        <f t="shared" si="6"/>
        <v>NO</v>
      </c>
      <c r="S87" s="152" t="str">
        <f t="shared" si="4"/>
        <v>Inviable Sanitariamente</v>
      </c>
    </row>
    <row r="88" spans="1:19" s="178" customFormat="1" ht="32.1" customHeight="1" x14ac:dyDescent="0.2">
      <c r="A88" s="127" t="s">
        <v>976</v>
      </c>
      <c r="B88" s="99" t="s">
        <v>626</v>
      </c>
      <c r="C88" s="113" t="s">
        <v>627</v>
      </c>
      <c r="D88" s="121">
        <v>135</v>
      </c>
      <c r="E88" s="81"/>
      <c r="F88" s="81"/>
      <c r="G88" s="81">
        <v>2.7</v>
      </c>
      <c r="H88" s="81"/>
      <c r="I88" s="81">
        <v>0</v>
      </c>
      <c r="J88" s="81"/>
      <c r="K88" s="81">
        <v>0</v>
      </c>
      <c r="L88" s="81"/>
      <c r="M88" s="81">
        <v>0</v>
      </c>
      <c r="N88" s="81"/>
      <c r="O88" s="81">
        <v>0</v>
      </c>
      <c r="P88" s="81"/>
      <c r="Q88" s="145">
        <f t="shared" si="5"/>
        <v>0.54</v>
      </c>
      <c r="R88" s="151" t="str">
        <f t="shared" si="6"/>
        <v>SI</v>
      </c>
      <c r="S88" s="152" t="str">
        <f t="shared" si="4"/>
        <v>Sin Riesgo</v>
      </c>
    </row>
    <row r="89" spans="1:19" s="178" customFormat="1" ht="32.1" customHeight="1" x14ac:dyDescent="0.2">
      <c r="A89" s="127" t="s">
        <v>976</v>
      </c>
      <c r="B89" s="99" t="s">
        <v>628</v>
      </c>
      <c r="C89" s="113" t="s">
        <v>629</v>
      </c>
      <c r="D89" s="121">
        <v>332</v>
      </c>
      <c r="E89" s="81"/>
      <c r="F89" s="81"/>
      <c r="G89" s="81">
        <v>0</v>
      </c>
      <c r="H89" s="81"/>
      <c r="I89" s="81">
        <v>0</v>
      </c>
      <c r="J89" s="81"/>
      <c r="K89" s="81">
        <v>0</v>
      </c>
      <c r="L89" s="81"/>
      <c r="M89" s="81">
        <v>0</v>
      </c>
      <c r="N89" s="81"/>
      <c r="O89" s="81">
        <v>0</v>
      </c>
      <c r="P89" s="81"/>
      <c r="Q89" s="145">
        <f t="shared" si="5"/>
        <v>0</v>
      </c>
      <c r="R89" s="151" t="str">
        <f t="shared" si="6"/>
        <v>SI</v>
      </c>
      <c r="S89" s="152" t="str">
        <f t="shared" si="4"/>
        <v>Sin Riesgo</v>
      </c>
    </row>
    <row r="90" spans="1:19" s="178" customFormat="1" ht="32.1" customHeight="1" x14ac:dyDescent="0.2">
      <c r="A90" s="127" t="s">
        <v>976</v>
      </c>
      <c r="B90" s="99" t="s">
        <v>630</v>
      </c>
      <c r="C90" s="113" t="s">
        <v>631</v>
      </c>
      <c r="D90" s="121">
        <v>130</v>
      </c>
      <c r="E90" s="81"/>
      <c r="F90" s="81"/>
      <c r="G90" s="81">
        <v>0</v>
      </c>
      <c r="H90" s="81"/>
      <c r="I90" s="81">
        <v>0</v>
      </c>
      <c r="J90" s="81"/>
      <c r="K90" s="81">
        <v>0</v>
      </c>
      <c r="L90" s="81"/>
      <c r="M90" s="81">
        <v>0</v>
      </c>
      <c r="N90" s="81"/>
      <c r="O90" s="81">
        <v>0</v>
      </c>
      <c r="P90" s="81"/>
      <c r="Q90" s="145">
        <f t="shared" si="5"/>
        <v>0</v>
      </c>
      <c r="R90" s="151" t="str">
        <f t="shared" si="6"/>
        <v>SI</v>
      </c>
      <c r="S90" s="152" t="str">
        <f t="shared" si="4"/>
        <v>Sin Riesgo</v>
      </c>
    </row>
    <row r="91" spans="1:19" s="178" customFormat="1" ht="32.1" customHeight="1" x14ac:dyDescent="0.2">
      <c r="A91" s="127" t="s">
        <v>976</v>
      </c>
      <c r="B91" s="99" t="s">
        <v>632</v>
      </c>
      <c r="C91" s="113" t="s">
        <v>633</v>
      </c>
      <c r="D91" s="121">
        <v>342</v>
      </c>
      <c r="E91" s="81"/>
      <c r="F91" s="81"/>
      <c r="G91" s="81">
        <v>0</v>
      </c>
      <c r="H91" s="81"/>
      <c r="I91" s="81">
        <v>0</v>
      </c>
      <c r="J91" s="81"/>
      <c r="K91" s="81">
        <v>0</v>
      </c>
      <c r="L91" s="81"/>
      <c r="M91" s="81"/>
      <c r="N91" s="81"/>
      <c r="O91" s="81">
        <v>0</v>
      </c>
      <c r="P91" s="81"/>
      <c r="Q91" s="145">
        <f t="shared" si="5"/>
        <v>0</v>
      </c>
      <c r="R91" s="151" t="str">
        <f t="shared" si="6"/>
        <v>SI</v>
      </c>
      <c r="S91" s="152" t="str">
        <f t="shared" si="4"/>
        <v>Sin Riesgo</v>
      </c>
    </row>
    <row r="92" spans="1:19" s="178" customFormat="1" ht="32.1" customHeight="1" x14ac:dyDescent="0.2">
      <c r="A92" s="127" t="s">
        <v>976</v>
      </c>
      <c r="B92" s="99" t="s">
        <v>634</v>
      </c>
      <c r="C92" s="113" t="s">
        <v>635</v>
      </c>
      <c r="D92" s="121">
        <v>175</v>
      </c>
      <c r="E92" s="81"/>
      <c r="F92" s="81"/>
      <c r="G92" s="81">
        <v>0</v>
      </c>
      <c r="H92" s="81"/>
      <c r="I92" s="81">
        <v>0</v>
      </c>
      <c r="J92" s="81"/>
      <c r="K92" s="81">
        <v>0</v>
      </c>
      <c r="L92" s="81"/>
      <c r="M92" s="81">
        <v>0</v>
      </c>
      <c r="N92" s="81"/>
      <c r="O92" s="81">
        <v>0</v>
      </c>
      <c r="P92" s="81"/>
      <c r="Q92" s="145">
        <f t="shared" si="5"/>
        <v>0</v>
      </c>
      <c r="R92" s="151" t="str">
        <f t="shared" si="6"/>
        <v>SI</v>
      </c>
      <c r="S92" s="152" t="str">
        <f t="shared" si="4"/>
        <v>Sin Riesgo</v>
      </c>
    </row>
    <row r="93" spans="1:19" s="178" customFormat="1" ht="32.1" customHeight="1" x14ac:dyDescent="0.2">
      <c r="A93" s="127" t="s">
        <v>976</v>
      </c>
      <c r="B93" s="99" t="s">
        <v>636</v>
      </c>
      <c r="C93" s="113" t="s">
        <v>637</v>
      </c>
      <c r="D93" s="121">
        <v>87</v>
      </c>
      <c r="E93" s="81"/>
      <c r="F93" s="81"/>
      <c r="G93" s="81">
        <v>0</v>
      </c>
      <c r="H93" s="81"/>
      <c r="I93" s="81">
        <v>0</v>
      </c>
      <c r="J93" s="81"/>
      <c r="K93" s="81">
        <v>0</v>
      </c>
      <c r="L93" s="81"/>
      <c r="M93" s="81">
        <v>0</v>
      </c>
      <c r="N93" s="81"/>
      <c r="O93" s="81">
        <v>0</v>
      </c>
      <c r="P93" s="81"/>
      <c r="Q93" s="145">
        <f t="shared" si="5"/>
        <v>0</v>
      </c>
      <c r="R93" s="151" t="str">
        <f t="shared" si="6"/>
        <v>SI</v>
      </c>
      <c r="S93" s="152" t="str">
        <f t="shared" si="4"/>
        <v>Sin Riesgo</v>
      </c>
    </row>
    <row r="94" spans="1:19" s="178" customFormat="1" ht="32.1" customHeight="1" x14ac:dyDescent="0.2">
      <c r="A94" s="127" t="s">
        <v>976</v>
      </c>
      <c r="B94" s="99" t="s">
        <v>638</v>
      </c>
      <c r="C94" s="113" t="s">
        <v>639</v>
      </c>
      <c r="D94" s="121">
        <v>343</v>
      </c>
      <c r="E94" s="81"/>
      <c r="F94" s="81"/>
      <c r="G94" s="81"/>
      <c r="H94" s="81">
        <v>0</v>
      </c>
      <c r="I94" s="81"/>
      <c r="J94" s="81">
        <v>0</v>
      </c>
      <c r="K94" s="81">
        <v>0</v>
      </c>
      <c r="L94" s="81"/>
      <c r="M94" s="81">
        <v>0</v>
      </c>
      <c r="N94" s="81"/>
      <c r="O94" s="81">
        <v>0</v>
      </c>
      <c r="P94" s="81"/>
      <c r="Q94" s="145">
        <f t="shared" si="5"/>
        <v>0</v>
      </c>
      <c r="R94" s="151" t="str">
        <f t="shared" si="6"/>
        <v>SI</v>
      </c>
      <c r="S94" s="152" t="str">
        <f t="shared" ref="S94:S125" si="7">IF(Q94&lt;5,"Sin Riesgo",IF(Q94 &lt;=14,"Bajo",IF(Q94&lt;=35,"Medio",IF(Q94&lt;=80,"Alto","Inviable Sanitariamente"))))</f>
        <v>Sin Riesgo</v>
      </c>
    </row>
    <row r="95" spans="1:19" s="178" customFormat="1" ht="32.1" customHeight="1" x14ac:dyDescent="0.2">
      <c r="A95" s="127" t="s">
        <v>976</v>
      </c>
      <c r="B95" s="99" t="s">
        <v>640</v>
      </c>
      <c r="C95" s="113" t="s">
        <v>641</v>
      </c>
      <c r="D95" s="116">
        <v>320</v>
      </c>
      <c r="E95" s="81"/>
      <c r="F95" s="81">
        <v>0</v>
      </c>
      <c r="G95" s="81"/>
      <c r="H95" s="81"/>
      <c r="I95" s="81">
        <v>0</v>
      </c>
      <c r="J95" s="81"/>
      <c r="K95" s="81">
        <v>0</v>
      </c>
      <c r="L95" s="81"/>
      <c r="M95" s="81">
        <v>0</v>
      </c>
      <c r="N95" s="81"/>
      <c r="O95" s="81">
        <v>0</v>
      </c>
      <c r="P95" s="81"/>
      <c r="Q95" s="145">
        <f t="shared" si="5"/>
        <v>0</v>
      </c>
      <c r="R95" s="151" t="str">
        <f t="shared" si="6"/>
        <v>SI</v>
      </c>
      <c r="S95" s="152" t="str">
        <f t="shared" si="7"/>
        <v>Sin Riesgo</v>
      </c>
    </row>
    <row r="96" spans="1:19" s="178" customFormat="1" ht="32.1" customHeight="1" x14ac:dyDescent="0.2">
      <c r="A96" s="127" t="s">
        <v>976</v>
      </c>
      <c r="B96" s="99" t="s">
        <v>642</v>
      </c>
      <c r="C96" s="113" t="s">
        <v>643</v>
      </c>
      <c r="D96" s="121">
        <v>78</v>
      </c>
      <c r="E96" s="81"/>
      <c r="F96" s="81">
        <v>0</v>
      </c>
      <c r="G96" s="81"/>
      <c r="H96" s="81"/>
      <c r="I96" s="81">
        <v>0</v>
      </c>
      <c r="J96" s="81"/>
      <c r="K96" s="81">
        <v>0</v>
      </c>
      <c r="L96" s="81"/>
      <c r="M96" s="81">
        <v>0</v>
      </c>
      <c r="N96" s="81"/>
      <c r="O96" s="81">
        <v>0</v>
      </c>
      <c r="P96" s="81"/>
      <c r="Q96" s="145">
        <f t="shared" si="5"/>
        <v>0</v>
      </c>
      <c r="R96" s="151" t="str">
        <f t="shared" si="6"/>
        <v>SI</v>
      </c>
      <c r="S96" s="152" t="str">
        <f t="shared" si="7"/>
        <v>Sin Riesgo</v>
      </c>
    </row>
    <row r="97" spans="1:19" s="178" customFormat="1" ht="32.1" customHeight="1" x14ac:dyDescent="0.2">
      <c r="A97" s="127" t="s">
        <v>976</v>
      </c>
      <c r="B97" s="99" t="s">
        <v>644</v>
      </c>
      <c r="C97" s="113" t="s">
        <v>645</v>
      </c>
      <c r="D97" s="121">
        <v>17</v>
      </c>
      <c r="E97" s="81"/>
      <c r="F97" s="81">
        <v>0</v>
      </c>
      <c r="G97" s="81"/>
      <c r="H97" s="81"/>
      <c r="I97" s="81">
        <v>0</v>
      </c>
      <c r="J97" s="81"/>
      <c r="K97" s="81">
        <v>0</v>
      </c>
      <c r="L97" s="81"/>
      <c r="M97" s="81">
        <v>0</v>
      </c>
      <c r="N97" s="81"/>
      <c r="O97" s="81">
        <v>0</v>
      </c>
      <c r="P97" s="81"/>
      <c r="Q97" s="145">
        <f t="shared" si="5"/>
        <v>0</v>
      </c>
      <c r="R97" s="151" t="str">
        <f t="shared" si="6"/>
        <v>SI</v>
      </c>
      <c r="S97" s="152" t="str">
        <f t="shared" si="7"/>
        <v>Sin Riesgo</v>
      </c>
    </row>
    <row r="98" spans="1:19" s="178" customFormat="1" ht="32.1" customHeight="1" x14ac:dyDescent="0.2">
      <c r="A98" s="127" t="s">
        <v>976</v>
      </c>
      <c r="B98" s="99" t="s">
        <v>646</v>
      </c>
      <c r="C98" s="113" t="s">
        <v>647</v>
      </c>
      <c r="D98" s="116">
        <v>262</v>
      </c>
      <c r="E98" s="81"/>
      <c r="F98" s="81"/>
      <c r="G98" s="81">
        <v>0</v>
      </c>
      <c r="H98" s="81"/>
      <c r="I98" s="81">
        <v>0</v>
      </c>
      <c r="J98" s="81"/>
      <c r="K98" s="81">
        <v>0</v>
      </c>
      <c r="L98" s="81"/>
      <c r="M98" s="81">
        <v>0</v>
      </c>
      <c r="N98" s="81"/>
      <c r="O98" s="81">
        <v>0</v>
      </c>
      <c r="P98" s="81"/>
      <c r="Q98" s="145">
        <f t="shared" si="5"/>
        <v>0</v>
      </c>
      <c r="R98" s="151" t="str">
        <f t="shared" si="6"/>
        <v>SI</v>
      </c>
      <c r="S98" s="152" t="str">
        <f t="shared" si="7"/>
        <v>Sin Riesgo</v>
      </c>
    </row>
    <row r="99" spans="1:19" s="178" customFormat="1" ht="32.1" customHeight="1" x14ac:dyDescent="0.2">
      <c r="A99" s="127" t="s">
        <v>976</v>
      </c>
      <c r="B99" s="99" t="s">
        <v>8</v>
      </c>
      <c r="C99" s="113" t="s">
        <v>648</v>
      </c>
      <c r="D99" s="121">
        <v>284</v>
      </c>
      <c r="E99" s="81"/>
      <c r="F99" s="81"/>
      <c r="G99" s="81">
        <v>0</v>
      </c>
      <c r="H99" s="81"/>
      <c r="I99" s="81">
        <v>0</v>
      </c>
      <c r="J99" s="81"/>
      <c r="K99" s="81">
        <v>0</v>
      </c>
      <c r="L99" s="81"/>
      <c r="M99" s="81">
        <v>0</v>
      </c>
      <c r="N99" s="81"/>
      <c r="O99" s="81">
        <v>0</v>
      </c>
      <c r="P99" s="81"/>
      <c r="Q99" s="145">
        <f t="shared" si="5"/>
        <v>0</v>
      </c>
      <c r="R99" s="151" t="str">
        <f t="shared" si="6"/>
        <v>SI</v>
      </c>
      <c r="S99" s="152" t="str">
        <f t="shared" si="7"/>
        <v>Sin Riesgo</v>
      </c>
    </row>
    <row r="100" spans="1:19" s="178" customFormat="1" ht="32.1" customHeight="1" x14ac:dyDescent="0.2">
      <c r="A100" s="127" t="s">
        <v>976</v>
      </c>
      <c r="B100" s="99" t="s">
        <v>649</v>
      </c>
      <c r="C100" s="113" t="s">
        <v>650</v>
      </c>
      <c r="D100" s="121">
        <v>164</v>
      </c>
      <c r="E100" s="81"/>
      <c r="F100" s="81"/>
      <c r="G100" s="81">
        <v>0</v>
      </c>
      <c r="H100" s="81"/>
      <c r="I100" s="81">
        <v>0</v>
      </c>
      <c r="J100" s="81"/>
      <c r="K100" s="81">
        <v>0</v>
      </c>
      <c r="L100" s="81"/>
      <c r="M100" s="81">
        <v>0</v>
      </c>
      <c r="N100" s="81"/>
      <c r="O100" s="81">
        <v>0</v>
      </c>
      <c r="P100" s="81"/>
      <c r="Q100" s="145">
        <f t="shared" si="5"/>
        <v>0</v>
      </c>
      <c r="R100" s="151" t="str">
        <f t="shared" si="6"/>
        <v>SI</v>
      </c>
      <c r="S100" s="152" t="str">
        <f t="shared" si="7"/>
        <v>Sin Riesgo</v>
      </c>
    </row>
    <row r="101" spans="1:19" s="178" customFormat="1" ht="32.1" customHeight="1" x14ac:dyDescent="0.2">
      <c r="A101" s="127" t="s">
        <v>976</v>
      </c>
      <c r="B101" s="99" t="s">
        <v>651</v>
      </c>
      <c r="C101" s="113" t="s">
        <v>652</v>
      </c>
      <c r="D101" s="116">
        <v>452</v>
      </c>
      <c r="E101" s="81"/>
      <c r="F101" s="81"/>
      <c r="G101" s="81"/>
      <c r="H101" s="81"/>
      <c r="I101" s="81">
        <v>0</v>
      </c>
      <c r="J101" s="81"/>
      <c r="K101" s="81">
        <v>0</v>
      </c>
      <c r="L101" s="81"/>
      <c r="M101" s="81">
        <v>0</v>
      </c>
      <c r="N101" s="81"/>
      <c r="O101" s="81">
        <v>0</v>
      </c>
      <c r="P101" s="81"/>
      <c r="Q101" s="145">
        <f t="shared" si="5"/>
        <v>0</v>
      </c>
      <c r="R101" s="151" t="str">
        <f t="shared" si="6"/>
        <v>SI</v>
      </c>
      <c r="S101" s="152" t="str">
        <f t="shared" si="7"/>
        <v>Sin Riesgo</v>
      </c>
    </row>
    <row r="102" spans="1:19" s="178" customFormat="1" ht="32.1" customHeight="1" x14ac:dyDescent="0.2">
      <c r="A102" s="127" t="s">
        <v>976</v>
      </c>
      <c r="B102" s="99" t="s">
        <v>653</v>
      </c>
      <c r="C102" s="113" t="s">
        <v>654</v>
      </c>
      <c r="D102" s="121">
        <v>452</v>
      </c>
      <c r="E102" s="81"/>
      <c r="F102" s="81"/>
      <c r="G102" s="81">
        <v>0</v>
      </c>
      <c r="H102" s="81"/>
      <c r="I102" s="81"/>
      <c r="J102" s="81"/>
      <c r="K102" s="81">
        <v>0</v>
      </c>
      <c r="L102" s="81"/>
      <c r="M102" s="81">
        <v>0</v>
      </c>
      <c r="N102" s="81"/>
      <c r="O102" s="81"/>
      <c r="P102" s="81"/>
      <c r="Q102" s="145">
        <f t="shared" si="5"/>
        <v>0</v>
      </c>
      <c r="R102" s="151" t="str">
        <f t="shared" si="6"/>
        <v>SI</v>
      </c>
      <c r="S102" s="152" t="str">
        <f t="shared" si="7"/>
        <v>Sin Riesgo</v>
      </c>
    </row>
    <row r="103" spans="1:19" s="178" customFormat="1" ht="32.1" customHeight="1" x14ac:dyDescent="0.2">
      <c r="A103" s="127" t="s">
        <v>976</v>
      </c>
      <c r="B103" s="99" t="s">
        <v>655</v>
      </c>
      <c r="C103" s="113" t="s">
        <v>656</v>
      </c>
      <c r="D103" s="121">
        <v>40</v>
      </c>
      <c r="E103" s="81"/>
      <c r="F103" s="81"/>
      <c r="G103" s="81">
        <v>0</v>
      </c>
      <c r="H103" s="81"/>
      <c r="I103" s="81">
        <v>0</v>
      </c>
      <c r="J103" s="81"/>
      <c r="K103" s="81">
        <v>0</v>
      </c>
      <c r="L103" s="81"/>
      <c r="M103" s="81">
        <v>0</v>
      </c>
      <c r="N103" s="81"/>
      <c r="O103" s="81">
        <v>0</v>
      </c>
      <c r="P103" s="81"/>
      <c r="Q103" s="145">
        <f t="shared" si="5"/>
        <v>0</v>
      </c>
      <c r="R103" s="151" t="str">
        <f t="shared" si="6"/>
        <v>SI</v>
      </c>
      <c r="S103" s="152" t="str">
        <f t="shared" si="7"/>
        <v>Sin Riesgo</v>
      </c>
    </row>
    <row r="104" spans="1:19" s="178" customFormat="1" ht="32.1" customHeight="1" x14ac:dyDescent="0.2">
      <c r="A104" s="127" t="s">
        <v>976</v>
      </c>
      <c r="B104" s="99" t="s">
        <v>657</v>
      </c>
      <c r="C104" s="113" t="s">
        <v>658</v>
      </c>
      <c r="D104" s="121">
        <v>200</v>
      </c>
      <c r="E104" s="81"/>
      <c r="F104" s="81"/>
      <c r="G104" s="81">
        <v>0</v>
      </c>
      <c r="H104" s="81"/>
      <c r="I104" s="81"/>
      <c r="J104" s="81"/>
      <c r="K104" s="81">
        <v>0</v>
      </c>
      <c r="L104" s="81"/>
      <c r="M104" s="81">
        <v>0</v>
      </c>
      <c r="N104" s="81"/>
      <c r="O104" s="81"/>
      <c r="P104" s="81"/>
      <c r="Q104" s="145">
        <f t="shared" si="5"/>
        <v>0</v>
      </c>
      <c r="R104" s="151" t="str">
        <f t="shared" si="6"/>
        <v>SI</v>
      </c>
      <c r="S104" s="152" t="str">
        <f t="shared" si="7"/>
        <v>Sin Riesgo</v>
      </c>
    </row>
    <row r="105" spans="1:19" s="178" customFormat="1" ht="32.1" customHeight="1" x14ac:dyDescent="0.2">
      <c r="A105" s="127" t="s">
        <v>976</v>
      </c>
      <c r="B105" s="99" t="s">
        <v>659</v>
      </c>
      <c r="C105" s="113" t="s">
        <v>660</v>
      </c>
      <c r="D105" s="121">
        <v>200</v>
      </c>
      <c r="E105" s="81"/>
      <c r="F105" s="81"/>
      <c r="G105" s="81">
        <v>0</v>
      </c>
      <c r="H105" s="81"/>
      <c r="I105" s="81"/>
      <c r="J105" s="81"/>
      <c r="K105" s="81">
        <v>0</v>
      </c>
      <c r="L105" s="81"/>
      <c r="M105" s="81">
        <v>0</v>
      </c>
      <c r="N105" s="81"/>
      <c r="O105" s="81">
        <v>0</v>
      </c>
      <c r="P105" s="81"/>
      <c r="Q105" s="145">
        <f t="shared" si="5"/>
        <v>0</v>
      </c>
      <c r="R105" s="151" t="str">
        <f t="shared" si="6"/>
        <v>SI</v>
      </c>
      <c r="S105" s="152" t="str">
        <f t="shared" si="7"/>
        <v>Sin Riesgo</v>
      </c>
    </row>
    <row r="106" spans="1:19" s="178" customFormat="1" ht="32.1" customHeight="1" x14ac:dyDescent="0.2">
      <c r="A106" s="127" t="s">
        <v>976</v>
      </c>
      <c r="B106" s="99" t="s">
        <v>661</v>
      </c>
      <c r="C106" s="113" t="s">
        <v>662</v>
      </c>
      <c r="D106" s="121">
        <v>20</v>
      </c>
      <c r="E106" s="81"/>
      <c r="F106" s="81">
        <v>0</v>
      </c>
      <c r="G106" s="81"/>
      <c r="H106" s="81">
        <v>0</v>
      </c>
      <c r="I106" s="81"/>
      <c r="J106" s="81">
        <v>0</v>
      </c>
      <c r="K106" s="81"/>
      <c r="L106" s="81">
        <v>0</v>
      </c>
      <c r="M106" s="81"/>
      <c r="N106" s="81">
        <v>0</v>
      </c>
      <c r="O106" s="81"/>
      <c r="P106" s="81"/>
      <c r="Q106" s="145">
        <f t="shared" si="5"/>
        <v>0</v>
      </c>
      <c r="R106" s="151" t="str">
        <f t="shared" si="6"/>
        <v>SI</v>
      </c>
      <c r="S106" s="152" t="str">
        <f t="shared" si="7"/>
        <v>Sin Riesgo</v>
      </c>
    </row>
    <row r="107" spans="1:19" s="178" customFormat="1" ht="32.1" customHeight="1" x14ac:dyDescent="0.2">
      <c r="A107" s="127" t="s">
        <v>976</v>
      </c>
      <c r="B107" s="99" t="s">
        <v>516</v>
      </c>
      <c r="C107" s="113" t="s">
        <v>663</v>
      </c>
      <c r="D107" s="121">
        <v>607</v>
      </c>
      <c r="E107" s="81"/>
      <c r="F107" s="81">
        <v>0</v>
      </c>
      <c r="G107" s="81"/>
      <c r="H107" s="81">
        <v>0</v>
      </c>
      <c r="I107" s="81"/>
      <c r="J107" s="81">
        <v>26.6</v>
      </c>
      <c r="K107" s="81"/>
      <c r="L107" s="81">
        <v>0</v>
      </c>
      <c r="M107" s="81"/>
      <c r="N107" s="81">
        <v>0</v>
      </c>
      <c r="O107" s="81"/>
      <c r="P107" s="81"/>
      <c r="Q107" s="145">
        <f t="shared" si="5"/>
        <v>5.32</v>
      </c>
      <c r="R107" s="151" t="str">
        <f t="shared" si="6"/>
        <v>NO</v>
      </c>
      <c r="S107" s="152" t="str">
        <f t="shared" si="7"/>
        <v>Bajo</v>
      </c>
    </row>
    <row r="108" spans="1:19" s="178" customFormat="1" ht="32.1" customHeight="1" x14ac:dyDescent="0.2">
      <c r="A108" s="127" t="s">
        <v>976</v>
      </c>
      <c r="B108" s="99" t="s">
        <v>664</v>
      </c>
      <c r="C108" s="113" t="s">
        <v>665</v>
      </c>
      <c r="D108" s="121">
        <v>489</v>
      </c>
      <c r="E108" s="81"/>
      <c r="F108" s="81">
        <v>0</v>
      </c>
      <c r="G108" s="81"/>
      <c r="H108" s="81">
        <v>0</v>
      </c>
      <c r="I108" s="81"/>
      <c r="J108" s="81">
        <v>0</v>
      </c>
      <c r="K108" s="81"/>
      <c r="L108" s="81">
        <v>0</v>
      </c>
      <c r="M108" s="81"/>
      <c r="N108" s="81">
        <v>0</v>
      </c>
      <c r="O108" s="81"/>
      <c r="P108" s="81"/>
      <c r="Q108" s="145">
        <f t="shared" si="5"/>
        <v>0</v>
      </c>
      <c r="R108" s="151" t="str">
        <f t="shared" si="6"/>
        <v>SI</v>
      </c>
      <c r="S108" s="152" t="str">
        <f t="shared" si="7"/>
        <v>Sin Riesgo</v>
      </c>
    </row>
    <row r="109" spans="1:19" s="178" customFormat="1" ht="32.1" customHeight="1" x14ac:dyDescent="0.2">
      <c r="A109" s="127" t="s">
        <v>976</v>
      </c>
      <c r="B109" s="99" t="s">
        <v>666</v>
      </c>
      <c r="C109" s="113" t="s">
        <v>667</v>
      </c>
      <c r="D109" s="121">
        <v>84</v>
      </c>
      <c r="E109" s="81"/>
      <c r="F109" s="81">
        <v>0</v>
      </c>
      <c r="G109" s="81"/>
      <c r="H109" s="81">
        <v>0</v>
      </c>
      <c r="I109" s="81"/>
      <c r="J109" s="81">
        <v>26.6</v>
      </c>
      <c r="K109" s="81"/>
      <c r="L109" s="81">
        <v>0</v>
      </c>
      <c r="M109" s="81"/>
      <c r="N109" s="81">
        <v>0</v>
      </c>
      <c r="O109" s="81"/>
      <c r="P109" s="81"/>
      <c r="Q109" s="145">
        <f t="shared" si="5"/>
        <v>5.32</v>
      </c>
      <c r="R109" s="151" t="str">
        <f t="shared" si="6"/>
        <v>NO</v>
      </c>
      <c r="S109" s="152" t="str">
        <f t="shared" si="7"/>
        <v>Bajo</v>
      </c>
    </row>
    <row r="110" spans="1:19" s="178" customFormat="1" ht="32.1" customHeight="1" x14ac:dyDescent="0.2">
      <c r="A110" s="127" t="s">
        <v>976</v>
      </c>
      <c r="B110" s="99" t="s">
        <v>661</v>
      </c>
      <c r="C110" s="113" t="s">
        <v>685</v>
      </c>
      <c r="D110" s="121">
        <v>80</v>
      </c>
      <c r="E110" s="81"/>
      <c r="F110" s="81">
        <v>0</v>
      </c>
      <c r="G110" s="81"/>
      <c r="H110" s="81">
        <v>0</v>
      </c>
      <c r="I110" s="81"/>
      <c r="J110" s="81">
        <v>0</v>
      </c>
      <c r="K110" s="81"/>
      <c r="L110" s="81">
        <v>0</v>
      </c>
      <c r="M110" s="81"/>
      <c r="N110" s="81">
        <v>0</v>
      </c>
      <c r="O110" s="81"/>
      <c r="P110" s="81"/>
      <c r="Q110" s="145">
        <f t="shared" si="5"/>
        <v>0</v>
      </c>
      <c r="R110" s="151" t="str">
        <f t="shared" si="6"/>
        <v>SI</v>
      </c>
      <c r="S110" s="152" t="str">
        <f t="shared" si="7"/>
        <v>Sin Riesgo</v>
      </c>
    </row>
    <row r="111" spans="1:19" s="178" customFormat="1" ht="32.1" customHeight="1" x14ac:dyDescent="0.2">
      <c r="A111" s="127" t="s">
        <v>976</v>
      </c>
      <c r="B111" s="99" t="s">
        <v>63</v>
      </c>
      <c r="C111" s="113" t="s">
        <v>686</v>
      </c>
      <c r="D111" s="121">
        <v>237</v>
      </c>
      <c r="E111" s="81"/>
      <c r="F111" s="81">
        <v>0</v>
      </c>
      <c r="G111" s="81"/>
      <c r="H111" s="81">
        <v>0</v>
      </c>
      <c r="I111" s="81"/>
      <c r="J111" s="81">
        <v>0</v>
      </c>
      <c r="K111" s="81"/>
      <c r="L111" s="81">
        <v>0</v>
      </c>
      <c r="M111" s="81"/>
      <c r="N111" s="81">
        <v>0</v>
      </c>
      <c r="O111" s="81"/>
      <c r="P111" s="81"/>
      <c r="Q111" s="145">
        <f t="shared" si="5"/>
        <v>0</v>
      </c>
      <c r="R111" s="151" t="str">
        <f t="shared" si="6"/>
        <v>SI</v>
      </c>
      <c r="S111" s="152" t="str">
        <f t="shared" si="7"/>
        <v>Sin Riesgo</v>
      </c>
    </row>
    <row r="112" spans="1:19" s="178" customFormat="1" ht="32.1" customHeight="1" x14ac:dyDescent="0.2">
      <c r="A112" s="127" t="s">
        <v>976</v>
      </c>
      <c r="B112" s="99" t="s">
        <v>666</v>
      </c>
      <c r="C112" s="113" t="s">
        <v>687</v>
      </c>
      <c r="D112" s="121">
        <v>580</v>
      </c>
      <c r="E112" s="81"/>
      <c r="F112" s="81">
        <v>0</v>
      </c>
      <c r="G112" s="81"/>
      <c r="H112" s="81">
        <v>0</v>
      </c>
      <c r="I112" s="81"/>
      <c r="J112" s="81">
        <v>0</v>
      </c>
      <c r="K112" s="81"/>
      <c r="L112" s="81">
        <v>0</v>
      </c>
      <c r="M112" s="81"/>
      <c r="N112" s="81">
        <v>0</v>
      </c>
      <c r="O112" s="81"/>
      <c r="P112" s="81"/>
      <c r="Q112" s="145">
        <f t="shared" si="5"/>
        <v>0</v>
      </c>
      <c r="R112" s="151" t="str">
        <f t="shared" si="6"/>
        <v>SI</v>
      </c>
      <c r="S112" s="152" t="str">
        <f t="shared" si="7"/>
        <v>Sin Riesgo</v>
      </c>
    </row>
    <row r="113" spans="1:19" s="178" customFormat="1" ht="32.1" customHeight="1" x14ac:dyDescent="0.2">
      <c r="A113" s="127" t="s">
        <v>976</v>
      </c>
      <c r="B113" s="99" t="s">
        <v>668</v>
      </c>
      <c r="C113" s="113" t="s">
        <v>669</v>
      </c>
      <c r="D113" s="121">
        <v>110</v>
      </c>
      <c r="E113" s="81"/>
      <c r="F113" s="81">
        <v>0</v>
      </c>
      <c r="G113" s="81"/>
      <c r="H113" s="81">
        <v>0</v>
      </c>
      <c r="I113" s="81"/>
      <c r="J113" s="81">
        <v>0</v>
      </c>
      <c r="K113" s="81"/>
      <c r="L113" s="81">
        <v>0</v>
      </c>
      <c r="M113" s="81"/>
      <c r="N113" s="81">
        <v>0</v>
      </c>
      <c r="O113" s="81"/>
      <c r="P113" s="81"/>
      <c r="Q113" s="145">
        <f t="shared" si="5"/>
        <v>0</v>
      </c>
      <c r="R113" s="151" t="str">
        <f t="shared" si="6"/>
        <v>SI</v>
      </c>
      <c r="S113" s="152" t="str">
        <f t="shared" si="7"/>
        <v>Sin Riesgo</v>
      </c>
    </row>
    <row r="114" spans="1:19" s="178" customFormat="1" ht="32.1" customHeight="1" x14ac:dyDescent="0.2">
      <c r="A114" s="127" t="s">
        <v>976</v>
      </c>
      <c r="B114" s="99" t="s">
        <v>670</v>
      </c>
      <c r="C114" s="113" t="s">
        <v>671</v>
      </c>
      <c r="D114" s="121">
        <v>535</v>
      </c>
      <c r="E114" s="81"/>
      <c r="F114" s="81">
        <v>0</v>
      </c>
      <c r="G114" s="81"/>
      <c r="H114" s="81">
        <v>0</v>
      </c>
      <c r="I114" s="81"/>
      <c r="J114" s="81">
        <v>0</v>
      </c>
      <c r="K114" s="81"/>
      <c r="L114" s="81">
        <v>0</v>
      </c>
      <c r="M114" s="81"/>
      <c r="N114" s="81">
        <v>0</v>
      </c>
      <c r="O114" s="81"/>
      <c r="P114" s="81"/>
      <c r="Q114" s="145">
        <f t="shared" si="5"/>
        <v>0</v>
      </c>
      <c r="R114" s="151" t="str">
        <f t="shared" si="6"/>
        <v>SI</v>
      </c>
      <c r="S114" s="152" t="str">
        <f t="shared" si="7"/>
        <v>Sin Riesgo</v>
      </c>
    </row>
    <row r="115" spans="1:19" s="178" customFormat="1" ht="32.1" customHeight="1" x14ac:dyDescent="0.2">
      <c r="A115" s="127" t="s">
        <v>976</v>
      </c>
      <c r="B115" s="99" t="s">
        <v>672</v>
      </c>
      <c r="C115" s="113" t="s">
        <v>673</v>
      </c>
      <c r="D115" s="121">
        <v>374</v>
      </c>
      <c r="E115" s="81"/>
      <c r="F115" s="81">
        <v>0</v>
      </c>
      <c r="G115" s="81"/>
      <c r="H115" s="81">
        <v>0</v>
      </c>
      <c r="I115" s="81"/>
      <c r="J115" s="81">
        <v>0</v>
      </c>
      <c r="K115" s="81"/>
      <c r="L115" s="81">
        <v>0</v>
      </c>
      <c r="M115" s="81"/>
      <c r="N115" s="81">
        <v>0</v>
      </c>
      <c r="O115" s="81"/>
      <c r="P115" s="81"/>
      <c r="Q115" s="145">
        <f t="shared" si="5"/>
        <v>0</v>
      </c>
      <c r="R115" s="151" t="str">
        <f t="shared" si="6"/>
        <v>SI</v>
      </c>
      <c r="S115" s="152" t="str">
        <f t="shared" si="7"/>
        <v>Sin Riesgo</v>
      </c>
    </row>
    <row r="116" spans="1:19" s="178" customFormat="1" ht="32.1" customHeight="1" x14ac:dyDescent="0.2">
      <c r="A116" s="127" t="s">
        <v>976</v>
      </c>
      <c r="B116" s="99" t="s">
        <v>674</v>
      </c>
      <c r="C116" s="113" t="s">
        <v>675</v>
      </c>
      <c r="D116" s="121">
        <v>383</v>
      </c>
      <c r="E116" s="81"/>
      <c r="F116" s="81">
        <v>0</v>
      </c>
      <c r="G116" s="81"/>
      <c r="H116" s="81">
        <v>0</v>
      </c>
      <c r="I116" s="81"/>
      <c r="J116" s="81">
        <v>0</v>
      </c>
      <c r="K116" s="81"/>
      <c r="L116" s="81">
        <v>0</v>
      </c>
      <c r="M116" s="81"/>
      <c r="N116" s="81"/>
      <c r="O116" s="81">
        <v>0</v>
      </c>
      <c r="P116" s="81"/>
      <c r="Q116" s="145">
        <f t="shared" si="5"/>
        <v>0</v>
      </c>
      <c r="R116" s="151" t="str">
        <f t="shared" si="6"/>
        <v>SI</v>
      </c>
      <c r="S116" s="152" t="str">
        <f t="shared" si="7"/>
        <v>Sin Riesgo</v>
      </c>
    </row>
    <row r="117" spans="1:19" s="178" customFormat="1" ht="32.1" customHeight="1" x14ac:dyDescent="0.2">
      <c r="A117" s="127" t="s">
        <v>976</v>
      </c>
      <c r="B117" s="99" t="s">
        <v>676</v>
      </c>
      <c r="C117" s="113" t="s">
        <v>677</v>
      </c>
      <c r="D117" s="121">
        <v>259</v>
      </c>
      <c r="E117" s="81"/>
      <c r="F117" s="81">
        <v>0</v>
      </c>
      <c r="G117" s="81"/>
      <c r="H117" s="81">
        <v>0</v>
      </c>
      <c r="I117" s="81"/>
      <c r="J117" s="81">
        <v>0</v>
      </c>
      <c r="K117" s="81"/>
      <c r="L117" s="81">
        <v>0</v>
      </c>
      <c r="M117" s="81"/>
      <c r="N117" s="81"/>
      <c r="O117" s="81">
        <v>0</v>
      </c>
      <c r="P117" s="81"/>
      <c r="Q117" s="145">
        <f t="shared" si="5"/>
        <v>0</v>
      </c>
      <c r="R117" s="151" t="str">
        <f t="shared" si="6"/>
        <v>SI</v>
      </c>
      <c r="S117" s="152" t="str">
        <f t="shared" si="7"/>
        <v>Sin Riesgo</v>
      </c>
    </row>
    <row r="118" spans="1:19" s="178" customFormat="1" ht="32.1" customHeight="1" x14ac:dyDescent="0.2">
      <c r="A118" s="127" t="s">
        <v>976</v>
      </c>
      <c r="B118" s="99" t="s">
        <v>678</v>
      </c>
      <c r="C118" s="113" t="s">
        <v>679</v>
      </c>
      <c r="D118" s="121">
        <v>220</v>
      </c>
      <c r="E118" s="81"/>
      <c r="F118" s="81"/>
      <c r="G118" s="81">
        <v>0</v>
      </c>
      <c r="H118" s="81"/>
      <c r="I118" s="81">
        <v>0</v>
      </c>
      <c r="J118" s="81"/>
      <c r="K118" s="81">
        <v>0</v>
      </c>
      <c r="L118" s="81"/>
      <c r="M118" s="81">
        <v>0</v>
      </c>
      <c r="N118" s="81"/>
      <c r="O118" s="81"/>
      <c r="P118" s="81"/>
      <c r="Q118" s="145">
        <f t="shared" si="5"/>
        <v>0</v>
      </c>
      <c r="R118" s="151" t="str">
        <f t="shared" si="6"/>
        <v>SI</v>
      </c>
      <c r="S118" s="152" t="str">
        <f t="shared" si="7"/>
        <v>Sin Riesgo</v>
      </c>
    </row>
    <row r="119" spans="1:19" s="178" customFormat="1" ht="32.1" customHeight="1" x14ac:dyDescent="0.2">
      <c r="A119" s="127" t="s">
        <v>976</v>
      </c>
      <c r="B119" s="99" t="s">
        <v>680</v>
      </c>
      <c r="C119" s="113" t="s">
        <v>681</v>
      </c>
      <c r="D119" s="121">
        <v>140</v>
      </c>
      <c r="E119" s="81"/>
      <c r="F119" s="81"/>
      <c r="G119" s="81"/>
      <c r="H119" s="81"/>
      <c r="I119" s="81">
        <v>0</v>
      </c>
      <c r="J119" s="81"/>
      <c r="K119" s="81">
        <v>0</v>
      </c>
      <c r="L119" s="81"/>
      <c r="M119" s="81">
        <v>0</v>
      </c>
      <c r="N119" s="81"/>
      <c r="O119" s="81">
        <v>0</v>
      </c>
      <c r="P119" s="81"/>
      <c r="Q119" s="145">
        <f t="shared" si="5"/>
        <v>0</v>
      </c>
      <c r="R119" s="151" t="str">
        <f t="shared" si="6"/>
        <v>SI</v>
      </c>
      <c r="S119" s="152" t="str">
        <f t="shared" si="7"/>
        <v>Sin Riesgo</v>
      </c>
    </row>
    <row r="120" spans="1:19" s="178" customFormat="1" ht="32.1" customHeight="1" x14ac:dyDescent="0.2">
      <c r="A120" s="127" t="s">
        <v>976</v>
      </c>
      <c r="B120" s="99" t="s">
        <v>2</v>
      </c>
      <c r="C120" s="113" t="s">
        <v>682</v>
      </c>
      <c r="D120" s="121">
        <v>52</v>
      </c>
      <c r="E120" s="81"/>
      <c r="F120" s="81"/>
      <c r="G120" s="81">
        <v>97.4</v>
      </c>
      <c r="H120" s="81"/>
      <c r="I120" s="81">
        <v>0</v>
      </c>
      <c r="J120" s="81"/>
      <c r="K120" s="81">
        <v>0</v>
      </c>
      <c r="L120" s="81"/>
      <c r="M120" s="81">
        <v>0</v>
      </c>
      <c r="N120" s="81"/>
      <c r="O120" s="81">
        <v>0</v>
      </c>
      <c r="P120" s="81"/>
      <c r="Q120" s="145">
        <f t="shared" si="5"/>
        <v>19.48</v>
      </c>
      <c r="R120" s="151" t="str">
        <f t="shared" si="6"/>
        <v>NO</v>
      </c>
      <c r="S120" s="152" t="str">
        <f t="shared" si="7"/>
        <v>Medio</v>
      </c>
    </row>
    <row r="121" spans="1:19" s="178" customFormat="1" ht="32.1" customHeight="1" x14ac:dyDescent="0.2">
      <c r="A121" s="127" t="s">
        <v>976</v>
      </c>
      <c r="B121" s="99" t="s">
        <v>683</v>
      </c>
      <c r="C121" s="113" t="s">
        <v>684</v>
      </c>
      <c r="D121" s="121">
        <v>128</v>
      </c>
      <c r="E121" s="81"/>
      <c r="F121" s="81"/>
      <c r="G121" s="81">
        <v>0</v>
      </c>
      <c r="H121" s="81"/>
      <c r="I121" s="81">
        <v>0</v>
      </c>
      <c r="J121" s="81"/>
      <c r="K121" s="81">
        <v>0</v>
      </c>
      <c r="L121" s="81"/>
      <c r="M121" s="81">
        <v>0</v>
      </c>
      <c r="N121" s="81"/>
      <c r="O121" s="81">
        <v>0</v>
      </c>
      <c r="P121" s="81"/>
      <c r="Q121" s="145">
        <f t="shared" si="5"/>
        <v>0</v>
      </c>
      <c r="R121" s="151" t="str">
        <f t="shared" si="6"/>
        <v>SI</v>
      </c>
      <c r="S121" s="152" t="str">
        <f t="shared" si="7"/>
        <v>Sin Riesgo</v>
      </c>
    </row>
    <row r="122" spans="1:19" s="178" customFormat="1" ht="32.1" customHeight="1" x14ac:dyDescent="0.2">
      <c r="A122" s="127" t="s">
        <v>210</v>
      </c>
      <c r="B122" s="99" t="s">
        <v>717</v>
      </c>
      <c r="C122" s="113" t="s">
        <v>718</v>
      </c>
      <c r="D122" s="121">
        <v>285</v>
      </c>
      <c r="E122" s="81"/>
      <c r="F122" s="81"/>
      <c r="G122" s="81"/>
      <c r="H122" s="81">
        <v>97.4</v>
      </c>
      <c r="I122" s="81"/>
      <c r="J122" s="81"/>
      <c r="K122" s="81"/>
      <c r="L122" s="81"/>
      <c r="M122" s="81"/>
      <c r="N122" s="81"/>
      <c r="O122" s="81"/>
      <c r="P122" s="81"/>
      <c r="Q122" s="145">
        <f t="shared" si="5"/>
        <v>97.4</v>
      </c>
      <c r="R122" s="151" t="str">
        <f t="shared" si="6"/>
        <v>NO</v>
      </c>
      <c r="S122" s="152" t="str">
        <f t="shared" si="7"/>
        <v>Inviable Sanitariamente</v>
      </c>
    </row>
    <row r="123" spans="1:19" s="178" customFormat="1" ht="32.1" customHeight="1" x14ac:dyDescent="0.2">
      <c r="A123" s="127" t="s">
        <v>210</v>
      </c>
      <c r="B123" s="99" t="s">
        <v>74</v>
      </c>
      <c r="C123" s="113" t="s">
        <v>719</v>
      </c>
      <c r="D123" s="121">
        <v>159</v>
      </c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145" t="e">
        <f t="shared" si="5"/>
        <v>#DIV/0!</v>
      </c>
      <c r="R123" s="151" t="e">
        <f t="shared" si="6"/>
        <v>#DIV/0!</v>
      </c>
      <c r="S123" s="152" t="e">
        <f t="shared" si="7"/>
        <v>#DIV/0!</v>
      </c>
    </row>
    <row r="124" spans="1:19" s="178" customFormat="1" ht="32.1" customHeight="1" x14ac:dyDescent="0.2">
      <c r="A124" s="127" t="s">
        <v>210</v>
      </c>
      <c r="B124" s="99" t="s">
        <v>720</v>
      </c>
      <c r="C124" s="113" t="s">
        <v>721</v>
      </c>
      <c r="D124" s="121">
        <v>103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145" t="e">
        <f t="shared" si="5"/>
        <v>#DIV/0!</v>
      </c>
      <c r="R124" s="151" t="e">
        <f t="shared" si="6"/>
        <v>#DIV/0!</v>
      </c>
      <c r="S124" s="152" t="e">
        <f t="shared" si="7"/>
        <v>#DIV/0!</v>
      </c>
    </row>
    <row r="125" spans="1:19" s="178" customFormat="1" ht="32.1" customHeight="1" x14ac:dyDescent="0.2">
      <c r="A125" s="127" t="s">
        <v>210</v>
      </c>
      <c r="B125" s="99" t="s">
        <v>722</v>
      </c>
      <c r="C125" s="113" t="s">
        <v>723</v>
      </c>
      <c r="D125" s="121">
        <v>130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145" t="e">
        <f t="shared" si="5"/>
        <v>#DIV/0!</v>
      </c>
      <c r="R125" s="151" t="e">
        <f t="shared" si="6"/>
        <v>#DIV/0!</v>
      </c>
      <c r="S125" s="152" t="e">
        <f t="shared" si="7"/>
        <v>#DIV/0!</v>
      </c>
    </row>
    <row r="126" spans="1:19" s="178" customFormat="1" ht="32.1" customHeight="1" x14ac:dyDescent="0.2">
      <c r="A126" s="127" t="s">
        <v>210</v>
      </c>
      <c r="B126" s="99" t="s">
        <v>588</v>
      </c>
      <c r="C126" s="113" t="s">
        <v>724</v>
      </c>
      <c r="D126" s="121">
        <v>67</v>
      </c>
      <c r="E126" s="81"/>
      <c r="F126" s="81"/>
      <c r="G126" s="81"/>
      <c r="H126" s="81">
        <v>26.6</v>
      </c>
      <c r="I126" s="81"/>
      <c r="J126" s="81"/>
      <c r="K126" s="81"/>
      <c r="L126" s="81"/>
      <c r="M126" s="81"/>
      <c r="N126" s="81"/>
      <c r="O126" s="81"/>
      <c r="P126" s="81"/>
      <c r="Q126" s="145">
        <f t="shared" si="5"/>
        <v>26.6</v>
      </c>
      <c r="R126" s="151" t="str">
        <f t="shared" si="6"/>
        <v>NO</v>
      </c>
      <c r="S126" s="152" t="str">
        <f t="shared" ref="S126:S157" si="8">IF(Q126&lt;5,"Sin Riesgo",IF(Q126 &lt;=14,"Bajo",IF(Q126&lt;=35,"Medio",IF(Q126&lt;=80,"Alto","Inviable Sanitariamente"))))</f>
        <v>Medio</v>
      </c>
    </row>
    <row r="127" spans="1:19" s="178" customFormat="1" ht="32.1" customHeight="1" x14ac:dyDescent="0.2">
      <c r="A127" s="127" t="s">
        <v>210</v>
      </c>
      <c r="B127" s="99" t="s">
        <v>701</v>
      </c>
      <c r="C127" s="113" t="s">
        <v>725</v>
      </c>
      <c r="D127" s="121">
        <v>203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>
        <v>29.2</v>
      </c>
      <c r="P127" s="81"/>
      <c r="Q127" s="145">
        <f t="shared" si="5"/>
        <v>29.2</v>
      </c>
      <c r="R127" s="151" t="str">
        <f t="shared" si="6"/>
        <v>NO</v>
      </c>
      <c r="S127" s="152" t="str">
        <f t="shared" si="8"/>
        <v>Medio</v>
      </c>
    </row>
    <row r="128" spans="1:19" s="178" customFormat="1" ht="32.1" customHeight="1" x14ac:dyDescent="0.2">
      <c r="A128" s="127" t="s">
        <v>210</v>
      </c>
      <c r="B128" s="99" t="s">
        <v>726</v>
      </c>
      <c r="C128" s="113" t="s">
        <v>727</v>
      </c>
      <c r="D128" s="121">
        <v>75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145" t="e">
        <f t="shared" si="5"/>
        <v>#DIV/0!</v>
      </c>
      <c r="R128" s="151" t="e">
        <f t="shared" si="6"/>
        <v>#DIV/0!</v>
      </c>
      <c r="S128" s="152" t="e">
        <f t="shared" si="8"/>
        <v>#DIV/0!</v>
      </c>
    </row>
    <row r="129" spans="1:19" s="178" customFormat="1" ht="32.1" customHeight="1" x14ac:dyDescent="0.2">
      <c r="A129" s="127" t="s">
        <v>210</v>
      </c>
      <c r="B129" s="99" t="s">
        <v>711</v>
      </c>
      <c r="C129" s="113" t="s">
        <v>728</v>
      </c>
      <c r="D129" s="116">
        <v>56</v>
      </c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145" t="e">
        <f t="shared" si="5"/>
        <v>#DIV/0!</v>
      </c>
      <c r="R129" s="151" t="e">
        <f t="shared" si="6"/>
        <v>#DIV/0!</v>
      </c>
      <c r="S129" s="152" t="e">
        <f t="shared" si="8"/>
        <v>#DIV/0!</v>
      </c>
    </row>
    <row r="130" spans="1:19" s="178" customFormat="1" ht="32.1" customHeight="1" x14ac:dyDescent="0.2">
      <c r="A130" s="127" t="s">
        <v>210</v>
      </c>
      <c r="B130" s="99" t="s">
        <v>729</v>
      </c>
      <c r="C130" s="113" t="s">
        <v>730</v>
      </c>
      <c r="D130" s="121">
        <v>57</v>
      </c>
      <c r="E130" s="81"/>
      <c r="F130" s="81"/>
      <c r="G130" s="81"/>
      <c r="H130" s="81">
        <v>0</v>
      </c>
      <c r="I130" s="81"/>
      <c r="J130" s="81"/>
      <c r="K130" s="81"/>
      <c r="L130" s="81"/>
      <c r="M130" s="81"/>
      <c r="N130" s="81"/>
      <c r="O130" s="81"/>
      <c r="P130" s="81"/>
      <c r="Q130" s="145">
        <f t="shared" si="5"/>
        <v>0</v>
      </c>
      <c r="R130" s="151" t="str">
        <f t="shared" si="6"/>
        <v>SI</v>
      </c>
      <c r="S130" s="152" t="str">
        <f t="shared" si="8"/>
        <v>Sin Riesgo</v>
      </c>
    </row>
    <row r="131" spans="1:19" s="178" customFormat="1" ht="32.1" customHeight="1" x14ac:dyDescent="0.2">
      <c r="A131" s="127" t="s">
        <v>210</v>
      </c>
      <c r="B131" s="99" t="s">
        <v>72</v>
      </c>
      <c r="C131" s="113" t="s">
        <v>421</v>
      </c>
      <c r="D131" s="121">
        <v>56</v>
      </c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145" t="e">
        <f t="shared" si="5"/>
        <v>#DIV/0!</v>
      </c>
      <c r="R131" s="151" t="e">
        <f t="shared" si="6"/>
        <v>#DIV/0!</v>
      </c>
      <c r="S131" s="152" t="e">
        <f t="shared" si="8"/>
        <v>#DIV/0!</v>
      </c>
    </row>
    <row r="132" spans="1:19" s="178" customFormat="1" ht="32.1" customHeight="1" x14ac:dyDescent="0.2">
      <c r="A132" s="127" t="s">
        <v>210</v>
      </c>
      <c r="B132" s="99" t="s">
        <v>731</v>
      </c>
      <c r="C132" s="113" t="s">
        <v>732</v>
      </c>
      <c r="D132" s="116">
        <v>25</v>
      </c>
      <c r="E132" s="81"/>
      <c r="F132" s="81"/>
      <c r="G132" s="81">
        <v>97.4</v>
      </c>
      <c r="H132" s="81"/>
      <c r="I132" s="81"/>
      <c r="J132" s="81"/>
      <c r="K132" s="81"/>
      <c r="L132" s="81"/>
      <c r="M132" s="81"/>
      <c r="N132" s="81"/>
      <c r="O132" s="81"/>
      <c r="P132" s="81"/>
      <c r="Q132" s="145">
        <f t="shared" si="5"/>
        <v>97.4</v>
      </c>
      <c r="R132" s="151" t="str">
        <f t="shared" si="6"/>
        <v>NO</v>
      </c>
      <c r="S132" s="152" t="str">
        <f t="shared" si="8"/>
        <v>Inviable Sanitariamente</v>
      </c>
    </row>
    <row r="133" spans="1:19" s="178" customFormat="1" ht="32.1" customHeight="1" x14ac:dyDescent="0.2">
      <c r="A133" s="127" t="s">
        <v>210</v>
      </c>
      <c r="B133" s="99" t="s">
        <v>733</v>
      </c>
      <c r="C133" s="113" t="s">
        <v>734</v>
      </c>
      <c r="D133" s="121">
        <v>350</v>
      </c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>
        <v>97.3</v>
      </c>
      <c r="Q133" s="145">
        <f t="shared" si="5"/>
        <v>97.3</v>
      </c>
      <c r="R133" s="151" t="str">
        <f t="shared" si="6"/>
        <v>NO</v>
      </c>
      <c r="S133" s="152" t="str">
        <f t="shared" si="8"/>
        <v>Inviable Sanitariamente</v>
      </c>
    </row>
    <row r="134" spans="1:19" s="178" customFormat="1" ht="32.1" customHeight="1" x14ac:dyDescent="0.2">
      <c r="A134" s="127" t="s">
        <v>210</v>
      </c>
      <c r="B134" s="99" t="s">
        <v>735</v>
      </c>
      <c r="C134" s="113" t="s">
        <v>736</v>
      </c>
      <c r="D134" s="121">
        <v>90</v>
      </c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145" t="e">
        <f t="shared" si="5"/>
        <v>#DIV/0!</v>
      </c>
      <c r="R134" s="151" t="e">
        <f t="shared" si="6"/>
        <v>#DIV/0!</v>
      </c>
      <c r="S134" s="152" t="e">
        <f t="shared" si="8"/>
        <v>#DIV/0!</v>
      </c>
    </row>
    <row r="135" spans="1:19" s="178" customFormat="1" ht="32.1" customHeight="1" x14ac:dyDescent="0.2">
      <c r="A135" s="127" t="s">
        <v>210</v>
      </c>
      <c r="B135" s="99" t="s">
        <v>737</v>
      </c>
      <c r="C135" s="113" t="s">
        <v>738</v>
      </c>
      <c r="D135" s="116">
        <v>33</v>
      </c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145" t="e">
        <f t="shared" si="5"/>
        <v>#DIV/0!</v>
      </c>
      <c r="R135" s="151" t="e">
        <f t="shared" si="6"/>
        <v>#DIV/0!</v>
      </c>
      <c r="S135" s="152" t="e">
        <f t="shared" si="8"/>
        <v>#DIV/0!</v>
      </c>
    </row>
    <row r="136" spans="1:19" s="178" customFormat="1" ht="32.1" customHeight="1" x14ac:dyDescent="0.2">
      <c r="A136" s="127" t="s">
        <v>210</v>
      </c>
      <c r="B136" s="99" t="s">
        <v>739</v>
      </c>
      <c r="C136" s="113" t="s">
        <v>740</v>
      </c>
      <c r="D136" s="121">
        <v>113</v>
      </c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145" t="e">
        <f t="shared" si="5"/>
        <v>#DIV/0!</v>
      </c>
      <c r="R136" s="151" t="e">
        <f t="shared" si="6"/>
        <v>#DIV/0!</v>
      </c>
      <c r="S136" s="152" t="e">
        <f t="shared" si="8"/>
        <v>#DIV/0!</v>
      </c>
    </row>
    <row r="137" spans="1:19" s="178" customFormat="1" ht="32.1" customHeight="1" x14ac:dyDescent="0.2">
      <c r="A137" s="127" t="s">
        <v>210</v>
      </c>
      <c r="B137" s="99" t="s">
        <v>741</v>
      </c>
      <c r="C137" s="113" t="s">
        <v>742</v>
      </c>
      <c r="D137" s="121">
        <v>75</v>
      </c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145" t="e">
        <f t="shared" si="5"/>
        <v>#DIV/0!</v>
      </c>
      <c r="R137" s="151" t="e">
        <f t="shared" si="6"/>
        <v>#DIV/0!</v>
      </c>
      <c r="S137" s="152" t="e">
        <f t="shared" si="8"/>
        <v>#DIV/0!</v>
      </c>
    </row>
    <row r="138" spans="1:19" s="178" customFormat="1" ht="32.1" customHeight="1" x14ac:dyDescent="0.2">
      <c r="A138" s="127" t="s">
        <v>210</v>
      </c>
      <c r="B138" s="99" t="s">
        <v>743</v>
      </c>
      <c r="C138" s="113" t="s">
        <v>744</v>
      </c>
      <c r="D138" s="121">
        <v>42</v>
      </c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>
        <v>53.1</v>
      </c>
      <c r="Q138" s="145">
        <f t="shared" si="5"/>
        <v>53.1</v>
      </c>
      <c r="R138" s="151" t="str">
        <f t="shared" si="6"/>
        <v>NO</v>
      </c>
      <c r="S138" s="152" t="str">
        <f t="shared" si="8"/>
        <v>Alto</v>
      </c>
    </row>
    <row r="139" spans="1:19" s="178" customFormat="1" ht="32.1" customHeight="1" x14ac:dyDescent="0.2">
      <c r="A139" s="127" t="s">
        <v>210</v>
      </c>
      <c r="B139" s="99" t="s">
        <v>745</v>
      </c>
      <c r="C139" s="113" t="s">
        <v>746</v>
      </c>
      <c r="D139" s="121">
        <v>125</v>
      </c>
      <c r="E139" s="81"/>
      <c r="F139" s="81"/>
      <c r="G139" s="179"/>
      <c r="H139" s="81"/>
      <c r="I139" s="81"/>
      <c r="J139" s="81"/>
      <c r="K139" s="81"/>
      <c r="L139" s="81"/>
      <c r="M139" s="81"/>
      <c r="N139" s="81"/>
      <c r="O139" s="81"/>
      <c r="P139" s="81">
        <v>97.3</v>
      </c>
      <c r="Q139" s="145">
        <f t="shared" si="5"/>
        <v>97.3</v>
      </c>
      <c r="R139" s="151" t="str">
        <f t="shared" si="6"/>
        <v>NO</v>
      </c>
      <c r="S139" s="152" t="str">
        <f t="shared" si="8"/>
        <v>Inviable Sanitariamente</v>
      </c>
    </row>
    <row r="140" spans="1:19" s="178" customFormat="1" ht="32.1" customHeight="1" x14ac:dyDescent="0.2">
      <c r="A140" s="127" t="s">
        <v>211</v>
      </c>
      <c r="B140" s="100" t="s">
        <v>747</v>
      </c>
      <c r="C140" s="113" t="s">
        <v>748</v>
      </c>
      <c r="D140" s="121">
        <v>30</v>
      </c>
      <c r="E140" s="81"/>
      <c r="F140" s="81"/>
      <c r="G140" s="81">
        <v>100</v>
      </c>
      <c r="H140" s="81"/>
      <c r="I140" s="81"/>
      <c r="J140" s="81"/>
      <c r="K140" s="81"/>
      <c r="L140" s="81"/>
      <c r="M140" s="81"/>
      <c r="N140" s="81"/>
      <c r="O140" s="81">
        <v>97.35</v>
      </c>
      <c r="P140" s="81"/>
      <c r="Q140" s="145">
        <f t="shared" ref="Q140:Q203" si="9">AVERAGE(E140:P140)</f>
        <v>98.674999999999997</v>
      </c>
      <c r="R140" s="151" t="str">
        <f t="shared" ref="R140:R203" si="10">IF(Q140&lt;5,"SI","NO")</f>
        <v>NO</v>
      </c>
      <c r="S140" s="152" t="str">
        <f t="shared" si="8"/>
        <v>Inviable Sanitariamente</v>
      </c>
    </row>
    <row r="141" spans="1:19" s="178" customFormat="1" ht="32.1" customHeight="1" x14ac:dyDescent="0.2">
      <c r="A141" s="127" t="s">
        <v>211</v>
      </c>
      <c r="B141" s="100" t="s">
        <v>749</v>
      </c>
      <c r="C141" s="113" t="s">
        <v>750</v>
      </c>
      <c r="D141" s="121">
        <v>14</v>
      </c>
      <c r="E141" s="81"/>
      <c r="F141" s="81"/>
      <c r="G141" s="81">
        <v>26.55</v>
      </c>
      <c r="H141" s="81"/>
      <c r="I141" s="81"/>
      <c r="J141" s="81"/>
      <c r="K141" s="81"/>
      <c r="L141" s="81"/>
      <c r="M141" s="81"/>
      <c r="N141" s="81"/>
      <c r="O141" s="81">
        <v>97.35</v>
      </c>
      <c r="P141" s="81"/>
      <c r="Q141" s="145">
        <f t="shared" si="9"/>
        <v>61.949999999999996</v>
      </c>
      <c r="R141" s="151" t="str">
        <f t="shared" si="10"/>
        <v>NO</v>
      </c>
      <c r="S141" s="152" t="str">
        <f t="shared" si="8"/>
        <v>Alto</v>
      </c>
    </row>
    <row r="142" spans="1:19" s="178" customFormat="1" ht="32.1" customHeight="1" x14ac:dyDescent="0.2">
      <c r="A142" s="127" t="s">
        <v>211</v>
      </c>
      <c r="B142" s="100" t="s">
        <v>751</v>
      </c>
      <c r="C142" s="113" t="s">
        <v>752</v>
      </c>
      <c r="D142" s="121">
        <v>38</v>
      </c>
      <c r="E142" s="81"/>
      <c r="F142" s="81"/>
      <c r="G142" s="81">
        <v>97.35</v>
      </c>
      <c r="H142" s="81"/>
      <c r="I142" s="81"/>
      <c r="J142" s="81"/>
      <c r="K142" s="81"/>
      <c r="L142" s="81"/>
      <c r="M142" s="81"/>
      <c r="N142" s="81"/>
      <c r="O142" s="81">
        <v>97.35</v>
      </c>
      <c r="P142" s="81"/>
      <c r="Q142" s="145">
        <f t="shared" si="9"/>
        <v>97.35</v>
      </c>
      <c r="R142" s="151" t="str">
        <f t="shared" si="10"/>
        <v>NO</v>
      </c>
      <c r="S142" s="152" t="str">
        <f t="shared" si="8"/>
        <v>Inviable Sanitariamente</v>
      </c>
    </row>
    <row r="143" spans="1:19" s="178" customFormat="1" ht="32.1" customHeight="1" x14ac:dyDescent="0.2">
      <c r="A143" s="127" t="s">
        <v>211</v>
      </c>
      <c r="B143" s="100" t="s">
        <v>753</v>
      </c>
      <c r="C143" s="113" t="s">
        <v>754</v>
      </c>
      <c r="D143" s="121">
        <v>13</v>
      </c>
      <c r="E143" s="81"/>
      <c r="F143" s="81"/>
      <c r="G143" s="81"/>
      <c r="H143" s="81">
        <v>97.4</v>
      </c>
      <c r="I143" s="81"/>
      <c r="J143" s="81"/>
      <c r="K143" s="81"/>
      <c r="L143" s="81"/>
      <c r="M143" s="81"/>
      <c r="N143" s="81">
        <v>97.35</v>
      </c>
      <c r="O143" s="81"/>
      <c r="P143" s="81"/>
      <c r="Q143" s="145">
        <f t="shared" si="9"/>
        <v>97.375</v>
      </c>
      <c r="R143" s="151" t="str">
        <f t="shared" si="10"/>
        <v>NO</v>
      </c>
      <c r="S143" s="152" t="str">
        <f t="shared" si="8"/>
        <v>Inviable Sanitariamente</v>
      </c>
    </row>
    <row r="144" spans="1:19" s="178" customFormat="1" ht="32.1" customHeight="1" x14ac:dyDescent="0.2">
      <c r="A144" s="127" t="s">
        <v>213</v>
      </c>
      <c r="B144" s="99" t="s">
        <v>755</v>
      </c>
      <c r="C144" s="113" t="s">
        <v>756</v>
      </c>
      <c r="D144" s="121">
        <v>140</v>
      </c>
      <c r="E144" s="81">
        <v>0</v>
      </c>
      <c r="F144" s="81">
        <v>0</v>
      </c>
      <c r="G144" s="81"/>
      <c r="H144" s="81"/>
      <c r="I144" s="81">
        <v>0</v>
      </c>
      <c r="J144" s="81"/>
      <c r="K144" s="81">
        <v>0</v>
      </c>
      <c r="L144" s="81"/>
      <c r="M144" s="81">
        <v>0</v>
      </c>
      <c r="N144" s="81">
        <v>0</v>
      </c>
      <c r="O144" s="81">
        <v>0</v>
      </c>
      <c r="P144" s="81"/>
      <c r="Q144" s="145">
        <f t="shared" si="9"/>
        <v>0</v>
      </c>
      <c r="R144" s="151" t="str">
        <f t="shared" si="10"/>
        <v>SI</v>
      </c>
      <c r="S144" s="152" t="str">
        <f t="shared" si="8"/>
        <v>Sin Riesgo</v>
      </c>
    </row>
    <row r="145" spans="1:20" s="178" customFormat="1" ht="32.1" customHeight="1" x14ac:dyDescent="0.2">
      <c r="A145" s="127" t="s">
        <v>213</v>
      </c>
      <c r="B145" s="99" t="s">
        <v>757</v>
      </c>
      <c r="C145" s="113" t="s">
        <v>758</v>
      </c>
      <c r="D145" s="121">
        <v>90</v>
      </c>
      <c r="E145" s="81">
        <v>0</v>
      </c>
      <c r="F145" s="81">
        <v>0</v>
      </c>
      <c r="G145" s="81">
        <v>0</v>
      </c>
      <c r="H145" s="81"/>
      <c r="I145" s="81">
        <v>0</v>
      </c>
      <c r="J145" s="81"/>
      <c r="K145" s="81">
        <v>0</v>
      </c>
      <c r="L145" s="81">
        <v>0</v>
      </c>
      <c r="M145" s="81">
        <v>0</v>
      </c>
      <c r="N145" s="81">
        <v>19.350000000000001</v>
      </c>
      <c r="O145" s="81">
        <v>0</v>
      </c>
      <c r="P145" s="81"/>
      <c r="Q145" s="145">
        <f t="shared" si="9"/>
        <v>2.1500000000000004</v>
      </c>
      <c r="R145" s="151" t="str">
        <f t="shared" si="10"/>
        <v>SI</v>
      </c>
      <c r="S145" s="152" t="str">
        <f t="shared" si="8"/>
        <v>Sin Riesgo</v>
      </c>
    </row>
    <row r="146" spans="1:20" s="178" customFormat="1" ht="32.1" customHeight="1" x14ac:dyDescent="0.2">
      <c r="A146" s="127" t="s">
        <v>213</v>
      </c>
      <c r="B146" s="99" t="s">
        <v>759</v>
      </c>
      <c r="C146" s="113" t="s">
        <v>760</v>
      </c>
      <c r="D146" s="121">
        <v>172</v>
      </c>
      <c r="E146" s="81">
        <v>0</v>
      </c>
      <c r="F146" s="81"/>
      <c r="G146" s="81"/>
      <c r="H146" s="81"/>
      <c r="I146" s="81">
        <v>0</v>
      </c>
      <c r="J146" s="81"/>
      <c r="K146" s="81">
        <v>0</v>
      </c>
      <c r="L146" s="81"/>
      <c r="M146" s="81">
        <v>0</v>
      </c>
      <c r="N146" s="81">
        <v>0</v>
      </c>
      <c r="O146" s="81"/>
      <c r="P146" s="81"/>
      <c r="Q146" s="145">
        <f t="shared" si="9"/>
        <v>0</v>
      </c>
      <c r="R146" s="151" t="str">
        <f t="shared" si="10"/>
        <v>SI</v>
      </c>
      <c r="S146" s="152" t="str">
        <f t="shared" si="8"/>
        <v>Sin Riesgo</v>
      </c>
    </row>
    <row r="147" spans="1:20" s="178" customFormat="1" ht="32.1" customHeight="1" x14ac:dyDescent="0.2">
      <c r="A147" s="127" t="s">
        <v>213</v>
      </c>
      <c r="B147" s="99" t="s">
        <v>761</v>
      </c>
      <c r="C147" s="113" t="s">
        <v>762</v>
      </c>
      <c r="D147" s="121">
        <v>276</v>
      </c>
      <c r="E147" s="81"/>
      <c r="F147" s="81">
        <v>0</v>
      </c>
      <c r="G147" s="81"/>
      <c r="H147" s="81"/>
      <c r="I147" s="81">
        <v>0</v>
      </c>
      <c r="J147" s="81"/>
      <c r="K147" s="81">
        <v>0</v>
      </c>
      <c r="L147" s="81"/>
      <c r="M147" s="81">
        <v>0</v>
      </c>
      <c r="N147" s="81">
        <v>0</v>
      </c>
      <c r="O147" s="81">
        <v>0</v>
      </c>
      <c r="P147" s="81"/>
      <c r="Q147" s="145">
        <f t="shared" si="9"/>
        <v>0</v>
      </c>
      <c r="R147" s="151" t="str">
        <f t="shared" si="10"/>
        <v>SI</v>
      </c>
      <c r="S147" s="152" t="str">
        <f t="shared" si="8"/>
        <v>Sin Riesgo</v>
      </c>
    </row>
    <row r="148" spans="1:20" s="178" customFormat="1" ht="32.1" customHeight="1" x14ac:dyDescent="0.2">
      <c r="A148" s="127" t="s">
        <v>213</v>
      </c>
      <c r="B148" s="99" t="s">
        <v>763</v>
      </c>
      <c r="C148" s="113" t="s">
        <v>764</v>
      </c>
      <c r="D148" s="121">
        <v>225</v>
      </c>
      <c r="E148" s="81"/>
      <c r="F148" s="81">
        <v>0</v>
      </c>
      <c r="G148" s="81">
        <v>0</v>
      </c>
      <c r="H148" s="81"/>
      <c r="I148" s="81">
        <v>0</v>
      </c>
      <c r="J148" s="81"/>
      <c r="K148" s="81">
        <v>0</v>
      </c>
      <c r="L148" s="81">
        <v>0</v>
      </c>
      <c r="M148" s="81">
        <v>0</v>
      </c>
      <c r="N148" s="81">
        <v>0</v>
      </c>
      <c r="O148" s="81"/>
      <c r="P148" s="81"/>
      <c r="Q148" s="145">
        <f t="shared" si="9"/>
        <v>0</v>
      </c>
      <c r="R148" s="151" t="str">
        <f t="shared" si="10"/>
        <v>SI</v>
      </c>
      <c r="S148" s="152" t="str">
        <f t="shared" si="8"/>
        <v>Sin Riesgo</v>
      </c>
    </row>
    <row r="149" spans="1:20" s="178" customFormat="1" ht="32.1" customHeight="1" x14ac:dyDescent="0.2">
      <c r="A149" s="127" t="s">
        <v>213</v>
      </c>
      <c r="B149" s="99" t="s">
        <v>765</v>
      </c>
      <c r="C149" s="113" t="s">
        <v>766</v>
      </c>
      <c r="D149" s="121">
        <v>70</v>
      </c>
      <c r="E149" s="81"/>
      <c r="F149" s="81"/>
      <c r="G149" s="81"/>
      <c r="H149" s="81"/>
      <c r="I149" s="81"/>
      <c r="J149" s="81"/>
      <c r="K149" s="81">
        <v>97.35</v>
      </c>
      <c r="L149" s="81"/>
      <c r="M149" s="81"/>
      <c r="N149" s="81">
        <v>97.35</v>
      </c>
      <c r="O149" s="81"/>
      <c r="P149" s="81"/>
      <c r="Q149" s="145">
        <f t="shared" si="9"/>
        <v>97.35</v>
      </c>
      <c r="R149" s="151" t="str">
        <f t="shared" si="10"/>
        <v>NO</v>
      </c>
      <c r="S149" s="152" t="str">
        <f t="shared" si="8"/>
        <v>Inviable Sanitariamente</v>
      </c>
    </row>
    <row r="150" spans="1:20" s="178" customFormat="1" ht="32.1" customHeight="1" x14ac:dyDescent="0.2">
      <c r="A150" s="127" t="s">
        <v>213</v>
      </c>
      <c r="B150" s="99" t="s">
        <v>767</v>
      </c>
      <c r="C150" s="113" t="s">
        <v>768</v>
      </c>
      <c r="D150" s="121">
        <v>219</v>
      </c>
      <c r="E150" s="81">
        <v>0</v>
      </c>
      <c r="F150" s="81">
        <v>0</v>
      </c>
      <c r="G150" s="81"/>
      <c r="H150" s="81"/>
      <c r="I150" s="81">
        <v>0</v>
      </c>
      <c r="J150" s="81"/>
      <c r="K150" s="81">
        <v>0</v>
      </c>
      <c r="L150" s="81"/>
      <c r="M150" s="81">
        <v>0</v>
      </c>
      <c r="N150" s="81">
        <v>0</v>
      </c>
      <c r="O150" s="81">
        <v>0</v>
      </c>
      <c r="P150" s="81"/>
      <c r="Q150" s="145">
        <f t="shared" si="9"/>
        <v>0</v>
      </c>
      <c r="R150" s="151" t="str">
        <f t="shared" si="10"/>
        <v>SI</v>
      </c>
      <c r="S150" s="152" t="str">
        <f t="shared" si="8"/>
        <v>Sin Riesgo</v>
      </c>
    </row>
    <row r="151" spans="1:20" s="178" customFormat="1" ht="32.1" customHeight="1" x14ac:dyDescent="0.2">
      <c r="A151" s="127" t="s">
        <v>213</v>
      </c>
      <c r="B151" s="99" t="s">
        <v>769</v>
      </c>
      <c r="C151" s="113" t="s">
        <v>770</v>
      </c>
      <c r="D151" s="116">
        <v>190</v>
      </c>
      <c r="E151" s="81">
        <v>0</v>
      </c>
      <c r="F151" s="81"/>
      <c r="G151" s="81"/>
      <c r="H151" s="81"/>
      <c r="I151" s="81">
        <v>0</v>
      </c>
      <c r="J151" s="81"/>
      <c r="K151" s="81">
        <v>0</v>
      </c>
      <c r="L151" s="81">
        <v>0</v>
      </c>
      <c r="M151" s="81">
        <v>0</v>
      </c>
      <c r="N151" s="81"/>
      <c r="O151" s="81"/>
      <c r="P151" s="81"/>
      <c r="Q151" s="145">
        <f t="shared" si="9"/>
        <v>0</v>
      </c>
      <c r="R151" s="151" t="str">
        <f t="shared" si="10"/>
        <v>SI</v>
      </c>
      <c r="S151" s="152" t="str">
        <f t="shared" si="8"/>
        <v>Sin Riesgo</v>
      </c>
    </row>
    <row r="152" spans="1:20" s="178" customFormat="1" ht="32.1" customHeight="1" x14ac:dyDescent="0.2">
      <c r="A152" s="127" t="s">
        <v>213</v>
      </c>
      <c r="B152" s="99" t="s">
        <v>771</v>
      </c>
      <c r="C152" s="113" t="s">
        <v>772</v>
      </c>
      <c r="D152" s="121">
        <v>120</v>
      </c>
      <c r="E152" s="81"/>
      <c r="F152" s="81">
        <v>0</v>
      </c>
      <c r="G152" s="81"/>
      <c r="H152" s="81"/>
      <c r="I152" s="81">
        <v>0</v>
      </c>
      <c r="J152" s="81"/>
      <c r="K152" s="81">
        <v>0</v>
      </c>
      <c r="L152" s="81">
        <v>0</v>
      </c>
      <c r="M152" s="81">
        <v>0</v>
      </c>
      <c r="N152" s="81"/>
      <c r="O152" s="81"/>
      <c r="P152" s="81"/>
      <c r="Q152" s="145">
        <f t="shared" si="9"/>
        <v>0</v>
      </c>
      <c r="R152" s="151" t="str">
        <f t="shared" si="10"/>
        <v>SI</v>
      </c>
      <c r="S152" s="152" t="str">
        <f t="shared" si="8"/>
        <v>Sin Riesgo</v>
      </c>
    </row>
    <row r="153" spans="1:20" s="178" customFormat="1" ht="32.1" customHeight="1" x14ac:dyDescent="0.2">
      <c r="A153" s="127" t="s">
        <v>213</v>
      </c>
      <c r="B153" s="99" t="s">
        <v>773</v>
      </c>
      <c r="C153" s="113" t="s">
        <v>774</v>
      </c>
      <c r="D153" s="121">
        <v>130</v>
      </c>
      <c r="E153" s="81">
        <v>0</v>
      </c>
      <c r="F153" s="81"/>
      <c r="G153" s="81">
        <v>0</v>
      </c>
      <c r="H153" s="81"/>
      <c r="I153" s="81"/>
      <c r="J153" s="81"/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/>
      <c r="Q153" s="145">
        <f t="shared" si="9"/>
        <v>0</v>
      </c>
      <c r="R153" s="151" t="str">
        <f t="shared" si="10"/>
        <v>SI</v>
      </c>
      <c r="S153" s="152" t="str">
        <f t="shared" si="8"/>
        <v>Sin Riesgo</v>
      </c>
    </row>
    <row r="154" spans="1:20" s="178" customFormat="1" ht="32.1" customHeight="1" x14ac:dyDescent="0.2">
      <c r="A154" s="127" t="s">
        <v>213</v>
      </c>
      <c r="B154" s="99" t="s">
        <v>775</v>
      </c>
      <c r="C154" s="113" t="s">
        <v>776</v>
      </c>
      <c r="D154" s="116">
        <v>185</v>
      </c>
      <c r="E154" s="81"/>
      <c r="F154" s="81">
        <v>0</v>
      </c>
      <c r="G154" s="81">
        <v>0</v>
      </c>
      <c r="H154" s="81"/>
      <c r="I154" s="81"/>
      <c r="J154" s="81"/>
      <c r="K154" s="81">
        <v>0</v>
      </c>
      <c r="L154" s="81">
        <v>0</v>
      </c>
      <c r="M154" s="81">
        <v>0</v>
      </c>
      <c r="N154" s="81">
        <v>0</v>
      </c>
      <c r="O154" s="81"/>
      <c r="P154" s="81"/>
      <c r="Q154" s="145">
        <f t="shared" si="9"/>
        <v>0</v>
      </c>
      <c r="R154" s="151" t="str">
        <f t="shared" si="10"/>
        <v>SI</v>
      </c>
      <c r="S154" s="152" t="str">
        <f t="shared" si="8"/>
        <v>Sin Riesgo</v>
      </c>
    </row>
    <row r="155" spans="1:20" s="178" customFormat="1" ht="32.1" customHeight="1" x14ac:dyDescent="0.2">
      <c r="A155" s="127" t="s">
        <v>213</v>
      </c>
      <c r="B155" s="99" t="s">
        <v>777</v>
      </c>
      <c r="C155" s="113" t="s">
        <v>778</v>
      </c>
      <c r="D155" s="116">
        <v>160</v>
      </c>
      <c r="E155" s="81">
        <v>0</v>
      </c>
      <c r="F155" s="81"/>
      <c r="G155" s="81">
        <v>0</v>
      </c>
      <c r="H155" s="81"/>
      <c r="I155" s="81"/>
      <c r="J155" s="81"/>
      <c r="K155" s="81">
        <v>0</v>
      </c>
      <c r="L155" s="81"/>
      <c r="M155" s="81">
        <v>0</v>
      </c>
      <c r="N155" s="81"/>
      <c r="O155" s="81">
        <v>0</v>
      </c>
      <c r="P155" s="81"/>
      <c r="Q155" s="145">
        <f t="shared" si="9"/>
        <v>0</v>
      </c>
      <c r="R155" s="151" t="str">
        <f t="shared" si="10"/>
        <v>SI</v>
      </c>
      <c r="S155" s="152" t="str">
        <f t="shared" si="8"/>
        <v>Sin Riesgo</v>
      </c>
    </row>
    <row r="156" spans="1:20" s="178" customFormat="1" ht="32.1" customHeight="1" x14ac:dyDescent="0.2">
      <c r="A156" s="127" t="s">
        <v>213</v>
      </c>
      <c r="B156" s="99" t="s">
        <v>779</v>
      </c>
      <c r="C156" s="113" t="s">
        <v>780</v>
      </c>
      <c r="D156" s="116">
        <v>335</v>
      </c>
      <c r="E156" s="81"/>
      <c r="F156" s="81">
        <v>0</v>
      </c>
      <c r="G156" s="81"/>
      <c r="H156" s="81"/>
      <c r="I156" s="81">
        <v>0</v>
      </c>
      <c r="J156" s="81"/>
      <c r="K156" s="81">
        <v>0</v>
      </c>
      <c r="L156" s="81"/>
      <c r="M156" s="81">
        <v>0</v>
      </c>
      <c r="N156" s="81">
        <v>0</v>
      </c>
      <c r="O156" s="81">
        <v>0</v>
      </c>
      <c r="P156" s="81"/>
      <c r="Q156" s="145">
        <f t="shared" si="9"/>
        <v>0</v>
      </c>
      <c r="R156" s="151" t="str">
        <f t="shared" si="10"/>
        <v>SI</v>
      </c>
      <c r="S156" s="152" t="str">
        <f t="shared" si="8"/>
        <v>Sin Riesgo</v>
      </c>
    </row>
    <row r="157" spans="1:20" s="178" customFormat="1" ht="32.1" customHeight="1" x14ac:dyDescent="0.2">
      <c r="A157" s="127" t="s">
        <v>213</v>
      </c>
      <c r="B157" s="99" t="s">
        <v>781</v>
      </c>
      <c r="C157" s="113" t="s">
        <v>782</v>
      </c>
      <c r="D157" s="116">
        <v>509</v>
      </c>
      <c r="E157" s="81"/>
      <c r="F157" s="81">
        <v>0</v>
      </c>
      <c r="G157" s="81">
        <v>0</v>
      </c>
      <c r="H157" s="81"/>
      <c r="I157" s="81"/>
      <c r="J157" s="81"/>
      <c r="K157" s="81"/>
      <c r="L157" s="81">
        <v>0</v>
      </c>
      <c r="M157" s="81">
        <v>0</v>
      </c>
      <c r="N157" s="81">
        <v>0</v>
      </c>
      <c r="O157" s="81"/>
      <c r="P157" s="81"/>
      <c r="Q157" s="145">
        <f t="shared" si="9"/>
        <v>0</v>
      </c>
      <c r="R157" s="151" t="str">
        <f t="shared" si="10"/>
        <v>SI</v>
      </c>
      <c r="S157" s="152" t="str">
        <f t="shared" si="8"/>
        <v>Sin Riesgo</v>
      </c>
      <c r="T157" s="180"/>
    </row>
    <row r="158" spans="1:20" s="178" customFormat="1" ht="32.1" customHeight="1" x14ac:dyDescent="0.2">
      <c r="A158" s="127" t="s">
        <v>213</v>
      </c>
      <c r="B158" s="99" t="s">
        <v>783</v>
      </c>
      <c r="C158" s="113" t="s">
        <v>784</v>
      </c>
      <c r="D158" s="116">
        <v>48</v>
      </c>
      <c r="E158" s="81"/>
      <c r="F158" s="81">
        <v>0</v>
      </c>
      <c r="G158" s="81">
        <v>0</v>
      </c>
      <c r="H158" s="81"/>
      <c r="I158" s="81"/>
      <c r="J158" s="81"/>
      <c r="K158" s="81">
        <v>0</v>
      </c>
      <c r="L158" s="81">
        <v>0</v>
      </c>
      <c r="M158" s="81">
        <v>0</v>
      </c>
      <c r="N158" s="81"/>
      <c r="O158" s="81"/>
      <c r="P158" s="81"/>
      <c r="Q158" s="145">
        <f t="shared" si="9"/>
        <v>0</v>
      </c>
      <c r="R158" s="151" t="str">
        <f t="shared" si="10"/>
        <v>SI</v>
      </c>
      <c r="S158" s="152" t="str">
        <f t="shared" ref="S158:S189" si="11">IF(Q158&lt;5,"Sin Riesgo",IF(Q158 &lt;=14,"Bajo",IF(Q158&lt;=35,"Medio",IF(Q158&lt;=80,"Alto","Inviable Sanitariamente"))))</f>
        <v>Sin Riesgo</v>
      </c>
      <c r="T158" s="180"/>
    </row>
    <row r="159" spans="1:20" s="178" customFormat="1" ht="32.1" customHeight="1" x14ac:dyDescent="0.2">
      <c r="A159" s="127" t="s">
        <v>213</v>
      </c>
      <c r="B159" s="99" t="s">
        <v>785</v>
      </c>
      <c r="C159" s="113" t="s">
        <v>786</v>
      </c>
      <c r="D159" s="116">
        <v>152</v>
      </c>
      <c r="E159" s="81">
        <v>0</v>
      </c>
      <c r="F159" s="81"/>
      <c r="G159" s="81"/>
      <c r="H159" s="81"/>
      <c r="I159" s="81"/>
      <c r="J159" s="81"/>
      <c r="K159" s="81"/>
      <c r="L159" s="81">
        <v>0</v>
      </c>
      <c r="M159" s="81">
        <v>0</v>
      </c>
      <c r="N159" s="81"/>
      <c r="O159" s="81"/>
      <c r="P159" s="81"/>
      <c r="Q159" s="145">
        <f t="shared" si="9"/>
        <v>0</v>
      </c>
      <c r="R159" s="151" t="str">
        <f t="shared" si="10"/>
        <v>SI</v>
      </c>
      <c r="S159" s="152" t="str">
        <f t="shared" si="11"/>
        <v>Sin Riesgo</v>
      </c>
      <c r="T159" s="180"/>
    </row>
    <row r="160" spans="1:20" s="178" customFormat="1" ht="32.1" customHeight="1" x14ac:dyDescent="0.2">
      <c r="A160" s="127" t="s">
        <v>213</v>
      </c>
      <c r="B160" s="99" t="s">
        <v>787</v>
      </c>
      <c r="C160" s="113" t="s">
        <v>788</v>
      </c>
      <c r="D160" s="116">
        <v>140</v>
      </c>
      <c r="E160" s="81">
        <v>0</v>
      </c>
      <c r="F160" s="81">
        <v>32.26</v>
      </c>
      <c r="G160" s="81"/>
      <c r="H160" s="81"/>
      <c r="I160" s="81">
        <v>0</v>
      </c>
      <c r="J160" s="81"/>
      <c r="K160" s="81">
        <v>0</v>
      </c>
      <c r="L160" s="81"/>
      <c r="M160" s="81">
        <v>0</v>
      </c>
      <c r="N160" s="81">
        <v>0</v>
      </c>
      <c r="O160" s="81">
        <v>53.1</v>
      </c>
      <c r="P160" s="81"/>
      <c r="Q160" s="145">
        <f t="shared" si="9"/>
        <v>12.194285714285714</v>
      </c>
      <c r="R160" s="151" t="str">
        <f t="shared" si="10"/>
        <v>NO</v>
      </c>
      <c r="S160" s="152" t="str">
        <f t="shared" si="11"/>
        <v>Bajo</v>
      </c>
      <c r="T160" s="180"/>
    </row>
    <row r="161" spans="1:20" s="178" customFormat="1" ht="32.1" customHeight="1" x14ac:dyDescent="0.2">
      <c r="A161" s="127" t="s">
        <v>213</v>
      </c>
      <c r="B161" s="99" t="s">
        <v>789</v>
      </c>
      <c r="C161" s="113" t="s">
        <v>790</v>
      </c>
      <c r="D161" s="116">
        <v>220</v>
      </c>
      <c r="E161" s="81">
        <v>0</v>
      </c>
      <c r="F161" s="81"/>
      <c r="G161" s="179"/>
      <c r="H161" s="81"/>
      <c r="I161" s="81">
        <v>0</v>
      </c>
      <c r="J161" s="81"/>
      <c r="K161" s="81">
        <v>0</v>
      </c>
      <c r="L161" s="81">
        <v>0</v>
      </c>
      <c r="M161" s="81">
        <v>0</v>
      </c>
      <c r="N161" s="81"/>
      <c r="O161" s="81"/>
      <c r="P161" s="81"/>
      <c r="Q161" s="145">
        <f t="shared" si="9"/>
        <v>0</v>
      </c>
      <c r="R161" s="151" t="str">
        <f t="shared" si="10"/>
        <v>SI</v>
      </c>
      <c r="S161" s="152" t="str">
        <f t="shared" si="11"/>
        <v>Sin Riesgo</v>
      </c>
      <c r="T161" s="180"/>
    </row>
    <row r="162" spans="1:20" s="178" customFormat="1" ht="32.1" customHeight="1" x14ac:dyDescent="0.2">
      <c r="A162" s="127" t="s">
        <v>213</v>
      </c>
      <c r="B162" s="99" t="s">
        <v>791</v>
      </c>
      <c r="C162" s="113" t="s">
        <v>792</v>
      </c>
      <c r="D162" s="116">
        <v>310</v>
      </c>
      <c r="E162" s="81">
        <v>0</v>
      </c>
      <c r="F162" s="81"/>
      <c r="G162" s="81">
        <v>0</v>
      </c>
      <c r="H162" s="81"/>
      <c r="I162" s="81"/>
      <c r="J162" s="81"/>
      <c r="K162" s="81"/>
      <c r="L162" s="81">
        <v>0</v>
      </c>
      <c r="M162" s="81">
        <v>0</v>
      </c>
      <c r="N162" s="81"/>
      <c r="O162" s="81">
        <v>0</v>
      </c>
      <c r="P162" s="81"/>
      <c r="Q162" s="145">
        <f t="shared" si="9"/>
        <v>0</v>
      </c>
      <c r="R162" s="151" t="str">
        <f t="shared" si="10"/>
        <v>SI</v>
      </c>
      <c r="S162" s="152" t="str">
        <f t="shared" si="11"/>
        <v>Sin Riesgo</v>
      </c>
      <c r="T162" s="180"/>
    </row>
    <row r="163" spans="1:20" s="178" customFormat="1" ht="32.1" customHeight="1" x14ac:dyDescent="0.2">
      <c r="A163" s="127" t="s">
        <v>213</v>
      </c>
      <c r="B163" s="99" t="s">
        <v>793</v>
      </c>
      <c r="C163" s="113" t="s">
        <v>794</v>
      </c>
      <c r="D163" s="116">
        <v>85</v>
      </c>
      <c r="E163" s="81"/>
      <c r="F163" s="81"/>
      <c r="G163" s="81">
        <v>0</v>
      </c>
      <c r="H163" s="81"/>
      <c r="I163" s="81"/>
      <c r="J163" s="81"/>
      <c r="K163" s="81">
        <v>0</v>
      </c>
      <c r="L163" s="81">
        <v>0</v>
      </c>
      <c r="M163" s="81">
        <v>0</v>
      </c>
      <c r="N163" s="81"/>
      <c r="O163" s="81">
        <v>0</v>
      </c>
      <c r="P163" s="81"/>
      <c r="Q163" s="145">
        <f t="shared" si="9"/>
        <v>0</v>
      </c>
      <c r="R163" s="151" t="str">
        <f t="shared" si="10"/>
        <v>SI</v>
      </c>
      <c r="S163" s="152" t="str">
        <f t="shared" si="11"/>
        <v>Sin Riesgo</v>
      </c>
      <c r="T163" s="180"/>
    </row>
    <row r="164" spans="1:20" s="178" customFormat="1" ht="32.1" customHeight="1" x14ac:dyDescent="0.2">
      <c r="A164" s="127" t="s">
        <v>213</v>
      </c>
      <c r="B164" s="99" t="s">
        <v>795</v>
      </c>
      <c r="C164" s="113" t="s">
        <v>796</v>
      </c>
      <c r="D164" s="116">
        <v>195</v>
      </c>
      <c r="E164" s="81">
        <v>0</v>
      </c>
      <c r="F164" s="81">
        <v>0</v>
      </c>
      <c r="G164" s="81"/>
      <c r="H164" s="81"/>
      <c r="I164" s="81">
        <v>0</v>
      </c>
      <c r="J164" s="81"/>
      <c r="K164" s="81">
        <v>0</v>
      </c>
      <c r="L164" s="81">
        <v>0</v>
      </c>
      <c r="M164" s="81">
        <v>0</v>
      </c>
      <c r="N164" s="81">
        <v>0</v>
      </c>
      <c r="O164" s="81"/>
      <c r="P164" s="81"/>
      <c r="Q164" s="145">
        <f t="shared" si="9"/>
        <v>0</v>
      </c>
      <c r="R164" s="151" t="str">
        <f t="shared" si="10"/>
        <v>SI</v>
      </c>
      <c r="S164" s="152" t="str">
        <f t="shared" si="11"/>
        <v>Sin Riesgo</v>
      </c>
      <c r="T164" s="180"/>
    </row>
    <row r="165" spans="1:20" s="178" customFormat="1" ht="32.1" customHeight="1" x14ac:dyDescent="0.2">
      <c r="A165" s="127" t="s">
        <v>213</v>
      </c>
      <c r="B165" s="99" t="s">
        <v>797</v>
      </c>
      <c r="C165" s="113" t="s">
        <v>798</v>
      </c>
      <c r="D165" s="116">
        <v>220</v>
      </c>
      <c r="E165" s="81"/>
      <c r="F165" s="81">
        <v>0</v>
      </c>
      <c r="G165" s="81">
        <v>0</v>
      </c>
      <c r="H165" s="81"/>
      <c r="I165" s="81">
        <v>0</v>
      </c>
      <c r="J165" s="81"/>
      <c r="K165" s="81">
        <v>0</v>
      </c>
      <c r="L165" s="81">
        <v>0</v>
      </c>
      <c r="M165" s="81">
        <v>0</v>
      </c>
      <c r="N165" s="81">
        <v>0</v>
      </c>
      <c r="O165" s="81"/>
      <c r="P165" s="81"/>
      <c r="Q165" s="145">
        <f t="shared" si="9"/>
        <v>0</v>
      </c>
      <c r="R165" s="151" t="str">
        <f t="shared" si="10"/>
        <v>SI</v>
      </c>
      <c r="S165" s="152" t="str">
        <f t="shared" si="11"/>
        <v>Sin Riesgo</v>
      </c>
      <c r="T165" s="180"/>
    </row>
    <row r="166" spans="1:20" s="178" customFormat="1" ht="32.1" customHeight="1" x14ac:dyDescent="0.2">
      <c r="A166" s="127" t="s">
        <v>213</v>
      </c>
      <c r="B166" s="99" t="s">
        <v>799</v>
      </c>
      <c r="C166" s="113" t="s">
        <v>800</v>
      </c>
      <c r="D166" s="116">
        <v>152</v>
      </c>
      <c r="E166" s="81">
        <v>0</v>
      </c>
      <c r="F166" s="81">
        <v>0</v>
      </c>
      <c r="G166" s="81"/>
      <c r="H166" s="81"/>
      <c r="I166" s="81">
        <v>0</v>
      </c>
      <c r="J166" s="81"/>
      <c r="K166" s="81">
        <v>0</v>
      </c>
      <c r="L166" s="81"/>
      <c r="M166" s="81">
        <v>0</v>
      </c>
      <c r="N166" s="81">
        <v>0</v>
      </c>
      <c r="O166" s="81">
        <v>0</v>
      </c>
      <c r="P166" s="81"/>
      <c r="Q166" s="145">
        <f t="shared" si="9"/>
        <v>0</v>
      </c>
      <c r="R166" s="151" t="str">
        <f t="shared" si="10"/>
        <v>SI</v>
      </c>
      <c r="S166" s="152" t="str">
        <f t="shared" si="11"/>
        <v>Sin Riesgo</v>
      </c>
      <c r="T166" s="180"/>
    </row>
    <row r="167" spans="1:20" s="178" customFormat="1" ht="32.1" customHeight="1" x14ac:dyDescent="0.2">
      <c r="A167" s="127" t="s">
        <v>213</v>
      </c>
      <c r="B167" s="99" t="s">
        <v>793</v>
      </c>
      <c r="C167" s="113" t="s">
        <v>801</v>
      </c>
      <c r="D167" s="116">
        <v>48</v>
      </c>
      <c r="E167" s="81">
        <v>97.35</v>
      </c>
      <c r="F167" s="81">
        <v>76.92</v>
      </c>
      <c r="G167" s="81"/>
      <c r="H167" s="81"/>
      <c r="I167" s="81">
        <v>76.900000000000006</v>
      </c>
      <c r="J167" s="81"/>
      <c r="K167" s="81"/>
      <c r="L167" s="81"/>
      <c r="M167" s="81"/>
      <c r="N167" s="81"/>
      <c r="O167" s="81"/>
      <c r="P167" s="81"/>
      <c r="Q167" s="145">
        <f t="shared" si="9"/>
        <v>83.723333333333329</v>
      </c>
      <c r="R167" s="151" t="str">
        <f t="shared" si="10"/>
        <v>NO</v>
      </c>
      <c r="S167" s="152" t="str">
        <f t="shared" si="11"/>
        <v>Inviable Sanitariamente</v>
      </c>
      <c r="T167" s="180"/>
    </row>
    <row r="168" spans="1:20" s="178" customFormat="1" ht="32.1" customHeight="1" x14ac:dyDescent="0.2">
      <c r="A168" s="127" t="s">
        <v>213</v>
      </c>
      <c r="B168" s="99" t="s">
        <v>795</v>
      </c>
      <c r="C168" s="113" t="s">
        <v>802</v>
      </c>
      <c r="D168" s="116">
        <v>86</v>
      </c>
      <c r="E168" s="81"/>
      <c r="F168" s="81"/>
      <c r="G168" s="81">
        <v>0</v>
      </c>
      <c r="H168" s="81"/>
      <c r="I168" s="81"/>
      <c r="J168" s="81"/>
      <c r="K168" s="81"/>
      <c r="L168" s="81">
        <v>0</v>
      </c>
      <c r="M168" s="81">
        <v>0</v>
      </c>
      <c r="N168" s="81"/>
      <c r="O168" s="81">
        <v>0</v>
      </c>
      <c r="P168" s="81"/>
      <c r="Q168" s="145">
        <f t="shared" si="9"/>
        <v>0</v>
      </c>
      <c r="R168" s="151" t="str">
        <f t="shared" si="10"/>
        <v>SI</v>
      </c>
      <c r="S168" s="152" t="str">
        <f t="shared" si="11"/>
        <v>Sin Riesgo</v>
      </c>
      <c r="T168" s="180"/>
    </row>
    <row r="169" spans="1:20" s="178" customFormat="1" ht="32.1" customHeight="1" x14ac:dyDescent="0.2">
      <c r="A169" s="127" t="s">
        <v>213</v>
      </c>
      <c r="B169" s="99" t="s">
        <v>803</v>
      </c>
      <c r="C169" s="113" t="s">
        <v>804</v>
      </c>
      <c r="D169" s="116">
        <v>85</v>
      </c>
      <c r="E169" s="81"/>
      <c r="F169" s="81"/>
      <c r="G169" s="81"/>
      <c r="H169" s="81"/>
      <c r="I169" s="81"/>
      <c r="J169" s="81"/>
      <c r="K169" s="81">
        <v>0</v>
      </c>
      <c r="L169" s="81"/>
      <c r="M169" s="81"/>
      <c r="N169" s="81"/>
      <c r="O169" s="81"/>
      <c r="P169" s="81"/>
      <c r="Q169" s="145">
        <f t="shared" si="9"/>
        <v>0</v>
      </c>
      <c r="R169" s="151" t="str">
        <f t="shared" si="10"/>
        <v>SI</v>
      </c>
      <c r="S169" s="152" t="str">
        <f t="shared" si="11"/>
        <v>Sin Riesgo</v>
      </c>
      <c r="T169" s="180"/>
    </row>
    <row r="170" spans="1:20" s="178" customFormat="1" ht="32.1" customHeight="1" x14ac:dyDescent="0.2">
      <c r="A170" s="127" t="s">
        <v>213</v>
      </c>
      <c r="B170" s="99" t="s">
        <v>781</v>
      </c>
      <c r="C170" s="113" t="s">
        <v>805</v>
      </c>
      <c r="D170" s="116">
        <v>12</v>
      </c>
      <c r="E170" s="81">
        <v>0</v>
      </c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145">
        <f t="shared" si="9"/>
        <v>0</v>
      </c>
      <c r="R170" s="151" t="str">
        <f t="shared" si="10"/>
        <v>SI</v>
      </c>
      <c r="S170" s="152" t="str">
        <f t="shared" si="11"/>
        <v>Sin Riesgo</v>
      </c>
      <c r="T170" s="180"/>
    </row>
    <row r="171" spans="1:20" s="178" customFormat="1" ht="32.1" customHeight="1" x14ac:dyDescent="0.2">
      <c r="A171" s="127" t="s">
        <v>213</v>
      </c>
      <c r="B171" s="99" t="s">
        <v>771</v>
      </c>
      <c r="C171" s="113" t="s">
        <v>806</v>
      </c>
      <c r="D171" s="116">
        <v>22</v>
      </c>
      <c r="E171" s="81">
        <v>0</v>
      </c>
      <c r="F171" s="81"/>
      <c r="G171" s="81">
        <v>0</v>
      </c>
      <c r="H171" s="81"/>
      <c r="I171" s="81"/>
      <c r="J171" s="81"/>
      <c r="K171" s="81"/>
      <c r="L171" s="81">
        <v>0</v>
      </c>
      <c r="M171" s="81">
        <v>0</v>
      </c>
      <c r="N171" s="81"/>
      <c r="O171" s="81"/>
      <c r="P171" s="81"/>
      <c r="Q171" s="145">
        <f t="shared" si="9"/>
        <v>0</v>
      </c>
      <c r="R171" s="151" t="str">
        <f t="shared" si="10"/>
        <v>SI</v>
      </c>
      <c r="S171" s="152" t="str">
        <f t="shared" si="11"/>
        <v>Sin Riesgo</v>
      </c>
      <c r="T171" s="180"/>
    </row>
    <row r="172" spans="1:20" s="178" customFormat="1" ht="32.1" customHeight="1" x14ac:dyDescent="0.2">
      <c r="A172" s="127" t="s">
        <v>214</v>
      </c>
      <c r="B172" s="181" t="s">
        <v>977</v>
      </c>
      <c r="C172" s="182" t="s">
        <v>990</v>
      </c>
      <c r="D172" s="116">
        <v>95</v>
      </c>
      <c r="E172" s="81"/>
      <c r="F172" s="81">
        <v>97.3</v>
      </c>
      <c r="G172" s="179"/>
      <c r="H172" s="81"/>
      <c r="I172" s="81">
        <v>97.3</v>
      </c>
      <c r="J172" s="81"/>
      <c r="K172" s="81"/>
      <c r="L172" s="81"/>
      <c r="M172" s="81"/>
      <c r="N172" s="81">
        <v>97.3</v>
      </c>
      <c r="O172" s="81"/>
      <c r="P172" s="81"/>
      <c r="Q172" s="145">
        <f t="shared" si="9"/>
        <v>97.3</v>
      </c>
      <c r="R172" s="151" t="str">
        <f t="shared" si="10"/>
        <v>NO</v>
      </c>
      <c r="S172" s="152" t="str">
        <f t="shared" si="11"/>
        <v>Inviable Sanitariamente</v>
      </c>
      <c r="T172" s="180"/>
    </row>
    <row r="173" spans="1:20" s="178" customFormat="1" ht="32.1" customHeight="1" x14ac:dyDescent="0.2">
      <c r="A173" s="127" t="s">
        <v>214</v>
      </c>
      <c r="B173" s="161" t="s">
        <v>978</v>
      </c>
      <c r="C173" s="182" t="s">
        <v>991</v>
      </c>
      <c r="D173" s="336">
        <v>61</v>
      </c>
      <c r="E173" s="81"/>
      <c r="F173" s="81">
        <v>97.3</v>
      </c>
      <c r="G173" s="179"/>
      <c r="H173" s="81"/>
      <c r="I173" s="81"/>
      <c r="J173" s="81">
        <v>97.3</v>
      </c>
      <c r="K173" s="81"/>
      <c r="L173" s="81"/>
      <c r="M173" s="81"/>
      <c r="N173" s="81">
        <v>97.3</v>
      </c>
      <c r="O173" s="81"/>
      <c r="P173" s="81"/>
      <c r="Q173" s="145">
        <f t="shared" si="9"/>
        <v>97.3</v>
      </c>
      <c r="R173" s="151" t="str">
        <f t="shared" si="10"/>
        <v>NO</v>
      </c>
      <c r="S173" s="152" t="str">
        <f t="shared" si="11"/>
        <v>Inviable Sanitariamente</v>
      </c>
      <c r="T173" s="180"/>
    </row>
    <row r="174" spans="1:20" s="178" customFormat="1" ht="32.1" customHeight="1" x14ac:dyDescent="0.2">
      <c r="A174" s="127" t="s">
        <v>214</v>
      </c>
      <c r="B174" s="161" t="s">
        <v>809</v>
      </c>
      <c r="C174" s="182" t="s">
        <v>992</v>
      </c>
      <c r="D174" s="116">
        <v>56</v>
      </c>
      <c r="E174" s="81">
        <v>0</v>
      </c>
      <c r="F174" s="81"/>
      <c r="G174" s="81">
        <v>0</v>
      </c>
      <c r="H174" s="81"/>
      <c r="I174" s="81"/>
      <c r="J174" s="81"/>
      <c r="K174" s="81"/>
      <c r="L174" s="81"/>
      <c r="M174" s="81"/>
      <c r="N174" s="81">
        <v>0</v>
      </c>
      <c r="O174" s="81"/>
      <c r="P174" s="81"/>
      <c r="Q174" s="145">
        <f t="shared" si="9"/>
        <v>0</v>
      </c>
      <c r="R174" s="151" t="str">
        <f t="shared" si="10"/>
        <v>SI</v>
      </c>
      <c r="S174" s="152" t="str">
        <f t="shared" si="11"/>
        <v>Sin Riesgo</v>
      </c>
      <c r="T174" s="180"/>
    </row>
    <row r="175" spans="1:20" s="178" customFormat="1" ht="32.1" customHeight="1" x14ac:dyDescent="0.2">
      <c r="A175" s="127" t="s">
        <v>214</v>
      </c>
      <c r="B175" s="161" t="s">
        <v>807</v>
      </c>
      <c r="C175" s="182" t="s">
        <v>808</v>
      </c>
      <c r="D175" s="116">
        <v>172</v>
      </c>
      <c r="E175" s="81">
        <v>0</v>
      </c>
      <c r="F175" s="81"/>
      <c r="G175" s="81">
        <v>0</v>
      </c>
      <c r="H175" s="81"/>
      <c r="I175" s="81"/>
      <c r="J175" s="81"/>
      <c r="K175" s="81">
        <v>0</v>
      </c>
      <c r="L175" s="81"/>
      <c r="M175" s="81"/>
      <c r="N175" s="81">
        <v>0</v>
      </c>
      <c r="O175" s="81"/>
      <c r="P175" s="81">
        <v>0</v>
      </c>
      <c r="Q175" s="145">
        <f t="shared" si="9"/>
        <v>0</v>
      </c>
      <c r="R175" s="151" t="str">
        <f t="shared" si="10"/>
        <v>SI</v>
      </c>
      <c r="S175" s="152" t="str">
        <f t="shared" si="11"/>
        <v>Sin Riesgo</v>
      </c>
      <c r="T175" s="180"/>
    </row>
    <row r="176" spans="1:20" s="178" customFormat="1" ht="32.1" customHeight="1" x14ac:dyDescent="0.2">
      <c r="A176" s="127" t="s">
        <v>214</v>
      </c>
      <c r="B176" s="337" t="s">
        <v>814</v>
      </c>
      <c r="C176" s="338" t="s">
        <v>993</v>
      </c>
      <c r="D176" s="327">
        <v>101</v>
      </c>
      <c r="E176" s="81">
        <v>0</v>
      </c>
      <c r="F176" s="81"/>
      <c r="G176" s="81">
        <v>0</v>
      </c>
      <c r="H176" s="81"/>
      <c r="I176" s="81"/>
      <c r="J176" s="81"/>
      <c r="K176" s="81"/>
      <c r="L176" s="81"/>
      <c r="M176" s="81">
        <v>90.91</v>
      </c>
      <c r="N176" s="81"/>
      <c r="O176" s="81"/>
      <c r="P176" s="81">
        <v>0</v>
      </c>
      <c r="Q176" s="145">
        <f t="shared" si="9"/>
        <v>22.727499999999999</v>
      </c>
      <c r="R176" s="151" t="str">
        <f t="shared" si="10"/>
        <v>NO</v>
      </c>
      <c r="S176" s="152" t="str">
        <f t="shared" si="11"/>
        <v>Medio</v>
      </c>
      <c r="T176" s="180"/>
    </row>
    <row r="177" spans="1:20" s="178" customFormat="1" ht="32.1" customHeight="1" x14ac:dyDescent="0.2">
      <c r="A177" s="127" t="s">
        <v>214</v>
      </c>
      <c r="B177" s="181" t="s">
        <v>979</v>
      </c>
      <c r="C177" s="182" t="s">
        <v>994</v>
      </c>
      <c r="D177" s="116">
        <v>61</v>
      </c>
      <c r="E177" s="81"/>
      <c r="F177" s="81"/>
      <c r="G177" s="81"/>
      <c r="H177" s="81"/>
      <c r="I177" s="81"/>
      <c r="J177" s="81">
        <v>97.3</v>
      </c>
      <c r="K177" s="81"/>
      <c r="L177" s="81"/>
      <c r="M177" s="81"/>
      <c r="N177" s="81"/>
      <c r="O177" s="81"/>
      <c r="P177" s="81"/>
      <c r="Q177" s="145">
        <f t="shared" si="9"/>
        <v>97.3</v>
      </c>
      <c r="R177" s="151" t="str">
        <f t="shared" si="10"/>
        <v>NO</v>
      </c>
      <c r="S177" s="152" t="str">
        <f t="shared" si="11"/>
        <v>Inviable Sanitariamente</v>
      </c>
      <c r="T177" s="180"/>
    </row>
    <row r="178" spans="1:20" s="178" customFormat="1" ht="32.1" customHeight="1" x14ac:dyDescent="0.2">
      <c r="A178" s="127" t="s">
        <v>214</v>
      </c>
      <c r="B178" s="161" t="s">
        <v>815</v>
      </c>
      <c r="C178" s="182" t="s">
        <v>995</v>
      </c>
      <c r="D178" s="116">
        <v>117</v>
      </c>
      <c r="E178" s="339"/>
      <c r="F178" s="339">
        <v>97.3</v>
      </c>
      <c r="G178" s="339"/>
      <c r="H178" s="339"/>
      <c r="I178" s="339"/>
      <c r="J178" s="339"/>
      <c r="K178" s="339"/>
      <c r="L178" s="339"/>
      <c r="M178" s="339"/>
      <c r="N178" s="339"/>
      <c r="O178" s="339"/>
      <c r="P178" s="339"/>
      <c r="Q178" s="145">
        <f t="shared" si="9"/>
        <v>97.3</v>
      </c>
      <c r="R178" s="340" t="str">
        <f t="shared" si="10"/>
        <v>NO</v>
      </c>
      <c r="S178" s="152" t="str">
        <f t="shared" si="11"/>
        <v>Inviable Sanitariamente</v>
      </c>
      <c r="T178" s="180"/>
    </row>
    <row r="179" spans="1:20" s="178" customFormat="1" ht="32.1" customHeight="1" x14ac:dyDescent="0.2">
      <c r="A179" s="127" t="s">
        <v>214</v>
      </c>
      <c r="B179" s="184" t="s">
        <v>810</v>
      </c>
      <c r="C179" s="185" t="s">
        <v>996</v>
      </c>
      <c r="D179" s="186">
        <v>47</v>
      </c>
      <c r="E179" s="342"/>
      <c r="F179" s="342"/>
      <c r="G179" s="342"/>
      <c r="H179" s="342"/>
      <c r="I179" s="342"/>
      <c r="J179" s="342"/>
      <c r="K179" s="342"/>
      <c r="L179" s="342"/>
      <c r="M179" s="342"/>
      <c r="N179" s="342"/>
      <c r="O179" s="342"/>
      <c r="P179" s="342"/>
      <c r="Q179" s="145" t="e">
        <f t="shared" si="9"/>
        <v>#DIV/0!</v>
      </c>
      <c r="R179" s="341" t="e">
        <f t="shared" si="10"/>
        <v>#DIV/0!</v>
      </c>
      <c r="S179" s="152" t="e">
        <f t="shared" si="11"/>
        <v>#DIV/0!</v>
      </c>
      <c r="T179" s="180"/>
    </row>
    <row r="180" spans="1:20" s="178" customFormat="1" ht="32.1" customHeight="1" x14ac:dyDescent="0.2">
      <c r="A180" s="127" t="s">
        <v>214</v>
      </c>
      <c r="B180" s="161" t="s">
        <v>980</v>
      </c>
      <c r="C180" s="182" t="s">
        <v>997</v>
      </c>
      <c r="D180" s="116">
        <v>37</v>
      </c>
      <c r="E180" s="339"/>
      <c r="F180" s="339"/>
      <c r="G180" s="339"/>
      <c r="H180" s="339"/>
      <c r="I180" s="339"/>
      <c r="J180" s="339"/>
      <c r="K180" s="339"/>
      <c r="L180" s="339"/>
      <c r="M180" s="339"/>
      <c r="N180" s="339"/>
      <c r="O180" s="339"/>
      <c r="P180" s="339"/>
      <c r="Q180" s="145" t="e">
        <f t="shared" si="9"/>
        <v>#DIV/0!</v>
      </c>
      <c r="R180" s="340" t="e">
        <f t="shared" si="10"/>
        <v>#DIV/0!</v>
      </c>
      <c r="S180" s="152" t="e">
        <f t="shared" si="11"/>
        <v>#DIV/0!</v>
      </c>
      <c r="T180" s="180"/>
    </row>
    <row r="181" spans="1:20" s="178" customFormat="1" ht="32.1" customHeight="1" x14ac:dyDescent="0.2">
      <c r="A181" s="127" t="s">
        <v>214</v>
      </c>
      <c r="B181" s="161" t="s">
        <v>812</v>
      </c>
      <c r="C181" s="182" t="s">
        <v>998</v>
      </c>
      <c r="D181" s="116">
        <v>35</v>
      </c>
      <c r="E181" s="81"/>
      <c r="F181" s="81"/>
      <c r="G181" s="81"/>
      <c r="H181" s="81"/>
      <c r="I181" s="81"/>
      <c r="J181" s="81">
        <v>97.3</v>
      </c>
      <c r="K181" s="81"/>
      <c r="L181" s="81"/>
      <c r="M181" s="81"/>
      <c r="N181" s="81"/>
      <c r="O181" s="81"/>
      <c r="P181" s="81"/>
      <c r="Q181" s="145">
        <f t="shared" si="9"/>
        <v>97.3</v>
      </c>
      <c r="R181" s="151" t="str">
        <f t="shared" si="10"/>
        <v>NO</v>
      </c>
      <c r="S181" s="152" t="str">
        <f t="shared" si="11"/>
        <v>Inviable Sanitariamente</v>
      </c>
      <c r="T181" s="180"/>
    </row>
    <row r="182" spans="1:20" s="178" customFormat="1" ht="32.1" customHeight="1" x14ac:dyDescent="0.2">
      <c r="A182" s="127" t="s">
        <v>214</v>
      </c>
      <c r="B182" s="181" t="s">
        <v>981</v>
      </c>
      <c r="C182" s="182" t="s">
        <v>999</v>
      </c>
      <c r="D182" s="116">
        <v>115</v>
      </c>
      <c r="E182" s="81"/>
      <c r="F182" s="81">
        <v>97.3</v>
      </c>
      <c r="G182" s="81"/>
      <c r="H182" s="81">
        <v>97.3</v>
      </c>
      <c r="I182" s="81"/>
      <c r="J182" s="81"/>
      <c r="K182" s="81"/>
      <c r="L182" s="81"/>
      <c r="M182" s="81"/>
      <c r="N182" s="81"/>
      <c r="O182" s="81"/>
      <c r="P182" s="81"/>
      <c r="Q182" s="145">
        <f t="shared" si="9"/>
        <v>97.3</v>
      </c>
      <c r="R182" s="151" t="str">
        <f t="shared" si="10"/>
        <v>NO</v>
      </c>
      <c r="S182" s="152" t="str">
        <f t="shared" si="11"/>
        <v>Inviable Sanitariamente</v>
      </c>
      <c r="T182" s="180"/>
    </row>
    <row r="183" spans="1:20" s="178" customFormat="1" ht="32.1" customHeight="1" x14ac:dyDescent="0.2">
      <c r="A183" s="127" t="s">
        <v>214</v>
      </c>
      <c r="B183" s="181" t="s">
        <v>982</v>
      </c>
      <c r="C183" s="182" t="s">
        <v>1000</v>
      </c>
      <c r="D183" s="116">
        <v>127</v>
      </c>
      <c r="E183" s="81"/>
      <c r="F183" s="81">
        <v>97.3</v>
      </c>
      <c r="G183" s="81"/>
      <c r="H183" s="81">
        <v>97.3</v>
      </c>
      <c r="I183" s="81"/>
      <c r="J183" s="81"/>
      <c r="K183" s="81"/>
      <c r="L183" s="81"/>
      <c r="M183" s="81">
        <v>90.9</v>
      </c>
      <c r="N183" s="81"/>
      <c r="O183" s="81"/>
      <c r="P183" s="81"/>
      <c r="Q183" s="145">
        <f t="shared" si="9"/>
        <v>95.166666666666671</v>
      </c>
      <c r="R183" s="151" t="str">
        <f t="shared" si="10"/>
        <v>NO</v>
      </c>
      <c r="S183" s="152" t="str">
        <f t="shared" si="11"/>
        <v>Inviable Sanitariamente</v>
      </c>
      <c r="T183" s="180"/>
    </row>
    <row r="184" spans="1:20" s="178" customFormat="1" ht="32.1" customHeight="1" x14ac:dyDescent="0.2">
      <c r="A184" s="127" t="s">
        <v>214</v>
      </c>
      <c r="B184" s="181" t="s">
        <v>983</v>
      </c>
      <c r="C184" s="182" t="s">
        <v>1001</v>
      </c>
      <c r="D184" s="116">
        <v>43</v>
      </c>
      <c r="E184" s="81"/>
      <c r="F184" s="81">
        <v>97.3</v>
      </c>
      <c r="G184" s="81"/>
      <c r="H184" s="81">
        <v>97.3</v>
      </c>
      <c r="I184" s="81"/>
      <c r="J184" s="81"/>
      <c r="K184" s="81"/>
      <c r="L184" s="81"/>
      <c r="M184" s="81"/>
      <c r="N184" s="81">
        <v>97.3</v>
      </c>
      <c r="O184" s="81"/>
      <c r="P184" s="81"/>
      <c r="Q184" s="145">
        <f t="shared" si="9"/>
        <v>97.3</v>
      </c>
      <c r="R184" s="151" t="str">
        <f t="shared" si="10"/>
        <v>NO</v>
      </c>
      <c r="S184" s="152" t="str">
        <f t="shared" si="11"/>
        <v>Inviable Sanitariamente</v>
      </c>
      <c r="T184" s="180"/>
    </row>
    <row r="185" spans="1:20" s="178" customFormat="1" ht="32.1" customHeight="1" x14ac:dyDescent="0.2">
      <c r="A185" s="127" t="s">
        <v>214</v>
      </c>
      <c r="B185" s="181" t="s">
        <v>984</v>
      </c>
      <c r="C185" s="182" t="s">
        <v>1002</v>
      </c>
      <c r="D185" s="116">
        <v>129</v>
      </c>
      <c r="E185" s="81">
        <v>0</v>
      </c>
      <c r="F185" s="81"/>
      <c r="G185" s="81">
        <v>0</v>
      </c>
      <c r="H185" s="81"/>
      <c r="I185" s="81"/>
      <c r="J185" s="81"/>
      <c r="K185" s="81"/>
      <c r="L185" s="81"/>
      <c r="M185" s="81">
        <v>9.09</v>
      </c>
      <c r="N185" s="81"/>
      <c r="O185" s="81"/>
      <c r="P185" s="81">
        <v>9.1</v>
      </c>
      <c r="Q185" s="145">
        <f t="shared" si="9"/>
        <v>4.5474999999999994</v>
      </c>
      <c r="R185" s="151" t="str">
        <f t="shared" si="10"/>
        <v>SI</v>
      </c>
      <c r="S185" s="152" t="str">
        <f t="shared" si="11"/>
        <v>Sin Riesgo</v>
      </c>
      <c r="T185" s="180"/>
    </row>
    <row r="186" spans="1:20" s="178" customFormat="1" ht="32.1" customHeight="1" x14ac:dyDescent="0.2">
      <c r="A186" s="127" t="s">
        <v>214</v>
      </c>
      <c r="B186" s="181" t="s">
        <v>985</v>
      </c>
      <c r="C186" s="182" t="s">
        <v>1003</v>
      </c>
      <c r="D186" s="116">
        <v>72</v>
      </c>
      <c r="E186" s="81">
        <v>0</v>
      </c>
      <c r="F186" s="81"/>
      <c r="G186" s="81">
        <v>0</v>
      </c>
      <c r="H186" s="81"/>
      <c r="I186" s="81"/>
      <c r="J186" s="81"/>
      <c r="K186" s="81"/>
      <c r="L186" s="81"/>
      <c r="M186" s="81">
        <v>0</v>
      </c>
      <c r="N186" s="81"/>
      <c r="O186" s="81"/>
      <c r="P186" s="81">
        <v>0</v>
      </c>
      <c r="Q186" s="145">
        <f t="shared" si="9"/>
        <v>0</v>
      </c>
      <c r="R186" s="151" t="str">
        <f t="shared" si="10"/>
        <v>SI</v>
      </c>
      <c r="S186" s="152" t="str">
        <f t="shared" si="11"/>
        <v>Sin Riesgo</v>
      </c>
      <c r="T186" s="180"/>
    </row>
    <row r="187" spans="1:20" s="178" customFormat="1" ht="32.1" customHeight="1" x14ac:dyDescent="0.2">
      <c r="A187" s="127" t="s">
        <v>214</v>
      </c>
      <c r="B187" s="161" t="s">
        <v>813</v>
      </c>
      <c r="C187" s="182" t="s">
        <v>1004</v>
      </c>
      <c r="D187" s="116">
        <v>135</v>
      </c>
      <c r="E187" s="81"/>
      <c r="F187" s="81"/>
      <c r="G187" s="81"/>
      <c r="H187" s="81"/>
      <c r="I187" s="81"/>
      <c r="J187" s="81"/>
      <c r="K187" s="81">
        <v>97.3</v>
      </c>
      <c r="L187" s="81"/>
      <c r="M187" s="81"/>
      <c r="N187" s="81">
        <v>97.3</v>
      </c>
      <c r="O187" s="81"/>
      <c r="P187" s="81"/>
      <c r="Q187" s="145">
        <f t="shared" si="9"/>
        <v>97.3</v>
      </c>
      <c r="R187" s="151" t="str">
        <f t="shared" si="10"/>
        <v>NO</v>
      </c>
      <c r="S187" s="152" t="str">
        <f t="shared" si="11"/>
        <v>Inviable Sanitariamente</v>
      </c>
      <c r="T187" s="180"/>
    </row>
    <row r="188" spans="1:20" s="178" customFormat="1" ht="32.1" customHeight="1" x14ac:dyDescent="0.2">
      <c r="A188" s="127" t="s">
        <v>214</v>
      </c>
      <c r="B188" s="181" t="s">
        <v>986</v>
      </c>
      <c r="C188" s="182" t="s">
        <v>1005</v>
      </c>
      <c r="D188" s="116">
        <v>187</v>
      </c>
      <c r="E188" s="81"/>
      <c r="F188" s="81"/>
      <c r="G188" s="81"/>
      <c r="H188" s="81"/>
      <c r="I188" s="81"/>
      <c r="J188" s="81"/>
      <c r="K188" s="81">
        <v>97.3</v>
      </c>
      <c r="L188" s="81"/>
      <c r="M188" s="81"/>
      <c r="N188" s="81"/>
      <c r="O188" s="81"/>
      <c r="P188" s="81">
        <v>97.3</v>
      </c>
      <c r="Q188" s="145">
        <f t="shared" si="9"/>
        <v>97.3</v>
      </c>
      <c r="R188" s="151" t="str">
        <f t="shared" si="10"/>
        <v>NO</v>
      </c>
      <c r="S188" s="152" t="str">
        <f t="shared" si="11"/>
        <v>Inviable Sanitariamente</v>
      </c>
      <c r="T188" s="180"/>
    </row>
    <row r="189" spans="1:20" s="178" customFormat="1" ht="32.1" customHeight="1" x14ac:dyDescent="0.2">
      <c r="A189" s="127" t="s">
        <v>214</v>
      </c>
      <c r="B189" s="181" t="s">
        <v>987</v>
      </c>
      <c r="C189" s="182" t="s">
        <v>1006</v>
      </c>
      <c r="D189" s="116">
        <v>120</v>
      </c>
      <c r="E189" s="81">
        <v>0</v>
      </c>
      <c r="F189" s="81"/>
      <c r="G189" s="81">
        <v>0</v>
      </c>
      <c r="H189" s="81"/>
      <c r="I189" s="81"/>
      <c r="J189" s="81"/>
      <c r="K189" s="81">
        <v>0</v>
      </c>
      <c r="L189" s="81"/>
      <c r="M189" s="81"/>
      <c r="N189" s="81">
        <v>0</v>
      </c>
      <c r="O189" s="81"/>
      <c r="P189" s="81"/>
      <c r="Q189" s="145">
        <f t="shared" si="9"/>
        <v>0</v>
      </c>
      <c r="R189" s="151" t="str">
        <f t="shared" si="10"/>
        <v>SI</v>
      </c>
      <c r="S189" s="152" t="str">
        <f t="shared" si="11"/>
        <v>Sin Riesgo</v>
      </c>
      <c r="T189" s="180"/>
    </row>
    <row r="190" spans="1:20" s="178" customFormat="1" ht="32.1" customHeight="1" x14ac:dyDescent="0.2">
      <c r="A190" s="127" t="s">
        <v>214</v>
      </c>
      <c r="B190" s="181" t="s">
        <v>988</v>
      </c>
      <c r="C190" s="182" t="s">
        <v>1007</v>
      </c>
      <c r="D190" s="116">
        <v>24</v>
      </c>
      <c r="E190" s="339"/>
      <c r="F190" s="339">
        <v>97.3</v>
      </c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145">
        <f t="shared" si="9"/>
        <v>97.3</v>
      </c>
      <c r="R190" s="340" t="str">
        <f t="shared" si="10"/>
        <v>NO</v>
      </c>
      <c r="S190" s="152" t="str">
        <f t="shared" ref="S190:S253" si="12">IF(Q190&lt;5,"Sin Riesgo",IF(Q190 &lt;=14,"Bajo",IF(Q190&lt;=35,"Medio",IF(Q190&lt;=80,"Alto","Inviable Sanitariamente"))))</f>
        <v>Inviable Sanitariamente</v>
      </c>
      <c r="T190" s="180"/>
    </row>
    <row r="191" spans="1:20" s="178" customFormat="1" ht="32.1" customHeight="1" x14ac:dyDescent="0.2">
      <c r="A191" s="127" t="s">
        <v>214</v>
      </c>
      <c r="B191" s="161" t="s">
        <v>989</v>
      </c>
      <c r="C191" s="182" t="s">
        <v>1008</v>
      </c>
      <c r="D191" s="116">
        <v>119</v>
      </c>
      <c r="E191" s="81"/>
      <c r="F191" s="81"/>
      <c r="G191" s="81"/>
      <c r="H191" s="81"/>
      <c r="I191" s="81"/>
      <c r="J191" s="81">
        <v>97.3</v>
      </c>
      <c r="K191" s="81"/>
      <c r="L191" s="81"/>
      <c r="M191" s="81"/>
      <c r="N191" s="81">
        <v>97.3</v>
      </c>
      <c r="O191" s="81"/>
      <c r="P191" s="81"/>
      <c r="Q191" s="145">
        <f t="shared" si="9"/>
        <v>97.3</v>
      </c>
      <c r="R191" s="151" t="str">
        <f t="shared" si="10"/>
        <v>NO</v>
      </c>
      <c r="S191" s="152" t="str">
        <f t="shared" si="12"/>
        <v>Inviable Sanitariamente</v>
      </c>
      <c r="T191" s="180"/>
    </row>
    <row r="192" spans="1:20" s="178" customFormat="1" ht="32.1" customHeight="1" x14ac:dyDescent="0.2">
      <c r="A192" s="127" t="s">
        <v>214</v>
      </c>
      <c r="B192" s="113" t="s">
        <v>816</v>
      </c>
      <c r="C192" s="113" t="s">
        <v>817</v>
      </c>
      <c r="D192" s="121">
        <v>37</v>
      </c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145" t="e">
        <f t="shared" si="9"/>
        <v>#DIV/0!</v>
      </c>
      <c r="R192" s="165" t="e">
        <f t="shared" si="10"/>
        <v>#DIV/0!</v>
      </c>
      <c r="S192" s="152" t="e">
        <f t="shared" si="12"/>
        <v>#DIV/0!</v>
      </c>
      <c r="T192" s="180"/>
    </row>
    <row r="193" spans="1:20" s="178" customFormat="1" ht="32.1" customHeight="1" x14ac:dyDescent="0.2">
      <c r="A193" s="127" t="s">
        <v>215</v>
      </c>
      <c r="B193" s="99" t="s">
        <v>1034</v>
      </c>
      <c r="C193" s="113" t="s">
        <v>1035</v>
      </c>
      <c r="D193" s="121">
        <v>80</v>
      </c>
      <c r="E193" s="81"/>
      <c r="F193" s="81"/>
      <c r="G193" s="81"/>
      <c r="H193" s="81"/>
      <c r="I193" s="81"/>
      <c r="J193" s="81"/>
      <c r="K193" s="81">
        <v>0</v>
      </c>
      <c r="L193" s="81"/>
      <c r="M193" s="81"/>
      <c r="N193" s="81"/>
      <c r="O193" s="81"/>
      <c r="P193" s="81"/>
      <c r="Q193" s="145">
        <f t="shared" si="9"/>
        <v>0</v>
      </c>
      <c r="R193" s="151" t="str">
        <f t="shared" si="10"/>
        <v>SI</v>
      </c>
      <c r="S193" s="152" t="str">
        <f t="shared" si="12"/>
        <v>Sin Riesgo</v>
      </c>
      <c r="T193" s="180"/>
    </row>
    <row r="194" spans="1:20" s="178" customFormat="1" ht="32.1" customHeight="1" x14ac:dyDescent="0.2">
      <c r="A194" s="127" t="s">
        <v>215</v>
      </c>
      <c r="B194" s="99" t="s">
        <v>811</v>
      </c>
      <c r="C194" s="113" t="s">
        <v>1036</v>
      </c>
      <c r="D194" s="121">
        <v>310</v>
      </c>
      <c r="E194" s="81"/>
      <c r="F194" s="81">
        <v>0</v>
      </c>
      <c r="G194" s="81"/>
      <c r="H194" s="81">
        <v>0</v>
      </c>
      <c r="I194" s="81"/>
      <c r="J194" s="81">
        <v>0</v>
      </c>
      <c r="K194" s="81"/>
      <c r="L194" s="81">
        <v>26.54</v>
      </c>
      <c r="M194" s="81"/>
      <c r="N194" s="81">
        <v>0</v>
      </c>
      <c r="O194" s="81"/>
      <c r="P194" s="81">
        <v>0</v>
      </c>
      <c r="Q194" s="145">
        <f t="shared" si="9"/>
        <v>4.4233333333333329</v>
      </c>
      <c r="R194" s="151" t="str">
        <f t="shared" si="10"/>
        <v>SI</v>
      </c>
      <c r="S194" s="152" t="str">
        <f t="shared" si="12"/>
        <v>Sin Riesgo</v>
      </c>
      <c r="T194" s="180"/>
    </row>
    <row r="195" spans="1:20" s="178" customFormat="1" ht="32.1" customHeight="1" x14ac:dyDescent="0.2">
      <c r="A195" s="127" t="s">
        <v>215</v>
      </c>
      <c r="B195" s="99" t="s">
        <v>1037</v>
      </c>
      <c r="C195" s="113" t="s">
        <v>1038</v>
      </c>
      <c r="D195" s="121">
        <v>84</v>
      </c>
      <c r="E195" s="81"/>
      <c r="F195" s="81">
        <v>0</v>
      </c>
      <c r="G195" s="81"/>
      <c r="H195" s="81">
        <v>26.542999999999999</v>
      </c>
      <c r="I195" s="81"/>
      <c r="J195" s="81">
        <v>0</v>
      </c>
      <c r="K195" s="81"/>
      <c r="L195" s="81">
        <v>26.54</v>
      </c>
      <c r="M195" s="81"/>
      <c r="N195" s="81">
        <v>0</v>
      </c>
      <c r="O195" s="81"/>
      <c r="P195" s="81">
        <v>26.5</v>
      </c>
      <c r="Q195" s="145">
        <f t="shared" si="9"/>
        <v>13.263833333333332</v>
      </c>
      <c r="R195" s="151" t="str">
        <f t="shared" si="10"/>
        <v>NO</v>
      </c>
      <c r="S195" s="152" t="str">
        <f t="shared" si="12"/>
        <v>Bajo</v>
      </c>
      <c r="T195" s="180"/>
    </row>
    <row r="196" spans="1:20" s="178" customFormat="1" ht="32.1" customHeight="1" x14ac:dyDescent="0.2">
      <c r="A196" s="127" t="s">
        <v>215</v>
      </c>
      <c r="B196" s="99" t="s">
        <v>1039</v>
      </c>
      <c r="C196" s="113" t="s">
        <v>1040</v>
      </c>
      <c r="D196" s="121">
        <v>90</v>
      </c>
      <c r="E196" s="81"/>
      <c r="F196" s="81">
        <v>0</v>
      </c>
      <c r="G196" s="81"/>
      <c r="H196" s="81">
        <v>29.2</v>
      </c>
      <c r="I196" s="81"/>
      <c r="J196" s="81">
        <v>55.8</v>
      </c>
      <c r="K196" s="81"/>
      <c r="L196" s="81">
        <v>55.75</v>
      </c>
      <c r="M196" s="81"/>
      <c r="N196" s="81">
        <v>29.2</v>
      </c>
      <c r="O196" s="81"/>
      <c r="P196" s="81">
        <v>2.7</v>
      </c>
      <c r="Q196" s="145">
        <f t="shared" si="9"/>
        <v>28.774999999999995</v>
      </c>
      <c r="R196" s="151" t="str">
        <f t="shared" si="10"/>
        <v>NO</v>
      </c>
      <c r="S196" s="152" t="str">
        <f t="shared" si="12"/>
        <v>Medio</v>
      </c>
      <c r="T196" s="180"/>
    </row>
    <row r="197" spans="1:20" s="178" customFormat="1" ht="32.1" customHeight="1" x14ac:dyDescent="0.2">
      <c r="A197" s="127" t="s">
        <v>215</v>
      </c>
      <c r="B197" s="99" t="s">
        <v>1041</v>
      </c>
      <c r="C197" s="113" t="s">
        <v>1042</v>
      </c>
      <c r="D197" s="121">
        <v>442</v>
      </c>
      <c r="E197" s="81"/>
      <c r="F197" s="81">
        <v>0</v>
      </c>
      <c r="G197" s="81"/>
      <c r="H197" s="81">
        <v>26.54</v>
      </c>
      <c r="I197" s="81"/>
      <c r="J197" s="81">
        <v>53.09</v>
      </c>
      <c r="K197" s="81"/>
      <c r="L197" s="81">
        <v>0</v>
      </c>
      <c r="M197" s="81">
        <v>26.54</v>
      </c>
      <c r="N197" s="81">
        <v>0</v>
      </c>
      <c r="O197" s="81"/>
      <c r="P197" s="81">
        <v>0</v>
      </c>
      <c r="Q197" s="145">
        <f t="shared" si="9"/>
        <v>15.167142857142855</v>
      </c>
      <c r="R197" s="151" t="str">
        <f t="shared" si="10"/>
        <v>NO</v>
      </c>
      <c r="S197" s="152" t="str">
        <f t="shared" si="12"/>
        <v>Medio</v>
      </c>
      <c r="T197" s="180"/>
    </row>
    <row r="198" spans="1:20" s="178" customFormat="1" ht="32.1" customHeight="1" x14ac:dyDescent="0.2">
      <c r="A198" s="127" t="s">
        <v>215</v>
      </c>
      <c r="B198" s="99" t="s">
        <v>1043</v>
      </c>
      <c r="C198" s="113" t="s">
        <v>1044</v>
      </c>
      <c r="D198" s="121">
        <v>35</v>
      </c>
      <c r="E198" s="81"/>
      <c r="F198" s="81"/>
      <c r="G198" s="81">
        <v>26.54</v>
      </c>
      <c r="H198" s="81">
        <v>2.65</v>
      </c>
      <c r="I198" s="81"/>
      <c r="J198" s="81">
        <v>2.65</v>
      </c>
      <c r="K198" s="81"/>
      <c r="L198" s="81">
        <v>2.65</v>
      </c>
      <c r="M198" s="81"/>
      <c r="N198" s="81">
        <v>26.54</v>
      </c>
      <c r="O198" s="81"/>
      <c r="P198" s="81">
        <v>29</v>
      </c>
      <c r="Q198" s="145">
        <f t="shared" si="9"/>
        <v>15.005000000000001</v>
      </c>
      <c r="R198" s="151" t="str">
        <f t="shared" si="10"/>
        <v>NO</v>
      </c>
      <c r="S198" s="152" t="str">
        <f t="shared" si="12"/>
        <v>Medio</v>
      </c>
      <c r="T198" s="180"/>
    </row>
    <row r="199" spans="1:20" s="178" customFormat="1" ht="32.1" customHeight="1" x14ac:dyDescent="0.2">
      <c r="A199" s="127" t="s">
        <v>215</v>
      </c>
      <c r="B199" s="99" t="s">
        <v>501</v>
      </c>
      <c r="C199" s="113" t="s">
        <v>1045</v>
      </c>
      <c r="D199" s="116">
        <v>80</v>
      </c>
      <c r="E199" s="81"/>
      <c r="F199" s="81">
        <v>0</v>
      </c>
      <c r="G199" s="81"/>
      <c r="H199" s="81">
        <v>26.54</v>
      </c>
      <c r="I199" s="81"/>
      <c r="J199" s="81">
        <v>0</v>
      </c>
      <c r="K199" s="81"/>
      <c r="L199" s="81">
        <v>0</v>
      </c>
      <c r="M199" s="81"/>
      <c r="N199" s="81">
        <v>0</v>
      </c>
      <c r="O199" s="81"/>
      <c r="P199" s="81">
        <v>2.65</v>
      </c>
      <c r="Q199" s="145">
        <f t="shared" si="9"/>
        <v>4.8649999999999993</v>
      </c>
      <c r="R199" s="151" t="str">
        <f t="shared" si="10"/>
        <v>SI</v>
      </c>
      <c r="S199" s="152" t="str">
        <f t="shared" si="12"/>
        <v>Sin Riesgo</v>
      </c>
      <c r="T199" s="180"/>
    </row>
    <row r="200" spans="1:20" s="178" customFormat="1" ht="32.1" customHeight="1" x14ac:dyDescent="0.2">
      <c r="A200" s="127" t="s">
        <v>215</v>
      </c>
      <c r="B200" s="99" t="s">
        <v>661</v>
      </c>
      <c r="C200" s="113" t="s">
        <v>1046</v>
      </c>
      <c r="D200" s="121">
        <v>42</v>
      </c>
      <c r="E200" s="81"/>
      <c r="F200" s="81">
        <v>0</v>
      </c>
      <c r="G200" s="81"/>
      <c r="H200" s="81">
        <v>0</v>
      </c>
      <c r="I200" s="81"/>
      <c r="J200" s="81">
        <v>0</v>
      </c>
      <c r="K200" s="81"/>
      <c r="L200" s="81">
        <v>0</v>
      </c>
      <c r="M200" s="81"/>
      <c r="N200" s="81">
        <v>26.54</v>
      </c>
      <c r="O200" s="81"/>
      <c r="P200" s="81">
        <v>26.5</v>
      </c>
      <c r="Q200" s="145">
        <f t="shared" si="9"/>
        <v>8.84</v>
      </c>
      <c r="R200" s="151" t="str">
        <f t="shared" si="10"/>
        <v>NO</v>
      </c>
      <c r="S200" s="152" t="str">
        <f t="shared" si="12"/>
        <v>Bajo</v>
      </c>
      <c r="T200" s="180"/>
    </row>
    <row r="201" spans="1:20" s="178" customFormat="1" ht="32.1" customHeight="1" x14ac:dyDescent="0.2">
      <c r="A201" s="127" t="s">
        <v>215</v>
      </c>
      <c r="B201" s="99" t="s">
        <v>1047</v>
      </c>
      <c r="C201" s="113" t="s">
        <v>1048</v>
      </c>
      <c r="D201" s="121">
        <v>160</v>
      </c>
      <c r="E201" s="81"/>
      <c r="F201" s="81">
        <v>0</v>
      </c>
      <c r="G201" s="81"/>
      <c r="H201" s="81">
        <v>0</v>
      </c>
      <c r="I201" s="81"/>
      <c r="J201" s="81">
        <v>0</v>
      </c>
      <c r="K201" s="81"/>
      <c r="L201" s="81">
        <v>0</v>
      </c>
      <c r="M201" s="81"/>
      <c r="N201" s="81">
        <v>0</v>
      </c>
      <c r="O201" s="81"/>
      <c r="P201" s="81">
        <v>0</v>
      </c>
      <c r="Q201" s="145">
        <f t="shared" si="9"/>
        <v>0</v>
      </c>
      <c r="R201" s="151" t="str">
        <f t="shared" si="10"/>
        <v>SI</v>
      </c>
      <c r="S201" s="152" t="str">
        <f t="shared" si="12"/>
        <v>Sin Riesgo</v>
      </c>
      <c r="T201" s="180"/>
    </row>
    <row r="202" spans="1:20" s="178" customFormat="1" ht="32.1" customHeight="1" x14ac:dyDescent="0.2">
      <c r="A202" s="127" t="s">
        <v>215</v>
      </c>
      <c r="B202" s="99" t="s">
        <v>1049</v>
      </c>
      <c r="C202" s="113" t="s">
        <v>1050</v>
      </c>
      <c r="D202" s="116">
        <v>150</v>
      </c>
      <c r="E202" s="81"/>
      <c r="F202" s="81">
        <v>26.54</v>
      </c>
      <c r="G202" s="81"/>
      <c r="H202" s="81">
        <v>2.65</v>
      </c>
      <c r="I202" s="81"/>
      <c r="J202" s="81">
        <v>2.65</v>
      </c>
      <c r="K202" s="81"/>
      <c r="L202" s="81">
        <v>2.65</v>
      </c>
      <c r="M202" s="81"/>
      <c r="N202" s="81">
        <v>2.65</v>
      </c>
      <c r="O202" s="81"/>
      <c r="P202" s="81">
        <v>2.7</v>
      </c>
      <c r="Q202" s="145">
        <f t="shared" si="9"/>
        <v>6.64</v>
      </c>
      <c r="R202" s="151" t="str">
        <f t="shared" si="10"/>
        <v>NO</v>
      </c>
      <c r="S202" s="152" t="str">
        <f t="shared" si="12"/>
        <v>Bajo</v>
      </c>
      <c r="T202" s="180"/>
    </row>
    <row r="203" spans="1:20" s="178" customFormat="1" ht="32.1" customHeight="1" x14ac:dyDescent="0.2">
      <c r="A203" s="127" t="s">
        <v>215</v>
      </c>
      <c r="B203" s="99" t="s">
        <v>882</v>
      </c>
      <c r="C203" s="113" t="s">
        <v>1051</v>
      </c>
      <c r="D203" s="121">
        <v>40</v>
      </c>
      <c r="E203" s="81"/>
      <c r="F203" s="81"/>
      <c r="G203" s="81">
        <v>73.45</v>
      </c>
      <c r="H203" s="81">
        <v>29.2</v>
      </c>
      <c r="I203" s="81"/>
      <c r="J203" s="81">
        <v>53.09</v>
      </c>
      <c r="K203" s="81"/>
      <c r="L203" s="81">
        <v>29.2</v>
      </c>
      <c r="M203" s="81"/>
      <c r="N203" s="81">
        <v>29.2</v>
      </c>
      <c r="O203" s="81"/>
      <c r="P203" s="81">
        <v>29.2</v>
      </c>
      <c r="Q203" s="145">
        <f t="shared" si="9"/>
        <v>40.556666666666665</v>
      </c>
      <c r="R203" s="151" t="str">
        <f t="shared" si="10"/>
        <v>NO</v>
      </c>
      <c r="S203" s="152" t="str">
        <f t="shared" si="12"/>
        <v>Alto</v>
      </c>
      <c r="T203" s="180"/>
    </row>
    <row r="204" spans="1:20" s="178" customFormat="1" ht="32.1" customHeight="1" x14ac:dyDescent="0.2">
      <c r="A204" s="127" t="s">
        <v>215</v>
      </c>
      <c r="B204" s="99" t="s">
        <v>1052</v>
      </c>
      <c r="C204" s="113" t="s">
        <v>1053</v>
      </c>
      <c r="D204" s="121">
        <v>157</v>
      </c>
      <c r="E204" s="81"/>
      <c r="F204" s="81">
        <v>0</v>
      </c>
      <c r="G204" s="81"/>
      <c r="H204" s="81">
        <v>0</v>
      </c>
      <c r="I204" s="81"/>
      <c r="J204" s="81">
        <v>0</v>
      </c>
      <c r="K204" s="81"/>
      <c r="L204" s="81">
        <v>0</v>
      </c>
      <c r="M204" s="81"/>
      <c r="N204" s="81">
        <v>0</v>
      </c>
      <c r="O204" s="81"/>
      <c r="P204" s="81">
        <v>0</v>
      </c>
      <c r="Q204" s="145">
        <f t="shared" ref="Q204:Q241" si="13">AVERAGE(E204:P204)</f>
        <v>0</v>
      </c>
      <c r="R204" s="151" t="str">
        <f t="shared" ref="R204:R241" si="14">IF(Q204&lt;5,"SI","NO")</f>
        <v>SI</v>
      </c>
      <c r="S204" s="152" t="str">
        <f t="shared" si="12"/>
        <v>Sin Riesgo</v>
      </c>
      <c r="T204" s="180"/>
    </row>
    <row r="205" spans="1:20" s="178" customFormat="1" ht="32.1" customHeight="1" x14ac:dyDescent="0.2">
      <c r="A205" s="127" t="s">
        <v>215</v>
      </c>
      <c r="B205" s="99" t="s">
        <v>1054</v>
      </c>
      <c r="C205" s="113" t="s">
        <v>1055</v>
      </c>
      <c r="D205" s="116">
        <v>560</v>
      </c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>
        <v>100</v>
      </c>
      <c r="P205" s="81"/>
      <c r="Q205" s="145">
        <f t="shared" si="13"/>
        <v>100</v>
      </c>
      <c r="R205" s="151" t="str">
        <f t="shared" si="14"/>
        <v>NO</v>
      </c>
      <c r="S205" s="152" t="str">
        <f t="shared" si="12"/>
        <v>Inviable Sanitariamente</v>
      </c>
      <c r="T205" s="180"/>
    </row>
    <row r="206" spans="1:20" s="178" customFormat="1" ht="32.1" customHeight="1" x14ac:dyDescent="0.2">
      <c r="A206" s="127" t="s">
        <v>215</v>
      </c>
      <c r="B206" s="99" t="s">
        <v>1056</v>
      </c>
      <c r="C206" s="113" t="s">
        <v>1057</v>
      </c>
      <c r="D206" s="121">
        <v>220</v>
      </c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>
        <v>100</v>
      </c>
      <c r="P206" s="81"/>
      <c r="Q206" s="145">
        <f t="shared" si="13"/>
        <v>100</v>
      </c>
      <c r="R206" s="151" t="str">
        <f t="shared" si="14"/>
        <v>NO</v>
      </c>
      <c r="S206" s="152" t="str">
        <f t="shared" si="12"/>
        <v>Inviable Sanitariamente</v>
      </c>
      <c r="T206" s="180"/>
    </row>
    <row r="207" spans="1:20" s="178" customFormat="1" ht="32.1" customHeight="1" x14ac:dyDescent="0.2">
      <c r="A207" s="127" t="s">
        <v>215</v>
      </c>
      <c r="B207" s="99" t="s">
        <v>1058</v>
      </c>
      <c r="C207" s="113" t="s">
        <v>1059</v>
      </c>
      <c r="D207" s="121">
        <v>230</v>
      </c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145" t="e">
        <f t="shared" si="13"/>
        <v>#DIV/0!</v>
      </c>
      <c r="R207" s="151" t="e">
        <f t="shared" si="14"/>
        <v>#DIV/0!</v>
      </c>
      <c r="S207" s="152" t="e">
        <f t="shared" si="12"/>
        <v>#DIV/0!</v>
      </c>
      <c r="T207" s="180"/>
    </row>
    <row r="208" spans="1:20" s="187" customFormat="1" ht="32.1" customHeight="1" x14ac:dyDescent="0.2">
      <c r="A208" s="127" t="s">
        <v>215</v>
      </c>
      <c r="B208" s="99" t="s">
        <v>5</v>
      </c>
      <c r="C208" s="113" t="s">
        <v>1060</v>
      </c>
      <c r="D208" s="121">
        <v>25</v>
      </c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>
        <v>100</v>
      </c>
      <c r="P208" s="81"/>
      <c r="Q208" s="145">
        <f t="shared" si="13"/>
        <v>100</v>
      </c>
      <c r="R208" s="151" t="str">
        <f t="shared" si="14"/>
        <v>NO</v>
      </c>
      <c r="S208" s="152" t="str">
        <f t="shared" si="12"/>
        <v>Inviable Sanitariamente</v>
      </c>
      <c r="T208" s="127"/>
    </row>
    <row r="209" spans="1:20" s="178" customFormat="1" ht="32.1" customHeight="1" x14ac:dyDescent="0.2">
      <c r="A209" s="127" t="s">
        <v>215</v>
      </c>
      <c r="B209" s="99" t="s">
        <v>1061</v>
      </c>
      <c r="C209" s="113" t="s">
        <v>1062</v>
      </c>
      <c r="D209" s="121">
        <v>25</v>
      </c>
      <c r="E209" s="81"/>
      <c r="F209" s="81"/>
      <c r="G209" s="179"/>
      <c r="H209" s="81"/>
      <c r="I209" s="81"/>
      <c r="J209" s="81"/>
      <c r="K209" s="81"/>
      <c r="L209" s="81"/>
      <c r="M209" s="81"/>
      <c r="N209" s="81"/>
      <c r="O209" s="81"/>
      <c r="P209" s="81"/>
      <c r="Q209" s="145" t="e">
        <f t="shared" si="13"/>
        <v>#DIV/0!</v>
      </c>
      <c r="R209" s="151" t="e">
        <f t="shared" si="14"/>
        <v>#DIV/0!</v>
      </c>
      <c r="S209" s="152" t="e">
        <f t="shared" si="12"/>
        <v>#DIV/0!</v>
      </c>
      <c r="T209" s="180"/>
    </row>
    <row r="210" spans="1:20" s="178" customFormat="1" ht="32.1" customHeight="1" x14ac:dyDescent="0.2">
      <c r="A210" s="127" t="s">
        <v>215</v>
      </c>
      <c r="B210" s="99" t="s">
        <v>781</v>
      </c>
      <c r="C210" s="113" t="s">
        <v>1063</v>
      </c>
      <c r="D210" s="121">
        <v>75</v>
      </c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145" t="e">
        <f t="shared" si="13"/>
        <v>#DIV/0!</v>
      </c>
      <c r="R210" s="151" t="e">
        <f t="shared" si="14"/>
        <v>#DIV/0!</v>
      </c>
      <c r="S210" s="152" t="e">
        <f t="shared" si="12"/>
        <v>#DIV/0!</v>
      </c>
      <c r="T210" s="180"/>
    </row>
    <row r="211" spans="1:20" s="178" customFormat="1" ht="32.1" customHeight="1" x14ac:dyDescent="0.2">
      <c r="A211" s="127" t="s">
        <v>215</v>
      </c>
      <c r="B211" s="99" t="s">
        <v>1064</v>
      </c>
      <c r="C211" s="113" t="s">
        <v>1065</v>
      </c>
      <c r="D211" s="121">
        <v>70</v>
      </c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>
        <v>100</v>
      </c>
      <c r="P211" s="81"/>
      <c r="Q211" s="145">
        <f t="shared" si="13"/>
        <v>100</v>
      </c>
      <c r="R211" s="151" t="str">
        <f t="shared" si="14"/>
        <v>NO</v>
      </c>
      <c r="S211" s="152" t="str">
        <f t="shared" si="12"/>
        <v>Inviable Sanitariamente</v>
      </c>
      <c r="T211" s="180"/>
    </row>
    <row r="212" spans="1:20" s="178" customFormat="1" ht="32.1" customHeight="1" x14ac:dyDescent="0.2">
      <c r="A212" s="127" t="s">
        <v>215</v>
      </c>
      <c r="B212" s="99" t="s">
        <v>1066</v>
      </c>
      <c r="C212" s="113" t="s">
        <v>1067</v>
      </c>
      <c r="D212" s="121">
        <v>75</v>
      </c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145" t="e">
        <f t="shared" si="13"/>
        <v>#DIV/0!</v>
      </c>
      <c r="R212" s="151" t="e">
        <f t="shared" si="14"/>
        <v>#DIV/0!</v>
      </c>
      <c r="S212" s="152" t="e">
        <f t="shared" si="12"/>
        <v>#DIV/0!</v>
      </c>
      <c r="T212" s="180"/>
    </row>
    <row r="213" spans="1:20" s="178" customFormat="1" ht="32.1" customHeight="1" x14ac:dyDescent="0.2">
      <c r="A213" s="127" t="s">
        <v>215</v>
      </c>
      <c r="B213" s="99" t="s">
        <v>1068</v>
      </c>
      <c r="C213" s="113" t="s">
        <v>1069</v>
      </c>
      <c r="D213" s="121">
        <v>62</v>
      </c>
      <c r="E213" s="81"/>
      <c r="F213" s="81">
        <v>0</v>
      </c>
      <c r="G213" s="81"/>
      <c r="H213" s="81">
        <v>2.65</v>
      </c>
      <c r="I213" s="81"/>
      <c r="J213" s="81">
        <v>0</v>
      </c>
      <c r="K213" s="81"/>
      <c r="L213" s="81">
        <v>0</v>
      </c>
      <c r="M213" s="81"/>
      <c r="N213" s="81">
        <v>0</v>
      </c>
      <c r="O213" s="81"/>
      <c r="P213" s="81">
        <v>0</v>
      </c>
      <c r="Q213" s="145">
        <f t="shared" si="13"/>
        <v>0.44166666666666665</v>
      </c>
      <c r="R213" s="151" t="str">
        <f t="shared" si="14"/>
        <v>SI</v>
      </c>
      <c r="S213" s="152" t="str">
        <f t="shared" si="12"/>
        <v>Sin Riesgo</v>
      </c>
      <c r="T213" s="180"/>
    </row>
    <row r="214" spans="1:20" s="178" customFormat="1" ht="32.1" customHeight="1" x14ac:dyDescent="0.2">
      <c r="A214" s="127" t="s">
        <v>215</v>
      </c>
      <c r="B214" s="99" t="s">
        <v>1070</v>
      </c>
      <c r="C214" s="113" t="s">
        <v>1071</v>
      </c>
      <c r="D214" s="121">
        <v>105</v>
      </c>
      <c r="E214" s="81"/>
      <c r="F214" s="81"/>
      <c r="G214" s="81"/>
      <c r="H214" s="81"/>
      <c r="I214" s="81"/>
      <c r="J214" s="81"/>
      <c r="K214" s="81"/>
      <c r="L214" s="81"/>
      <c r="M214" s="81"/>
      <c r="N214" s="81">
        <v>0</v>
      </c>
      <c r="O214" s="81"/>
      <c r="P214" s="81">
        <v>0</v>
      </c>
      <c r="Q214" s="145">
        <f t="shared" si="13"/>
        <v>0</v>
      </c>
      <c r="R214" s="151" t="str">
        <f t="shared" si="14"/>
        <v>SI</v>
      </c>
      <c r="S214" s="152" t="str">
        <f t="shared" si="12"/>
        <v>Sin Riesgo</v>
      </c>
      <c r="T214" s="180"/>
    </row>
    <row r="215" spans="1:20" s="178" customFormat="1" ht="32.1" customHeight="1" x14ac:dyDescent="0.2">
      <c r="A215" s="127" t="s">
        <v>215</v>
      </c>
      <c r="B215" s="99" t="s">
        <v>1072</v>
      </c>
      <c r="C215" s="113" t="s">
        <v>1073</v>
      </c>
      <c r="D215" s="121">
        <v>30</v>
      </c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>
        <v>0</v>
      </c>
      <c r="P215" s="81"/>
      <c r="Q215" s="145">
        <f t="shared" si="13"/>
        <v>0</v>
      </c>
      <c r="R215" s="151" t="str">
        <f t="shared" si="14"/>
        <v>SI</v>
      </c>
      <c r="S215" s="152" t="str">
        <f t="shared" si="12"/>
        <v>Sin Riesgo</v>
      </c>
      <c r="T215" s="180"/>
    </row>
    <row r="216" spans="1:20" s="178" customFormat="1" ht="32.1" customHeight="1" x14ac:dyDescent="0.2">
      <c r="A216" s="127" t="s">
        <v>215</v>
      </c>
      <c r="B216" s="99" t="s">
        <v>1074</v>
      </c>
      <c r="C216" s="113" t="s">
        <v>1075</v>
      </c>
      <c r="D216" s="121">
        <v>65</v>
      </c>
      <c r="E216" s="81"/>
      <c r="F216" s="81"/>
      <c r="G216" s="81">
        <v>100</v>
      </c>
      <c r="H216" s="81"/>
      <c r="I216" s="81"/>
      <c r="J216" s="81"/>
      <c r="K216" s="81"/>
      <c r="L216" s="81"/>
      <c r="M216" s="81"/>
      <c r="N216" s="81"/>
      <c r="O216" s="81"/>
      <c r="P216" s="81"/>
      <c r="Q216" s="145">
        <f t="shared" si="13"/>
        <v>100</v>
      </c>
      <c r="R216" s="151" t="str">
        <f t="shared" si="14"/>
        <v>NO</v>
      </c>
      <c r="S216" s="152" t="str">
        <f t="shared" si="12"/>
        <v>Inviable Sanitariamente</v>
      </c>
      <c r="T216" s="180"/>
    </row>
    <row r="217" spans="1:20" s="178" customFormat="1" ht="32.1" customHeight="1" x14ac:dyDescent="0.2">
      <c r="A217" s="127" t="s">
        <v>215</v>
      </c>
      <c r="B217" s="99" t="s">
        <v>1076</v>
      </c>
      <c r="C217" s="113" t="s">
        <v>1077</v>
      </c>
      <c r="D217" s="121">
        <v>28</v>
      </c>
      <c r="E217" s="81"/>
      <c r="F217" s="81"/>
      <c r="G217" s="81"/>
      <c r="H217" s="81"/>
      <c r="I217" s="81">
        <v>97.34</v>
      </c>
      <c r="J217" s="81"/>
      <c r="K217" s="81"/>
      <c r="L217" s="81"/>
      <c r="M217" s="81"/>
      <c r="N217" s="81"/>
      <c r="O217" s="81"/>
      <c r="P217" s="81"/>
      <c r="Q217" s="145">
        <f t="shared" si="13"/>
        <v>97.34</v>
      </c>
      <c r="R217" s="151" t="str">
        <f t="shared" si="14"/>
        <v>NO</v>
      </c>
      <c r="S217" s="152" t="str">
        <f t="shared" si="12"/>
        <v>Inviable Sanitariamente</v>
      </c>
      <c r="T217" s="180"/>
    </row>
    <row r="218" spans="1:20" s="178" customFormat="1" ht="32.1" customHeight="1" x14ac:dyDescent="0.2">
      <c r="A218" s="127" t="s">
        <v>215</v>
      </c>
      <c r="B218" s="99" t="s">
        <v>1078</v>
      </c>
      <c r="C218" s="113" t="s">
        <v>1079</v>
      </c>
      <c r="D218" s="121">
        <v>94</v>
      </c>
      <c r="E218" s="81"/>
      <c r="F218" s="81">
        <v>0</v>
      </c>
      <c r="G218" s="81"/>
      <c r="H218" s="81">
        <v>100</v>
      </c>
      <c r="I218" s="81"/>
      <c r="J218" s="81">
        <v>55.75</v>
      </c>
      <c r="K218" s="81"/>
      <c r="L218" s="81">
        <v>2.65</v>
      </c>
      <c r="M218" s="81"/>
      <c r="N218" s="81">
        <v>55.75</v>
      </c>
      <c r="O218" s="81"/>
      <c r="P218" s="81">
        <v>0</v>
      </c>
      <c r="Q218" s="145">
        <f t="shared" si="13"/>
        <v>35.69166666666667</v>
      </c>
      <c r="R218" s="151" t="str">
        <f t="shared" si="14"/>
        <v>NO</v>
      </c>
      <c r="S218" s="152" t="str">
        <f t="shared" si="12"/>
        <v>Alto</v>
      </c>
      <c r="T218" s="180"/>
    </row>
    <row r="219" spans="1:20" s="178" customFormat="1" ht="32.1" customHeight="1" x14ac:dyDescent="0.2">
      <c r="A219" s="127" t="s">
        <v>215</v>
      </c>
      <c r="B219" s="99" t="s">
        <v>1080</v>
      </c>
      <c r="C219" s="113" t="s">
        <v>1081</v>
      </c>
      <c r="D219" s="121">
        <v>80</v>
      </c>
      <c r="E219" s="81"/>
      <c r="F219" s="81">
        <v>0</v>
      </c>
      <c r="G219" s="81"/>
      <c r="H219" s="81">
        <v>0</v>
      </c>
      <c r="I219" s="81"/>
      <c r="J219" s="81">
        <v>0</v>
      </c>
      <c r="K219" s="81"/>
      <c r="L219" s="81">
        <v>0</v>
      </c>
      <c r="M219" s="81"/>
      <c r="N219" s="81">
        <v>2.65</v>
      </c>
      <c r="O219" s="81"/>
      <c r="P219" s="81">
        <v>0</v>
      </c>
      <c r="Q219" s="145">
        <f t="shared" si="13"/>
        <v>0.44166666666666665</v>
      </c>
      <c r="R219" s="151" t="str">
        <f t="shared" si="14"/>
        <v>SI</v>
      </c>
      <c r="S219" s="152" t="str">
        <f t="shared" si="12"/>
        <v>Sin Riesgo</v>
      </c>
      <c r="T219" s="180"/>
    </row>
    <row r="220" spans="1:20" s="178" customFormat="1" ht="32.1" customHeight="1" x14ac:dyDescent="0.2">
      <c r="A220" s="127" t="s">
        <v>215</v>
      </c>
      <c r="B220" s="99" t="s">
        <v>1064</v>
      </c>
      <c r="C220" s="113" t="s">
        <v>1082</v>
      </c>
      <c r="D220" s="121">
        <v>65</v>
      </c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145" t="e">
        <f t="shared" si="13"/>
        <v>#DIV/0!</v>
      </c>
      <c r="R220" s="151" t="e">
        <f t="shared" si="14"/>
        <v>#DIV/0!</v>
      </c>
      <c r="S220" s="152" t="e">
        <f t="shared" si="12"/>
        <v>#DIV/0!</v>
      </c>
      <c r="T220" s="180"/>
    </row>
    <row r="221" spans="1:20" s="178" customFormat="1" ht="32.1" customHeight="1" x14ac:dyDescent="0.2">
      <c r="A221" s="127" t="s">
        <v>215</v>
      </c>
      <c r="B221" s="99" t="s">
        <v>632</v>
      </c>
      <c r="C221" s="113" t="s">
        <v>1083</v>
      </c>
      <c r="D221" s="121">
        <v>20</v>
      </c>
      <c r="E221" s="81"/>
      <c r="F221" s="81"/>
      <c r="G221" s="81"/>
      <c r="H221" s="81"/>
      <c r="I221" s="81"/>
      <c r="J221" s="81"/>
      <c r="K221" s="81">
        <v>100</v>
      </c>
      <c r="L221" s="81"/>
      <c r="M221" s="81"/>
      <c r="N221" s="81"/>
      <c r="O221" s="81"/>
      <c r="P221" s="81"/>
      <c r="Q221" s="145">
        <f t="shared" si="13"/>
        <v>100</v>
      </c>
      <c r="R221" s="151" t="str">
        <f t="shared" si="14"/>
        <v>NO</v>
      </c>
      <c r="S221" s="152" t="str">
        <f t="shared" si="12"/>
        <v>Inviable Sanitariamente</v>
      </c>
      <c r="T221" s="180"/>
    </row>
    <row r="222" spans="1:20" s="178" customFormat="1" ht="32.1" customHeight="1" x14ac:dyDescent="0.2">
      <c r="A222" s="127" t="s">
        <v>215</v>
      </c>
      <c r="B222" s="99" t="s">
        <v>1084</v>
      </c>
      <c r="C222" s="113" t="s">
        <v>1085</v>
      </c>
      <c r="D222" s="121">
        <v>15</v>
      </c>
      <c r="E222" s="81"/>
      <c r="F222" s="81"/>
      <c r="G222" s="81"/>
      <c r="H222" s="81"/>
      <c r="I222" s="81"/>
      <c r="J222" s="81"/>
      <c r="K222" s="81">
        <v>97.34</v>
      </c>
      <c r="L222" s="81"/>
      <c r="M222" s="81"/>
      <c r="N222" s="81"/>
      <c r="O222" s="81"/>
      <c r="P222" s="81"/>
      <c r="Q222" s="145">
        <f t="shared" si="13"/>
        <v>97.34</v>
      </c>
      <c r="R222" s="151" t="str">
        <f t="shared" si="14"/>
        <v>NO</v>
      </c>
      <c r="S222" s="152" t="str">
        <f t="shared" si="12"/>
        <v>Inviable Sanitariamente</v>
      </c>
      <c r="T222" s="180"/>
    </row>
    <row r="223" spans="1:20" s="178" customFormat="1" ht="32.1" customHeight="1" x14ac:dyDescent="0.2">
      <c r="A223" s="127" t="s">
        <v>215</v>
      </c>
      <c r="B223" s="99" t="s">
        <v>1086</v>
      </c>
      <c r="C223" s="113" t="s">
        <v>1087</v>
      </c>
      <c r="D223" s="121">
        <v>18</v>
      </c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145" t="e">
        <f t="shared" si="13"/>
        <v>#DIV/0!</v>
      </c>
      <c r="R223" s="151" t="e">
        <f t="shared" si="14"/>
        <v>#DIV/0!</v>
      </c>
      <c r="S223" s="152" t="e">
        <f t="shared" si="12"/>
        <v>#DIV/0!</v>
      </c>
      <c r="T223" s="180"/>
    </row>
    <row r="224" spans="1:20" s="178" customFormat="1" ht="32.1" customHeight="1" x14ac:dyDescent="0.2">
      <c r="A224" s="127" t="s">
        <v>215</v>
      </c>
      <c r="B224" s="99" t="s">
        <v>1088</v>
      </c>
      <c r="C224" s="113" t="s">
        <v>1089</v>
      </c>
      <c r="D224" s="121">
        <v>125</v>
      </c>
      <c r="E224" s="81"/>
      <c r="F224" s="81">
        <v>0</v>
      </c>
      <c r="G224" s="81"/>
      <c r="H224" s="81">
        <v>0</v>
      </c>
      <c r="I224" s="81"/>
      <c r="J224" s="81">
        <v>0</v>
      </c>
      <c r="K224" s="81"/>
      <c r="L224" s="81">
        <v>0</v>
      </c>
      <c r="M224" s="81"/>
      <c r="N224" s="81">
        <v>0</v>
      </c>
      <c r="O224" s="81"/>
      <c r="P224" s="81">
        <v>0</v>
      </c>
      <c r="Q224" s="145">
        <f t="shared" si="13"/>
        <v>0</v>
      </c>
      <c r="R224" s="151" t="str">
        <f t="shared" si="14"/>
        <v>SI</v>
      </c>
      <c r="S224" s="152" t="str">
        <f t="shared" si="12"/>
        <v>Sin Riesgo</v>
      </c>
      <c r="T224" s="180"/>
    </row>
    <row r="225" spans="1:20" s="178" customFormat="1" ht="32.1" customHeight="1" x14ac:dyDescent="0.2">
      <c r="A225" s="127" t="s">
        <v>215</v>
      </c>
      <c r="B225" s="99" t="s">
        <v>1090</v>
      </c>
      <c r="C225" s="113" t="s">
        <v>1091</v>
      </c>
      <c r="D225" s="121">
        <v>100</v>
      </c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145" t="e">
        <f t="shared" si="13"/>
        <v>#DIV/0!</v>
      </c>
      <c r="R225" s="151" t="e">
        <f t="shared" si="14"/>
        <v>#DIV/0!</v>
      </c>
      <c r="S225" s="152" t="e">
        <f t="shared" si="12"/>
        <v>#DIV/0!</v>
      </c>
      <c r="T225" s="180"/>
    </row>
    <row r="226" spans="1:20" s="178" customFormat="1" ht="32.1" customHeight="1" x14ac:dyDescent="0.2">
      <c r="A226" s="127" t="s">
        <v>215</v>
      </c>
      <c r="B226" s="99" t="s">
        <v>771</v>
      </c>
      <c r="C226" s="113" t="s">
        <v>1092</v>
      </c>
      <c r="D226" s="121">
        <v>65</v>
      </c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>
        <v>100</v>
      </c>
      <c r="P226" s="81"/>
      <c r="Q226" s="145">
        <f t="shared" si="13"/>
        <v>100</v>
      </c>
      <c r="R226" s="151" t="str">
        <f t="shared" si="14"/>
        <v>NO</v>
      </c>
      <c r="S226" s="152" t="str">
        <f t="shared" si="12"/>
        <v>Inviable Sanitariamente</v>
      </c>
      <c r="T226" s="180"/>
    </row>
    <row r="227" spans="1:20" s="178" customFormat="1" ht="32.1" customHeight="1" x14ac:dyDescent="0.2">
      <c r="A227" s="127" t="s">
        <v>215</v>
      </c>
      <c r="B227" s="99" t="s">
        <v>3</v>
      </c>
      <c r="C227" s="113" t="s">
        <v>1093</v>
      </c>
      <c r="D227" s="121">
        <v>36</v>
      </c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145" t="e">
        <f t="shared" si="13"/>
        <v>#DIV/0!</v>
      </c>
      <c r="R227" s="151" t="e">
        <f t="shared" si="14"/>
        <v>#DIV/0!</v>
      </c>
      <c r="S227" s="152" t="e">
        <f t="shared" si="12"/>
        <v>#DIV/0!</v>
      </c>
      <c r="T227" s="180"/>
    </row>
    <row r="228" spans="1:20" s="178" customFormat="1" ht="32.1" customHeight="1" x14ac:dyDescent="0.2">
      <c r="A228" s="127" t="s">
        <v>215</v>
      </c>
      <c r="B228" s="99" t="s">
        <v>1094</v>
      </c>
      <c r="C228" s="113" t="s">
        <v>1095</v>
      </c>
      <c r="D228" s="121">
        <v>100</v>
      </c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>
        <v>0</v>
      </c>
      <c r="P228" s="81"/>
      <c r="Q228" s="145">
        <f t="shared" si="13"/>
        <v>0</v>
      </c>
      <c r="R228" s="151" t="str">
        <f t="shared" si="14"/>
        <v>SI</v>
      </c>
      <c r="S228" s="152" t="str">
        <f t="shared" si="12"/>
        <v>Sin Riesgo</v>
      </c>
      <c r="T228" s="180"/>
    </row>
    <row r="229" spans="1:20" s="178" customFormat="1" ht="32.1" customHeight="1" x14ac:dyDescent="0.2">
      <c r="A229" s="127" t="s">
        <v>215</v>
      </c>
      <c r="B229" s="99" t="s">
        <v>1096</v>
      </c>
      <c r="C229" s="113" t="s">
        <v>1097</v>
      </c>
      <c r="D229" s="121">
        <v>67</v>
      </c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145" t="e">
        <f t="shared" si="13"/>
        <v>#DIV/0!</v>
      </c>
      <c r="R229" s="165" t="e">
        <f t="shared" si="14"/>
        <v>#DIV/0!</v>
      </c>
      <c r="S229" s="152" t="e">
        <f t="shared" si="12"/>
        <v>#DIV/0!</v>
      </c>
      <c r="T229" s="180"/>
    </row>
    <row r="230" spans="1:20" s="178" customFormat="1" ht="32.1" customHeight="1" x14ac:dyDescent="0.2">
      <c r="A230" s="127" t="s">
        <v>216</v>
      </c>
      <c r="B230" s="99" t="s">
        <v>882</v>
      </c>
      <c r="C230" s="113" t="s">
        <v>1098</v>
      </c>
      <c r="D230" s="166">
        <v>35</v>
      </c>
      <c r="E230" s="81"/>
      <c r="F230" s="81"/>
      <c r="G230" s="81"/>
      <c r="H230" s="81"/>
      <c r="I230" s="81"/>
      <c r="J230" s="81"/>
      <c r="K230" s="81"/>
      <c r="L230" s="81"/>
      <c r="M230" s="81"/>
      <c r="N230" s="81">
        <v>97.4</v>
      </c>
      <c r="O230" s="81"/>
      <c r="P230" s="81"/>
      <c r="Q230" s="145">
        <f t="shared" si="13"/>
        <v>97.4</v>
      </c>
      <c r="R230" s="151" t="str">
        <f t="shared" si="14"/>
        <v>NO</v>
      </c>
      <c r="S230" s="152" t="str">
        <f t="shared" si="12"/>
        <v>Inviable Sanitariamente</v>
      </c>
      <c r="T230" s="180"/>
    </row>
    <row r="231" spans="1:20" s="178" customFormat="1" ht="32.1" customHeight="1" x14ac:dyDescent="0.2">
      <c r="A231" s="127" t="s">
        <v>216</v>
      </c>
      <c r="B231" s="99" t="s">
        <v>64</v>
      </c>
      <c r="C231" s="113" t="s">
        <v>1099</v>
      </c>
      <c r="D231" s="166">
        <v>33</v>
      </c>
      <c r="E231" s="81"/>
      <c r="F231" s="81"/>
      <c r="G231" s="81"/>
      <c r="H231" s="81"/>
      <c r="I231" s="81"/>
      <c r="J231" s="81"/>
      <c r="K231" s="81"/>
      <c r="L231" s="81"/>
      <c r="M231" s="81"/>
      <c r="N231" s="81">
        <v>97.35</v>
      </c>
      <c r="O231" s="81"/>
      <c r="P231" s="81"/>
      <c r="Q231" s="145">
        <f t="shared" si="13"/>
        <v>97.35</v>
      </c>
      <c r="R231" s="151" t="str">
        <f t="shared" si="14"/>
        <v>NO</v>
      </c>
      <c r="S231" s="152" t="str">
        <f t="shared" si="12"/>
        <v>Inviable Sanitariamente</v>
      </c>
      <c r="T231" s="180"/>
    </row>
    <row r="232" spans="1:20" s="178" customFormat="1" ht="32.1" customHeight="1" x14ac:dyDescent="0.2">
      <c r="A232" s="127" t="s">
        <v>216</v>
      </c>
      <c r="B232" s="99" t="s">
        <v>1100</v>
      </c>
      <c r="C232" s="113" t="s">
        <v>1101</v>
      </c>
      <c r="D232" s="166">
        <v>35</v>
      </c>
      <c r="E232" s="81"/>
      <c r="F232" s="81"/>
      <c r="G232" s="81"/>
      <c r="H232" s="81">
        <v>97.35</v>
      </c>
      <c r="I232" s="81"/>
      <c r="J232" s="81"/>
      <c r="K232" s="81"/>
      <c r="L232" s="81"/>
      <c r="M232" s="81"/>
      <c r="N232" s="81"/>
      <c r="O232" s="81"/>
      <c r="P232" s="81"/>
      <c r="Q232" s="145">
        <f t="shared" si="13"/>
        <v>97.35</v>
      </c>
      <c r="R232" s="151" t="str">
        <f t="shared" si="14"/>
        <v>NO</v>
      </c>
      <c r="S232" s="152" t="str">
        <f t="shared" si="12"/>
        <v>Inviable Sanitariamente</v>
      </c>
      <c r="T232" s="180"/>
    </row>
    <row r="233" spans="1:20" s="178" customFormat="1" ht="32.1" customHeight="1" x14ac:dyDescent="0.2">
      <c r="A233" s="127" t="s">
        <v>216</v>
      </c>
      <c r="B233" s="99" t="s">
        <v>48</v>
      </c>
      <c r="C233" s="113" t="s">
        <v>1102</v>
      </c>
      <c r="D233" s="166">
        <v>55</v>
      </c>
      <c r="E233" s="81"/>
      <c r="F233" s="81"/>
      <c r="G233" s="81"/>
      <c r="H233" s="81"/>
      <c r="I233" s="81"/>
      <c r="J233" s="81"/>
      <c r="K233" s="81"/>
      <c r="L233" s="81"/>
      <c r="M233" s="81"/>
      <c r="N233" s="81">
        <v>97.4</v>
      </c>
      <c r="O233" s="81"/>
      <c r="P233" s="81"/>
      <c r="Q233" s="145">
        <f t="shared" si="13"/>
        <v>97.4</v>
      </c>
      <c r="R233" s="151" t="str">
        <f t="shared" si="14"/>
        <v>NO</v>
      </c>
      <c r="S233" s="152" t="str">
        <f t="shared" si="12"/>
        <v>Inviable Sanitariamente</v>
      </c>
      <c r="T233" s="180"/>
    </row>
    <row r="234" spans="1:20" s="178" customFormat="1" ht="32.1" customHeight="1" x14ac:dyDescent="0.2">
      <c r="A234" s="127" t="s">
        <v>216</v>
      </c>
      <c r="B234" s="99" t="s">
        <v>1103</v>
      </c>
      <c r="C234" s="113" t="s">
        <v>1104</v>
      </c>
      <c r="D234" s="166">
        <v>17</v>
      </c>
      <c r="E234" s="81"/>
      <c r="F234" s="81"/>
      <c r="G234" s="81"/>
      <c r="H234" s="81">
        <v>97.35</v>
      </c>
      <c r="I234" s="81"/>
      <c r="J234" s="81"/>
      <c r="K234" s="81"/>
      <c r="L234" s="81"/>
      <c r="M234" s="81"/>
      <c r="N234" s="81"/>
      <c r="O234" s="81"/>
      <c r="P234" s="81"/>
      <c r="Q234" s="145">
        <f t="shared" si="13"/>
        <v>97.35</v>
      </c>
      <c r="R234" s="151" t="str">
        <f t="shared" si="14"/>
        <v>NO</v>
      </c>
      <c r="S234" s="152" t="str">
        <f t="shared" si="12"/>
        <v>Inviable Sanitariamente</v>
      </c>
      <c r="T234" s="180"/>
    </row>
    <row r="235" spans="1:20" s="178" customFormat="1" ht="32.1" customHeight="1" x14ac:dyDescent="0.2">
      <c r="A235" s="127" t="s">
        <v>216</v>
      </c>
      <c r="B235" s="99" t="s">
        <v>812</v>
      </c>
      <c r="C235" s="113" t="s">
        <v>1105</v>
      </c>
      <c r="D235" s="166">
        <v>55</v>
      </c>
      <c r="E235" s="81"/>
      <c r="F235" s="81">
        <v>97.35</v>
      </c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145">
        <f t="shared" si="13"/>
        <v>97.35</v>
      </c>
      <c r="R235" s="151" t="str">
        <f t="shared" si="14"/>
        <v>NO</v>
      </c>
      <c r="S235" s="152" t="str">
        <f t="shared" si="12"/>
        <v>Inviable Sanitariamente</v>
      </c>
      <c r="T235" s="180"/>
    </row>
    <row r="236" spans="1:20" s="178" customFormat="1" ht="32.1" customHeight="1" x14ac:dyDescent="0.2">
      <c r="A236" s="127" t="s">
        <v>216</v>
      </c>
      <c r="B236" s="99" t="s">
        <v>10</v>
      </c>
      <c r="C236" s="113" t="s">
        <v>1106</v>
      </c>
      <c r="D236" s="12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145" t="e">
        <f t="shared" si="13"/>
        <v>#DIV/0!</v>
      </c>
      <c r="R236" s="151" t="e">
        <f t="shared" si="14"/>
        <v>#DIV/0!</v>
      </c>
      <c r="S236" s="152" t="e">
        <f t="shared" si="12"/>
        <v>#DIV/0!</v>
      </c>
      <c r="T236" s="180"/>
    </row>
    <row r="237" spans="1:20" s="178" customFormat="1" ht="32.1" customHeight="1" x14ac:dyDescent="0.2">
      <c r="A237" s="127" t="s">
        <v>216</v>
      </c>
      <c r="B237" s="99" t="s">
        <v>1107</v>
      </c>
      <c r="C237" s="113" t="s">
        <v>1108</v>
      </c>
      <c r="D237" s="166">
        <v>36</v>
      </c>
      <c r="E237" s="81"/>
      <c r="F237" s="81"/>
      <c r="G237" s="81"/>
      <c r="H237" s="81">
        <v>97.35</v>
      </c>
      <c r="I237" s="81"/>
      <c r="J237" s="81"/>
      <c r="K237" s="81"/>
      <c r="L237" s="81"/>
      <c r="M237" s="81"/>
      <c r="N237" s="81"/>
      <c r="O237" s="81"/>
      <c r="P237" s="81"/>
      <c r="Q237" s="145">
        <f t="shared" si="13"/>
        <v>97.35</v>
      </c>
      <c r="R237" s="151" t="str">
        <f t="shared" si="14"/>
        <v>NO</v>
      </c>
      <c r="S237" s="152" t="str">
        <f t="shared" si="12"/>
        <v>Inviable Sanitariamente</v>
      </c>
      <c r="T237" s="180"/>
    </row>
    <row r="238" spans="1:20" s="178" customFormat="1" ht="32.1" customHeight="1" x14ac:dyDescent="0.2">
      <c r="A238" s="127" t="s">
        <v>216</v>
      </c>
      <c r="B238" s="99" t="s">
        <v>60</v>
      </c>
      <c r="C238" s="113" t="s">
        <v>1109</v>
      </c>
      <c r="D238" s="166">
        <v>23</v>
      </c>
      <c r="E238" s="81"/>
      <c r="F238" s="81">
        <v>97.35</v>
      </c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145">
        <f t="shared" si="13"/>
        <v>97.35</v>
      </c>
      <c r="R238" s="151" t="str">
        <f t="shared" si="14"/>
        <v>NO</v>
      </c>
      <c r="S238" s="152" t="str">
        <f t="shared" si="12"/>
        <v>Inviable Sanitariamente</v>
      </c>
      <c r="T238" s="180"/>
    </row>
    <row r="239" spans="1:20" s="178" customFormat="1" ht="32.1" customHeight="1" x14ac:dyDescent="0.2">
      <c r="A239" s="127" t="s">
        <v>216</v>
      </c>
      <c r="B239" s="99" t="s">
        <v>59</v>
      </c>
      <c r="C239" s="113" t="s">
        <v>1110</v>
      </c>
      <c r="D239" s="166">
        <v>31</v>
      </c>
      <c r="E239" s="81"/>
      <c r="F239" s="81"/>
      <c r="G239" s="81">
        <v>97.35</v>
      </c>
      <c r="H239" s="81"/>
      <c r="I239" s="81"/>
      <c r="J239" s="81"/>
      <c r="K239" s="81"/>
      <c r="L239" s="81"/>
      <c r="M239" s="81"/>
      <c r="N239" s="81"/>
      <c r="O239" s="81"/>
      <c r="P239" s="81"/>
      <c r="Q239" s="145">
        <f t="shared" si="13"/>
        <v>97.35</v>
      </c>
      <c r="R239" s="151" t="str">
        <f t="shared" si="14"/>
        <v>NO</v>
      </c>
      <c r="S239" s="152" t="str">
        <f t="shared" si="12"/>
        <v>Inviable Sanitariamente</v>
      </c>
      <c r="T239" s="180"/>
    </row>
    <row r="240" spans="1:20" s="178" customFormat="1" ht="32.1" customHeight="1" x14ac:dyDescent="0.2">
      <c r="A240" s="127" t="s">
        <v>216</v>
      </c>
      <c r="B240" s="99" t="s">
        <v>1111</v>
      </c>
      <c r="C240" s="113" t="s">
        <v>1112</v>
      </c>
      <c r="D240" s="166"/>
      <c r="E240" s="81"/>
      <c r="F240" s="81">
        <v>97.35</v>
      </c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145">
        <f t="shared" si="13"/>
        <v>97.35</v>
      </c>
      <c r="R240" s="151" t="str">
        <f t="shared" si="14"/>
        <v>NO</v>
      </c>
      <c r="S240" s="152" t="str">
        <f t="shared" si="12"/>
        <v>Inviable Sanitariamente</v>
      </c>
      <c r="T240" s="180"/>
    </row>
    <row r="241" spans="1:20" s="178" customFormat="1" ht="32.1" customHeight="1" x14ac:dyDescent="0.2">
      <c r="A241" s="127" t="s">
        <v>216</v>
      </c>
      <c r="B241" s="99" t="s">
        <v>1113</v>
      </c>
      <c r="C241" s="113" t="s">
        <v>1114</v>
      </c>
      <c r="D241" s="166">
        <v>20</v>
      </c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145" t="e">
        <f t="shared" si="13"/>
        <v>#DIV/0!</v>
      </c>
      <c r="R241" s="151" t="e">
        <f t="shared" si="14"/>
        <v>#DIV/0!</v>
      </c>
      <c r="S241" s="152" t="e">
        <f t="shared" si="12"/>
        <v>#DIV/0!</v>
      </c>
      <c r="T241" s="180"/>
    </row>
    <row r="242" spans="1:20" s="178" customFormat="1" ht="32.1" customHeight="1" x14ac:dyDescent="0.2">
      <c r="A242" s="127" t="s">
        <v>216</v>
      </c>
      <c r="B242" s="99" t="s">
        <v>1115</v>
      </c>
      <c r="C242" s="113" t="s">
        <v>1116</v>
      </c>
      <c r="D242" s="166">
        <v>23</v>
      </c>
      <c r="E242" s="81"/>
      <c r="F242" s="81"/>
      <c r="G242" s="81"/>
      <c r="H242" s="81"/>
      <c r="I242" s="81"/>
      <c r="J242" s="81"/>
      <c r="K242" s="81"/>
      <c r="L242" s="162">
        <v>97.4</v>
      </c>
      <c r="M242" s="81"/>
      <c r="N242" s="81"/>
      <c r="O242" s="81"/>
      <c r="P242" s="81"/>
      <c r="Q242" s="145">
        <v>97.4</v>
      </c>
      <c r="R242" s="151" t="s">
        <v>1117</v>
      </c>
      <c r="S242" s="152" t="str">
        <f t="shared" si="12"/>
        <v>Inviable Sanitariamente</v>
      </c>
      <c r="T242" s="180"/>
    </row>
    <row r="243" spans="1:20" s="178" customFormat="1" ht="32.1" customHeight="1" x14ac:dyDescent="0.2">
      <c r="A243" s="127" t="s">
        <v>216</v>
      </c>
      <c r="B243" s="99" t="s">
        <v>1118</v>
      </c>
      <c r="C243" s="113" t="s">
        <v>1119</v>
      </c>
      <c r="D243" s="166">
        <v>76</v>
      </c>
      <c r="E243" s="81"/>
      <c r="F243" s="81"/>
      <c r="G243" s="81">
        <v>97.35</v>
      </c>
      <c r="H243" s="81"/>
      <c r="I243" s="81"/>
      <c r="J243" s="81"/>
      <c r="K243" s="81"/>
      <c r="L243" s="81"/>
      <c r="M243" s="81"/>
      <c r="N243" s="81"/>
      <c r="O243" s="81"/>
      <c r="P243" s="81"/>
      <c r="Q243" s="145">
        <f t="shared" ref="Q243:Q254" si="15">AVERAGE(E243:P243)</f>
        <v>97.35</v>
      </c>
      <c r="R243" s="151" t="str">
        <f t="shared" ref="R243:R306" si="16">IF(Q243&lt;5,"SI","NO")</f>
        <v>NO</v>
      </c>
      <c r="S243" s="152" t="str">
        <f t="shared" si="12"/>
        <v>Inviable Sanitariamente</v>
      </c>
      <c r="T243" s="180"/>
    </row>
    <row r="244" spans="1:20" s="178" customFormat="1" ht="32.1" customHeight="1" x14ac:dyDescent="0.2">
      <c r="A244" s="127" t="s">
        <v>216</v>
      </c>
      <c r="B244" s="99" t="s">
        <v>1120</v>
      </c>
      <c r="C244" s="113" t="s">
        <v>1121</v>
      </c>
      <c r="D244" s="166">
        <v>17</v>
      </c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145" t="e">
        <f t="shared" si="15"/>
        <v>#DIV/0!</v>
      </c>
      <c r="R244" s="151" t="e">
        <f t="shared" si="16"/>
        <v>#DIV/0!</v>
      </c>
      <c r="S244" s="152" t="e">
        <f t="shared" si="12"/>
        <v>#DIV/0!</v>
      </c>
      <c r="T244" s="180"/>
    </row>
    <row r="245" spans="1:20" s="178" customFormat="1" ht="32.1" customHeight="1" x14ac:dyDescent="0.2">
      <c r="A245" s="127" t="s">
        <v>216</v>
      </c>
      <c r="B245" s="99" t="s">
        <v>1122</v>
      </c>
      <c r="C245" s="113" t="s">
        <v>1123</v>
      </c>
      <c r="D245" s="167">
        <v>43</v>
      </c>
      <c r="E245" s="81"/>
      <c r="F245" s="81">
        <v>97.35</v>
      </c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145">
        <f t="shared" si="15"/>
        <v>97.35</v>
      </c>
      <c r="R245" s="151" t="str">
        <f t="shared" si="16"/>
        <v>NO</v>
      </c>
      <c r="S245" s="152" t="str">
        <f t="shared" si="12"/>
        <v>Inviable Sanitariamente</v>
      </c>
      <c r="T245" s="180"/>
    </row>
    <row r="246" spans="1:20" s="178" customFormat="1" ht="32.1" customHeight="1" x14ac:dyDescent="0.2">
      <c r="A246" s="127" t="s">
        <v>216</v>
      </c>
      <c r="B246" s="99" t="s">
        <v>5</v>
      </c>
      <c r="C246" s="113" t="s">
        <v>1124</v>
      </c>
      <c r="D246" s="166">
        <v>162</v>
      </c>
      <c r="E246" s="81"/>
      <c r="F246" s="81">
        <v>97.35</v>
      </c>
      <c r="G246" s="179"/>
      <c r="H246" s="81"/>
      <c r="I246" s="81"/>
      <c r="J246" s="81"/>
      <c r="K246" s="81"/>
      <c r="L246" s="81"/>
      <c r="M246" s="81"/>
      <c r="N246" s="81"/>
      <c r="O246" s="81"/>
      <c r="P246" s="81"/>
      <c r="Q246" s="145">
        <f t="shared" si="15"/>
        <v>97.35</v>
      </c>
      <c r="R246" s="151" t="str">
        <f t="shared" si="16"/>
        <v>NO</v>
      </c>
      <c r="S246" s="152" t="str">
        <f t="shared" si="12"/>
        <v>Inviable Sanitariamente</v>
      </c>
      <c r="T246" s="180"/>
    </row>
    <row r="247" spans="1:20" s="178" customFormat="1" ht="32.1" customHeight="1" x14ac:dyDescent="0.2">
      <c r="A247" s="127" t="s">
        <v>216</v>
      </c>
      <c r="B247" s="99" t="s">
        <v>1125</v>
      </c>
      <c r="C247" s="113" t="s">
        <v>1126</v>
      </c>
      <c r="D247" s="166">
        <v>69</v>
      </c>
      <c r="E247" s="81"/>
      <c r="F247" s="81"/>
      <c r="G247" s="81"/>
      <c r="H247" s="81"/>
      <c r="I247" s="81"/>
      <c r="J247" s="81"/>
      <c r="K247" s="81"/>
      <c r="L247" s="81"/>
      <c r="M247" s="81"/>
      <c r="N247" s="81">
        <v>97.35</v>
      </c>
      <c r="O247" s="81"/>
      <c r="P247" s="81"/>
      <c r="Q247" s="145">
        <f t="shared" si="15"/>
        <v>97.35</v>
      </c>
      <c r="R247" s="151" t="str">
        <f t="shared" si="16"/>
        <v>NO</v>
      </c>
      <c r="S247" s="152" t="str">
        <f t="shared" si="12"/>
        <v>Inviable Sanitariamente</v>
      </c>
      <c r="T247" s="180"/>
    </row>
    <row r="248" spans="1:20" s="178" customFormat="1" ht="32.1" customHeight="1" x14ac:dyDescent="0.2">
      <c r="A248" s="127" t="s">
        <v>216</v>
      </c>
      <c r="B248" s="99" t="s">
        <v>512</v>
      </c>
      <c r="C248" s="113" t="s">
        <v>1127</v>
      </c>
      <c r="D248" s="166">
        <v>50</v>
      </c>
      <c r="E248" s="81"/>
      <c r="F248" s="81">
        <v>97.35</v>
      </c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145">
        <f t="shared" si="15"/>
        <v>97.35</v>
      </c>
      <c r="R248" s="151" t="str">
        <f t="shared" si="16"/>
        <v>NO</v>
      </c>
      <c r="S248" s="152" t="str">
        <f t="shared" si="12"/>
        <v>Inviable Sanitariamente</v>
      </c>
      <c r="T248" s="180"/>
    </row>
    <row r="249" spans="1:20" s="178" customFormat="1" ht="32.1" customHeight="1" x14ac:dyDescent="0.2">
      <c r="A249" s="127" t="s">
        <v>216</v>
      </c>
      <c r="B249" s="99" t="s">
        <v>1128</v>
      </c>
      <c r="C249" s="113" t="s">
        <v>1129</v>
      </c>
      <c r="D249" s="166">
        <v>35</v>
      </c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145" t="e">
        <f t="shared" si="15"/>
        <v>#DIV/0!</v>
      </c>
      <c r="R249" s="151" t="e">
        <f t="shared" si="16"/>
        <v>#DIV/0!</v>
      </c>
      <c r="S249" s="152" t="e">
        <f t="shared" si="12"/>
        <v>#DIV/0!</v>
      </c>
      <c r="T249" s="180"/>
    </row>
    <row r="250" spans="1:20" s="178" customFormat="1" ht="32.1" customHeight="1" x14ac:dyDescent="0.2">
      <c r="A250" s="127" t="s">
        <v>216</v>
      </c>
      <c r="B250" s="127" t="s">
        <v>1130</v>
      </c>
      <c r="C250" s="147" t="s">
        <v>1131</v>
      </c>
      <c r="D250" s="166">
        <v>30</v>
      </c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145" t="e">
        <f t="shared" si="15"/>
        <v>#DIV/0!</v>
      </c>
      <c r="R250" s="151" t="e">
        <f t="shared" si="16"/>
        <v>#DIV/0!</v>
      </c>
      <c r="S250" s="152" t="e">
        <f t="shared" si="12"/>
        <v>#DIV/0!</v>
      </c>
      <c r="T250" s="180"/>
    </row>
    <row r="251" spans="1:20" s="178" customFormat="1" ht="32.1" customHeight="1" x14ac:dyDescent="0.2">
      <c r="A251" s="127" t="s">
        <v>216</v>
      </c>
      <c r="B251" s="127" t="s">
        <v>0</v>
      </c>
      <c r="C251" s="147" t="s">
        <v>1132</v>
      </c>
      <c r="D251" s="166">
        <v>70</v>
      </c>
      <c r="E251" s="81"/>
      <c r="F251" s="81">
        <v>97.35</v>
      </c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145">
        <f t="shared" si="15"/>
        <v>97.35</v>
      </c>
      <c r="R251" s="151" t="str">
        <f t="shared" si="16"/>
        <v>NO</v>
      </c>
      <c r="S251" s="152" t="str">
        <f t="shared" si="12"/>
        <v>Inviable Sanitariamente</v>
      </c>
      <c r="T251" s="180"/>
    </row>
    <row r="252" spans="1:20" s="178" customFormat="1" ht="32.1" customHeight="1" x14ac:dyDescent="0.2">
      <c r="A252" s="127" t="s">
        <v>216</v>
      </c>
      <c r="B252" s="127" t="s">
        <v>1133</v>
      </c>
      <c r="C252" s="147" t="s">
        <v>1134</v>
      </c>
      <c r="D252" s="166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145" t="e">
        <f t="shared" si="15"/>
        <v>#DIV/0!</v>
      </c>
      <c r="R252" s="151" t="e">
        <f t="shared" si="16"/>
        <v>#DIV/0!</v>
      </c>
      <c r="S252" s="152" t="e">
        <f t="shared" si="12"/>
        <v>#DIV/0!</v>
      </c>
      <c r="T252" s="180"/>
    </row>
    <row r="253" spans="1:20" s="178" customFormat="1" ht="32.1" customHeight="1" x14ac:dyDescent="0.2">
      <c r="A253" s="127" t="s">
        <v>217</v>
      </c>
      <c r="B253" s="112" t="s">
        <v>1135</v>
      </c>
      <c r="C253" s="113" t="s">
        <v>1136</v>
      </c>
      <c r="D253" s="188">
        <v>1402</v>
      </c>
      <c r="E253" s="82"/>
      <c r="F253" s="82"/>
      <c r="G253" s="82">
        <v>0</v>
      </c>
      <c r="H253" s="82">
        <v>0</v>
      </c>
      <c r="I253" s="82">
        <v>7.74</v>
      </c>
      <c r="J253" s="82">
        <v>19.350000000000001</v>
      </c>
      <c r="K253" s="81">
        <v>0</v>
      </c>
      <c r="L253" s="81">
        <v>0</v>
      </c>
      <c r="M253" s="81">
        <v>38.71</v>
      </c>
      <c r="N253" s="81">
        <v>27.1</v>
      </c>
      <c r="O253" s="81">
        <v>0</v>
      </c>
      <c r="P253" s="81">
        <v>51.61</v>
      </c>
      <c r="Q253" s="145">
        <f t="shared" si="15"/>
        <v>14.450999999999999</v>
      </c>
      <c r="R253" s="151" t="str">
        <f t="shared" si="16"/>
        <v>NO</v>
      </c>
      <c r="S253" s="152" t="str">
        <f t="shared" si="12"/>
        <v>Medio</v>
      </c>
      <c r="T253" s="180"/>
    </row>
    <row r="254" spans="1:20" s="178" customFormat="1" ht="32.1" customHeight="1" x14ac:dyDescent="0.2">
      <c r="A254" s="127" t="s">
        <v>217</v>
      </c>
      <c r="B254" s="112" t="s">
        <v>700</v>
      </c>
      <c r="C254" s="113" t="s">
        <v>1137</v>
      </c>
      <c r="D254" s="188">
        <v>122</v>
      </c>
      <c r="E254" s="82"/>
      <c r="F254" s="82"/>
      <c r="G254" s="82">
        <v>46.45</v>
      </c>
      <c r="H254" s="82">
        <v>19.350000000000001</v>
      </c>
      <c r="I254" s="82">
        <v>27.1</v>
      </c>
      <c r="J254" s="82">
        <v>78.709999999999994</v>
      </c>
      <c r="K254" s="81">
        <v>27.1</v>
      </c>
      <c r="L254" s="81">
        <v>0</v>
      </c>
      <c r="M254" s="81">
        <v>27.1</v>
      </c>
      <c r="N254" s="81">
        <v>7.74</v>
      </c>
      <c r="O254" s="81">
        <v>65.81</v>
      </c>
      <c r="P254" s="81">
        <v>27.1</v>
      </c>
      <c r="Q254" s="145">
        <f t="shared" si="15"/>
        <v>32.646000000000001</v>
      </c>
      <c r="R254" s="151" t="str">
        <f t="shared" si="16"/>
        <v>NO</v>
      </c>
      <c r="S254" s="152" t="str">
        <f t="shared" ref="S254:S317" si="17">IF(Q254&lt;5,"Sin Riesgo",IF(Q254 &lt;=14,"Bajo",IF(Q254&lt;=35,"Medio",IF(Q254&lt;=80,"Alto","Inviable Sanitariamente"))))</f>
        <v>Medio</v>
      </c>
      <c r="T254" s="180"/>
    </row>
    <row r="255" spans="1:20" s="178" customFormat="1" ht="32.1" customHeight="1" x14ac:dyDescent="0.2">
      <c r="A255" s="127" t="s">
        <v>217</v>
      </c>
      <c r="B255" s="112" t="s">
        <v>1138</v>
      </c>
      <c r="C255" s="113" t="s">
        <v>1139</v>
      </c>
      <c r="D255" s="189">
        <v>118</v>
      </c>
      <c r="E255" s="179"/>
      <c r="F255" s="179"/>
      <c r="G255" s="82">
        <v>0</v>
      </c>
      <c r="H255" s="82">
        <v>19.350000000000001</v>
      </c>
      <c r="I255" s="82">
        <v>46.45</v>
      </c>
      <c r="J255" s="82">
        <v>19.350000000000001</v>
      </c>
      <c r="K255" s="81">
        <v>0</v>
      </c>
      <c r="L255" s="81">
        <v>0</v>
      </c>
      <c r="M255" s="81">
        <v>19.350000000000001</v>
      </c>
      <c r="N255" s="81">
        <v>46.45</v>
      </c>
      <c r="O255" s="81">
        <v>70.97</v>
      </c>
      <c r="P255" s="81">
        <v>0</v>
      </c>
      <c r="Q255" s="145">
        <f>AVERAGE(G255:P255)</f>
        <v>22.192</v>
      </c>
      <c r="R255" s="151" t="str">
        <f t="shared" si="16"/>
        <v>NO</v>
      </c>
      <c r="S255" s="152" t="str">
        <f t="shared" si="17"/>
        <v>Medio</v>
      </c>
      <c r="T255" s="180"/>
    </row>
    <row r="256" spans="1:20" s="178" customFormat="1" ht="32.1" customHeight="1" x14ac:dyDescent="0.2">
      <c r="A256" s="127" t="s">
        <v>217</v>
      </c>
      <c r="B256" s="112" t="s">
        <v>588</v>
      </c>
      <c r="C256" s="113" t="s">
        <v>1140</v>
      </c>
      <c r="D256" s="189">
        <v>203</v>
      </c>
      <c r="E256" s="179"/>
      <c r="F256" s="179"/>
      <c r="G256" s="82">
        <v>0</v>
      </c>
      <c r="H256" s="82">
        <v>19.350000000000001</v>
      </c>
      <c r="I256" s="82">
        <v>46.45</v>
      </c>
      <c r="J256" s="82">
        <v>19.350000000000001</v>
      </c>
      <c r="K256" s="81">
        <v>0</v>
      </c>
      <c r="L256" s="81">
        <v>0</v>
      </c>
      <c r="M256" s="81">
        <v>19.350000000000001</v>
      </c>
      <c r="N256" s="81">
        <v>46.45</v>
      </c>
      <c r="O256" s="81">
        <v>70.97</v>
      </c>
      <c r="P256" s="81">
        <v>0</v>
      </c>
      <c r="Q256" s="145">
        <f>AVERAGE(G256:P256)</f>
        <v>22.192</v>
      </c>
      <c r="R256" s="151" t="str">
        <f t="shared" si="16"/>
        <v>NO</v>
      </c>
      <c r="S256" s="152" t="str">
        <f t="shared" si="17"/>
        <v>Medio</v>
      </c>
      <c r="T256" s="180"/>
    </row>
    <row r="257" spans="1:20" s="178" customFormat="1" ht="32.1" customHeight="1" x14ac:dyDescent="0.2">
      <c r="A257" s="127" t="s">
        <v>217</v>
      </c>
      <c r="B257" s="112" t="s">
        <v>1141</v>
      </c>
      <c r="C257" s="113" t="s">
        <v>1142</v>
      </c>
      <c r="D257" s="189">
        <v>90</v>
      </c>
      <c r="E257" s="179"/>
      <c r="F257" s="179"/>
      <c r="G257" s="82">
        <v>0</v>
      </c>
      <c r="H257" s="82">
        <v>19.350000000000001</v>
      </c>
      <c r="I257" s="82">
        <v>46.45</v>
      </c>
      <c r="J257" s="82">
        <v>19.350000000000001</v>
      </c>
      <c r="K257" s="81">
        <v>0</v>
      </c>
      <c r="L257" s="81">
        <v>0</v>
      </c>
      <c r="M257" s="81">
        <v>19.350000000000001</v>
      </c>
      <c r="N257" s="81">
        <v>46.45</v>
      </c>
      <c r="O257" s="81">
        <v>70.97</v>
      </c>
      <c r="P257" s="81">
        <v>0</v>
      </c>
      <c r="Q257" s="145">
        <f>AVERAGE(G257:P257)</f>
        <v>22.192</v>
      </c>
      <c r="R257" s="151" t="str">
        <f t="shared" si="16"/>
        <v>NO</v>
      </c>
      <c r="S257" s="152" t="str">
        <f t="shared" si="17"/>
        <v>Medio</v>
      </c>
      <c r="T257" s="180"/>
    </row>
    <row r="258" spans="1:20" s="178" customFormat="1" ht="32.1" customHeight="1" x14ac:dyDescent="0.2">
      <c r="A258" s="127" t="s">
        <v>217</v>
      </c>
      <c r="B258" s="112" t="s">
        <v>1143</v>
      </c>
      <c r="C258" s="113" t="s">
        <v>1144</v>
      </c>
      <c r="D258" s="189">
        <v>86</v>
      </c>
      <c r="E258" s="179"/>
      <c r="F258" s="179"/>
      <c r="G258" s="82">
        <v>0</v>
      </c>
      <c r="H258" s="82">
        <v>19.350000000000001</v>
      </c>
      <c r="I258" s="82">
        <v>46.45</v>
      </c>
      <c r="J258" s="82">
        <v>19.350000000000001</v>
      </c>
      <c r="K258" s="81">
        <v>0</v>
      </c>
      <c r="L258" s="81">
        <v>0</v>
      </c>
      <c r="M258" s="81">
        <v>19.350000000000001</v>
      </c>
      <c r="N258" s="81">
        <v>46.45</v>
      </c>
      <c r="O258" s="81">
        <v>70.97</v>
      </c>
      <c r="P258" s="81">
        <v>0</v>
      </c>
      <c r="Q258" s="145">
        <f>AVERAGE(G258:P258)</f>
        <v>22.192</v>
      </c>
      <c r="R258" s="151" t="str">
        <f t="shared" si="16"/>
        <v>NO</v>
      </c>
      <c r="S258" s="152" t="str">
        <f t="shared" si="17"/>
        <v>Medio</v>
      </c>
      <c r="T258" s="180"/>
    </row>
    <row r="259" spans="1:20" s="178" customFormat="1" ht="32.1" customHeight="1" x14ac:dyDescent="0.2">
      <c r="A259" s="127" t="s">
        <v>217</v>
      </c>
      <c r="B259" s="112" t="s">
        <v>1145</v>
      </c>
      <c r="C259" s="113" t="s">
        <v>1146</v>
      </c>
      <c r="D259" s="189">
        <v>128</v>
      </c>
      <c r="E259" s="179"/>
      <c r="F259" s="179"/>
      <c r="G259" s="82">
        <v>0</v>
      </c>
      <c r="H259" s="82">
        <v>19.350000000000001</v>
      </c>
      <c r="I259" s="82">
        <v>46.45</v>
      </c>
      <c r="J259" s="82">
        <v>19.350000000000001</v>
      </c>
      <c r="K259" s="81">
        <v>0</v>
      </c>
      <c r="L259" s="81">
        <v>0</v>
      </c>
      <c r="M259" s="81">
        <v>19.350000000000001</v>
      </c>
      <c r="N259" s="81">
        <v>46.45</v>
      </c>
      <c r="O259" s="81">
        <v>70.97</v>
      </c>
      <c r="P259" s="81">
        <v>0</v>
      </c>
      <c r="Q259" s="145">
        <f>AVERAGE(G259:P259)</f>
        <v>22.192</v>
      </c>
      <c r="R259" s="151" t="str">
        <f t="shared" si="16"/>
        <v>NO</v>
      </c>
      <c r="S259" s="152" t="str">
        <f t="shared" si="17"/>
        <v>Medio</v>
      </c>
      <c r="T259" s="180"/>
    </row>
    <row r="260" spans="1:20" s="178" customFormat="1" ht="32.1" customHeight="1" x14ac:dyDescent="0.2">
      <c r="A260" s="127" t="s">
        <v>217</v>
      </c>
      <c r="B260" s="112" t="s">
        <v>1147</v>
      </c>
      <c r="C260" s="113" t="s">
        <v>1148</v>
      </c>
      <c r="D260" s="190">
        <v>99</v>
      </c>
      <c r="E260" s="81"/>
      <c r="F260" s="81"/>
      <c r="G260" s="82">
        <v>7.74</v>
      </c>
      <c r="H260" s="82">
        <v>0</v>
      </c>
      <c r="I260" s="82">
        <v>0</v>
      </c>
      <c r="J260" s="82">
        <v>0</v>
      </c>
      <c r="K260" s="81">
        <v>19.350000000000001</v>
      </c>
      <c r="L260" s="81">
        <v>0</v>
      </c>
      <c r="M260" s="81">
        <v>51.61</v>
      </c>
      <c r="N260" s="81">
        <v>0</v>
      </c>
      <c r="O260" s="81">
        <v>0</v>
      </c>
      <c r="P260" s="81">
        <v>0</v>
      </c>
      <c r="Q260" s="145">
        <f t="shared" ref="Q260:Q323" si="18">AVERAGE(E260:P260)</f>
        <v>7.87</v>
      </c>
      <c r="R260" s="151" t="str">
        <f t="shared" si="16"/>
        <v>NO</v>
      </c>
      <c r="S260" s="152" t="str">
        <f t="shared" si="17"/>
        <v>Bajo</v>
      </c>
      <c r="T260" s="180"/>
    </row>
    <row r="261" spans="1:20" s="178" customFormat="1" ht="32.1" customHeight="1" x14ac:dyDescent="0.2">
      <c r="A261" s="127" t="s">
        <v>217</v>
      </c>
      <c r="B261" s="112" t="s">
        <v>1149</v>
      </c>
      <c r="C261" s="113" t="s">
        <v>1150</v>
      </c>
      <c r="D261" s="190">
        <v>1230</v>
      </c>
      <c r="E261" s="82"/>
      <c r="F261" s="82"/>
      <c r="G261" s="82">
        <v>7.74</v>
      </c>
      <c r="H261" s="82">
        <v>7.74</v>
      </c>
      <c r="I261" s="82">
        <v>65.81</v>
      </c>
      <c r="J261" s="82">
        <v>7.74</v>
      </c>
      <c r="K261" s="81">
        <v>46.5</v>
      </c>
      <c r="L261" s="81">
        <v>0</v>
      </c>
      <c r="M261" s="81">
        <v>78.709999999999994</v>
      </c>
      <c r="N261" s="81">
        <v>7.74</v>
      </c>
      <c r="O261" s="81">
        <v>7.74</v>
      </c>
      <c r="P261" s="81">
        <v>19.350000000000001</v>
      </c>
      <c r="Q261" s="145">
        <f t="shared" si="18"/>
        <v>24.907000000000004</v>
      </c>
      <c r="R261" s="151" t="str">
        <f t="shared" si="16"/>
        <v>NO</v>
      </c>
      <c r="S261" s="152" t="str">
        <f t="shared" si="17"/>
        <v>Medio</v>
      </c>
      <c r="T261" s="180"/>
    </row>
    <row r="262" spans="1:20" s="178" customFormat="1" ht="32.1" customHeight="1" x14ac:dyDescent="0.2">
      <c r="A262" s="127" t="s">
        <v>217</v>
      </c>
      <c r="B262" s="112" t="s">
        <v>1151</v>
      </c>
      <c r="C262" s="113" t="s">
        <v>1152</v>
      </c>
      <c r="D262" s="190">
        <v>156</v>
      </c>
      <c r="E262" s="81"/>
      <c r="F262" s="81"/>
      <c r="G262" s="82">
        <v>7.74</v>
      </c>
      <c r="H262" s="82">
        <v>7.74</v>
      </c>
      <c r="I262" s="82">
        <v>65.81</v>
      </c>
      <c r="J262" s="82">
        <v>7.74</v>
      </c>
      <c r="K262" s="81">
        <v>46.5</v>
      </c>
      <c r="L262" s="81">
        <v>0</v>
      </c>
      <c r="M262" s="81">
        <v>78.709999999999994</v>
      </c>
      <c r="N262" s="81">
        <v>7.74</v>
      </c>
      <c r="O262" s="81">
        <v>7.74</v>
      </c>
      <c r="P262" s="81">
        <v>19.350000000000001</v>
      </c>
      <c r="Q262" s="145">
        <f t="shared" si="18"/>
        <v>24.907000000000004</v>
      </c>
      <c r="R262" s="151" t="str">
        <f t="shared" si="16"/>
        <v>NO</v>
      </c>
      <c r="S262" s="152" t="str">
        <f t="shared" si="17"/>
        <v>Medio</v>
      </c>
      <c r="T262" s="180"/>
    </row>
    <row r="263" spans="1:20" s="178" customFormat="1" ht="32.1" customHeight="1" x14ac:dyDescent="0.2">
      <c r="A263" s="127" t="s">
        <v>217</v>
      </c>
      <c r="B263" s="112" t="s">
        <v>1147</v>
      </c>
      <c r="C263" s="113" t="s">
        <v>1153</v>
      </c>
      <c r="D263" s="188">
        <v>165</v>
      </c>
      <c r="E263" s="81"/>
      <c r="F263" s="81"/>
      <c r="G263" s="82">
        <v>7.74</v>
      </c>
      <c r="H263" s="82">
        <v>0</v>
      </c>
      <c r="I263" s="82">
        <v>0</v>
      </c>
      <c r="J263" s="82">
        <v>0</v>
      </c>
      <c r="K263" s="81">
        <v>19.350000000000001</v>
      </c>
      <c r="L263" s="81">
        <v>0</v>
      </c>
      <c r="M263" s="81">
        <v>51.61</v>
      </c>
      <c r="N263" s="81">
        <v>0</v>
      </c>
      <c r="O263" s="81">
        <v>0</v>
      </c>
      <c r="P263" s="81">
        <v>0</v>
      </c>
      <c r="Q263" s="145">
        <f t="shared" si="18"/>
        <v>7.87</v>
      </c>
      <c r="R263" s="151" t="str">
        <f t="shared" si="16"/>
        <v>NO</v>
      </c>
      <c r="S263" s="152" t="str">
        <f t="shared" si="17"/>
        <v>Bajo</v>
      </c>
      <c r="T263" s="180"/>
    </row>
    <row r="264" spans="1:20" s="178" customFormat="1" ht="32.1" customHeight="1" x14ac:dyDescent="0.2">
      <c r="A264" s="127" t="s">
        <v>217</v>
      </c>
      <c r="B264" s="112" t="s">
        <v>1154</v>
      </c>
      <c r="C264" s="113" t="s">
        <v>1155</v>
      </c>
      <c r="D264" s="189">
        <v>256</v>
      </c>
      <c r="E264" s="82"/>
      <c r="F264" s="82"/>
      <c r="G264" s="82">
        <v>0</v>
      </c>
      <c r="H264" s="82">
        <v>19.350000000000001</v>
      </c>
      <c r="I264" s="82">
        <v>27.1</v>
      </c>
      <c r="J264" s="82">
        <v>27.1</v>
      </c>
      <c r="K264" s="81">
        <v>51.6</v>
      </c>
      <c r="L264" s="81">
        <v>19.350000000000001</v>
      </c>
      <c r="M264" s="81">
        <v>70.97</v>
      </c>
      <c r="N264" s="81">
        <v>19.350000000000001</v>
      </c>
      <c r="O264" s="81">
        <v>19.350000000000001</v>
      </c>
      <c r="P264" s="81">
        <v>0</v>
      </c>
      <c r="Q264" s="145">
        <f t="shared" si="18"/>
        <v>25.416999999999998</v>
      </c>
      <c r="R264" s="151" t="str">
        <f t="shared" si="16"/>
        <v>NO</v>
      </c>
      <c r="S264" s="152" t="str">
        <f t="shared" si="17"/>
        <v>Medio</v>
      </c>
      <c r="T264" s="180"/>
    </row>
    <row r="265" spans="1:20" s="178" customFormat="1" ht="32.1" customHeight="1" x14ac:dyDescent="0.2">
      <c r="A265" s="127" t="s">
        <v>217</v>
      </c>
      <c r="B265" s="112" t="s">
        <v>20</v>
      </c>
      <c r="C265" s="113" t="s">
        <v>1156</v>
      </c>
      <c r="D265" s="189">
        <v>171</v>
      </c>
      <c r="E265" s="82"/>
      <c r="F265" s="82"/>
      <c r="G265" s="82">
        <v>0</v>
      </c>
      <c r="H265" s="82">
        <v>19.350000000000001</v>
      </c>
      <c r="I265" s="82">
        <v>27.1</v>
      </c>
      <c r="J265" s="82">
        <v>27.1</v>
      </c>
      <c r="K265" s="81">
        <v>51.6</v>
      </c>
      <c r="L265" s="81">
        <v>19.350000000000001</v>
      </c>
      <c r="M265" s="81">
        <v>70.97</v>
      </c>
      <c r="N265" s="81">
        <v>19.350000000000001</v>
      </c>
      <c r="O265" s="81">
        <v>19.350000000000001</v>
      </c>
      <c r="P265" s="81">
        <v>0</v>
      </c>
      <c r="Q265" s="145">
        <f t="shared" si="18"/>
        <v>25.416999999999998</v>
      </c>
      <c r="R265" s="151" t="str">
        <f t="shared" si="16"/>
        <v>NO</v>
      </c>
      <c r="S265" s="152" t="str">
        <f t="shared" si="17"/>
        <v>Medio</v>
      </c>
      <c r="T265" s="180"/>
    </row>
    <row r="266" spans="1:20" s="178" customFormat="1" ht="32.1" customHeight="1" x14ac:dyDescent="0.2">
      <c r="A266" s="127" t="s">
        <v>217</v>
      </c>
      <c r="B266" s="112" t="s">
        <v>700</v>
      </c>
      <c r="C266" s="113" t="s">
        <v>1157</v>
      </c>
      <c r="D266" s="189">
        <v>224</v>
      </c>
      <c r="E266" s="82"/>
      <c r="F266" s="82"/>
      <c r="G266" s="82">
        <v>0</v>
      </c>
      <c r="H266" s="82">
        <v>0</v>
      </c>
      <c r="I266" s="82">
        <v>0</v>
      </c>
      <c r="J266" s="82">
        <v>46.45</v>
      </c>
      <c r="K266" s="81">
        <v>19.350000000000001</v>
      </c>
      <c r="L266" s="81">
        <v>19.350000000000001</v>
      </c>
      <c r="M266" s="81">
        <v>19.350000000000001</v>
      </c>
      <c r="N266" s="81">
        <v>19.350000000000001</v>
      </c>
      <c r="O266" s="81">
        <v>19.350000000000001</v>
      </c>
      <c r="P266" s="81">
        <v>27.1</v>
      </c>
      <c r="Q266" s="145">
        <f t="shared" si="18"/>
        <v>17.029999999999998</v>
      </c>
      <c r="R266" s="151" t="str">
        <f t="shared" si="16"/>
        <v>NO</v>
      </c>
      <c r="S266" s="152" t="str">
        <f t="shared" si="17"/>
        <v>Medio</v>
      </c>
      <c r="T266" s="180"/>
    </row>
    <row r="267" spans="1:20" s="178" customFormat="1" ht="32.1" customHeight="1" x14ac:dyDescent="0.2">
      <c r="A267" s="127" t="s">
        <v>217</v>
      </c>
      <c r="B267" s="112" t="s">
        <v>1158</v>
      </c>
      <c r="C267" s="113" t="s">
        <v>1159</v>
      </c>
      <c r="D267" s="189">
        <v>235</v>
      </c>
      <c r="E267" s="82"/>
      <c r="F267" s="82"/>
      <c r="G267" s="82">
        <v>0</v>
      </c>
      <c r="H267" s="82">
        <v>0</v>
      </c>
      <c r="I267" s="82">
        <v>0</v>
      </c>
      <c r="J267" s="82">
        <v>46.45</v>
      </c>
      <c r="K267" s="81">
        <v>19.350000000000001</v>
      </c>
      <c r="L267" s="81">
        <v>19.350000000000001</v>
      </c>
      <c r="M267" s="81">
        <v>19.350000000000001</v>
      </c>
      <c r="N267" s="81">
        <v>19.350000000000001</v>
      </c>
      <c r="O267" s="81">
        <v>19.350000000000001</v>
      </c>
      <c r="P267" s="81">
        <v>27.1</v>
      </c>
      <c r="Q267" s="145">
        <f t="shared" si="18"/>
        <v>17.029999999999998</v>
      </c>
      <c r="R267" s="151" t="str">
        <f t="shared" si="16"/>
        <v>NO</v>
      </c>
      <c r="S267" s="152" t="str">
        <f t="shared" si="17"/>
        <v>Medio</v>
      </c>
      <c r="T267" s="180"/>
    </row>
    <row r="268" spans="1:20" s="178" customFormat="1" ht="32.1" customHeight="1" x14ac:dyDescent="0.2">
      <c r="A268" s="127" t="s">
        <v>217</v>
      </c>
      <c r="B268" s="112" t="s">
        <v>1160</v>
      </c>
      <c r="C268" s="113" t="s">
        <v>1161</v>
      </c>
      <c r="D268" s="189">
        <v>76</v>
      </c>
      <c r="E268" s="82"/>
      <c r="F268" s="82"/>
      <c r="G268" s="82">
        <v>0</v>
      </c>
      <c r="H268" s="82">
        <v>19.350000000000001</v>
      </c>
      <c r="I268" s="82">
        <v>0</v>
      </c>
      <c r="J268" s="82">
        <v>0</v>
      </c>
      <c r="K268" s="81">
        <v>19.350000000000001</v>
      </c>
      <c r="L268" s="81">
        <v>0</v>
      </c>
      <c r="M268" s="81">
        <v>19.350000000000001</v>
      </c>
      <c r="N268" s="81">
        <v>0</v>
      </c>
      <c r="O268" s="81">
        <v>51.61</v>
      </c>
      <c r="P268" s="81">
        <v>38.71</v>
      </c>
      <c r="Q268" s="145">
        <f t="shared" si="18"/>
        <v>14.837</v>
      </c>
      <c r="R268" s="151" t="str">
        <f t="shared" si="16"/>
        <v>NO</v>
      </c>
      <c r="S268" s="152" t="str">
        <f t="shared" si="17"/>
        <v>Medio</v>
      </c>
      <c r="T268" s="180"/>
    </row>
    <row r="269" spans="1:20" s="178" customFormat="1" ht="32.1" customHeight="1" x14ac:dyDescent="0.2">
      <c r="A269" s="127" t="s">
        <v>217</v>
      </c>
      <c r="B269" s="112" t="s">
        <v>1162</v>
      </c>
      <c r="C269" s="113" t="s">
        <v>1163</v>
      </c>
      <c r="D269" s="189">
        <v>76</v>
      </c>
      <c r="E269" s="82"/>
      <c r="F269" s="82"/>
      <c r="G269" s="82">
        <v>0</v>
      </c>
      <c r="H269" s="82">
        <v>19.350000000000001</v>
      </c>
      <c r="I269" s="82">
        <v>0</v>
      </c>
      <c r="J269" s="82">
        <v>0</v>
      </c>
      <c r="K269" s="81">
        <v>19.350000000000001</v>
      </c>
      <c r="L269" s="81">
        <v>0</v>
      </c>
      <c r="M269" s="81">
        <v>19.350000000000001</v>
      </c>
      <c r="N269" s="81">
        <v>0</v>
      </c>
      <c r="O269" s="81">
        <v>51.61</v>
      </c>
      <c r="P269" s="81">
        <v>38.71</v>
      </c>
      <c r="Q269" s="145">
        <f t="shared" si="18"/>
        <v>14.837</v>
      </c>
      <c r="R269" s="151" t="str">
        <f t="shared" si="16"/>
        <v>NO</v>
      </c>
      <c r="S269" s="152" t="str">
        <f t="shared" si="17"/>
        <v>Medio</v>
      </c>
      <c r="T269" s="180"/>
    </row>
    <row r="270" spans="1:20" s="178" customFormat="1" ht="32.1" customHeight="1" x14ac:dyDescent="0.2">
      <c r="A270" s="127" t="s">
        <v>217</v>
      </c>
      <c r="B270" s="112" t="s">
        <v>588</v>
      </c>
      <c r="C270" s="113" t="s">
        <v>1164</v>
      </c>
      <c r="D270" s="189">
        <v>99</v>
      </c>
      <c r="E270" s="82"/>
      <c r="F270" s="82"/>
      <c r="G270" s="82">
        <v>0</v>
      </c>
      <c r="H270" s="82">
        <v>19.350000000000001</v>
      </c>
      <c r="I270" s="82">
        <v>19.350000000000001</v>
      </c>
      <c r="J270" s="82">
        <v>0</v>
      </c>
      <c r="K270" s="81">
        <v>19.350000000000001</v>
      </c>
      <c r="L270" s="81">
        <v>0</v>
      </c>
      <c r="M270" s="81">
        <v>51.61</v>
      </c>
      <c r="N270" s="81">
        <v>19.350000000000001</v>
      </c>
      <c r="O270" s="81">
        <v>0</v>
      </c>
      <c r="P270" s="81">
        <v>0</v>
      </c>
      <c r="Q270" s="145">
        <f t="shared" si="18"/>
        <v>12.901</v>
      </c>
      <c r="R270" s="151" t="str">
        <f t="shared" si="16"/>
        <v>NO</v>
      </c>
      <c r="S270" s="152" t="str">
        <f t="shared" si="17"/>
        <v>Bajo</v>
      </c>
      <c r="T270" s="180"/>
    </row>
    <row r="271" spans="1:20" s="178" customFormat="1" ht="32.1" customHeight="1" x14ac:dyDescent="0.2">
      <c r="A271" s="127" t="s">
        <v>217</v>
      </c>
      <c r="B271" s="112" t="s">
        <v>1165</v>
      </c>
      <c r="C271" s="113" t="s">
        <v>1166</v>
      </c>
      <c r="D271" s="189">
        <v>477</v>
      </c>
      <c r="E271" s="82"/>
      <c r="F271" s="82"/>
      <c r="G271" s="82">
        <v>0</v>
      </c>
      <c r="H271" s="82">
        <v>0</v>
      </c>
      <c r="I271" s="82">
        <v>0</v>
      </c>
      <c r="J271" s="82">
        <v>46.45</v>
      </c>
      <c r="K271" s="81">
        <v>19.350000000000001</v>
      </c>
      <c r="L271" s="81">
        <v>19.350000000000001</v>
      </c>
      <c r="M271" s="81">
        <v>19.350000000000001</v>
      </c>
      <c r="N271" s="81">
        <v>19.350000000000001</v>
      </c>
      <c r="O271" s="81">
        <v>19.350000000000001</v>
      </c>
      <c r="P271" s="81">
        <v>27.1</v>
      </c>
      <c r="Q271" s="145">
        <f t="shared" si="18"/>
        <v>17.029999999999998</v>
      </c>
      <c r="R271" s="151" t="str">
        <f t="shared" si="16"/>
        <v>NO</v>
      </c>
      <c r="S271" s="152" t="str">
        <f t="shared" si="17"/>
        <v>Medio</v>
      </c>
      <c r="T271" s="180"/>
    </row>
    <row r="272" spans="1:20" s="178" customFormat="1" ht="32.1" customHeight="1" x14ac:dyDescent="0.2">
      <c r="A272" s="127" t="s">
        <v>217</v>
      </c>
      <c r="B272" s="112" t="s">
        <v>70</v>
      </c>
      <c r="C272" s="113" t="s">
        <v>1167</v>
      </c>
      <c r="D272" s="188">
        <v>203</v>
      </c>
      <c r="E272" s="82"/>
      <c r="F272" s="82"/>
      <c r="G272" s="82">
        <v>0</v>
      </c>
      <c r="H272" s="82">
        <v>27.1</v>
      </c>
      <c r="I272" s="82">
        <v>27.1</v>
      </c>
      <c r="J272" s="82">
        <v>0</v>
      </c>
      <c r="K272" s="81">
        <v>0</v>
      </c>
      <c r="L272" s="81">
        <v>27.1</v>
      </c>
      <c r="M272" s="81">
        <v>46.45</v>
      </c>
      <c r="N272" s="81">
        <v>19.350000000000001</v>
      </c>
      <c r="O272" s="81">
        <v>27.1</v>
      </c>
      <c r="P272" s="81">
        <v>0</v>
      </c>
      <c r="Q272" s="145">
        <f t="shared" si="18"/>
        <v>17.420000000000002</v>
      </c>
      <c r="R272" s="151" t="str">
        <f t="shared" si="16"/>
        <v>NO</v>
      </c>
      <c r="S272" s="152" t="str">
        <f t="shared" si="17"/>
        <v>Medio</v>
      </c>
      <c r="T272" s="180"/>
    </row>
    <row r="273" spans="1:20" s="178" customFormat="1" ht="32.1" customHeight="1" x14ac:dyDescent="0.2">
      <c r="A273" s="127" t="s">
        <v>217</v>
      </c>
      <c r="B273" s="112" t="s">
        <v>1168</v>
      </c>
      <c r="C273" s="113" t="s">
        <v>1169</v>
      </c>
      <c r="D273" s="188">
        <v>14</v>
      </c>
      <c r="E273" s="82"/>
      <c r="F273" s="82"/>
      <c r="G273" s="82">
        <v>0</v>
      </c>
      <c r="H273" s="82">
        <v>27.1</v>
      </c>
      <c r="I273" s="82">
        <v>27.1</v>
      </c>
      <c r="J273" s="82">
        <v>0</v>
      </c>
      <c r="K273" s="81">
        <v>0</v>
      </c>
      <c r="L273" s="81">
        <v>27.1</v>
      </c>
      <c r="M273" s="81">
        <v>46.45</v>
      </c>
      <c r="N273" s="81">
        <v>19.350000000000001</v>
      </c>
      <c r="O273" s="81">
        <v>27.1</v>
      </c>
      <c r="P273" s="81">
        <v>0</v>
      </c>
      <c r="Q273" s="145">
        <f t="shared" si="18"/>
        <v>17.420000000000002</v>
      </c>
      <c r="R273" s="151" t="str">
        <f t="shared" si="16"/>
        <v>NO</v>
      </c>
      <c r="S273" s="152" t="str">
        <f t="shared" si="17"/>
        <v>Medio</v>
      </c>
      <c r="T273" s="180"/>
    </row>
    <row r="274" spans="1:20" s="178" customFormat="1" ht="32.1" customHeight="1" x14ac:dyDescent="0.2">
      <c r="A274" s="127" t="s">
        <v>217</v>
      </c>
      <c r="B274" s="112" t="s">
        <v>99</v>
      </c>
      <c r="C274" s="113" t="s">
        <v>1170</v>
      </c>
      <c r="D274" s="188">
        <v>118</v>
      </c>
      <c r="E274" s="82"/>
      <c r="F274" s="82"/>
      <c r="G274" s="82">
        <v>0</v>
      </c>
      <c r="H274" s="82">
        <v>27.1</v>
      </c>
      <c r="I274" s="82">
        <v>27.1</v>
      </c>
      <c r="J274" s="82">
        <v>0</v>
      </c>
      <c r="K274" s="81">
        <v>0</v>
      </c>
      <c r="L274" s="81">
        <v>27.1</v>
      </c>
      <c r="M274" s="81">
        <v>46.45</v>
      </c>
      <c r="N274" s="81">
        <v>19.350000000000001</v>
      </c>
      <c r="O274" s="81">
        <v>27.1</v>
      </c>
      <c r="P274" s="81">
        <v>0</v>
      </c>
      <c r="Q274" s="145">
        <f t="shared" si="18"/>
        <v>17.420000000000002</v>
      </c>
      <c r="R274" s="151" t="str">
        <f t="shared" si="16"/>
        <v>NO</v>
      </c>
      <c r="S274" s="152" t="str">
        <f t="shared" si="17"/>
        <v>Medio</v>
      </c>
      <c r="T274" s="180"/>
    </row>
    <row r="275" spans="1:20" s="178" customFormat="1" ht="32.1" customHeight="1" x14ac:dyDescent="0.2">
      <c r="A275" s="127" t="s">
        <v>217</v>
      </c>
      <c r="B275" s="112" t="s">
        <v>1171</v>
      </c>
      <c r="C275" s="113" t="s">
        <v>1172</v>
      </c>
      <c r="D275" s="188">
        <v>29</v>
      </c>
      <c r="E275" s="82"/>
      <c r="F275" s="82"/>
      <c r="G275" s="82">
        <v>0</v>
      </c>
      <c r="H275" s="82">
        <v>27.1</v>
      </c>
      <c r="I275" s="82">
        <v>27.1</v>
      </c>
      <c r="J275" s="82">
        <v>0</v>
      </c>
      <c r="K275" s="81">
        <v>0</v>
      </c>
      <c r="L275" s="81">
        <v>27.1</v>
      </c>
      <c r="M275" s="81">
        <v>46.45</v>
      </c>
      <c r="N275" s="81">
        <v>19.350000000000001</v>
      </c>
      <c r="O275" s="81">
        <v>27.1</v>
      </c>
      <c r="P275" s="81">
        <v>0</v>
      </c>
      <c r="Q275" s="145">
        <f t="shared" si="18"/>
        <v>17.420000000000002</v>
      </c>
      <c r="R275" s="151" t="str">
        <f t="shared" si="16"/>
        <v>NO</v>
      </c>
      <c r="S275" s="152" t="str">
        <f t="shared" si="17"/>
        <v>Medio</v>
      </c>
      <c r="T275" s="180"/>
    </row>
    <row r="276" spans="1:20" s="178" customFormat="1" ht="32.1" customHeight="1" x14ac:dyDescent="0.2">
      <c r="A276" s="127" t="s">
        <v>217</v>
      </c>
      <c r="B276" s="112" t="s">
        <v>917</v>
      </c>
      <c r="C276" s="113" t="s">
        <v>1173</v>
      </c>
      <c r="D276" s="188">
        <v>221</v>
      </c>
      <c r="E276" s="82"/>
      <c r="F276" s="82"/>
      <c r="G276" s="82">
        <v>0</v>
      </c>
      <c r="H276" s="82">
        <v>0</v>
      </c>
      <c r="I276" s="82">
        <v>27.1</v>
      </c>
      <c r="J276" s="82">
        <v>0</v>
      </c>
      <c r="K276" s="81">
        <v>0</v>
      </c>
      <c r="L276" s="81">
        <v>51.6</v>
      </c>
      <c r="M276" s="81">
        <v>19.350000000000001</v>
      </c>
      <c r="N276" s="81">
        <v>19.350000000000001</v>
      </c>
      <c r="O276" s="81">
        <v>19.350000000000001</v>
      </c>
      <c r="P276" s="81">
        <v>0</v>
      </c>
      <c r="Q276" s="145">
        <f t="shared" si="18"/>
        <v>13.675000000000001</v>
      </c>
      <c r="R276" s="151" t="str">
        <f t="shared" si="16"/>
        <v>NO</v>
      </c>
      <c r="S276" s="152" t="str">
        <f t="shared" si="17"/>
        <v>Bajo</v>
      </c>
      <c r="T276" s="180"/>
    </row>
    <row r="277" spans="1:20" s="178" customFormat="1" ht="32.1" customHeight="1" x14ac:dyDescent="0.2">
      <c r="A277" s="127" t="s">
        <v>217</v>
      </c>
      <c r="B277" s="112" t="s">
        <v>1168</v>
      </c>
      <c r="C277" s="113" t="s">
        <v>1174</v>
      </c>
      <c r="D277" s="188">
        <v>30</v>
      </c>
      <c r="E277" s="82"/>
      <c r="F277" s="82"/>
      <c r="G277" s="82">
        <v>0</v>
      </c>
      <c r="H277" s="82">
        <v>0</v>
      </c>
      <c r="I277" s="82">
        <v>27.1</v>
      </c>
      <c r="J277" s="82">
        <v>0</v>
      </c>
      <c r="K277" s="81">
        <v>0</v>
      </c>
      <c r="L277" s="81">
        <v>51.6</v>
      </c>
      <c r="M277" s="81">
        <v>19.350000000000001</v>
      </c>
      <c r="N277" s="81">
        <v>19.350000000000001</v>
      </c>
      <c r="O277" s="81">
        <v>19.350000000000001</v>
      </c>
      <c r="P277" s="81">
        <v>0</v>
      </c>
      <c r="Q277" s="145">
        <f t="shared" si="18"/>
        <v>13.675000000000001</v>
      </c>
      <c r="R277" s="151" t="str">
        <f t="shared" si="16"/>
        <v>NO</v>
      </c>
      <c r="S277" s="152" t="str">
        <f t="shared" si="17"/>
        <v>Bajo</v>
      </c>
      <c r="T277" s="180"/>
    </row>
    <row r="278" spans="1:20" s="178" customFormat="1" ht="32.1" customHeight="1" x14ac:dyDescent="0.2">
      <c r="A278" s="127" t="s">
        <v>217</v>
      </c>
      <c r="B278" s="112" t="s">
        <v>1175</v>
      </c>
      <c r="C278" s="113" t="s">
        <v>1176</v>
      </c>
      <c r="D278" s="188">
        <v>22</v>
      </c>
      <c r="E278" s="82"/>
      <c r="F278" s="82"/>
      <c r="G278" s="82">
        <v>0</v>
      </c>
      <c r="H278" s="82">
        <v>0</v>
      </c>
      <c r="I278" s="82">
        <v>27.1</v>
      </c>
      <c r="J278" s="82">
        <v>0</v>
      </c>
      <c r="K278" s="81">
        <v>0</v>
      </c>
      <c r="L278" s="81">
        <v>51.6</v>
      </c>
      <c r="M278" s="81">
        <v>19.350000000000001</v>
      </c>
      <c r="N278" s="81">
        <v>19.350000000000001</v>
      </c>
      <c r="O278" s="81">
        <v>19.350000000000001</v>
      </c>
      <c r="P278" s="81">
        <v>0</v>
      </c>
      <c r="Q278" s="145">
        <f t="shared" si="18"/>
        <v>13.675000000000001</v>
      </c>
      <c r="R278" s="151" t="str">
        <f t="shared" si="16"/>
        <v>NO</v>
      </c>
      <c r="S278" s="152" t="str">
        <f t="shared" si="17"/>
        <v>Bajo</v>
      </c>
      <c r="T278" s="180"/>
    </row>
    <row r="279" spans="1:20" s="178" customFormat="1" ht="32.1" customHeight="1" x14ac:dyDescent="0.2">
      <c r="A279" s="127" t="s">
        <v>217</v>
      </c>
      <c r="B279" s="112" t="s">
        <v>1177</v>
      </c>
      <c r="C279" s="113" t="s">
        <v>1178</v>
      </c>
      <c r="D279" s="188">
        <v>36</v>
      </c>
      <c r="E279" s="82"/>
      <c r="F279" s="82"/>
      <c r="G279" s="82">
        <v>0</v>
      </c>
      <c r="H279" s="82">
        <v>0</v>
      </c>
      <c r="I279" s="82">
        <v>27.1</v>
      </c>
      <c r="J279" s="82">
        <v>0</v>
      </c>
      <c r="K279" s="81">
        <v>0</v>
      </c>
      <c r="L279" s="81">
        <v>51.6</v>
      </c>
      <c r="M279" s="81">
        <v>19.350000000000001</v>
      </c>
      <c r="N279" s="81">
        <v>19.350000000000001</v>
      </c>
      <c r="O279" s="81">
        <v>19.350000000000001</v>
      </c>
      <c r="P279" s="81">
        <v>0</v>
      </c>
      <c r="Q279" s="145">
        <f t="shared" si="18"/>
        <v>13.675000000000001</v>
      </c>
      <c r="R279" s="151" t="str">
        <f t="shared" si="16"/>
        <v>NO</v>
      </c>
      <c r="S279" s="152" t="str">
        <f t="shared" si="17"/>
        <v>Bajo</v>
      </c>
      <c r="T279" s="180"/>
    </row>
    <row r="280" spans="1:20" s="178" customFormat="1" ht="32.1" customHeight="1" x14ac:dyDescent="0.2">
      <c r="A280" s="127" t="s">
        <v>217</v>
      </c>
      <c r="B280" s="112" t="s">
        <v>99</v>
      </c>
      <c r="C280" s="113" t="s">
        <v>1179</v>
      </c>
      <c r="D280" s="188">
        <v>43</v>
      </c>
      <c r="E280" s="82"/>
      <c r="F280" s="82"/>
      <c r="G280" s="82">
        <v>0</v>
      </c>
      <c r="H280" s="82">
        <v>0</v>
      </c>
      <c r="I280" s="82">
        <v>27.1</v>
      </c>
      <c r="J280" s="82">
        <v>0</v>
      </c>
      <c r="K280" s="81">
        <v>0</v>
      </c>
      <c r="L280" s="81">
        <v>51.6</v>
      </c>
      <c r="M280" s="81">
        <v>19.350000000000001</v>
      </c>
      <c r="N280" s="81">
        <v>19.350000000000001</v>
      </c>
      <c r="O280" s="81">
        <v>19.350000000000001</v>
      </c>
      <c r="P280" s="81">
        <v>0</v>
      </c>
      <c r="Q280" s="145">
        <f t="shared" si="18"/>
        <v>13.675000000000001</v>
      </c>
      <c r="R280" s="151" t="str">
        <f t="shared" si="16"/>
        <v>NO</v>
      </c>
      <c r="S280" s="152" t="str">
        <f t="shared" si="17"/>
        <v>Bajo</v>
      </c>
      <c r="T280" s="180"/>
    </row>
    <row r="281" spans="1:20" s="178" customFormat="1" ht="32.1" customHeight="1" x14ac:dyDescent="0.2">
      <c r="A281" s="127" t="s">
        <v>217</v>
      </c>
      <c r="B281" s="112" t="s">
        <v>1180</v>
      </c>
      <c r="C281" s="113" t="s">
        <v>1181</v>
      </c>
      <c r="D281" s="188">
        <v>30</v>
      </c>
      <c r="E281" s="82"/>
      <c r="F281" s="82"/>
      <c r="G281" s="82">
        <v>0</v>
      </c>
      <c r="H281" s="82">
        <v>0</v>
      </c>
      <c r="I281" s="82">
        <v>27.1</v>
      </c>
      <c r="J281" s="82">
        <v>0</v>
      </c>
      <c r="K281" s="81">
        <v>19.350000000000001</v>
      </c>
      <c r="L281" s="81">
        <v>0</v>
      </c>
      <c r="M281" s="81">
        <v>38.71</v>
      </c>
      <c r="N281" s="81">
        <v>0</v>
      </c>
      <c r="O281" s="81">
        <v>0</v>
      </c>
      <c r="P281" s="81">
        <v>0</v>
      </c>
      <c r="Q281" s="145">
        <f t="shared" si="18"/>
        <v>8.516</v>
      </c>
      <c r="R281" s="151" t="str">
        <f t="shared" si="16"/>
        <v>NO</v>
      </c>
      <c r="S281" s="152" t="str">
        <f t="shared" si="17"/>
        <v>Bajo</v>
      </c>
      <c r="T281" s="180"/>
    </row>
    <row r="282" spans="1:20" s="178" customFormat="1" ht="32.1" customHeight="1" x14ac:dyDescent="0.2">
      <c r="A282" s="127" t="s">
        <v>217</v>
      </c>
      <c r="B282" s="112" t="s">
        <v>1182</v>
      </c>
      <c r="C282" s="113" t="s">
        <v>1183</v>
      </c>
      <c r="D282" s="188">
        <v>249</v>
      </c>
      <c r="E282" s="82"/>
      <c r="F282" s="82"/>
      <c r="G282" s="82">
        <v>7.7</v>
      </c>
      <c r="H282" s="82">
        <v>7.74</v>
      </c>
      <c r="I282" s="82">
        <v>27.1</v>
      </c>
      <c r="J282" s="82">
        <v>46.45</v>
      </c>
      <c r="K282" s="81">
        <v>0</v>
      </c>
      <c r="L282" s="81">
        <v>78.7</v>
      </c>
      <c r="M282" s="81">
        <v>46.45</v>
      </c>
      <c r="N282" s="81">
        <v>27.1</v>
      </c>
      <c r="O282" s="81">
        <v>27.1</v>
      </c>
      <c r="P282" s="81">
        <v>46.45</v>
      </c>
      <c r="Q282" s="145">
        <f t="shared" si="18"/>
        <v>31.478999999999996</v>
      </c>
      <c r="R282" s="151" t="str">
        <f t="shared" si="16"/>
        <v>NO</v>
      </c>
      <c r="S282" s="152" t="str">
        <f t="shared" si="17"/>
        <v>Medio</v>
      </c>
      <c r="T282" s="180"/>
    </row>
    <row r="283" spans="1:20" s="178" customFormat="1" ht="32.1" customHeight="1" x14ac:dyDescent="0.2">
      <c r="A283" s="127" t="s">
        <v>217</v>
      </c>
      <c r="B283" s="112" t="s">
        <v>1184</v>
      </c>
      <c r="C283" s="113" t="s">
        <v>1185</v>
      </c>
      <c r="D283" s="188">
        <v>203</v>
      </c>
      <c r="E283" s="82"/>
      <c r="F283" s="82"/>
      <c r="G283" s="82">
        <v>0</v>
      </c>
      <c r="H283" s="82">
        <v>0</v>
      </c>
      <c r="I283" s="82">
        <v>7.74</v>
      </c>
      <c r="J283" s="82">
        <v>19.350000000000001</v>
      </c>
      <c r="K283" s="81">
        <v>0</v>
      </c>
      <c r="L283" s="81">
        <v>0</v>
      </c>
      <c r="M283" s="81">
        <v>38.71</v>
      </c>
      <c r="N283" s="81">
        <v>27.1</v>
      </c>
      <c r="O283" s="81">
        <v>0</v>
      </c>
      <c r="P283" s="81">
        <v>51.61</v>
      </c>
      <c r="Q283" s="145">
        <f t="shared" si="18"/>
        <v>14.450999999999999</v>
      </c>
      <c r="R283" s="151" t="str">
        <f t="shared" si="16"/>
        <v>NO</v>
      </c>
      <c r="S283" s="152" t="str">
        <f t="shared" si="17"/>
        <v>Medio</v>
      </c>
      <c r="T283" s="180"/>
    </row>
    <row r="284" spans="1:20" s="178" customFormat="1" ht="32.1" customHeight="1" x14ac:dyDescent="0.2">
      <c r="A284" s="127" t="s">
        <v>217</v>
      </c>
      <c r="B284" s="112" t="s">
        <v>664</v>
      </c>
      <c r="C284" s="113" t="s">
        <v>1186</v>
      </c>
      <c r="D284" s="188">
        <v>98</v>
      </c>
      <c r="E284" s="82"/>
      <c r="F284" s="82"/>
      <c r="G284" s="82">
        <v>51.61</v>
      </c>
      <c r="H284" s="82">
        <v>0</v>
      </c>
      <c r="I284" s="82">
        <v>59.35</v>
      </c>
      <c r="J284" s="82">
        <v>7.74</v>
      </c>
      <c r="K284" s="81">
        <v>0</v>
      </c>
      <c r="L284" s="81">
        <v>78.7</v>
      </c>
      <c r="M284" s="81">
        <v>38.71</v>
      </c>
      <c r="N284" s="81">
        <v>27.1</v>
      </c>
      <c r="O284" s="81">
        <v>27.1</v>
      </c>
      <c r="P284" s="81">
        <v>78.709999999999994</v>
      </c>
      <c r="Q284" s="145">
        <f t="shared" si="18"/>
        <v>36.902000000000001</v>
      </c>
      <c r="R284" s="151" t="str">
        <f t="shared" si="16"/>
        <v>NO</v>
      </c>
      <c r="S284" s="152" t="str">
        <f t="shared" si="17"/>
        <v>Alto</v>
      </c>
      <c r="T284" s="180"/>
    </row>
    <row r="285" spans="1:20" s="178" customFormat="1" ht="32.1" customHeight="1" x14ac:dyDescent="0.2">
      <c r="A285" s="127" t="s">
        <v>217</v>
      </c>
      <c r="B285" s="112" t="s">
        <v>1187</v>
      </c>
      <c r="C285" s="113" t="s">
        <v>1188</v>
      </c>
      <c r="D285" s="188">
        <v>118</v>
      </c>
      <c r="E285" s="82"/>
      <c r="F285" s="82"/>
      <c r="G285" s="82">
        <v>0</v>
      </c>
      <c r="H285" s="82">
        <v>0</v>
      </c>
      <c r="I285" s="82">
        <v>7.74</v>
      </c>
      <c r="J285" s="82">
        <v>51.61</v>
      </c>
      <c r="K285" s="81">
        <v>0</v>
      </c>
      <c r="L285" s="81">
        <v>51.6</v>
      </c>
      <c r="M285" s="81">
        <v>0</v>
      </c>
      <c r="N285" s="81">
        <v>78.709999999999994</v>
      </c>
      <c r="O285" s="81">
        <v>38.71</v>
      </c>
      <c r="P285" s="81">
        <v>59.35</v>
      </c>
      <c r="Q285" s="145">
        <f t="shared" si="18"/>
        <v>28.772000000000002</v>
      </c>
      <c r="R285" s="151" t="str">
        <f t="shared" si="16"/>
        <v>NO</v>
      </c>
      <c r="S285" s="152" t="str">
        <f t="shared" si="17"/>
        <v>Medio</v>
      </c>
      <c r="T285" s="180"/>
    </row>
    <row r="286" spans="1:20" s="178" customFormat="1" ht="32.1" customHeight="1" x14ac:dyDescent="0.2">
      <c r="A286" s="127" t="s">
        <v>217</v>
      </c>
      <c r="B286" s="112" t="s">
        <v>1189</v>
      </c>
      <c r="C286" s="113" t="s">
        <v>1190</v>
      </c>
      <c r="D286" s="188">
        <v>100</v>
      </c>
      <c r="E286" s="82"/>
      <c r="F286" s="82"/>
      <c r="G286" s="82">
        <v>7.7</v>
      </c>
      <c r="H286" s="82">
        <v>19.350000000000001</v>
      </c>
      <c r="I286" s="82">
        <v>19.350000000000001</v>
      </c>
      <c r="J286" s="82">
        <v>0</v>
      </c>
      <c r="K286" s="81">
        <v>0</v>
      </c>
      <c r="L286" s="81">
        <v>0</v>
      </c>
      <c r="M286" s="81">
        <v>27.1</v>
      </c>
      <c r="N286" s="81">
        <v>19.350000000000001</v>
      </c>
      <c r="O286" s="81">
        <v>0</v>
      </c>
      <c r="P286" s="81">
        <v>27.1</v>
      </c>
      <c r="Q286" s="145">
        <f t="shared" si="18"/>
        <v>11.994999999999999</v>
      </c>
      <c r="R286" s="151" t="str">
        <f t="shared" si="16"/>
        <v>NO</v>
      </c>
      <c r="S286" s="152" t="str">
        <f t="shared" si="17"/>
        <v>Bajo</v>
      </c>
      <c r="T286" s="180"/>
    </row>
    <row r="287" spans="1:20" s="178" customFormat="1" ht="32.1" customHeight="1" x14ac:dyDescent="0.2">
      <c r="A287" s="127" t="s">
        <v>217</v>
      </c>
      <c r="B287" s="112" t="s">
        <v>1191</v>
      </c>
      <c r="C287" s="113" t="s">
        <v>1192</v>
      </c>
      <c r="D287" s="188">
        <v>35</v>
      </c>
      <c r="E287" s="82"/>
      <c r="F287" s="82"/>
      <c r="G287" s="82">
        <v>7.7</v>
      </c>
      <c r="H287" s="82">
        <v>19.350000000000001</v>
      </c>
      <c r="I287" s="82">
        <v>19.350000000000001</v>
      </c>
      <c r="J287" s="82">
        <v>0</v>
      </c>
      <c r="K287" s="81">
        <v>0</v>
      </c>
      <c r="L287" s="81">
        <v>0</v>
      </c>
      <c r="M287" s="81">
        <v>27.1</v>
      </c>
      <c r="N287" s="81">
        <v>19.350000000000001</v>
      </c>
      <c r="O287" s="81">
        <v>0</v>
      </c>
      <c r="P287" s="81">
        <v>27.1</v>
      </c>
      <c r="Q287" s="145">
        <f t="shared" si="18"/>
        <v>11.994999999999999</v>
      </c>
      <c r="R287" s="151" t="str">
        <f t="shared" si="16"/>
        <v>NO</v>
      </c>
      <c r="S287" s="152" t="str">
        <f t="shared" si="17"/>
        <v>Bajo</v>
      </c>
      <c r="T287" s="180"/>
    </row>
    <row r="288" spans="1:20" s="178" customFormat="1" ht="32.1" customHeight="1" x14ac:dyDescent="0.2">
      <c r="A288" s="127" t="s">
        <v>217</v>
      </c>
      <c r="B288" s="112" t="s">
        <v>20</v>
      </c>
      <c r="C288" s="113" t="s">
        <v>1193</v>
      </c>
      <c r="D288" s="188">
        <v>415</v>
      </c>
      <c r="E288" s="82"/>
      <c r="F288" s="82"/>
      <c r="G288" s="82">
        <v>0</v>
      </c>
      <c r="H288" s="82">
        <v>19.350000000000001</v>
      </c>
      <c r="I288" s="82">
        <v>46.45</v>
      </c>
      <c r="J288" s="82">
        <v>51.61</v>
      </c>
      <c r="K288" s="81">
        <v>0</v>
      </c>
      <c r="L288" s="81">
        <v>0</v>
      </c>
      <c r="M288" s="81">
        <v>19.350000000000001</v>
      </c>
      <c r="N288" s="81">
        <v>0</v>
      </c>
      <c r="O288" s="81">
        <v>27.1</v>
      </c>
      <c r="P288" s="81">
        <v>0</v>
      </c>
      <c r="Q288" s="145">
        <f t="shared" si="18"/>
        <v>16.386000000000003</v>
      </c>
      <c r="R288" s="151" t="str">
        <f t="shared" si="16"/>
        <v>NO</v>
      </c>
      <c r="S288" s="152" t="str">
        <f t="shared" si="17"/>
        <v>Medio</v>
      </c>
      <c r="T288" s="180"/>
    </row>
    <row r="289" spans="1:20" s="178" customFormat="1" ht="32.1" customHeight="1" x14ac:dyDescent="0.2">
      <c r="A289" s="127" t="s">
        <v>217</v>
      </c>
      <c r="B289" s="112" t="s">
        <v>1194</v>
      </c>
      <c r="C289" s="113" t="s">
        <v>1195</v>
      </c>
      <c r="D289" s="188">
        <v>245.304</v>
      </c>
      <c r="E289" s="82"/>
      <c r="F289" s="82"/>
      <c r="G289" s="82">
        <v>0</v>
      </c>
      <c r="H289" s="82">
        <v>0</v>
      </c>
      <c r="I289" s="82">
        <v>27.1</v>
      </c>
      <c r="J289" s="82">
        <v>78.709999999999994</v>
      </c>
      <c r="K289" s="81">
        <v>0</v>
      </c>
      <c r="L289" s="81">
        <v>19.399999999999999</v>
      </c>
      <c r="M289" s="81">
        <v>19.350000000000001</v>
      </c>
      <c r="N289" s="81">
        <v>19.350000000000001</v>
      </c>
      <c r="O289" s="81">
        <v>51.61</v>
      </c>
      <c r="P289" s="81">
        <v>51.61</v>
      </c>
      <c r="Q289" s="145">
        <f t="shared" si="18"/>
        <v>26.713000000000001</v>
      </c>
      <c r="R289" s="151" t="str">
        <f t="shared" si="16"/>
        <v>NO</v>
      </c>
      <c r="S289" s="152" t="str">
        <f t="shared" si="17"/>
        <v>Medio</v>
      </c>
      <c r="T289" s="180"/>
    </row>
    <row r="290" spans="1:20" s="178" customFormat="1" ht="32.1" customHeight="1" x14ac:dyDescent="0.2">
      <c r="A290" s="127" t="s">
        <v>217</v>
      </c>
      <c r="B290" s="112" t="s">
        <v>700</v>
      </c>
      <c r="C290" s="113" t="s">
        <v>1196</v>
      </c>
      <c r="D290" s="188">
        <v>93</v>
      </c>
      <c r="E290" s="82"/>
      <c r="F290" s="82"/>
      <c r="G290" s="82">
        <v>0</v>
      </c>
      <c r="H290" s="82">
        <v>0</v>
      </c>
      <c r="I290" s="82">
        <v>27.1</v>
      </c>
      <c r="J290" s="82">
        <v>27.1</v>
      </c>
      <c r="K290" s="81">
        <v>0</v>
      </c>
      <c r="L290" s="81">
        <v>0</v>
      </c>
      <c r="M290" s="81">
        <v>38.71</v>
      </c>
      <c r="N290" s="81">
        <v>19.350000000000001</v>
      </c>
      <c r="O290" s="81">
        <v>0</v>
      </c>
      <c r="P290" s="81">
        <v>0</v>
      </c>
      <c r="Q290" s="145">
        <f t="shared" si="18"/>
        <v>11.225999999999999</v>
      </c>
      <c r="R290" s="151" t="str">
        <f t="shared" si="16"/>
        <v>NO</v>
      </c>
      <c r="S290" s="152" t="str">
        <f t="shared" si="17"/>
        <v>Bajo</v>
      </c>
      <c r="T290" s="180"/>
    </row>
    <row r="291" spans="1:20" s="178" customFormat="1" ht="32.1" customHeight="1" x14ac:dyDescent="0.2">
      <c r="A291" s="127" t="s">
        <v>217</v>
      </c>
      <c r="B291" s="112" t="s">
        <v>1197</v>
      </c>
      <c r="C291" s="113" t="s">
        <v>1198</v>
      </c>
      <c r="D291" s="188">
        <v>174</v>
      </c>
      <c r="E291" s="82"/>
      <c r="F291" s="82"/>
      <c r="G291" s="82">
        <v>0</v>
      </c>
      <c r="H291" s="82">
        <v>0</v>
      </c>
      <c r="I291" s="82">
        <v>27.1</v>
      </c>
      <c r="J291" s="82">
        <v>27.1</v>
      </c>
      <c r="K291" s="81">
        <v>0</v>
      </c>
      <c r="L291" s="81">
        <v>0</v>
      </c>
      <c r="M291" s="81">
        <v>38.71</v>
      </c>
      <c r="N291" s="81">
        <v>19.350000000000001</v>
      </c>
      <c r="O291" s="81">
        <v>0</v>
      </c>
      <c r="P291" s="81">
        <v>0</v>
      </c>
      <c r="Q291" s="145">
        <f t="shared" si="18"/>
        <v>11.225999999999999</v>
      </c>
      <c r="R291" s="151" t="str">
        <f t="shared" si="16"/>
        <v>NO</v>
      </c>
      <c r="S291" s="152" t="str">
        <f t="shared" si="17"/>
        <v>Bajo</v>
      </c>
      <c r="T291" s="180"/>
    </row>
    <row r="292" spans="1:20" s="178" customFormat="1" ht="32.1" customHeight="1" x14ac:dyDescent="0.2">
      <c r="A292" s="127" t="s">
        <v>217</v>
      </c>
      <c r="B292" s="112" t="s">
        <v>1158</v>
      </c>
      <c r="C292" s="113" t="s">
        <v>1199</v>
      </c>
      <c r="D292" s="188">
        <v>107</v>
      </c>
      <c r="E292" s="82"/>
      <c r="F292" s="82"/>
      <c r="G292" s="82">
        <v>0</v>
      </c>
      <c r="H292" s="82">
        <v>0</v>
      </c>
      <c r="I292" s="82">
        <v>27.1</v>
      </c>
      <c r="J292" s="82">
        <v>27.1</v>
      </c>
      <c r="K292" s="81">
        <v>0</v>
      </c>
      <c r="L292" s="81">
        <v>0</v>
      </c>
      <c r="M292" s="81">
        <v>38.71</v>
      </c>
      <c r="N292" s="81">
        <v>19.350000000000001</v>
      </c>
      <c r="O292" s="81">
        <v>0</v>
      </c>
      <c r="P292" s="81">
        <v>0</v>
      </c>
      <c r="Q292" s="145">
        <f t="shared" si="18"/>
        <v>11.225999999999999</v>
      </c>
      <c r="R292" s="151" t="str">
        <f t="shared" si="16"/>
        <v>NO</v>
      </c>
      <c r="S292" s="152" t="str">
        <f t="shared" si="17"/>
        <v>Bajo</v>
      </c>
      <c r="T292" s="180"/>
    </row>
    <row r="293" spans="1:20" s="178" customFormat="1" ht="32.1" customHeight="1" x14ac:dyDescent="0.2">
      <c r="A293" s="127" t="s">
        <v>217</v>
      </c>
      <c r="B293" s="112" t="s">
        <v>1200</v>
      </c>
      <c r="C293" s="113" t="s">
        <v>1201</v>
      </c>
      <c r="D293" s="188">
        <v>56</v>
      </c>
      <c r="E293" s="82"/>
      <c r="F293" s="82"/>
      <c r="G293" s="82">
        <v>0</v>
      </c>
      <c r="H293" s="82">
        <v>0</v>
      </c>
      <c r="I293" s="82">
        <v>27.1</v>
      </c>
      <c r="J293" s="82">
        <v>27.1</v>
      </c>
      <c r="K293" s="81">
        <v>0</v>
      </c>
      <c r="L293" s="81">
        <v>0</v>
      </c>
      <c r="M293" s="81">
        <v>38.71</v>
      </c>
      <c r="N293" s="81">
        <v>19.350000000000001</v>
      </c>
      <c r="O293" s="81">
        <v>0</v>
      </c>
      <c r="P293" s="81">
        <v>0</v>
      </c>
      <c r="Q293" s="145">
        <f t="shared" si="18"/>
        <v>11.225999999999999</v>
      </c>
      <c r="R293" s="151" t="str">
        <f t="shared" si="16"/>
        <v>NO</v>
      </c>
      <c r="S293" s="152" t="str">
        <f t="shared" si="17"/>
        <v>Bajo</v>
      </c>
      <c r="T293" s="180"/>
    </row>
    <row r="294" spans="1:20" s="178" customFormat="1" ht="32.1" customHeight="1" x14ac:dyDescent="0.2">
      <c r="A294" s="127" t="s">
        <v>217</v>
      </c>
      <c r="B294" s="112" t="s">
        <v>1184</v>
      </c>
      <c r="C294" s="113" t="s">
        <v>1202</v>
      </c>
      <c r="D294" s="188">
        <v>588</v>
      </c>
      <c r="E294" s="82"/>
      <c r="F294" s="82"/>
      <c r="G294" s="82">
        <v>0</v>
      </c>
      <c r="H294" s="82">
        <v>0</v>
      </c>
      <c r="I294" s="82">
        <v>27.1</v>
      </c>
      <c r="J294" s="82">
        <v>27.1</v>
      </c>
      <c r="K294" s="81">
        <v>0</v>
      </c>
      <c r="L294" s="81">
        <v>0</v>
      </c>
      <c r="M294" s="81">
        <v>38.71</v>
      </c>
      <c r="N294" s="81">
        <v>19.350000000000001</v>
      </c>
      <c r="O294" s="81">
        <v>0</v>
      </c>
      <c r="P294" s="81">
        <v>0</v>
      </c>
      <c r="Q294" s="145">
        <f t="shared" si="18"/>
        <v>11.225999999999999</v>
      </c>
      <c r="R294" s="151" t="str">
        <f t="shared" si="16"/>
        <v>NO</v>
      </c>
      <c r="S294" s="152" t="str">
        <f t="shared" si="17"/>
        <v>Bajo</v>
      </c>
      <c r="T294" s="180"/>
    </row>
    <row r="295" spans="1:20" s="178" customFormat="1" ht="32.1" customHeight="1" x14ac:dyDescent="0.2">
      <c r="A295" s="127" t="s">
        <v>217</v>
      </c>
      <c r="B295" s="112" t="s">
        <v>1203</v>
      </c>
      <c r="C295" s="113" t="s">
        <v>1204</v>
      </c>
      <c r="D295" s="188">
        <v>92</v>
      </c>
      <c r="E295" s="82"/>
      <c r="F295" s="82"/>
      <c r="G295" s="82">
        <v>0</v>
      </c>
      <c r="H295" s="82">
        <v>0</v>
      </c>
      <c r="I295" s="82">
        <v>27.1</v>
      </c>
      <c r="J295" s="82">
        <v>27.1</v>
      </c>
      <c r="K295" s="81">
        <v>0</v>
      </c>
      <c r="L295" s="81">
        <v>0</v>
      </c>
      <c r="M295" s="81">
        <v>38.71</v>
      </c>
      <c r="N295" s="81">
        <v>19.350000000000001</v>
      </c>
      <c r="O295" s="81">
        <v>0</v>
      </c>
      <c r="P295" s="81">
        <v>0</v>
      </c>
      <c r="Q295" s="145">
        <f t="shared" si="18"/>
        <v>11.225999999999999</v>
      </c>
      <c r="R295" s="151" t="str">
        <f t="shared" si="16"/>
        <v>NO</v>
      </c>
      <c r="S295" s="152" t="str">
        <f t="shared" si="17"/>
        <v>Bajo</v>
      </c>
      <c r="T295" s="180"/>
    </row>
    <row r="296" spans="1:20" s="178" customFormat="1" ht="32.1" customHeight="1" x14ac:dyDescent="0.2">
      <c r="A296" s="127" t="s">
        <v>217</v>
      </c>
      <c r="B296" s="112" t="s">
        <v>1205</v>
      </c>
      <c r="C296" s="113" t="s">
        <v>1206</v>
      </c>
      <c r="D296" s="188">
        <v>65</v>
      </c>
      <c r="E296" s="82"/>
      <c r="F296" s="82"/>
      <c r="G296" s="82">
        <v>0</v>
      </c>
      <c r="H296" s="82">
        <v>0</v>
      </c>
      <c r="I296" s="82">
        <v>0</v>
      </c>
      <c r="J296" s="82">
        <v>0</v>
      </c>
      <c r="K296" s="81">
        <v>19.350000000000001</v>
      </c>
      <c r="L296" s="81">
        <v>0</v>
      </c>
      <c r="M296" s="81">
        <v>19.350000000000001</v>
      </c>
      <c r="N296" s="81">
        <v>0</v>
      </c>
      <c r="O296" s="81">
        <v>0</v>
      </c>
      <c r="P296" s="81">
        <v>0</v>
      </c>
      <c r="Q296" s="145">
        <f t="shared" si="18"/>
        <v>3.87</v>
      </c>
      <c r="R296" s="151" t="str">
        <f t="shared" si="16"/>
        <v>SI</v>
      </c>
      <c r="S296" s="152" t="str">
        <f t="shared" si="17"/>
        <v>Sin Riesgo</v>
      </c>
      <c r="T296" s="180"/>
    </row>
    <row r="297" spans="1:20" s="178" customFormat="1" ht="32.1" customHeight="1" x14ac:dyDescent="0.2">
      <c r="A297" s="127" t="s">
        <v>217</v>
      </c>
      <c r="B297" s="112" t="s">
        <v>1168</v>
      </c>
      <c r="C297" s="113" t="s">
        <v>1207</v>
      </c>
      <c r="D297" s="188">
        <v>170</v>
      </c>
      <c r="E297" s="82"/>
      <c r="F297" s="82"/>
      <c r="G297" s="82">
        <v>0</v>
      </c>
      <c r="H297" s="82">
        <v>1.94</v>
      </c>
      <c r="I297" s="82">
        <v>19.350000000000001</v>
      </c>
      <c r="J297" s="82">
        <v>27.1</v>
      </c>
      <c r="K297" s="81">
        <v>0</v>
      </c>
      <c r="L297" s="81">
        <v>27.1</v>
      </c>
      <c r="M297" s="81">
        <v>38.71</v>
      </c>
      <c r="N297" s="81">
        <v>19.350000000000001</v>
      </c>
      <c r="O297" s="81">
        <v>0</v>
      </c>
      <c r="P297" s="81">
        <v>0</v>
      </c>
      <c r="Q297" s="145">
        <f t="shared" si="18"/>
        <v>13.355</v>
      </c>
      <c r="R297" s="151" t="str">
        <f t="shared" si="16"/>
        <v>NO</v>
      </c>
      <c r="S297" s="152" t="str">
        <f t="shared" si="17"/>
        <v>Bajo</v>
      </c>
      <c r="T297" s="180"/>
    </row>
    <row r="298" spans="1:20" s="178" customFormat="1" ht="32.1" customHeight="1" x14ac:dyDescent="0.2">
      <c r="A298" s="127" t="s">
        <v>217</v>
      </c>
      <c r="B298" s="112" t="s">
        <v>1162</v>
      </c>
      <c r="C298" s="113" t="s">
        <v>1208</v>
      </c>
      <c r="D298" s="188">
        <v>96</v>
      </c>
      <c r="E298" s="82"/>
      <c r="F298" s="82"/>
      <c r="G298" s="82">
        <v>0</v>
      </c>
      <c r="H298" s="82">
        <v>0</v>
      </c>
      <c r="I298" s="82">
        <v>0</v>
      </c>
      <c r="J298" s="82">
        <v>27.1</v>
      </c>
      <c r="K298" s="81">
        <v>19.350000000000001</v>
      </c>
      <c r="L298" s="81">
        <v>0</v>
      </c>
      <c r="M298" s="81">
        <v>0</v>
      </c>
      <c r="N298" s="81">
        <v>38.71</v>
      </c>
      <c r="O298" s="81">
        <v>0</v>
      </c>
      <c r="P298" s="81">
        <v>0</v>
      </c>
      <c r="Q298" s="145">
        <f t="shared" si="18"/>
        <v>8.516</v>
      </c>
      <c r="R298" s="151" t="str">
        <f t="shared" si="16"/>
        <v>NO</v>
      </c>
      <c r="S298" s="152" t="str">
        <f t="shared" si="17"/>
        <v>Bajo</v>
      </c>
      <c r="T298" s="180"/>
    </row>
    <row r="299" spans="1:20" s="178" customFormat="1" ht="32.1" customHeight="1" x14ac:dyDescent="0.2">
      <c r="A299" s="127" t="s">
        <v>217</v>
      </c>
      <c r="B299" s="112" t="s">
        <v>1209</v>
      </c>
      <c r="C299" s="113" t="s">
        <v>1210</v>
      </c>
      <c r="D299" s="188">
        <v>360</v>
      </c>
      <c r="E299" s="82"/>
      <c r="F299" s="82"/>
      <c r="G299" s="82">
        <v>0</v>
      </c>
      <c r="H299" s="82">
        <v>0</v>
      </c>
      <c r="I299" s="82">
        <v>0</v>
      </c>
      <c r="J299" s="82">
        <v>0</v>
      </c>
      <c r="K299" s="81">
        <v>0</v>
      </c>
      <c r="L299" s="81">
        <v>0</v>
      </c>
      <c r="M299" s="81">
        <v>0</v>
      </c>
      <c r="N299" s="81">
        <v>0</v>
      </c>
      <c r="O299" s="81">
        <v>0</v>
      </c>
      <c r="P299" s="81">
        <v>0</v>
      </c>
      <c r="Q299" s="145">
        <f t="shared" si="18"/>
        <v>0</v>
      </c>
      <c r="R299" s="151" t="str">
        <f t="shared" si="16"/>
        <v>SI</v>
      </c>
      <c r="S299" s="152" t="str">
        <f t="shared" si="17"/>
        <v>Sin Riesgo</v>
      </c>
      <c r="T299" s="180"/>
    </row>
    <row r="300" spans="1:20" s="178" customFormat="1" ht="32.1" customHeight="1" x14ac:dyDescent="0.2">
      <c r="A300" s="127" t="s">
        <v>217</v>
      </c>
      <c r="B300" s="112" t="s">
        <v>1211</v>
      </c>
      <c r="C300" s="113" t="s">
        <v>1212</v>
      </c>
      <c r="D300" s="188">
        <v>24</v>
      </c>
      <c r="E300" s="82"/>
      <c r="F300" s="82"/>
      <c r="G300" s="82">
        <v>0</v>
      </c>
      <c r="H300" s="82">
        <v>0</v>
      </c>
      <c r="I300" s="82">
        <v>0</v>
      </c>
      <c r="J300" s="82">
        <v>0</v>
      </c>
      <c r="K300" s="81">
        <v>0</v>
      </c>
      <c r="L300" s="81">
        <v>0</v>
      </c>
      <c r="M300" s="81">
        <v>0</v>
      </c>
      <c r="N300" s="81">
        <v>0</v>
      </c>
      <c r="O300" s="81">
        <v>0</v>
      </c>
      <c r="P300" s="81">
        <v>0</v>
      </c>
      <c r="Q300" s="145">
        <f t="shared" si="18"/>
        <v>0</v>
      </c>
      <c r="R300" s="151" t="str">
        <f t="shared" si="16"/>
        <v>SI</v>
      </c>
      <c r="S300" s="152" t="str">
        <f t="shared" si="17"/>
        <v>Sin Riesgo</v>
      </c>
      <c r="T300" s="180"/>
    </row>
    <row r="301" spans="1:20" s="178" customFormat="1" ht="32.1" customHeight="1" x14ac:dyDescent="0.2">
      <c r="A301" s="127" t="s">
        <v>217</v>
      </c>
      <c r="B301" s="112" t="s">
        <v>1213</v>
      </c>
      <c r="C301" s="113" t="s">
        <v>1214</v>
      </c>
      <c r="D301" s="188">
        <v>48</v>
      </c>
      <c r="E301" s="82"/>
      <c r="F301" s="82"/>
      <c r="G301" s="82">
        <v>0</v>
      </c>
      <c r="H301" s="82">
        <v>7.74</v>
      </c>
      <c r="I301" s="82">
        <v>19.350000000000001</v>
      </c>
      <c r="J301" s="82">
        <v>0</v>
      </c>
      <c r="K301" s="81">
        <v>0</v>
      </c>
      <c r="L301" s="81">
        <v>0</v>
      </c>
      <c r="M301" s="81">
        <v>38.71</v>
      </c>
      <c r="N301" s="81">
        <v>19.350000000000001</v>
      </c>
      <c r="O301" s="81">
        <v>38.71</v>
      </c>
      <c r="P301" s="81">
        <v>0</v>
      </c>
      <c r="Q301" s="145">
        <f t="shared" si="18"/>
        <v>12.386000000000001</v>
      </c>
      <c r="R301" s="151" t="str">
        <f t="shared" si="16"/>
        <v>NO</v>
      </c>
      <c r="S301" s="152" t="str">
        <f t="shared" si="17"/>
        <v>Bajo</v>
      </c>
      <c r="T301" s="180"/>
    </row>
    <row r="302" spans="1:20" s="178" customFormat="1" ht="32.1" customHeight="1" x14ac:dyDescent="0.2">
      <c r="A302" s="127" t="s">
        <v>217</v>
      </c>
      <c r="B302" s="112" t="s">
        <v>1215</v>
      </c>
      <c r="C302" s="113" t="s">
        <v>1216</v>
      </c>
      <c r="D302" s="188">
        <v>348</v>
      </c>
      <c r="E302" s="82"/>
      <c r="F302" s="82"/>
      <c r="G302" s="82">
        <v>0</v>
      </c>
      <c r="H302" s="82">
        <v>7.74</v>
      </c>
      <c r="I302" s="82">
        <v>27.1</v>
      </c>
      <c r="J302" s="82">
        <v>0</v>
      </c>
      <c r="K302" s="81">
        <v>0</v>
      </c>
      <c r="L302" s="81">
        <v>51.6</v>
      </c>
      <c r="M302" s="81">
        <v>19.350000000000001</v>
      </c>
      <c r="N302" s="81">
        <v>19.350000000000001</v>
      </c>
      <c r="O302" s="81">
        <v>0</v>
      </c>
      <c r="P302" s="81">
        <v>0</v>
      </c>
      <c r="Q302" s="145">
        <f t="shared" si="18"/>
        <v>12.513999999999999</v>
      </c>
      <c r="R302" s="151" t="str">
        <f t="shared" si="16"/>
        <v>NO</v>
      </c>
      <c r="S302" s="152" t="str">
        <f t="shared" si="17"/>
        <v>Bajo</v>
      </c>
      <c r="T302" s="180"/>
    </row>
    <row r="303" spans="1:20" s="178" customFormat="1" ht="32.1" customHeight="1" x14ac:dyDescent="0.2">
      <c r="A303" s="127" t="s">
        <v>217</v>
      </c>
      <c r="B303" s="112" t="s">
        <v>1217</v>
      </c>
      <c r="C303" s="113" t="s">
        <v>1218</v>
      </c>
      <c r="D303" s="188">
        <v>99</v>
      </c>
      <c r="E303" s="82"/>
      <c r="F303" s="82"/>
      <c r="G303" s="82">
        <v>0</v>
      </c>
      <c r="H303" s="82">
        <v>7.74</v>
      </c>
      <c r="I303" s="82">
        <v>27.1</v>
      </c>
      <c r="J303" s="82">
        <v>0</v>
      </c>
      <c r="K303" s="81">
        <v>0</v>
      </c>
      <c r="L303" s="81">
        <v>51.6</v>
      </c>
      <c r="M303" s="81">
        <v>19.350000000000001</v>
      </c>
      <c r="N303" s="81">
        <v>19.350000000000001</v>
      </c>
      <c r="O303" s="81">
        <v>0</v>
      </c>
      <c r="P303" s="81">
        <v>0</v>
      </c>
      <c r="Q303" s="145">
        <f t="shared" si="18"/>
        <v>12.513999999999999</v>
      </c>
      <c r="R303" s="151" t="str">
        <f t="shared" si="16"/>
        <v>NO</v>
      </c>
      <c r="S303" s="152" t="str">
        <f t="shared" si="17"/>
        <v>Bajo</v>
      </c>
      <c r="T303" s="180"/>
    </row>
    <row r="304" spans="1:20" s="178" customFormat="1" ht="32.1" customHeight="1" x14ac:dyDescent="0.2">
      <c r="A304" s="127" t="s">
        <v>217</v>
      </c>
      <c r="B304" s="112" t="s">
        <v>1219</v>
      </c>
      <c r="C304" s="113" t="s">
        <v>1220</v>
      </c>
      <c r="D304" s="188">
        <v>46</v>
      </c>
      <c r="E304" s="82"/>
      <c r="F304" s="82"/>
      <c r="G304" s="82">
        <v>0</v>
      </c>
      <c r="H304" s="82">
        <v>7.74</v>
      </c>
      <c r="I304" s="82">
        <v>27.1</v>
      </c>
      <c r="J304" s="82">
        <v>0</v>
      </c>
      <c r="K304" s="81">
        <v>0</v>
      </c>
      <c r="L304" s="81">
        <v>51.6</v>
      </c>
      <c r="M304" s="81">
        <v>19.350000000000001</v>
      </c>
      <c r="N304" s="81">
        <v>19.350000000000001</v>
      </c>
      <c r="O304" s="81">
        <v>0</v>
      </c>
      <c r="P304" s="81">
        <v>0</v>
      </c>
      <c r="Q304" s="145">
        <f t="shared" si="18"/>
        <v>12.513999999999999</v>
      </c>
      <c r="R304" s="151" t="str">
        <f t="shared" si="16"/>
        <v>NO</v>
      </c>
      <c r="S304" s="152" t="str">
        <f t="shared" si="17"/>
        <v>Bajo</v>
      </c>
      <c r="T304" s="180"/>
    </row>
    <row r="305" spans="1:20" s="178" customFormat="1" ht="32.1" customHeight="1" x14ac:dyDescent="0.2">
      <c r="A305" s="127" t="s">
        <v>217</v>
      </c>
      <c r="B305" s="112" t="s">
        <v>1221</v>
      </c>
      <c r="C305" s="113" t="s">
        <v>1222</v>
      </c>
      <c r="D305" s="188">
        <v>103</v>
      </c>
      <c r="E305" s="82"/>
      <c r="F305" s="82"/>
      <c r="G305" s="82">
        <v>0</v>
      </c>
      <c r="H305" s="82">
        <v>7.74</v>
      </c>
      <c r="I305" s="82">
        <v>27.1</v>
      </c>
      <c r="J305" s="82">
        <v>0</v>
      </c>
      <c r="K305" s="81">
        <v>0</v>
      </c>
      <c r="L305" s="81">
        <v>51.6</v>
      </c>
      <c r="M305" s="81">
        <v>19.350000000000001</v>
      </c>
      <c r="N305" s="81">
        <v>19.350000000000001</v>
      </c>
      <c r="O305" s="81">
        <v>0</v>
      </c>
      <c r="P305" s="81">
        <v>0</v>
      </c>
      <c r="Q305" s="145">
        <f t="shared" si="18"/>
        <v>12.513999999999999</v>
      </c>
      <c r="R305" s="151" t="str">
        <f t="shared" si="16"/>
        <v>NO</v>
      </c>
      <c r="S305" s="152" t="str">
        <f t="shared" si="17"/>
        <v>Bajo</v>
      </c>
      <c r="T305" s="180"/>
    </row>
    <row r="306" spans="1:20" s="178" customFormat="1" ht="32.1" customHeight="1" x14ac:dyDescent="0.2">
      <c r="A306" s="127" t="s">
        <v>217</v>
      </c>
      <c r="B306" s="112" t="s">
        <v>1223</v>
      </c>
      <c r="C306" s="113" t="s">
        <v>1224</v>
      </c>
      <c r="D306" s="188">
        <v>65</v>
      </c>
      <c r="E306" s="82"/>
      <c r="F306" s="82"/>
      <c r="G306" s="82">
        <v>0</v>
      </c>
      <c r="H306" s="82">
        <v>7.74</v>
      </c>
      <c r="I306" s="82">
        <v>27.1</v>
      </c>
      <c r="J306" s="82">
        <v>0</v>
      </c>
      <c r="K306" s="81">
        <v>0</v>
      </c>
      <c r="L306" s="81">
        <v>51.6</v>
      </c>
      <c r="M306" s="81">
        <v>19.350000000000001</v>
      </c>
      <c r="N306" s="81">
        <v>19.350000000000001</v>
      </c>
      <c r="O306" s="81">
        <v>0</v>
      </c>
      <c r="P306" s="81">
        <v>0</v>
      </c>
      <c r="Q306" s="145">
        <f t="shared" si="18"/>
        <v>12.513999999999999</v>
      </c>
      <c r="R306" s="151" t="str">
        <f t="shared" si="16"/>
        <v>NO</v>
      </c>
      <c r="S306" s="152" t="str">
        <f t="shared" si="17"/>
        <v>Bajo</v>
      </c>
      <c r="T306" s="180"/>
    </row>
    <row r="307" spans="1:20" s="178" customFormat="1" ht="32.1" customHeight="1" x14ac:dyDescent="0.2">
      <c r="A307" s="127" t="s">
        <v>217</v>
      </c>
      <c r="B307" s="112" t="s">
        <v>1225</v>
      </c>
      <c r="C307" s="113" t="s">
        <v>1226</v>
      </c>
      <c r="D307" s="188">
        <v>74</v>
      </c>
      <c r="E307" s="82"/>
      <c r="F307" s="82"/>
      <c r="G307" s="82">
        <v>0</v>
      </c>
      <c r="H307" s="82">
        <v>7.74</v>
      </c>
      <c r="I307" s="82">
        <v>27.1</v>
      </c>
      <c r="J307" s="82">
        <v>0</v>
      </c>
      <c r="K307" s="81">
        <v>0</v>
      </c>
      <c r="L307" s="81">
        <v>51.6</v>
      </c>
      <c r="M307" s="81">
        <v>19.350000000000001</v>
      </c>
      <c r="N307" s="81">
        <v>19.350000000000001</v>
      </c>
      <c r="O307" s="81">
        <v>0</v>
      </c>
      <c r="P307" s="81">
        <v>0</v>
      </c>
      <c r="Q307" s="145">
        <f t="shared" si="18"/>
        <v>12.513999999999999</v>
      </c>
      <c r="R307" s="151" t="str">
        <f t="shared" ref="R307:R370" si="19">IF(Q307&lt;5,"SI","NO")</f>
        <v>NO</v>
      </c>
      <c r="S307" s="152" t="str">
        <f t="shared" si="17"/>
        <v>Bajo</v>
      </c>
      <c r="T307" s="180"/>
    </row>
    <row r="308" spans="1:20" s="178" customFormat="1" ht="32.1" customHeight="1" x14ac:dyDescent="0.2">
      <c r="A308" s="127" t="s">
        <v>217</v>
      </c>
      <c r="B308" s="112" t="s">
        <v>99</v>
      </c>
      <c r="C308" s="113" t="s">
        <v>1227</v>
      </c>
      <c r="D308" s="188">
        <v>163</v>
      </c>
      <c r="E308" s="82"/>
      <c r="F308" s="82"/>
      <c r="G308" s="82">
        <v>0</v>
      </c>
      <c r="H308" s="82">
        <v>27.1</v>
      </c>
      <c r="I308" s="82">
        <v>27.1</v>
      </c>
      <c r="J308" s="82">
        <v>0</v>
      </c>
      <c r="K308" s="81">
        <v>0</v>
      </c>
      <c r="L308" s="81">
        <v>19.350000000000001</v>
      </c>
      <c r="M308" s="81">
        <v>19.350000000000001</v>
      </c>
      <c r="N308" s="81">
        <v>46.45</v>
      </c>
      <c r="O308" s="81">
        <v>0</v>
      </c>
      <c r="P308" s="81">
        <v>0</v>
      </c>
      <c r="Q308" s="145">
        <f t="shared" si="18"/>
        <v>13.935000000000002</v>
      </c>
      <c r="R308" s="151" t="str">
        <f t="shared" si="19"/>
        <v>NO</v>
      </c>
      <c r="S308" s="152" t="str">
        <f t="shared" si="17"/>
        <v>Bajo</v>
      </c>
      <c r="T308" s="180"/>
    </row>
    <row r="309" spans="1:20" s="178" customFormat="1" ht="32.1" customHeight="1" x14ac:dyDescent="0.2">
      <c r="A309" s="127" t="s">
        <v>217</v>
      </c>
      <c r="B309" s="112" t="s">
        <v>1228</v>
      </c>
      <c r="C309" s="113" t="s">
        <v>1229</v>
      </c>
      <c r="D309" s="188">
        <v>36</v>
      </c>
      <c r="E309" s="82"/>
      <c r="F309" s="82"/>
      <c r="G309" s="82">
        <v>0</v>
      </c>
      <c r="H309" s="82">
        <v>27.1</v>
      </c>
      <c r="I309" s="82">
        <v>27.1</v>
      </c>
      <c r="J309" s="82">
        <v>0</v>
      </c>
      <c r="K309" s="81">
        <v>0</v>
      </c>
      <c r="L309" s="81">
        <v>19.350000000000001</v>
      </c>
      <c r="M309" s="81">
        <v>19.350000000000001</v>
      </c>
      <c r="N309" s="81">
        <v>46.45</v>
      </c>
      <c r="O309" s="81">
        <v>0</v>
      </c>
      <c r="P309" s="81">
        <v>0</v>
      </c>
      <c r="Q309" s="145">
        <f t="shared" si="18"/>
        <v>13.935000000000002</v>
      </c>
      <c r="R309" s="151" t="str">
        <f t="shared" si="19"/>
        <v>NO</v>
      </c>
      <c r="S309" s="152" t="str">
        <f t="shared" si="17"/>
        <v>Bajo</v>
      </c>
      <c r="T309" s="180"/>
    </row>
    <row r="310" spans="1:20" s="178" customFormat="1" ht="32.1" customHeight="1" x14ac:dyDescent="0.2">
      <c r="A310" s="127" t="s">
        <v>217</v>
      </c>
      <c r="B310" s="112" t="s">
        <v>1230</v>
      </c>
      <c r="C310" s="113" t="s">
        <v>1231</v>
      </c>
      <c r="D310" s="188">
        <v>14</v>
      </c>
      <c r="E310" s="82"/>
      <c r="F310" s="82"/>
      <c r="G310" s="82">
        <v>0</v>
      </c>
      <c r="H310" s="82">
        <v>27.1</v>
      </c>
      <c r="I310" s="82">
        <v>27.1</v>
      </c>
      <c r="J310" s="82">
        <v>0</v>
      </c>
      <c r="K310" s="81">
        <v>0</v>
      </c>
      <c r="L310" s="81">
        <v>19.350000000000001</v>
      </c>
      <c r="M310" s="81">
        <v>19.350000000000001</v>
      </c>
      <c r="N310" s="81">
        <v>46.45</v>
      </c>
      <c r="O310" s="81">
        <v>0</v>
      </c>
      <c r="P310" s="81">
        <v>0</v>
      </c>
      <c r="Q310" s="145">
        <f t="shared" si="18"/>
        <v>13.935000000000002</v>
      </c>
      <c r="R310" s="151" t="str">
        <f t="shared" si="19"/>
        <v>NO</v>
      </c>
      <c r="S310" s="152" t="str">
        <f t="shared" si="17"/>
        <v>Bajo</v>
      </c>
      <c r="T310" s="180"/>
    </row>
    <row r="311" spans="1:20" s="178" customFormat="1" ht="32.1" customHeight="1" x14ac:dyDescent="0.2">
      <c r="A311" s="127" t="s">
        <v>217</v>
      </c>
      <c r="B311" s="112" t="s">
        <v>70</v>
      </c>
      <c r="C311" s="113" t="s">
        <v>1232</v>
      </c>
      <c r="D311" s="188">
        <v>17</v>
      </c>
      <c r="E311" s="82"/>
      <c r="F311" s="82"/>
      <c r="G311" s="82">
        <v>0</v>
      </c>
      <c r="H311" s="82">
        <v>27.1</v>
      </c>
      <c r="I311" s="82">
        <v>27.1</v>
      </c>
      <c r="J311" s="82">
        <v>0</v>
      </c>
      <c r="K311" s="81">
        <v>0</v>
      </c>
      <c r="L311" s="81">
        <v>19.350000000000001</v>
      </c>
      <c r="M311" s="81">
        <v>19.350000000000001</v>
      </c>
      <c r="N311" s="81">
        <v>46.45</v>
      </c>
      <c r="O311" s="81">
        <v>0</v>
      </c>
      <c r="P311" s="81">
        <v>0</v>
      </c>
      <c r="Q311" s="145">
        <f t="shared" si="18"/>
        <v>13.935000000000002</v>
      </c>
      <c r="R311" s="151" t="str">
        <f t="shared" si="19"/>
        <v>NO</v>
      </c>
      <c r="S311" s="152" t="str">
        <f t="shared" si="17"/>
        <v>Bajo</v>
      </c>
      <c r="T311" s="180"/>
    </row>
    <row r="312" spans="1:20" s="178" customFormat="1" ht="32.1" customHeight="1" x14ac:dyDescent="0.2">
      <c r="A312" s="127" t="s">
        <v>217</v>
      </c>
      <c r="B312" s="112" t="s">
        <v>1233</v>
      </c>
      <c r="C312" s="113" t="s">
        <v>1234</v>
      </c>
      <c r="D312" s="188">
        <v>10</v>
      </c>
      <c r="E312" s="82"/>
      <c r="F312" s="82"/>
      <c r="G312" s="82">
        <v>0</v>
      </c>
      <c r="H312" s="82">
        <v>7.74</v>
      </c>
      <c r="I312" s="82">
        <v>19.350000000000001</v>
      </c>
      <c r="J312" s="82">
        <v>0</v>
      </c>
      <c r="K312" s="81">
        <v>0</v>
      </c>
      <c r="L312" s="81">
        <v>0</v>
      </c>
      <c r="M312" s="81">
        <v>38.71</v>
      </c>
      <c r="N312" s="81">
        <v>19.350000000000001</v>
      </c>
      <c r="O312" s="81">
        <v>38.71</v>
      </c>
      <c r="P312" s="81">
        <v>0</v>
      </c>
      <c r="Q312" s="145">
        <f t="shared" si="18"/>
        <v>12.386000000000001</v>
      </c>
      <c r="R312" s="151" t="str">
        <f t="shared" si="19"/>
        <v>NO</v>
      </c>
      <c r="S312" s="152" t="str">
        <f t="shared" si="17"/>
        <v>Bajo</v>
      </c>
      <c r="T312" s="180"/>
    </row>
    <row r="313" spans="1:20" s="178" customFormat="1" ht="32.1" customHeight="1" x14ac:dyDescent="0.2">
      <c r="A313" s="127" t="s">
        <v>217</v>
      </c>
      <c r="B313" s="112" t="s">
        <v>1235</v>
      </c>
      <c r="C313" s="113" t="s">
        <v>1236</v>
      </c>
      <c r="D313" s="188">
        <v>12</v>
      </c>
      <c r="E313" s="82"/>
      <c r="F313" s="82"/>
      <c r="G313" s="82">
        <v>0</v>
      </c>
      <c r="H313" s="82">
        <v>7.74</v>
      </c>
      <c r="I313" s="82">
        <v>19.350000000000001</v>
      </c>
      <c r="J313" s="82">
        <v>0</v>
      </c>
      <c r="K313" s="81">
        <v>0</v>
      </c>
      <c r="L313" s="81">
        <v>0</v>
      </c>
      <c r="M313" s="81">
        <v>38.71</v>
      </c>
      <c r="N313" s="81">
        <v>19.350000000000001</v>
      </c>
      <c r="O313" s="81">
        <v>38.71</v>
      </c>
      <c r="P313" s="81">
        <v>0</v>
      </c>
      <c r="Q313" s="145">
        <f t="shared" si="18"/>
        <v>12.386000000000001</v>
      </c>
      <c r="R313" s="151" t="str">
        <f t="shared" si="19"/>
        <v>NO</v>
      </c>
      <c r="S313" s="152" t="str">
        <f t="shared" si="17"/>
        <v>Bajo</v>
      </c>
      <c r="T313" s="180"/>
    </row>
    <row r="314" spans="1:20" s="178" customFormat="1" ht="32.1" customHeight="1" x14ac:dyDescent="0.2">
      <c r="A314" s="127" t="s">
        <v>217</v>
      </c>
      <c r="B314" s="112" t="s">
        <v>1237</v>
      </c>
      <c r="C314" s="113" t="s">
        <v>1238</v>
      </c>
      <c r="D314" s="188">
        <v>140</v>
      </c>
      <c r="E314" s="82"/>
      <c r="F314" s="82"/>
      <c r="G314" s="82">
        <v>0</v>
      </c>
      <c r="H314" s="82">
        <v>0</v>
      </c>
      <c r="I314" s="82">
        <v>19.350000000000001</v>
      </c>
      <c r="J314" s="82">
        <v>0</v>
      </c>
      <c r="K314" s="81">
        <v>0</v>
      </c>
      <c r="L314" s="81">
        <v>0</v>
      </c>
      <c r="M314" s="81">
        <v>51.61</v>
      </c>
      <c r="N314" s="81">
        <v>0</v>
      </c>
      <c r="O314" s="81">
        <v>0</v>
      </c>
      <c r="P314" s="81">
        <v>0</v>
      </c>
      <c r="Q314" s="145">
        <f t="shared" si="18"/>
        <v>7.096000000000001</v>
      </c>
      <c r="R314" s="151" t="str">
        <f t="shared" si="19"/>
        <v>NO</v>
      </c>
      <c r="S314" s="152" t="str">
        <f t="shared" si="17"/>
        <v>Bajo</v>
      </c>
      <c r="T314" s="180"/>
    </row>
    <row r="315" spans="1:20" s="178" customFormat="1" ht="32.1" customHeight="1" x14ac:dyDescent="0.2">
      <c r="A315" s="127" t="s">
        <v>217</v>
      </c>
      <c r="B315" s="112" t="s">
        <v>1239</v>
      </c>
      <c r="C315" s="113" t="s">
        <v>1240</v>
      </c>
      <c r="D315" s="188">
        <v>116.5194</v>
      </c>
      <c r="E315" s="82"/>
      <c r="F315" s="82"/>
      <c r="G315" s="82">
        <v>19.350000000000001</v>
      </c>
      <c r="H315" s="82">
        <v>19.350000000000001</v>
      </c>
      <c r="I315" s="82"/>
      <c r="J315" s="82">
        <v>0</v>
      </c>
      <c r="K315" s="81">
        <v>0</v>
      </c>
      <c r="L315" s="81">
        <v>51.6</v>
      </c>
      <c r="M315" s="81">
        <v>51.61</v>
      </c>
      <c r="N315" s="81">
        <v>0</v>
      </c>
      <c r="O315" s="81">
        <v>46.45</v>
      </c>
      <c r="P315" s="81">
        <v>51.61</v>
      </c>
      <c r="Q315" s="145">
        <f t="shared" si="18"/>
        <v>26.663333333333338</v>
      </c>
      <c r="R315" s="151" t="str">
        <f t="shared" si="19"/>
        <v>NO</v>
      </c>
      <c r="S315" s="152" t="str">
        <f t="shared" si="17"/>
        <v>Medio</v>
      </c>
      <c r="T315" s="180"/>
    </row>
    <row r="316" spans="1:20" s="178" customFormat="1" ht="32.1" customHeight="1" x14ac:dyDescent="0.2">
      <c r="A316" s="127" t="s">
        <v>217</v>
      </c>
      <c r="B316" s="112" t="s">
        <v>1241</v>
      </c>
      <c r="C316" s="113" t="s">
        <v>1242</v>
      </c>
      <c r="D316" s="188">
        <v>24</v>
      </c>
      <c r="E316" s="82"/>
      <c r="F316" s="82"/>
      <c r="G316" s="82">
        <v>19.350000000000001</v>
      </c>
      <c r="H316" s="82">
        <v>19.350000000000001</v>
      </c>
      <c r="I316" s="82"/>
      <c r="J316" s="82">
        <v>0</v>
      </c>
      <c r="K316" s="81">
        <v>0</v>
      </c>
      <c r="L316" s="81">
        <v>51.6</v>
      </c>
      <c r="M316" s="81">
        <v>51.61</v>
      </c>
      <c r="N316" s="81">
        <v>0</v>
      </c>
      <c r="O316" s="81">
        <v>46.45</v>
      </c>
      <c r="P316" s="81">
        <v>51.61</v>
      </c>
      <c r="Q316" s="145">
        <f t="shared" si="18"/>
        <v>26.663333333333338</v>
      </c>
      <c r="R316" s="151" t="str">
        <f t="shared" si="19"/>
        <v>NO</v>
      </c>
      <c r="S316" s="152" t="str">
        <f t="shared" si="17"/>
        <v>Medio</v>
      </c>
      <c r="T316" s="180"/>
    </row>
    <row r="317" spans="1:20" s="178" customFormat="1" ht="32.1" customHeight="1" x14ac:dyDescent="0.2">
      <c r="A317" s="127" t="s">
        <v>217</v>
      </c>
      <c r="B317" s="112" t="s">
        <v>1217</v>
      </c>
      <c r="C317" s="113" t="s">
        <v>1243</v>
      </c>
      <c r="D317" s="188">
        <v>11</v>
      </c>
      <c r="E317" s="82"/>
      <c r="F317" s="82"/>
      <c r="G317" s="82">
        <v>19.350000000000001</v>
      </c>
      <c r="H317" s="82">
        <v>19.350000000000001</v>
      </c>
      <c r="I317" s="82"/>
      <c r="J317" s="82">
        <v>0</v>
      </c>
      <c r="K317" s="81">
        <v>0</v>
      </c>
      <c r="L317" s="81">
        <v>51.6</v>
      </c>
      <c r="M317" s="81">
        <v>51.61</v>
      </c>
      <c r="N317" s="81">
        <v>0</v>
      </c>
      <c r="O317" s="81">
        <v>46.45</v>
      </c>
      <c r="P317" s="81">
        <v>51.61</v>
      </c>
      <c r="Q317" s="145">
        <f t="shared" si="18"/>
        <v>26.663333333333338</v>
      </c>
      <c r="R317" s="151" t="str">
        <f t="shared" si="19"/>
        <v>NO</v>
      </c>
      <c r="S317" s="152" t="str">
        <f t="shared" si="17"/>
        <v>Medio</v>
      </c>
      <c r="T317" s="180"/>
    </row>
    <row r="318" spans="1:20" s="178" customFormat="1" ht="32.1" customHeight="1" x14ac:dyDescent="0.2">
      <c r="A318" s="127" t="s">
        <v>217</v>
      </c>
      <c r="B318" s="112" t="s">
        <v>1217</v>
      </c>
      <c r="C318" s="113" t="s">
        <v>1244</v>
      </c>
      <c r="D318" s="188">
        <v>119</v>
      </c>
      <c r="E318" s="82"/>
      <c r="F318" s="82"/>
      <c r="G318" s="82">
        <v>51.61</v>
      </c>
      <c r="H318" s="82">
        <v>7.74</v>
      </c>
      <c r="I318" s="82">
        <v>51.61</v>
      </c>
      <c r="J318" s="82">
        <v>0</v>
      </c>
      <c r="K318" s="81">
        <v>27.1</v>
      </c>
      <c r="L318" s="81">
        <v>27.1</v>
      </c>
      <c r="M318" s="81">
        <v>46.45</v>
      </c>
      <c r="N318" s="81">
        <v>46.45</v>
      </c>
      <c r="O318" s="81">
        <v>38.71</v>
      </c>
      <c r="P318" s="81">
        <v>0</v>
      </c>
      <c r="Q318" s="145">
        <f t="shared" si="18"/>
        <v>29.677</v>
      </c>
      <c r="R318" s="151" t="str">
        <f t="shared" si="19"/>
        <v>NO</v>
      </c>
      <c r="S318" s="152" t="str">
        <f t="shared" ref="S318:S381" si="20">IF(Q318&lt;5,"Sin Riesgo",IF(Q318 &lt;=14,"Bajo",IF(Q318&lt;=35,"Medio",IF(Q318&lt;=80,"Alto","Inviable Sanitariamente"))))</f>
        <v>Medio</v>
      </c>
      <c r="T318" s="180"/>
    </row>
    <row r="319" spans="1:20" s="178" customFormat="1" ht="32.1" customHeight="1" x14ac:dyDescent="0.2">
      <c r="A319" s="127" t="s">
        <v>217</v>
      </c>
      <c r="B319" s="112" t="s">
        <v>1245</v>
      </c>
      <c r="C319" s="113" t="s">
        <v>1246</v>
      </c>
      <c r="D319" s="188">
        <v>35</v>
      </c>
      <c r="E319" s="82"/>
      <c r="F319" s="82"/>
      <c r="G319" s="82">
        <v>51.61</v>
      </c>
      <c r="H319" s="82">
        <v>7.74</v>
      </c>
      <c r="I319" s="82">
        <v>51.61</v>
      </c>
      <c r="J319" s="82">
        <v>0</v>
      </c>
      <c r="K319" s="81">
        <v>27.1</v>
      </c>
      <c r="L319" s="81">
        <v>27.1</v>
      </c>
      <c r="M319" s="81">
        <v>46.45</v>
      </c>
      <c r="N319" s="81">
        <v>46.45</v>
      </c>
      <c r="O319" s="81">
        <v>38.71</v>
      </c>
      <c r="P319" s="81">
        <v>0</v>
      </c>
      <c r="Q319" s="145">
        <f t="shared" si="18"/>
        <v>29.677</v>
      </c>
      <c r="R319" s="151" t="str">
        <f t="shared" si="19"/>
        <v>NO</v>
      </c>
      <c r="S319" s="152" t="str">
        <f t="shared" si="20"/>
        <v>Medio</v>
      </c>
      <c r="T319" s="180"/>
    </row>
    <row r="320" spans="1:20" s="178" customFormat="1" ht="32.1" customHeight="1" x14ac:dyDescent="0.2">
      <c r="A320" s="127" t="s">
        <v>217</v>
      </c>
      <c r="B320" s="112" t="s">
        <v>1225</v>
      </c>
      <c r="C320" s="113" t="s">
        <v>1247</v>
      </c>
      <c r="D320" s="188">
        <v>21</v>
      </c>
      <c r="E320" s="82"/>
      <c r="F320" s="82"/>
      <c r="G320" s="82">
        <v>51.61</v>
      </c>
      <c r="H320" s="82">
        <v>7.74</v>
      </c>
      <c r="I320" s="82">
        <v>51.61</v>
      </c>
      <c r="J320" s="82">
        <v>0</v>
      </c>
      <c r="K320" s="81">
        <v>27.1</v>
      </c>
      <c r="L320" s="81">
        <v>27.1</v>
      </c>
      <c r="M320" s="81">
        <v>46.45</v>
      </c>
      <c r="N320" s="81">
        <v>46.45</v>
      </c>
      <c r="O320" s="81">
        <v>38.71</v>
      </c>
      <c r="P320" s="81">
        <v>0</v>
      </c>
      <c r="Q320" s="145">
        <f t="shared" si="18"/>
        <v>29.677</v>
      </c>
      <c r="R320" s="151" t="str">
        <f t="shared" si="19"/>
        <v>NO</v>
      </c>
      <c r="S320" s="152" t="str">
        <f t="shared" si="20"/>
        <v>Medio</v>
      </c>
      <c r="T320" s="180"/>
    </row>
    <row r="321" spans="1:20" s="178" customFormat="1" ht="32.1" customHeight="1" x14ac:dyDescent="0.2">
      <c r="A321" s="127" t="s">
        <v>217</v>
      </c>
      <c r="B321" s="112" t="s">
        <v>1239</v>
      </c>
      <c r="C321" s="113" t="s">
        <v>1248</v>
      </c>
      <c r="D321" s="188">
        <v>14</v>
      </c>
      <c r="E321" s="82"/>
      <c r="F321" s="82"/>
      <c r="G321" s="82">
        <v>51.61</v>
      </c>
      <c r="H321" s="82">
        <v>7.74</v>
      </c>
      <c r="I321" s="82">
        <v>51.61</v>
      </c>
      <c r="J321" s="82">
        <v>0</v>
      </c>
      <c r="K321" s="81">
        <v>27.1</v>
      </c>
      <c r="L321" s="81">
        <v>27.1</v>
      </c>
      <c r="M321" s="81">
        <v>46.45</v>
      </c>
      <c r="N321" s="81">
        <v>46.45</v>
      </c>
      <c r="O321" s="81">
        <v>38.71</v>
      </c>
      <c r="P321" s="81">
        <v>0</v>
      </c>
      <c r="Q321" s="145">
        <f t="shared" si="18"/>
        <v>29.677</v>
      </c>
      <c r="R321" s="151" t="str">
        <f t="shared" si="19"/>
        <v>NO</v>
      </c>
      <c r="S321" s="152" t="str">
        <f t="shared" si="20"/>
        <v>Medio</v>
      </c>
      <c r="T321" s="180"/>
    </row>
    <row r="322" spans="1:20" s="178" customFormat="1" ht="32.1" customHeight="1" x14ac:dyDescent="0.2">
      <c r="A322" s="127" t="s">
        <v>217</v>
      </c>
      <c r="B322" s="112" t="s">
        <v>1249</v>
      </c>
      <c r="C322" s="113" t="s">
        <v>1250</v>
      </c>
      <c r="D322" s="188">
        <v>33</v>
      </c>
      <c r="E322" s="82"/>
      <c r="F322" s="82"/>
      <c r="G322" s="82">
        <v>0</v>
      </c>
      <c r="H322" s="82">
        <v>7.74</v>
      </c>
      <c r="I322" s="82">
        <v>27.1</v>
      </c>
      <c r="J322" s="82">
        <v>19.350000000000001</v>
      </c>
      <c r="K322" s="81">
        <v>27.1</v>
      </c>
      <c r="L322" s="81">
        <v>0</v>
      </c>
      <c r="M322" s="81">
        <v>78.709999999999994</v>
      </c>
      <c r="N322" s="81">
        <v>0</v>
      </c>
      <c r="O322" s="81">
        <v>0</v>
      </c>
      <c r="P322" s="81">
        <v>0</v>
      </c>
      <c r="Q322" s="145">
        <f t="shared" si="18"/>
        <v>16</v>
      </c>
      <c r="R322" s="151" t="str">
        <f t="shared" si="19"/>
        <v>NO</v>
      </c>
      <c r="S322" s="152" t="str">
        <f t="shared" si="20"/>
        <v>Medio</v>
      </c>
      <c r="T322" s="180"/>
    </row>
    <row r="323" spans="1:20" s="178" customFormat="1" ht="32.1" customHeight="1" x14ac:dyDescent="0.2">
      <c r="A323" s="127" t="s">
        <v>217</v>
      </c>
      <c r="B323" s="112" t="s">
        <v>1251</v>
      </c>
      <c r="C323" s="113" t="s">
        <v>1252</v>
      </c>
      <c r="D323" s="188">
        <v>155</v>
      </c>
      <c r="E323" s="82"/>
      <c r="F323" s="82"/>
      <c r="G323" s="82">
        <v>0</v>
      </c>
      <c r="H323" s="82">
        <v>0</v>
      </c>
      <c r="I323" s="82">
        <v>38.71</v>
      </c>
      <c r="J323" s="82">
        <v>0</v>
      </c>
      <c r="K323" s="81">
        <v>0</v>
      </c>
      <c r="L323" s="81">
        <v>0</v>
      </c>
      <c r="M323" s="81">
        <v>51.61</v>
      </c>
      <c r="N323" s="81">
        <v>0</v>
      </c>
      <c r="O323" s="81">
        <v>19.350000000000001</v>
      </c>
      <c r="P323" s="81">
        <v>19.350000000000001</v>
      </c>
      <c r="Q323" s="145">
        <f t="shared" si="18"/>
        <v>12.901999999999997</v>
      </c>
      <c r="R323" s="151" t="str">
        <f t="shared" si="19"/>
        <v>NO</v>
      </c>
      <c r="S323" s="152" t="str">
        <f t="shared" si="20"/>
        <v>Bajo</v>
      </c>
      <c r="T323" s="180"/>
    </row>
    <row r="324" spans="1:20" s="178" customFormat="1" ht="32.1" customHeight="1" x14ac:dyDescent="0.2">
      <c r="A324" s="127" t="s">
        <v>217</v>
      </c>
      <c r="B324" s="112" t="s">
        <v>1253</v>
      </c>
      <c r="C324" s="113" t="s">
        <v>1254</v>
      </c>
      <c r="D324" s="188">
        <v>99</v>
      </c>
      <c r="E324" s="82"/>
      <c r="F324" s="82"/>
      <c r="G324" s="82">
        <v>0</v>
      </c>
      <c r="H324" s="82">
        <v>0</v>
      </c>
      <c r="I324" s="82">
        <v>38.71</v>
      </c>
      <c r="J324" s="82">
        <v>0</v>
      </c>
      <c r="K324" s="81">
        <v>0</v>
      </c>
      <c r="L324" s="81">
        <v>0</v>
      </c>
      <c r="M324" s="81">
        <v>51.61</v>
      </c>
      <c r="N324" s="81">
        <v>0</v>
      </c>
      <c r="O324" s="81">
        <v>19.350000000000001</v>
      </c>
      <c r="P324" s="81">
        <v>19.350000000000001</v>
      </c>
      <c r="Q324" s="145">
        <f t="shared" ref="Q324:Q387" si="21">AVERAGE(E324:P324)</f>
        <v>12.901999999999997</v>
      </c>
      <c r="R324" s="151" t="str">
        <f t="shared" si="19"/>
        <v>NO</v>
      </c>
      <c r="S324" s="152" t="str">
        <f t="shared" si="20"/>
        <v>Bajo</v>
      </c>
      <c r="T324" s="180"/>
    </row>
    <row r="325" spans="1:20" s="178" customFormat="1" ht="32.1" customHeight="1" x14ac:dyDescent="0.2">
      <c r="A325" s="127" t="s">
        <v>217</v>
      </c>
      <c r="B325" s="112" t="s">
        <v>1255</v>
      </c>
      <c r="C325" s="113" t="s">
        <v>1256</v>
      </c>
      <c r="D325" s="188">
        <v>128</v>
      </c>
      <c r="E325" s="82"/>
      <c r="F325" s="82"/>
      <c r="G325" s="82">
        <v>0</v>
      </c>
      <c r="H325" s="82">
        <v>0</v>
      </c>
      <c r="I325" s="82">
        <v>27.1</v>
      </c>
      <c r="J325" s="82">
        <v>0</v>
      </c>
      <c r="K325" s="81">
        <v>19.350000000000001</v>
      </c>
      <c r="L325" s="81">
        <v>0</v>
      </c>
      <c r="M325" s="81">
        <v>46.45</v>
      </c>
      <c r="N325" s="81">
        <v>19.350000000000001</v>
      </c>
      <c r="O325" s="81">
        <v>0</v>
      </c>
      <c r="P325" s="81">
        <v>0</v>
      </c>
      <c r="Q325" s="145">
        <f t="shared" si="21"/>
        <v>11.225</v>
      </c>
      <c r="R325" s="151" t="str">
        <f t="shared" si="19"/>
        <v>NO</v>
      </c>
      <c r="S325" s="152" t="str">
        <f t="shared" si="20"/>
        <v>Bajo</v>
      </c>
      <c r="T325" s="180"/>
    </row>
    <row r="326" spans="1:20" s="178" customFormat="1" ht="32.1" customHeight="1" x14ac:dyDescent="0.2">
      <c r="A326" s="127" t="s">
        <v>217</v>
      </c>
      <c r="B326" s="112" t="s">
        <v>1257</v>
      </c>
      <c r="C326" s="113" t="s">
        <v>1258</v>
      </c>
      <c r="D326" s="188">
        <v>26</v>
      </c>
      <c r="E326" s="82"/>
      <c r="F326" s="82"/>
      <c r="G326" s="82">
        <v>0</v>
      </c>
      <c r="H326" s="82">
        <v>0</v>
      </c>
      <c r="I326" s="82">
        <v>27.1</v>
      </c>
      <c r="J326" s="82">
        <v>0</v>
      </c>
      <c r="K326" s="81">
        <v>19.350000000000001</v>
      </c>
      <c r="L326" s="81">
        <v>0</v>
      </c>
      <c r="M326" s="81">
        <v>46.45</v>
      </c>
      <c r="N326" s="81">
        <v>19.350000000000001</v>
      </c>
      <c r="O326" s="81">
        <v>0</v>
      </c>
      <c r="P326" s="81">
        <v>0</v>
      </c>
      <c r="Q326" s="145">
        <f t="shared" si="21"/>
        <v>11.225</v>
      </c>
      <c r="R326" s="151" t="str">
        <f t="shared" si="19"/>
        <v>NO</v>
      </c>
      <c r="S326" s="152" t="str">
        <f t="shared" si="20"/>
        <v>Bajo</v>
      </c>
      <c r="T326" s="180"/>
    </row>
    <row r="327" spans="1:20" s="178" customFormat="1" ht="32.1" customHeight="1" x14ac:dyDescent="0.2">
      <c r="A327" s="127" t="s">
        <v>217</v>
      </c>
      <c r="B327" s="112" t="s">
        <v>1182</v>
      </c>
      <c r="C327" s="113" t="s">
        <v>1259</v>
      </c>
      <c r="D327" s="188">
        <v>21</v>
      </c>
      <c r="E327" s="82"/>
      <c r="F327" s="82"/>
      <c r="G327" s="82">
        <v>0</v>
      </c>
      <c r="H327" s="82">
        <v>0</v>
      </c>
      <c r="I327" s="82">
        <v>27.1</v>
      </c>
      <c r="J327" s="82">
        <v>0</v>
      </c>
      <c r="K327" s="82">
        <v>19.350000000000001</v>
      </c>
      <c r="L327" s="82">
        <v>0</v>
      </c>
      <c r="M327" s="82">
        <v>46.45</v>
      </c>
      <c r="N327" s="82">
        <v>19.350000000000001</v>
      </c>
      <c r="O327" s="82">
        <v>0</v>
      </c>
      <c r="P327" s="82">
        <v>0</v>
      </c>
      <c r="Q327" s="145">
        <f t="shared" si="21"/>
        <v>11.225</v>
      </c>
      <c r="R327" s="151" t="str">
        <f t="shared" si="19"/>
        <v>NO</v>
      </c>
      <c r="S327" s="152" t="str">
        <f t="shared" si="20"/>
        <v>Bajo</v>
      </c>
      <c r="T327" s="180"/>
    </row>
    <row r="328" spans="1:20" s="178" customFormat="1" ht="32.1" customHeight="1" x14ac:dyDescent="0.2">
      <c r="A328" s="127" t="s">
        <v>217</v>
      </c>
      <c r="B328" s="112" t="s">
        <v>1147</v>
      </c>
      <c r="C328" s="113" t="s">
        <v>1260</v>
      </c>
      <c r="D328" s="188">
        <v>16</v>
      </c>
      <c r="E328" s="82"/>
      <c r="F328" s="82"/>
      <c r="G328" s="82">
        <v>0</v>
      </c>
      <c r="H328" s="82">
        <v>0</v>
      </c>
      <c r="I328" s="82">
        <v>27.1</v>
      </c>
      <c r="J328" s="82">
        <v>0</v>
      </c>
      <c r="K328" s="82">
        <v>19.350000000000001</v>
      </c>
      <c r="L328" s="82">
        <v>0</v>
      </c>
      <c r="M328" s="82">
        <v>46.45</v>
      </c>
      <c r="N328" s="82">
        <v>19.350000000000001</v>
      </c>
      <c r="O328" s="82">
        <v>0</v>
      </c>
      <c r="P328" s="82">
        <v>0</v>
      </c>
      <c r="Q328" s="145">
        <f t="shared" si="21"/>
        <v>11.225</v>
      </c>
      <c r="R328" s="151" t="str">
        <f t="shared" si="19"/>
        <v>NO</v>
      </c>
      <c r="S328" s="152" t="str">
        <f t="shared" si="20"/>
        <v>Bajo</v>
      </c>
      <c r="T328" s="180"/>
    </row>
    <row r="329" spans="1:20" s="178" customFormat="1" ht="32.1" customHeight="1" x14ac:dyDescent="0.2">
      <c r="A329" s="127" t="s">
        <v>217</v>
      </c>
      <c r="B329" s="112" t="s">
        <v>1249</v>
      </c>
      <c r="C329" s="113" t="s">
        <v>1261</v>
      </c>
      <c r="D329" s="188">
        <v>34</v>
      </c>
      <c r="E329" s="82"/>
      <c r="F329" s="82"/>
      <c r="G329" s="82">
        <v>0</v>
      </c>
      <c r="H329" s="82">
        <v>0</v>
      </c>
      <c r="I329" s="82">
        <v>27.1</v>
      </c>
      <c r="J329" s="82">
        <v>0</v>
      </c>
      <c r="K329" s="82">
        <v>19.350000000000001</v>
      </c>
      <c r="L329" s="82">
        <v>0</v>
      </c>
      <c r="M329" s="82">
        <v>46.45</v>
      </c>
      <c r="N329" s="82">
        <v>19.350000000000001</v>
      </c>
      <c r="O329" s="82">
        <v>0</v>
      </c>
      <c r="P329" s="82">
        <v>0</v>
      </c>
      <c r="Q329" s="145">
        <f t="shared" si="21"/>
        <v>11.225</v>
      </c>
      <c r="R329" s="151" t="str">
        <f t="shared" si="19"/>
        <v>NO</v>
      </c>
      <c r="S329" s="152" t="str">
        <f t="shared" si="20"/>
        <v>Bajo</v>
      </c>
      <c r="T329" s="180"/>
    </row>
    <row r="330" spans="1:20" s="178" customFormat="1" ht="32.1" customHeight="1" x14ac:dyDescent="0.2">
      <c r="A330" s="127" t="s">
        <v>217</v>
      </c>
      <c r="B330" s="112" t="s">
        <v>1213</v>
      </c>
      <c r="C330" s="113" t="s">
        <v>1262</v>
      </c>
      <c r="D330" s="188">
        <v>13</v>
      </c>
      <c r="E330" s="82"/>
      <c r="F330" s="82"/>
      <c r="G330" s="82">
        <v>0</v>
      </c>
      <c r="H330" s="82">
        <v>0</v>
      </c>
      <c r="I330" s="82">
        <v>27.1</v>
      </c>
      <c r="J330" s="82">
        <v>0</v>
      </c>
      <c r="K330" s="82">
        <v>19.350000000000001</v>
      </c>
      <c r="L330" s="82">
        <v>0</v>
      </c>
      <c r="M330" s="82">
        <v>46.45</v>
      </c>
      <c r="N330" s="82">
        <v>19.350000000000001</v>
      </c>
      <c r="O330" s="82">
        <v>0</v>
      </c>
      <c r="P330" s="82">
        <v>0</v>
      </c>
      <c r="Q330" s="145">
        <f t="shared" si="21"/>
        <v>11.225</v>
      </c>
      <c r="R330" s="151" t="str">
        <f t="shared" si="19"/>
        <v>NO</v>
      </c>
      <c r="S330" s="152" t="str">
        <f t="shared" si="20"/>
        <v>Bajo</v>
      </c>
      <c r="T330" s="180"/>
    </row>
    <row r="331" spans="1:20" s="178" customFormat="1" ht="32.1" customHeight="1" x14ac:dyDescent="0.2">
      <c r="A331" s="127" t="s">
        <v>217</v>
      </c>
      <c r="B331" s="156" t="s">
        <v>1263</v>
      </c>
      <c r="C331" s="113" t="s">
        <v>1264</v>
      </c>
      <c r="D331" s="116">
        <v>56</v>
      </c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145" t="e">
        <f t="shared" si="21"/>
        <v>#DIV/0!</v>
      </c>
      <c r="R331" s="165" t="e">
        <f t="shared" si="19"/>
        <v>#DIV/0!</v>
      </c>
      <c r="S331" s="152" t="e">
        <f t="shared" si="20"/>
        <v>#DIV/0!</v>
      </c>
      <c r="T331" s="180"/>
    </row>
    <row r="332" spans="1:20" s="178" customFormat="1" ht="32.1" customHeight="1" x14ac:dyDescent="0.2">
      <c r="A332" s="127" t="s">
        <v>218</v>
      </c>
      <c r="B332" s="99" t="s">
        <v>674</v>
      </c>
      <c r="C332" s="113" t="s">
        <v>1265</v>
      </c>
      <c r="D332" s="121">
        <v>38</v>
      </c>
      <c r="E332" s="82"/>
      <c r="F332" s="82"/>
      <c r="G332" s="82"/>
      <c r="H332" s="82">
        <v>53.1</v>
      </c>
      <c r="I332" s="82"/>
      <c r="J332" s="82"/>
      <c r="K332" s="82"/>
      <c r="L332" s="82"/>
      <c r="M332" s="82"/>
      <c r="N332" s="82"/>
      <c r="O332" s="82"/>
      <c r="P332" s="82"/>
      <c r="Q332" s="145">
        <f t="shared" si="21"/>
        <v>53.1</v>
      </c>
      <c r="R332" s="151" t="str">
        <f t="shared" si="19"/>
        <v>NO</v>
      </c>
      <c r="S332" s="152" t="str">
        <f t="shared" si="20"/>
        <v>Alto</v>
      </c>
      <c r="T332" s="180"/>
    </row>
    <row r="333" spans="1:20" s="178" customFormat="1" ht="32.1" customHeight="1" x14ac:dyDescent="0.2">
      <c r="A333" s="127" t="s">
        <v>218</v>
      </c>
      <c r="B333" s="99" t="s">
        <v>1266</v>
      </c>
      <c r="C333" s="113" t="s">
        <v>1267</v>
      </c>
      <c r="D333" s="121">
        <v>490</v>
      </c>
      <c r="E333" s="82"/>
      <c r="F333" s="82"/>
      <c r="G333" s="82">
        <v>0</v>
      </c>
      <c r="H333" s="82">
        <v>0</v>
      </c>
      <c r="I333" s="82"/>
      <c r="J333" s="82">
        <v>0</v>
      </c>
      <c r="K333" s="82"/>
      <c r="L333" s="82"/>
      <c r="M333" s="82">
        <v>0</v>
      </c>
      <c r="N333" s="82"/>
      <c r="O333" s="82">
        <v>0</v>
      </c>
      <c r="P333" s="82">
        <v>0</v>
      </c>
      <c r="Q333" s="145">
        <f t="shared" si="21"/>
        <v>0</v>
      </c>
      <c r="R333" s="151" t="str">
        <f t="shared" si="19"/>
        <v>SI</v>
      </c>
      <c r="S333" s="152" t="str">
        <f t="shared" si="20"/>
        <v>Sin Riesgo</v>
      </c>
      <c r="T333" s="180"/>
    </row>
    <row r="334" spans="1:20" s="178" customFormat="1" ht="32.1" customHeight="1" x14ac:dyDescent="0.2">
      <c r="A334" s="127" t="s">
        <v>218</v>
      </c>
      <c r="B334" s="99" t="s">
        <v>5</v>
      </c>
      <c r="C334" s="113" t="s">
        <v>1268</v>
      </c>
      <c r="D334" s="121">
        <v>256</v>
      </c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>
        <v>97.35</v>
      </c>
      <c r="Q334" s="145">
        <f t="shared" si="21"/>
        <v>97.35</v>
      </c>
      <c r="R334" s="151" t="str">
        <f t="shared" si="19"/>
        <v>NO</v>
      </c>
      <c r="S334" s="152" t="str">
        <f t="shared" si="20"/>
        <v>Inviable Sanitariamente</v>
      </c>
      <c r="T334" s="180"/>
    </row>
    <row r="335" spans="1:20" s="178" customFormat="1" ht="32.1" customHeight="1" x14ac:dyDescent="0.2">
      <c r="A335" s="127" t="s">
        <v>218</v>
      </c>
      <c r="B335" s="99" t="s">
        <v>51</v>
      </c>
      <c r="C335" s="113" t="s">
        <v>1269</v>
      </c>
      <c r="D335" s="121">
        <v>135</v>
      </c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>
        <v>97.35</v>
      </c>
      <c r="P335" s="82"/>
      <c r="Q335" s="145">
        <f t="shared" si="21"/>
        <v>97.35</v>
      </c>
      <c r="R335" s="151" t="str">
        <f t="shared" si="19"/>
        <v>NO</v>
      </c>
      <c r="S335" s="152" t="str">
        <f t="shared" si="20"/>
        <v>Inviable Sanitariamente</v>
      </c>
      <c r="T335" s="180"/>
    </row>
    <row r="336" spans="1:20" s="178" customFormat="1" ht="50.1" customHeight="1" x14ac:dyDescent="0.2">
      <c r="A336" s="127" t="s">
        <v>45</v>
      </c>
      <c r="B336" s="99" t="s">
        <v>1270</v>
      </c>
      <c r="C336" s="113" t="s">
        <v>4394</v>
      </c>
      <c r="D336" s="121">
        <v>56</v>
      </c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145" t="e">
        <f t="shared" si="21"/>
        <v>#DIV/0!</v>
      </c>
      <c r="R336" s="151" t="e">
        <f t="shared" si="19"/>
        <v>#DIV/0!</v>
      </c>
      <c r="S336" s="152" t="e">
        <f t="shared" si="20"/>
        <v>#DIV/0!</v>
      </c>
      <c r="T336" s="180"/>
    </row>
    <row r="337" spans="1:20" s="178" customFormat="1" ht="50.1" customHeight="1" x14ac:dyDescent="0.2">
      <c r="A337" s="127" t="s">
        <v>45</v>
      </c>
      <c r="B337" s="99" t="s">
        <v>1270</v>
      </c>
      <c r="C337" s="113" t="s">
        <v>4395</v>
      </c>
      <c r="D337" s="121">
        <v>198</v>
      </c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145" t="e">
        <f t="shared" si="21"/>
        <v>#DIV/0!</v>
      </c>
      <c r="R337" s="151" t="e">
        <f t="shared" si="19"/>
        <v>#DIV/0!</v>
      </c>
      <c r="S337" s="152" t="e">
        <f t="shared" si="20"/>
        <v>#DIV/0!</v>
      </c>
      <c r="T337" s="180"/>
    </row>
    <row r="338" spans="1:20" s="178" customFormat="1" ht="50.1" customHeight="1" x14ac:dyDescent="0.2">
      <c r="A338" s="127" t="s">
        <v>45</v>
      </c>
      <c r="B338" s="99" t="s">
        <v>1271</v>
      </c>
      <c r="C338" s="113" t="s">
        <v>4396</v>
      </c>
      <c r="D338" s="121">
        <v>50</v>
      </c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145" t="e">
        <f t="shared" si="21"/>
        <v>#DIV/0!</v>
      </c>
      <c r="R338" s="151" t="e">
        <f t="shared" si="19"/>
        <v>#DIV/0!</v>
      </c>
      <c r="S338" s="152" t="e">
        <f t="shared" si="20"/>
        <v>#DIV/0!</v>
      </c>
      <c r="T338" s="180"/>
    </row>
    <row r="339" spans="1:20" s="178" customFormat="1" ht="50.1" customHeight="1" x14ac:dyDescent="0.2">
      <c r="A339" s="127" t="s">
        <v>45</v>
      </c>
      <c r="B339" s="99" t="s">
        <v>1272</v>
      </c>
      <c r="C339" s="113" t="s">
        <v>4397</v>
      </c>
      <c r="D339" s="121">
        <v>30</v>
      </c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145" t="e">
        <f t="shared" si="21"/>
        <v>#DIV/0!</v>
      </c>
      <c r="R339" s="151" t="e">
        <f t="shared" si="19"/>
        <v>#DIV/0!</v>
      </c>
      <c r="S339" s="152" t="e">
        <f t="shared" si="20"/>
        <v>#DIV/0!</v>
      </c>
      <c r="T339" s="180"/>
    </row>
    <row r="340" spans="1:20" s="178" customFormat="1" ht="50.1" customHeight="1" x14ac:dyDescent="0.2">
      <c r="A340" s="127" t="s">
        <v>45</v>
      </c>
      <c r="B340" s="99" t="s">
        <v>1273</v>
      </c>
      <c r="C340" s="113" t="s">
        <v>4398</v>
      </c>
      <c r="D340" s="121">
        <v>25</v>
      </c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145" t="e">
        <f t="shared" si="21"/>
        <v>#DIV/0!</v>
      </c>
      <c r="R340" s="151" t="e">
        <f t="shared" si="19"/>
        <v>#DIV/0!</v>
      </c>
      <c r="S340" s="152" t="e">
        <f t="shared" si="20"/>
        <v>#DIV/0!</v>
      </c>
      <c r="T340" s="180"/>
    </row>
    <row r="341" spans="1:20" s="178" customFormat="1" ht="50.1" customHeight="1" x14ac:dyDescent="0.2">
      <c r="A341" s="127" t="s">
        <v>45</v>
      </c>
      <c r="B341" s="99" t="s">
        <v>1274</v>
      </c>
      <c r="C341" s="113" t="s">
        <v>4399</v>
      </c>
      <c r="D341" s="121">
        <v>82</v>
      </c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145" t="e">
        <f t="shared" si="21"/>
        <v>#DIV/0!</v>
      </c>
      <c r="R341" s="151" t="e">
        <f t="shared" si="19"/>
        <v>#DIV/0!</v>
      </c>
      <c r="S341" s="152" t="e">
        <f t="shared" si="20"/>
        <v>#DIV/0!</v>
      </c>
      <c r="T341" s="180"/>
    </row>
    <row r="342" spans="1:20" s="178" customFormat="1" ht="50.1" customHeight="1" x14ac:dyDescent="0.2">
      <c r="A342" s="127" t="s">
        <v>45</v>
      </c>
      <c r="B342" s="99" t="s">
        <v>1274</v>
      </c>
      <c r="C342" s="113" t="s">
        <v>4400</v>
      </c>
      <c r="D342" s="121">
        <v>82</v>
      </c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145" t="e">
        <f t="shared" si="21"/>
        <v>#DIV/0!</v>
      </c>
      <c r="R342" s="151" t="e">
        <f t="shared" si="19"/>
        <v>#DIV/0!</v>
      </c>
      <c r="S342" s="152" t="e">
        <f t="shared" si="20"/>
        <v>#DIV/0!</v>
      </c>
      <c r="T342" s="180"/>
    </row>
    <row r="343" spans="1:20" s="178" customFormat="1" ht="50.1" customHeight="1" x14ac:dyDescent="0.2">
      <c r="A343" s="127" t="s">
        <v>45</v>
      </c>
      <c r="B343" s="99" t="s">
        <v>1274</v>
      </c>
      <c r="C343" s="113" t="s">
        <v>4401</v>
      </c>
      <c r="D343" s="116">
        <v>82</v>
      </c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145" t="e">
        <f t="shared" si="21"/>
        <v>#DIV/0!</v>
      </c>
      <c r="R343" s="151" t="e">
        <f t="shared" si="19"/>
        <v>#DIV/0!</v>
      </c>
      <c r="S343" s="152" t="e">
        <f t="shared" si="20"/>
        <v>#DIV/0!</v>
      </c>
      <c r="T343" s="180"/>
    </row>
    <row r="344" spans="1:20" s="178" customFormat="1" ht="50.1" customHeight="1" x14ac:dyDescent="0.2">
      <c r="A344" s="127" t="s">
        <v>45</v>
      </c>
      <c r="B344" s="99" t="s">
        <v>1275</v>
      </c>
      <c r="C344" s="113" t="s">
        <v>4402</v>
      </c>
      <c r="D344" s="121">
        <v>130</v>
      </c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145" t="e">
        <f t="shared" si="21"/>
        <v>#DIV/0!</v>
      </c>
      <c r="R344" s="151" t="e">
        <f t="shared" si="19"/>
        <v>#DIV/0!</v>
      </c>
      <c r="S344" s="152" t="e">
        <f t="shared" si="20"/>
        <v>#DIV/0!</v>
      </c>
      <c r="T344" s="180"/>
    </row>
    <row r="345" spans="1:20" s="178" customFormat="1" ht="50.1" customHeight="1" x14ac:dyDescent="0.2">
      <c r="A345" s="127" t="s">
        <v>45</v>
      </c>
      <c r="B345" s="99" t="s">
        <v>1276</v>
      </c>
      <c r="C345" s="113" t="s">
        <v>4403</v>
      </c>
      <c r="D345" s="121">
        <v>125</v>
      </c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145" t="e">
        <f t="shared" si="21"/>
        <v>#DIV/0!</v>
      </c>
      <c r="R345" s="151" t="e">
        <f t="shared" si="19"/>
        <v>#DIV/0!</v>
      </c>
      <c r="S345" s="152" t="e">
        <f t="shared" si="20"/>
        <v>#DIV/0!</v>
      </c>
      <c r="T345" s="180"/>
    </row>
    <row r="346" spans="1:20" s="178" customFormat="1" ht="50.1" customHeight="1" x14ac:dyDescent="0.2">
      <c r="A346" s="127" t="s">
        <v>45</v>
      </c>
      <c r="B346" s="99" t="s">
        <v>1277</v>
      </c>
      <c r="C346" s="113" t="s">
        <v>4404</v>
      </c>
      <c r="D346" s="116">
        <v>114</v>
      </c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145" t="e">
        <f t="shared" si="21"/>
        <v>#DIV/0!</v>
      </c>
      <c r="R346" s="151" t="e">
        <f t="shared" si="19"/>
        <v>#DIV/0!</v>
      </c>
      <c r="S346" s="152" t="e">
        <f t="shared" si="20"/>
        <v>#DIV/0!</v>
      </c>
      <c r="T346" s="180"/>
    </row>
    <row r="347" spans="1:20" s="178" customFormat="1" ht="50.1" customHeight="1" x14ac:dyDescent="0.2">
      <c r="A347" s="127" t="s">
        <v>45</v>
      </c>
      <c r="B347" s="99" t="s">
        <v>1278</v>
      </c>
      <c r="C347" s="113" t="s">
        <v>4405</v>
      </c>
      <c r="D347" s="121">
        <v>30</v>
      </c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145" t="e">
        <f t="shared" si="21"/>
        <v>#DIV/0!</v>
      </c>
      <c r="R347" s="151" t="e">
        <f t="shared" si="19"/>
        <v>#DIV/0!</v>
      </c>
      <c r="S347" s="152" t="e">
        <f t="shared" si="20"/>
        <v>#DIV/0!</v>
      </c>
      <c r="T347" s="180"/>
    </row>
    <row r="348" spans="1:20" s="178" customFormat="1" ht="50.1" customHeight="1" x14ac:dyDescent="0.2">
      <c r="A348" s="127" t="s">
        <v>45</v>
      </c>
      <c r="B348" s="99" t="s">
        <v>1279</v>
      </c>
      <c r="C348" s="113" t="s">
        <v>4406</v>
      </c>
      <c r="D348" s="121">
        <v>70</v>
      </c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145" t="e">
        <f t="shared" si="21"/>
        <v>#DIV/0!</v>
      </c>
      <c r="R348" s="151" t="e">
        <f t="shared" si="19"/>
        <v>#DIV/0!</v>
      </c>
      <c r="S348" s="152" t="e">
        <f t="shared" si="20"/>
        <v>#DIV/0!</v>
      </c>
      <c r="T348" s="180"/>
    </row>
    <row r="349" spans="1:20" s="178" customFormat="1" ht="50.1" customHeight="1" x14ac:dyDescent="0.2">
      <c r="A349" s="127" t="s">
        <v>45</v>
      </c>
      <c r="B349" s="99" t="s">
        <v>1280</v>
      </c>
      <c r="C349" s="113" t="s">
        <v>4407</v>
      </c>
      <c r="D349" s="116">
        <v>30</v>
      </c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145" t="e">
        <f t="shared" si="21"/>
        <v>#DIV/0!</v>
      </c>
      <c r="R349" s="151" t="e">
        <f t="shared" si="19"/>
        <v>#DIV/0!</v>
      </c>
      <c r="S349" s="152" t="e">
        <f t="shared" si="20"/>
        <v>#DIV/0!</v>
      </c>
      <c r="T349" s="180"/>
    </row>
    <row r="350" spans="1:20" s="178" customFormat="1" ht="50.1" customHeight="1" x14ac:dyDescent="0.2">
      <c r="A350" s="127" t="s">
        <v>45</v>
      </c>
      <c r="B350" s="99" t="s">
        <v>1281</v>
      </c>
      <c r="C350" s="113" t="s">
        <v>4408</v>
      </c>
      <c r="D350" s="121">
        <v>18</v>
      </c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145" t="e">
        <f t="shared" si="21"/>
        <v>#DIV/0!</v>
      </c>
      <c r="R350" s="151" t="e">
        <f t="shared" si="19"/>
        <v>#DIV/0!</v>
      </c>
      <c r="S350" s="152" t="e">
        <f t="shared" si="20"/>
        <v>#DIV/0!</v>
      </c>
      <c r="T350" s="180"/>
    </row>
    <row r="351" spans="1:20" s="178" customFormat="1" ht="50.1" customHeight="1" x14ac:dyDescent="0.2">
      <c r="A351" s="127" t="s">
        <v>45</v>
      </c>
      <c r="B351" s="99" t="s">
        <v>1282</v>
      </c>
      <c r="C351" s="113" t="s">
        <v>4409</v>
      </c>
      <c r="D351" s="121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145" t="e">
        <f t="shared" si="21"/>
        <v>#DIV/0!</v>
      </c>
      <c r="R351" s="151" t="e">
        <f t="shared" si="19"/>
        <v>#DIV/0!</v>
      </c>
      <c r="S351" s="152" t="e">
        <f t="shared" si="20"/>
        <v>#DIV/0!</v>
      </c>
      <c r="T351" s="180"/>
    </row>
    <row r="352" spans="1:20" s="178" customFormat="1" ht="50.1" customHeight="1" x14ac:dyDescent="0.2">
      <c r="A352" s="127" t="s">
        <v>45</v>
      </c>
      <c r="B352" s="99" t="s">
        <v>1283</v>
      </c>
      <c r="C352" s="113" t="s">
        <v>4410</v>
      </c>
      <c r="D352" s="121">
        <v>22</v>
      </c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145" t="e">
        <f t="shared" si="21"/>
        <v>#DIV/0!</v>
      </c>
      <c r="R352" s="151" t="e">
        <f t="shared" si="19"/>
        <v>#DIV/0!</v>
      </c>
      <c r="S352" s="152" t="e">
        <f t="shared" si="20"/>
        <v>#DIV/0!</v>
      </c>
      <c r="T352" s="180"/>
    </row>
    <row r="353" spans="1:20" s="178" customFormat="1" ht="50.1" customHeight="1" x14ac:dyDescent="0.2">
      <c r="A353" s="127" t="s">
        <v>45</v>
      </c>
      <c r="B353" s="99" t="s">
        <v>1284</v>
      </c>
      <c r="C353" s="113" t="s">
        <v>4411</v>
      </c>
      <c r="D353" s="121">
        <v>68</v>
      </c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145" t="e">
        <f t="shared" si="21"/>
        <v>#DIV/0!</v>
      </c>
      <c r="R353" s="151" t="e">
        <f t="shared" si="19"/>
        <v>#DIV/0!</v>
      </c>
      <c r="S353" s="152" t="e">
        <f t="shared" si="20"/>
        <v>#DIV/0!</v>
      </c>
      <c r="T353" s="180"/>
    </row>
    <row r="354" spans="1:20" s="178" customFormat="1" ht="32.1" customHeight="1" x14ac:dyDescent="0.2">
      <c r="A354" s="127" t="s">
        <v>219</v>
      </c>
      <c r="B354" s="99" t="s">
        <v>1285</v>
      </c>
      <c r="C354" s="113" t="s">
        <v>1286</v>
      </c>
      <c r="D354" s="121">
        <v>63</v>
      </c>
      <c r="E354" s="82">
        <v>0</v>
      </c>
      <c r="F354" s="82"/>
      <c r="G354" s="82">
        <v>0</v>
      </c>
      <c r="H354" s="82"/>
      <c r="I354" s="82">
        <v>26.5</v>
      </c>
      <c r="J354" s="82"/>
      <c r="K354" s="82">
        <v>0</v>
      </c>
      <c r="L354" s="82"/>
      <c r="M354" s="82">
        <v>0</v>
      </c>
      <c r="N354" s="82"/>
      <c r="O354" s="82">
        <v>0</v>
      </c>
      <c r="P354" s="82"/>
      <c r="Q354" s="145">
        <f t="shared" si="21"/>
        <v>4.416666666666667</v>
      </c>
      <c r="R354" s="151" t="str">
        <f t="shared" si="19"/>
        <v>SI</v>
      </c>
      <c r="S354" s="152" t="str">
        <f t="shared" si="20"/>
        <v>Sin Riesgo</v>
      </c>
      <c r="T354" s="180"/>
    </row>
    <row r="355" spans="1:20" s="178" customFormat="1" ht="32.1" customHeight="1" x14ac:dyDescent="0.2">
      <c r="A355" s="127" t="s">
        <v>219</v>
      </c>
      <c r="B355" s="99" t="s">
        <v>1287</v>
      </c>
      <c r="C355" s="113" t="s">
        <v>1288</v>
      </c>
      <c r="D355" s="121">
        <v>162</v>
      </c>
      <c r="E355" s="82">
        <v>0</v>
      </c>
      <c r="F355" s="82"/>
      <c r="G355" s="82"/>
      <c r="H355" s="82">
        <v>0</v>
      </c>
      <c r="I355" s="82"/>
      <c r="J355" s="82">
        <v>0</v>
      </c>
      <c r="K355" s="82"/>
      <c r="L355" s="82">
        <v>0</v>
      </c>
      <c r="M355" s="82"/>
      <c r="N355" s="82">
        <v>0</v>
      </c>
      <c r="O355" s="82"/>
      <c r="P355" s="82">
        <v>0</v>
      </c>
      <c r="Q355" s="145">
        <f t="shared" si="21"/>
        <v>0</v>
      </c>
      <c r="R355" s="151" t="str">
        <f t="shared" si="19"/>
        <v>SI</v>
      </c>
      <c r="S355" s="152" t="str">
        <f t="shared" si="20"/>
        <v>Sin Riesgo</v>
      </c>
      <c r="T355" s="180"/>
    </row>
    <row r="356" spans="1:20" s="178" customFormat="1" ht="32.1" customHeight="1" x14ac:dyDescent="0.2">
      <c r="A356" s="127" t="s">
        <v>219</v>
      </c>
      <c r="B356" s="99" t="s">
        <v>1289</v>
      </c>
      <c r="C356" s="113" t="s">
        <v>1290</v>
      </c>
      <c r="D356" s="121">
        <v>265</v>
      </c>
      <c r="E356" s="82"/>
      <c r="F356" s="82">
        <v>0</v>
      </c>
      <c r="G356" s="82"/>
      <c r="H356" s="82">
        <v>0</v>
      </c>
      <c r="I356" s="82"/>
      <c r="J356" s="82">
        <v>0</v>
      </c>
      <c r="K356" s="82"/>
      <c r="L356" s="82">
        <v>0</v>
      </c>
      <c r="M356" s="82"/>
      <c r="N356" s="82">
        <v>0</v>
      </c>
      <c r="O356" s="82"/>
      <c r="P356" s="82">
        <v>0</v>
      </c>
      <c r="Q356" s="145">
        <f t="shared" si="21"/>
        <v>0</v>
      </c>
      <c r="R356" s="151" t="str">
        <f t="shared" si="19"/>
        <v>SI</v>
      </c>
      <c r="S356" s="152" t="str">
        <f t="shared" si="20"/>
        <v>Sin Riesgo</v>
      </c>
      <c r="T356" s="180"/>
    </row>
    <row r="357" spans="1:20" s="178" customFormat="1" ht="32.1" customHeight="1" x14ac:dyDescent="0.2">
      <c r="A357" s="127" t="s">
        <v>219</v>
      </c>
      <c r="B357" s="99" t="s">
        <v>810</v>
      </c>
      <c r="C357" s="113" t="s">
        <v>1291</v>
      </c>
      <c r="D357" s="121">
        <v>104</v>
      </c>
      <c r="E357" s="82">
        <v>0</v>
      </c>
      <c r="F357" s="82"/>
      <c r="G357" s="82">
        <v>55.75</v>
      </c>
      <c r="H357" s="82"/>
      <c r="I357" s="82">
        <v>26.5</v>
      </c>
      <c r="J357" s="82"/>
      <c r="K357" s="82">
        <v>0</v>
      </c>
      <c r="L357" s="82"/>
      <c r="M357" s="82">
        <v>26.5</v>
      </c>
      <c r="N357" s="82"/>
      <c r="O357" s="82">
        <v>0</v>
      </c>
      <c r="P357" s="82"/>
      <c r="Q357" s="145">
        <f t="shared" si="21"/>
        <v>18.125</v>
      </c>
      <c r="R357" s="151" t="str">
        <f t="shared" si="19"/>
        <v>NO</v>
      </c>
      <c r="S357" s="152" t="str">
        <f t="shared" si="20"/>
        <v>Medio</v>
      </c>
      <c r="T357" s="180"/>
    </row>
    <row r="358" spans="1:20" s="178" customFormat="1" ht="32.1" customHeight="1" x14ac:dyDescent="0.2">
      <c r="A358" s="127" t="s">
        <v>219</v>
      </c>
      <c r="B358" s="99" t="s">
        <v>1292</v>
      </c>
      <c r="C358" s="113" t="s">
        <v>1293</v>
      </c>
      <c r="D358" s="121">
        <v>210</v>
      </c>
      <c r="E358" s="82">
        <v>26.5</v>
      </c>
      <c r="F358" s="82"/>
      <c r="G358" s="82">
        <v>26.5</v>
      </c>
      <c r="H358" s="82"/>
      <c r="I358" s="82">
        <v>53.1</v>
      </c>
      <c r="J358" s="82"/>
      <c r="K358" s="82">
        <v>26.5</v>
      </c>
      <c r="L358" s="82"/>
      <c r="M358" s="82">
        <v>0</v>
      </c>
      <c r="N358" s="82"/>
      <c r="O358" s="82">
        <v>0</v>
      </c>
      <c r="P358" s="82"/>
      <c r="Q358" s="145">
        <f t="shared" si="21"/>
        <v>22.099999999999998</v>
      </c>
      <c r="R358" s="151" t="str">
        <f t="shared" si="19"/>
        <v>NO</v>
      </c>
      <c r="S358" s="152" t="str">
        <f t="shared" si="20"/>
        <v>Medio</v>
      </c>
      <c r="T358" s="180"/>
    </row>
    <row r="359" spans="1:20" s="178" customFormat="1" ht="32.1" customHeight="1" x14ac:dyDescent="0.2">
      <c r="A359" s="127" t="s">
        <v>219</v>
      </c>
      <c r="B359" s="99" t="s">
        <v>1130</v>
      </c>
      <c r="C359" s="113" t="s">
        <v>1294</v>
      </c>
      <c r="D359" s="121">
        <v>51</v>
      </c>
      <c r="E359" s="82"/>
      <c r="F359" s="82"/>
      <c r="G359" s="82"/>
      <c r="H359" s="82">
        <v>97.35</v>
      </c>
      <c r="I359" s="82"/>
      <c r="J359" s="82"/>
      <c r="K359" s="82"/>
      <c r="L359" s="82"/>
      <c r="M359" s="82"/>
      <c r="N359" s="82">
        <v>97.36</v>
      </c>
      <c r="O359" s="82"/>
      <c r="P359" s="82"/>
      <c r="Q359" s="145">
        <f t="shared" si="21"/>
        <v>97.35499999999999</v>
      </c>
      <c r="R359" s="151" t="str">
        <f t="shared" si="19"/>
        <v>NO</v>
      </c>
      <c r="S359" s="152" t="str">
        <f t="shared" si="20"/>
        <v>Inviable Sanitariamente</v>
      </c>
      <c r="T359" s="180"/>
    </row>
    <row r="360" spans="1:20" s="178" customFormat="1" ht="32.1" customHeight="1" x14ac:dyDescent="0.2">
      <c r="A360" s="127" t="s">
        <v>219</v>
      </c>
      <c r="B360" s="99" t="s">
        <v>1295</v>
      </c>
      <c r="C360" s="113" t="s">
        <v>1296</v>
      </c>
      <c r="D360" s="121">
        <v>85</v>
      </c>
      <c r="E360" s="82">
        <v>97.35</v>
      </c>
      <c r="F360" s="82"/>
      <c r="G360" s="82">
        <v>97.35</v>
      </c>
      <c r="H360" s="82"/>
      <c r="I360" s="82">
        <v>97.35</v>
      </c>
      <c r="J360" s="82"/>
      <c r="K360" s="82">
        <v>0</v>
      </c>
      <c r="L360" s="82"/>
      <c r="M360" s="82">
        <v>26.5</v>
      </c>
      <c r="N360" s="82"/>
      <c r="O360" s="82">
        <v>97.36</v>
      </c>
      <c r="P360" s="82"/>
      <c r="Q360" s="145">
        <f t="shared" si="21"/>
        <v>69.318333333333328</v>
      </c>
      <c r="R360" s="151" t="str">
        <f t="shared" si="19"/>
        <v>NO</v>
      </c>
      <c r="S360" s="152" t="str">
        <f t="shared" si="20"/>
        <v>Alto</v>
      </c>
      <c r="T360" s="180"/>
    </row>
    <row r="361" spans="1:20" s="178" customFormat="1" ht="32.1" customHeight="1" x14ac:dyDescent="0.2">
      <c r="A361" s="127" t="s">
        <v>219</v>
      </c>
      <c r="B361" s="99" t="s">
        <v>1297</v>
      </c>
      <c r="C361" s="113" t="s">
        <v>1298</v>
      </c>
      <c r="D361" s="116">
        <v>63</v>
      </c>
      <c r="E361" s="82"/>
      <c r="F361" s="82">
        <v>97.35</v>
      </c>
      <c r="G361" s="82"/>
      <c r="H361" s="82"/>
      <c r="I361" s="82"/>
      <c r="J361" s="82"/>
      <c r="K361" s="82">
        <v>97.35</v>
      </c>
      <c r="L361" s="82"/>
      <c r="M361" s="82"/>
      <c r="N361" s="82"/>
      <c r="O361" s="82"/>
      <c r="P361" s="82"/>
      <c r="Q361" s="145">
        <f t="shared" si="21"/>
        <v>97.35</v>
      </c>
      <c r="R361" s="151" t="str">
        <f t="shared" si="19"/>
        <v>NO</v>
      </c>
      <c r="S361" s="152" t="str">
        <f t="shared" si="20"/>
        <v>Inviable Sanitariamente</v>
      </c>
      <c r="T361" s="180"/>
    </row>
    <row r="362" spans="1:20" s="178" customFormat="1" ht="32.1" customHeight="1" x14ac:dyDescent="0.2">
      <c r="A362" s="127" t="s">
        <v>219</v>
      </c>
      <c r="B362" s="99" t="s">
        <v>1115</v>
      </c>
      <c r="C362" s="113" t="s">
        <v>1299</v>
      </c>
      <c r="D362" s="121">
        <v>163</v>
      </c>
      <c r="E362" s="82"/>
      <c r="F362" s="82">
        <v>26.5</v>
      </c>
      <c r="G362" s="82"/>
      <c r="H362" s="82"/>
      <c r="I362" s="82"/>
      <c r="J362" s="82"/>
      <c r="K362" s="82"/>
      <c r="L362" s="82">
        <v>97.35</v>
      </c>
      <c r="M362" s="82"/>
      <c r="N362" s="82"/>
      <c r="O362" s="82"/>
      <c r="P362" s="82"/>
      <c r="Q362" s="145">
        <f t="shared" si="21"/>
        <v>61.924999999999997</v>
      </c>
      <c r="R362" s="151" t="str">
        <f t="shared" si="19"/>
        <v>NO</v>
      </c>
      <c r="S362" s="152" t="str">
        <f t="shared" si="20"/>
        <v>Alto</v>
      </c>
      <c r="T362" s="180"/>
    </row>
    <row r="363" spans="1:20" s="178" customFormat="1" ht="32.1" customHeight="1" x14ac:dyDescent="0.2">
      <c r="A363" s="127" t="s">
        <v>219</v>
      </c>
      <c r="B363" s="99" t="s">
        <v>1300</v>
      </c>
      <c r="C363" s="113" t="s">
        <v>1301</v>
      </c>
      <c r="D363" s="121">
        <v>40</v>
      </c>
      <c r="E363" s="82"/>
      <c r="F363" s="82">
        <v>97.35</v>
      </c>
      <c r="G363" s="82"/>
      <c r="H363" s="82"/>
      <c r="I363" s="82"/>
      <c r="J363" s="82"/>
      <c r="K363" s="82"/>
      <c r="L363" s="82">
        <v>97.35</v>
      </c>
      <c r="M363" s="82"/>
      <c r="N363" s="82"/>
      <c r="O363" s="82"/>
      <c r="P363" s="82"/>
      <c r="Q363" s="145">
        <f t="shared" si="21"/>
        <v>97.35</v>
      </c>
      <c r="R363" s="151" t="str">
        <f t="shared" si="19"/>
        <v>NO</v>
      </c>
      <c r="S363" s="152" t="str">
        <f t="shared" si="20"/>
        <v>Inviable Sanitariamente</v>
      </c>
      <c r="T363" s="180"/>
    </row>
    <row r="364" spans="1:20" s="178" customFormat="1" ht="32.1" customHeight="1" x14ac:dyDescent="0.2">
      <c r="A364" s="127" t="s">
        <v>219</v>
      </c>
      <c r="B364" s="99" t="s">
        <v>1302</v>
      </c>
      <c r="C364" s="113" t="s">
        <v>1303</v>
      </c>
      <c r="D364" s="116">
        <v>39</v>
      </c>
      <c r="E364" s="82"/>
      <c r="F364" s="82"/>
      <c r="G364" s="82"/>
      <c r="H364" s="82">
        <v>97.35</v>
      </c>
      <c r="I364" s="82"/>
      <c r="J364" s="82"/>
      <c r="K364" s="82"/>
      <c r="L364" s="82"/>
      <c r="M364" s="82">
        <v>97.35</v>
      </c>
      <c r="N364" s="82"/>
      <c r="O364" s="82"/>
      <c r="P364" s="82"/>
      <c r="Q364" s="145">
        <f t="shared" si="21"/>
        <v>97.35</v>
      </c>
      <c r="R364" s="151" t="str">
        <f t="shared" si="19"/>
        <v>NO</v>
      </c>
      <c r="S364" s="152" t="str">
        <f t="shared" si="20"/>
        <v>Inviable Sanitariamente</v>
      </c>
      <c r="T364" s="180"/>
    </row>
    <row r="365" spans="1:20" s="178" customFormat="1" ht="32.1" customHeight="1" x14ac:dyDescent="0.2">
      <c r="A365" s="127" t="s">
        <v>219</v>
      </c>
      <c r="B365" s="99" t="s">
        <v>494</v>
      </c>
      <c r="C365" s="113" t="s">
        <v>1304</v>
      </c>
      <c r="D365" s="121">
        <v>22</v>
      </c>
      <c r="E365" s="82"/>
      <c r="F365" s="82"/>
      <c r="G365" s="82">
        <v>97.35</v>
      </c>
      <c r="H365" s="82"/>
      <c r="I365" s="82"/>
      <c r="J365" s="82"/>
      <c r="K365" s="82"/>
      <c r="L365" s="82"/>
      <c r="M365" s="82">
        <v>97.35</v>
      </c>
      <c r="N365" s="82"/>
      <c r="O365" s="82"/>
      <c r="P365" s="82"/>
      <c r="Q365" s="145">
        <f t="shared" si="21"/>
        <v>97.35</v>
      </c>
      <c r="R365" s="151" t="str">
        <f t="shared" si="19"/>
        <v>NO</v>
      </c>
      <c r="S365" s="152" t="str">
        <f t="shared" si="20"/>
        <v>Inviable Sanitariamente</v>
      </c>
      <c r="T365" s="180"/>
    </row>
    <row r="366" spans="1:20" s="178" customFormat="1" ht="32.1" customHeight="1" x14ac:dyDescent="0.2">
      <c r="A366" s="127" t="s">
        <v>219</v>
      </c>
      <c r="B366" s="99" t="s">
        <v>1305</v>
      </c>
      <c r="C366" s="113" t="s">
        <v>1306</v>
      </c>
      <c r="D366" s="121">
        <v>24</v>
      </c>
      <c r="E366" s="82"/>
      <c r="F366" s="82"/>
      <c r="G366" s="82"/>
      <c r="H366" s="82">
        <v>97.35</v>
      </c>
      <c r="I366" s="82"/>
      <c r="J366" s="82"/>
      <c r="K366" s="82"/>
      <c r="L366" s="82"/>
      <c r="M366" s="82"/>
      <c r="N366" s="82">
        <v>97.35</v>
      </c>
      <c r="O366" s="82"/>
      <c r="P366" s="82"/>
      <c r="Q366" s="145">
        <f t="shared" si="21"/>
        <v>97.35</v>
      </c>
      <c r="R366" s="151" t="str">
        <f t="shared" si="19"/>
        <v>NO</v>
      </c>
      <c r="S366" s="152" t="str">
        <f t="shared" si="20"/>
        <v>Inviable Sanitariamente</v>
      </c>
      <c r="T366" s="180"/>
    </row>
    <row r="367" spans="1:20" s="178" customFormat="1" ht="32.1" customHeight="1" x14ac:dyDescent="0.2">
      <c r="A367" s="127" t="s">
        <v>219</v>
      </c>
      <c r="B367" s="99" t="s">
        <v>1307</v>
      </c>
      <c r="C367" s="113" t="s">
        <v>1308</v>
      </c>
      <c r="D367" s="116">
        <v>43</v>
      </c>
      <c r="E367" s="82"/>
      <c r="F367" s="82">
        <v>29.2</v>
      </c>
      <c r="G367" s="82"/>
      <c r="H367" s="82">
        <v>0</v>
      </c>
      <c r="I367" s="82"/>
      <c r="J367" s="82">
        <v>97.35</v>
      </c>
      <c r="K367" s="82"/>
      <c r="L367" s="82">
        <v>97.35</v>
      </c>
      <c r="M367" s="82"/>
      <c r="N367" s="82">
        <v>0</v>
      </c>
      <c r="O367" s="82"/>
      <c r="P367" s="82">
        <v>0</v>
      </c>
      <c r="Q367" s="145">
        <f t="shared" si="21"/>
        <v>37.316666666666663</v>
      </c>
      <c r="R367" s="151" t="str">
        <f t="shared" si="19"/>
        <v>NO</v>
      </c>
      <c r="S367" s="152" t="str">
        <f t="shared" si="20"/>
        <v>Alto</v>
      </c>
      <c r="T367" s="180"/>
    </row>
    <row r="368" spans="1:20" s="178" customFormat="1" ht="32.1" customHeight="1" x14ac:dyDescent="0.2">
      <c r="A368" s="127" t="s">
        <v>219</v>
      </c>
      <c r="B368" s="99" t="s">
        <v>865</v>
      </c>
      <c r="C368" s="113" t="s">
        <v>1309</v>
      </c>
      <c r="D368" s="121">
        <v>110</v>
      </c>
      <c r="E368" s="82"/>
      <c r="F368" s="82">
        <v>97.35</v>
      </c>
      <c r="G368" s="82"/>
      <c r="H368" s="82">
        <v>97.35</v>
      </c>
      <c r="I368" s="82"/>
      <c r="J368" s="82">
        <v>97.35</v>
      </c>
      <c r="K368" s="82"/>
      <c r="L368" s="82">
        <v>97.35</v>
      </c>
      <c r="M368" s="82"/>
      <c r="N368" s="82">
        <v>97.35</v>
      </c>
      <c r="O368" s="82"/>
      <c r="P368" s="82">
        <v>97.35</v>
      </c>
      <c r="Q368" s="145">
        <f t="shared" si="21"/>
        <v>97.350000000000009</v>
      </c>
      <c r="R368" s="151" t="str">
        <f t="shared" si="19"/>
        <v>NO</v>
      </c>
      <c r="S368" s="152" t="str">
        <f t="shared" si="20"/>
        <v>Inviable Sanitariamente</v>
      </c>
      <c r="T368" s="180"/>
    </row>
    <row r="369" spans="1:20" s="178" customFormat="1" ht="32.1" customHeight="1" x14ac:dyDescent="0.2">
      <c r="A369" s="127" t="s">
        <v>219</v>
      </c>
      <c r="B369" s="99" t="s">
        <v>1310</v>
      </c>
      <c r="C369" s="113" t="s">
        <v>1311</v>
      </c>
      <c r="D369" s="121">
        <v>109</v>
      </c>
      <c r="E369" s="82"/>
      <c r="F369" s="82"/>
      <c r="G369" s="82">
        <v>97.35</v>
      </c>
      <c r="H369" s="82"/>
      <c r="I369" s="82"/>
      <c r="J369" s="82"/>
      <c r="K369" s="82"/>
      <c r="L369" s="82"/>
      <c r="M369" s="82">
        <v>97.35</v>
      </c>
      <c r="N369" s="82"/>
      <c r="O369" s="82"/>
      <c r="P369" s="82"/>
      <c r="Q369" s="145">
        <f t="shared" si="21"/>
        <v>97.35</v>
      </c>
      <c r="R369" s="151" t="str">
        <f t="shared" si="19"/>
        <v>NO</v>
      </c>
      <c r="S369" s="152" t="str">
        <f t="shared" si="20"/>
        <v>Inviable Sanitariamente</v>
      </c>
      <c r="T369" s="180"/>
    </row>
    <row r="370" spans="1:20" s="187" customFormat="1" ht="32.1" customHeight="1" x14ac:dyDescent="0.2">
      <c r="A370" s="127" t="s">
        <v>219</v>
      </c>
      <c r="B370" s="99" t="s">
        <v>1312</v>
      </c>
      <c r="C370" s="113" t="s">
        <v>1313</v>
      </c>
      <c r="D370" s="121">
        <v>25</v>
      </c>
      <c r="E370" s="82"/>
      <c r="F370" s="82"/>
      <c r="G370" s="82">
        <v>97.35</v>
      </c>
      <c r="H370" s="82"/>
      <c r="I370" s="82"/>
      <c r="J370" s="82"/>
      <c r="K370" s="82"/>
      <c r="L370" s="82"/>
      <c r="M370" s="82"/>
      <c r="N370" s="82">
        <v>97.35</v>
      </c>
      <c r="O370" s="82"/>
      <c r="P370" s="82"/>
      <c r="Q370" s="145">
        <f t="shared" si="21"/>
        <v>97.35</v>
      </c>
      <c r="R370" s="151" t="str">
        <f t="shared" si="19"/>
        <v>NO</v>
      </c>
      <c r="S370" s="152" t="str">
        <f t="shared" si="20"/>
        <v>Inviable Sanitariamente</v>
      </c>
      <c r="T370" s="127"/>
    </row>
    <row r="371" spans="1:20" s="178" customFormat="1" ht="32.1" customHeight="1" x14ac:dyDescent="0.2">
      <c r="A371" s="127" t="s">
        <v>219</v>
      </c>
      <c r="B371" s="99" t="s">
        <v>678</v>
      </c>
      <c r="C371" s="113" t="s">
        <v>1314</v>
      </c>
      <c r="D371" s="121">
        <v>80</v>
      </c>
      <c r="E371" s="82">
        <v>0</v>
      </c>
      <c r="F371" s="82"/>
      <c r="G371" s="82">
        <v>26.5</v>
      </c>
      <c r="H371" s="82"/>
      <c r="I371" s="82">
        <v>0</v>
      </c>
      <c r="J371" s="82"/>
      <c r="K371" s="82">
        <v>0</v>
      </c>
      <c r="L371" s="82"/>
      <c r="M371" s="82">
        <v>0</v>
      </c>
      <c r="N371" s="82"/>
      <c r="O371" s="82">
        <v>0</v>
      </c>
      <c r="P371" s="82"/>
      <c r="Q371" s="145">
        <f t="shared" si="21"/>
        <v>4.416666666666667</v>
      </c>
      <c r="R371" s="151" t="str">
        <f t="shared" ref="R371:R420" si="22">IF(Q371&lt;5,"SI","NO")</f>
        <v>SI</v>
      </c>
      <c r="S371" s="152" t="str">
        <f t="shared" si="20"/>
        <v>Sin Riesgo</v>
      </c>
      <c r="T371" s="180"/>
    </row>
    <row r="372" spans="1:20" s="178" customFormat="1" ht="32.1" customHeight="1" x14ac:dyDescent="0.2">
      <c r="A372" s="127" t="s">
        <v>220</v>
      </c>
      <c r="B372" s="99" t="s">
        <v>1315</v>
      </c>
      <c r="C372" s="113" t="s">
        <v>1316</v>
      </c>
      <c r="D372" s="121">
        <v>57</v>
      </c>
      <c r="E372" s="82">
        <v>0</v>
      </c>
      <c r="F372" s="82">
        <v>0</v>
      </c>
      <c r="G372" s="82"/>
      <c r="H372" s="82">
        <v>0</v>
      </c>
      <c r="I372" s="82"/>
      <c r="J372" s="82">
        <v>0</v>
      </c>
      <c r="K372" s="82"/>
      <c r="L372" s="82">
        <v>0</v>
      </c>
      <c r="M372" s="82"/>
      <c r="N372" s="82">
        <v>0</v>
      </c>
      <c r="O372" s="82"/>
      <c r="P372" s="82"/>
      <c r="Q372" s="145">
        <f t="shared" si="21"/>
        <v>0</v>
      </c>
      <c r="R372" s="151" t="str">
        <f t="shared" si="22"/>
        <v>SI</v>
      </c>
      <c r="S372" s="152" t="str">
        <f t="shared" si="20"/>
        <v>Sin Riesgo</v>
      </c>
      <c r="T372" s="180"/>
    </row>
    <row r="373" spans="1:20" s="178" customFormat="1" ht="32.1" customHeight="1" x14ac:dyDescent="0.2">
      <c r="A373" s="127" t="s">
        <v>220</v>
      </c>
      <c r="B373" s="99" t="s">
        <v>1317</v>
      </c>
      <c r="C373" s="113" t="s">
        <v>1318</v>
      </c>
      <c r="D373" s="121">
        <v>98</v>
      </c>
      <c r="E373" s="82">
        <v>0</v>
      </c>
      <c r="F373" s="82">
        <v>0</v>
      </c>
      <c r="G373" s="82"/>
      <c r="H373" s="82">
        <v>0</v>
      </c>
      <c r="I373" s="82"/>
      <c r="J373" s="82">
        <v>0</v>
      </c>
      <c r="K373" s="82"/>
      <c r="L373" s="82">
        <v>0</v>
      </c>
      <c r="M373" s="82"/>
      <c r="N373" s="82">
        <v>0</v>
      </c>
      <c r="O373" s="82"/>
      <c r="P373" s="82"/>
      <c r="Q373" s="145">
        <f t="shared" si="21"/>
        <v>0</v>
      </c>
      <c r="R373" s="151" t="str">
        <f t="shared" si="22"/>
        <v>SI</v>
      </c>
      <c r="S373" s="152" t="str">
        <f t="shared" si="20"/>
        <v>Sin Riesgo</v>
      </c>
      <c r="T373" s="180"/>
    </row>
    <row r="374" spans="1:20" s="178" customFormat="1" ht="32.1" customHeight="1" x14ac:dyDescent="0.2">
      <c r="A374" s="127" t="s">
        <v>220</v>
      </c>
      <c r="B374" s="99" t="s">
        <v>1319</v>
      </c>
      <c r="C374" s="113" t="s">
        <v>1320</v>
      </c>
      <c r="D374" s="121">
        <v>346</v>
      </c>
      <c r="E374" s="82">
        <v>0</v>
      </c>
      <c r="F374" s="82">
        <v>0</v>
      </c>
      <c r="G374" s="82">
        <v>0</v>
      </c>
      <c r="H374" s="82">
        <v>0</v>
      </c>
      <c r="I374" s="82">
        <v>0</v>
      </c>
      <c r="J374" s="82">
        <v>21</v>
      </c>
      <c r="K374" s="82">
        <v>0</v>
      </c>
      <c r="L374" s="82">
        <v>0</v>
      </c>
      <c r="M374" s="82">
        <v>0</v>
      </c>
      <c r="N374" s="82">
        <v>0</v>
      </c>
      <c r="O374" s="82">
        <v>0</v>
      </c>
      <c r="P374" s="82">
        <v>21</v>
      </c>
      <c r="Q374" s="145">
        <f t="shared" si="21"/>
        <v>3.5</v>
      </c>
      <c r="R374" s="151" t="str">
        <f t="shared" si="22"/>
        <v>SI</v>
      </c>
      <c r="S374" s="152" t="str">
        <f t="shared" si="20"/>
        <v>Sin Riesgo</v>
      </c>
      <c r="T374" s="180"/>
    </row>
    <row r="375" spans="1:20" s="178" customFormat="1" ht="32.1" customHeight="1" x14ac:dyDescent="0.2">
      <c r="A375" s="127" t="s">
        <v>220</v>
      </c>
      <c r="B375" s="99" t="s">
        <v>632</v>
      </c>
      <c r="C375" s="113" t="s">
        <v>1321</v>
      </c>
      <c r="D375" s="121">
        <v>235</v>
      </c>
      <c r="E375" s="82">
        <v>0</v>
      </c>
      <c r="F375" s="82">
        <v>0</v>
      </c>
      <c r="G375" s="82">
        <v>0</v>
      </c>
      <c r="H375" s="82">
        <v>0</v>
      </c>
      <c r="I375" s="82">
        <v>0</v>
      </c>
      <c r="J375" s="82">
        <v>0</v>
      </c>
      <c r="K375" s="82">
        <v>0</v>
      </c>
      <c r="L375" s="82">
        <v>0</v>
      </c>
      <c r="M375" s="82">
        <v>0</v>
      </c>
      <c r="N375" s="82">
        <v>0</v>
      </c>
      <c r="O375" s="82"/>
      <c r="P375" s="82">
        <v>0</v>
      </c>
      <c r="Q375" s="145">
        <f t="shared" si="21"/>
        <v>0</v>
      </c>
      <c r="R375" s="151" t="str">
        <f t="shared" si="22"/>
        <v>SI</v>
      </c>
      <c r="S375" s="152" t="str">
        <f t="shared" si="20"/>
        <v>Sin Riesgo</v>
      </c>
      <c r="T375" s="180"/>
    </row>
    <row r="376" spans="1:20" s="178" customFormat="1" ht="32.1" customHeight="1" x14ac:dyDescent="0.2">
      <c r="A376" s="127" t="s">
        <v>220</v>
      </c>
      <c r="B376" s="99" t="s">
        <v>1322</v>
      </c>
      <c r="C376" s="113" t="s">
        <v>1323</v>
      </c>
      <c r="D376" s="121">
        <v>239</v>
      </c>
      <c r="E376" s="82">
        <v>0</v>
      </c>
      <c r="F376" s="82">
        <v>0</v>
      </c>
      <c r="G376" s="82">
        <v>0</v>
      </c>
      <c r="H376" s="82">
        <v>0</v>
      </c>
      <c r="I376" s="82">
        <v>0</v>
      </c>
      <c r="J376" s="82">
        <v>0</v>
      </c>
      <c r="K376" s="82">
        <v>0</v>
      </c>
      <c r="L376" s="82">
        <v>0</v>
      </c>
      <c r="M376" s="82">
        <v>0</v>
      </c>
      <c r="N376" s="82">
        <v>0</v>
      </c>
      <c r="O376" s="82">
        <v>0</v>
      </c>
      <c r="P376" s="82">
        <v>0</v>
      </c>
      <c r="Q376" s="145">
        <f t="shared" si="21"/>
        <v>0</v>
      </c>
      <c r="R376" s="151" t="str">
        <f t="shared" si="22"/>
        <v>SI</v>
      </c>
      <c r="S376" s="152" t="str">
        <f t="shared" si="20"/>
        <v>Sin Riesgo</v>
      </c>
      <c r="T376" s="180"/>
    </row>
    <row r="377" spans="1:20" s="178" customFormat="1" ht="32.1" customHeight="1" x14ac:dyDescent="0.2">
      <c r="A377" s="127" t="s">
        <v>220</v>
      </c>
      <c r="B377" s="99" t="s">
        <v>1324</v>
      </c>
      <c r="C377" s="113" t="s">
        <v>1325</v>
      </c>
      <c r="D377" s="121">
        <v>220</v>
      </c>
      <c r="E377" s="82">
        <v>18.3</v>
      </c>
      <c r="F377" s="82">
        <v>26.5</v>
      </c>
      <c r="G377" s="82">
        <v>0</v>
      </c>
      <c r="H377" s="82">
        <v>0</v>
      </c>
      <c r="I377" s="82">
        <v>0</v>
      </c>
      <c r="J377" s="82">
        <v>0</v>
      </c>
      <c r="K377" s="82">
        <v>0</v>
      </c>
      <c r="L377" s="82">
        <v>0</v>
      </c>
      <c r="M377" s="82">
        <v>0</v>
      </c>
      <c r="N377" s="82">
        <v>0</v>
      </c>
      <c r="O377" s="82">
        <v>0</v>
      </c>
      <c r="P377" s="82">
        <v>21</v>
      </c>
      <c r="Q377" s="145">
        <f t="shared" si="21"/>
        <v>5.4833333333333334</v>
      </c>
      <c r="R377" s="151" t="str">
        <f t="shared" si="22"/>
        <v>NO</v>
      </c>
      <c r="S377" s="152" t="str">
        <f t="shared" si="20"/>
        <v>Bajo</v>
      </c>
      <c r="T377" s="180"/>
    </row>
    <row r="378" spans="1:20" s="178" customFormat="1" ht="32.1" customHeight="1" x14ac:dyDescent="0.2">
      <c r="A378" s="127" t="s">
        <v>220</v>
      </c>
      <c r="B378" s="99" t="s">
        <v>1326</v>
      </c>
      <c r="C378" s="113" t="s">
        <v>1327</v>
      </c>
      <c r="D378" s="121">
        <v>398</v>
      </c>
      <c r="E378" s="82">
        <v>0</v>
      </c>
      <c r="F378" s="82">
        <v>42</v>
      </c>
      <c r="G378" s="82">
        <v>0</v>
      </c>
      <c r="H378" s="82">
        <v>0</v>
      </c>
      <c r="I378" s="82">
        <v>0</v>
      </c>
      <c r="J378" s="82">
        <v>0</v>
      </c>
      <c r="K378" s="82">
        <v>0</v>
      </c>
      <c r="L378" s="82">
        <v>0</v>
      </c>
      <c r="M378" s="82">
        <v>0</v>
      </c>
      <c r="N378" s="82">
        <v>0</v>
      </c>
      <c r="O378" s="82">
        <v>0</v>
      </c>
      <c r="P378" s="82"/>
      <c r="Q378" s="145">
        <f t="shared" si="21"/>
        <v>3.8181818181818183</v>
      </c>
      <c r="R378" s="151" t="str">
        <f t="shared" si="22"/>
        <v>SI</v>
      </c>
      <c r="S378" s="152" t="str">
        <f t="shared" si="20"/>
        <v>Sin Riesgo</v>
      </c>
      <c r="T378" s="180"/>
    </row>
    <row r="379" spans="1:20" s="178" customFormat="1" ht="32.1" customHeight="1" x14ac:dyDescent="0.2">
      <c r="A379" s="127" t="s">
        <v>220</v>
      </c>
      <c r="B379" s="99" t="s">
        <v>1328</v>
      </c>
      <c r="C379" s="113" t="s">
        <v>1329</v>
      </c>
      <c r="D379" s="116">
        <v>251</v>
      </c>
      <c r="E379" s="82">
        <v>0</v>
      </c>
      <c r="F379" s="82"/>
      <c r="G379" s="82">
        <v>0</v>
      </c>
      <c r="H379" s="82">
        <v>26.5</v>
      </c>
      <c r="I379" s="82">
        <v>0</v>
      </c>
      <c r="J379" s="82">
        <v>53.9</v>
      </c>
      <c r="K379" s="82">
        <v>0</v>
      </c>
      <c r="L379" s="82">
        <v>0</v>
      </c>
      <c r="M379" s="82">
        <v>0</v>
      </c>
      <c r="N379" s="82">
        <v>0</v>
      </c>
      <c r="O379" s="82">
        <v>0</v>
      </c>
      <c r="P379" s="82"/>
      <c r="Q379" s="145">
        <f t="shared" si="21"/>
        <v>8.0400000000000009</v>
      </c>
      <c r="R379" s="151" t="str">
        <f t="shared" si="22"/>
        <v>NO</v>
      </c>
      <c r="S379" s="152" t="str">
        <f t="shared" si="20"/>
        <v>Bajo</v>
      </c>
      <c r="T379" s="180"/>
    </row>
    <row r="380" spans="1:20" s="178" customFormat="1" ht="32.1" customHeight="1" x14ac:dyDescent="0.2">
      <c r="A380" s="127" t="s">
        <v>220</v>
      </c>
      <c r="B380" s="99" t="s">
        <v>243</v>
      </c>
      <c r="C380" s="113" t="s">
        <v>1330</v>
      </c>
      <c r="D380" s="121">
        <v>367</v>
      </c>
      <c r="E380" s="82">
        <v>0</v>
      </c>
      <c r="F380" s="82">
        <v>53.1</v>
      </c>
      <c r="G380" s="82">
        <v>0</v>
      </c>
      <c r="H380" s="82">
        <v>0</v>
      </c>
      <c r="I380" s="82">
        <v>26.5</v>
      </c>
      <c r="J380" s="82">
        <v>0</v>
      </c>
      <c r="K380" s="82">
        <v>0</v>
      </c>
      <c r="L380" s="82">
        <v>0</v>
      </c>
      <c r="M380" s="82">
        <v>0</v>
      </c>
      <c r="N380" s="82">
        <v>0</v>
      </c>
      <c r="O380" s="82">
        <v>0</v>
      </c>
      <c r="P380" s="82"/>
      <c r="Q380" s="145">
        <f t="shared" si="21"/>
        <v>7.2363636363636354</v>
      </c>
      <c r="R380" s="151" t="str">
        <f t="shared" si="22"/>
        <v>NO</v>
      </c>
      <c r="S380" s="152" t="str">
        <f t="shared" si="20"/>
        <v>Bajo</v>
      </c>
      <c r="T380" s="180"/>
    </row>
    <row r="381" spans="1:20" s="178" customFormat="1" ht="32.1" customHeight="1" x14ac:dyDescent="0.2">
      <c r="A381" s="127" t="s">
        <v>220</v>
      </c>
      <c r="B381" s="99" t="s">
        <v>1331</v>
      </c>
      <c r="C381" s="113" t="s">
        <v>1332</v>
      </c>
      <c r="D381" s="121">
        <v>276</v>
      </c>
      <c r="E381" s="82">
        <v>0</v>
      </c>
      <c r="F381" s="82">
        <v>53.1</v>
      </c>
      <c r="G381" s="82">
        <v>0</v>
      </c>
      <c r="H381" s="82">
        <v>0</v>
      </c>
      <c r="I381" s="82">
        <v>41.9</v>
      </c>
      <c r="J381" s="82">
        <v>97.3</v>
      </c>
      <c r="K381" s="82">
        <v>0</v>
      </c>
      <c r="L381" s="82">
        <v>0</v>
      </c>
      <c r="M381" s="82">
        <v>0</v>
      </c>
      <c r="N381" s="82">
        <v>0</v>
      </c>
      <c r="O381" s="82">
        <v>0</v>
      </c>
      <c r="P381" s="82"/>
      <c r="Q381" s="145">
        <f t="shared" si="21"/>
        <v>17.481818181818184</v>
      </c>
      <c r="R381" s="151" t="str">
        <f t="shared" si="22"/>
        <v>NO</v>
      </c>
      <c r="S381" s="152" t="str">
        <f t="shared" si="20"/>
        <v>Medio</v>
      </c>
      <c r="T381" s="180"/>
    </row>
    <row r="382" spans="1:20" s="178" customFormat="1" ht="32.1" customHeight="1" x14ac:dyDescent="0.2">
      <c r="A382" s="127" t="s">
        <v>220</v>
      </c>
      <c r="B382" s="99" t="s">
        <v>1333</v>
      </c>
      <c r="C382" s="113" t="s">
        <v>1334</v>
      </c>
      <c r="D382" s="116">
        <v>39</v>
      </c>
      <c r="E382" s="82">
        <v>0</v>
      </c>
      <c r="F382" s="82">
        <v>0</v>
      </c>
      <c r="G382" s="82">
        <v>0</v>
      </c>
      <c r="H382" s="82">
        <v>21</v>
      </c>
      <c r="I382" s="82">
        <v>0</v>
      </c>
      <c r="J382" s="82">
        <v>0</v>
      </c>
      <c r="K382" s="82">
        <v>0</v>
      </c>
      <c r="L382" s="82">
        <v>0</v>
      </c>
      <c r="M382" s="82">
        <v>26.5</v>
      </c>
      <c r="N382" s="82">
        <v>0</v>
      </c>
      <c r="O382" s="82">
        <v>0</v>
      </c>
      <c r="P382" s="82">
        <v>0</v>
      </c>
      <c r="Q382" s="145">
        <f t="shared" si="21"/>
        <v>3.9583333333333335</v>
      </c>
      <c r="R382" s="151" t="str">
        <f t="shared" si="22"/>
        <v>SI</v>
      </c>
      <c r="S382" s="152" t="str">
        <f t="shared" ref="S382:S445" si="23">IF(Q382&lt;5,"Sin Riesgo",IF(Q382 &lt;=14,"Bajo",IF(Q382&lt;=35,"Medio",IF(Q382&lt;=80,"Alto","Inviable Sanitariamente"))))</f>
        <v>Sin Riesgo</v>
      </c>
      <c r="T382" s="180"/>
    </row>
    <row r="383" spans="1:20" s="178" customFormat="1" ht="32.1" customHeight="1" x14ac:dyDescent="0.2">
      <c r="A383" s="127" t="s">
        <v>220</v>
      </c>
      <c r="B383" s="99" t="s">
        <v>1335</v>
      </c>
      <c r="C383" s="113" t="s">
        <v>1336</v>
      </c>
      <c r="D383" s="121">
        <v>282</v>
      </c>
      <c r="E383" s="82">
        <v>18.3</v>
      </c>
      <c r="F383" s="82">
        <v>0</v>
      </c>
      <c r="G383" s="82">
        <v>0</v>
      </c>
      <c r="H383" s="82">
        <v>0</v>
      </c>
      <c r="I383" s="82">
        <v>21</v>
      </c>
      <c r="J383" s="82">
        <v>0</v>
      </c>
      <c r="K383" s="82">
        <v>0</v>
      </c>
      <c r="L383" s="82">
        <v>0</v>
      </c>
      <c r="M383" s="82">
        <v>42</v>
      </c>
      <c r="N383" s="82">
        <v>0</v>
      </c>
      <c r="O383" s="82">
        <v>0</v>
      </c>
      <c r="P383" s="82">
        <v>21</v>
      </c>
      <c r="Q383" s="145">
        <f t="shared" si="21"/>
        <v>8.5250000000000004</v>
      </c>
      <c r="R383" s="151" t="str">
        <f t="shared" si="22"/>
        <v>NO</v>
      </c>
      <c r="S383" s="152" t="str">
        <f t="shared" si="23"/>
        <v>Bajo</v>
      </c>
      <c r="T383" s="180"/>
    </row>
    <row r="384" spans="1:20" s="178" customFormat="1" ht="32.1" customHeight="1" x14ac:dyDescent="0.2">
      <c r="A384" s="127" t="s">
        <v>220</v>
      </c>
      <c r="B384" s="99" t="s">
        <v>1337</v>
      </c>
      <c r="C384" s="113" t="s">
        <v>1338</v>
      </c>
      <c r="D384" s="121">
        <v>220</v>
      </c>
      <c r="E384" s="82">
        <v>0</v>
      </c>
      <c r="F384" s="82">
        <v>0</v>
      </c>
      <c r="G384" s="82">
        <v>0</v>
      </c>
      <c r="H384" s="82">
        <v>0</v>
      </c>
      <c r="I384" s="82">
        <v>0</v>
      </c>
      <c r="J384" s="82">
        <v>21</v>
      </c>
      <c r="K384" s="82">
        <v>0</v>
      </c>
      <c r="L384" s="82">
        <v>0</v>
      </c>
      <c r="M384" s="82">
        <v>26.5</v>
      </c>
      <c r="N384" s="82">
        <v>21</v>
      </c>
      <c r="O384" s="82">
        <v>0</v>
      </c>
      <c r="P384" s="82">
        <v>21</v>
      </c>
      <c r="Q384" s="145">
        <f t="shared" si="21"/>
        <v>7.458333333333333</v>
      </c>
      <c r="R384" s="151" t="str">
        <f t="shared" si="22"/>
        <v>NO</v>
      </c>
      <c r="S384" s="152" t="str">
        <f t="shared" si="23"/>
        <v>Bajo</v>
      </c>
      <c r="T384" s="180"/>
    </row>
    <row r="385" spans="1:20" s="178" customFormat="1" ht="32.1" customHeight="1" x14ac:dyDescent="0.2">
      <c r="A385" s="127" t="s">
        <v>220</v>
      </c>
      <c r="B385" s="99" t="s">
        <v>588</v>
      </c>
      <c r="C385" s="113" t="s">
        <v>1339</v>
      </c>
      <c r="D385" s="116">
        <v>231</v>
      </c>
      <c r="E385" s="82">
        <v>0</v>
      </c>
      <c r="F385" s="82">
        <v>0</v>
      </c>
      <c r="G385" s="82">
        <v>0</v>
      </c>
      <c r="H385" s="82">
        <v>0</v>
      </c>
      <c r="I385" s="82">
        <v>0</v>
      </c>
      <c r="J385" s="82">
        <v>0</v>
      </c>
      <c r="K385" s="82">
        <v>21</v>
      </c>
      <c r="L385" s="82">
        <v>0</v>
      </c>
      <c r="M385" s="82">
        <v>26.5</v>
      </c>
      <c r="N385" s="82">
        <v>0</v>
      </c>
      <c r="O385" s="82">
        <v>0</v>
      </c>
      <c r="P385" s="82">
        <v>0</v>
      </c>
      <c r="Q385" s="145">
        <f t="shared" si="21"/>
        <v>3.9583333333333335</v>
      </c>
      <c r="R385" s="151" t="str">
        <f t="shared" si="22"/>
        <v>SI</v>
      </c>
      <c r="S385" s="152" t="str">
        <f t="shared" si="23"/>
        <v>Sin Riesgo</v>
      </c>
      <c r="T385" s="180"/>
    </row>
    <row r="386" spans="1:20" s="178" customFormat="1" ht="32.1" customHeight="1" x14ac:dyDescent="0.2">
      <c r="A386" s="127" t="s">
        <v>220</v>
      </c>
      <c r="B386" s="99" t="s">
        <v>1340</v>
      </c>
      <c r="C386" s="113" t="s">
        <v>1341</v>
      </c>
      <c r="D386" s="121">
        <v>144</v>
      </c>
      <c r="E386" s="82"/>
      <c r="F386" s="82">
        <v>0</v>
      </c>
      <c r="G386" s="82"/>
      <c r="H386" s="82">
        <v>0</v>
      </c>
      <c r="I386" s="82"/>
      <c r="J386" s="82">
        <v>0</v>
      </c>
      <c r="K386" s="82"/>
      <c r="L386" s="82">
        <v>0</v>
      </c>
      <c r="M386" s="82"/>
      <c r="N386" s="82">
        <v>0</v>
      </c>
      <c r="O386" s="82"/>
      <c r="P386" s="82"/>
      <c r="Q386" s="145">
        <f t="shared" si="21"/>
        <v>0</v>
      </c>
      <c r="R386" s="151" t="str">
        <f t="shared" si="22"/>
        <v>SI</v>
      </c>
      <c r="S386" s="152" t="str">
        <f t="shared" si="23"/>
        <v>Sin Riesgo</v>
      </c>
      <c r="T386" s="180"/>
    </row>
    <row r="387" spans="1:20" s="178" customFormat="1" ht="32.1" customHeight="1" x14ac:dyDescent="0.2">
      <c r="A387" s="127" t="s">
        <v>220</v>
      </c>
      <c r="B387" s="99" t="s">
        <v>595</v>
      </c>
      <c r="C387" s="113" t="s">
        <v>1342</v>
      </c>
      <c r="D387" s="121">
        <v>41</v>
      </c>
      <c r="E387" s="82"/>
      <c r="F387" s="82">
        <v>0</v>
      </c>
      <c r="G387" s="82"/>
      <c r="H387" s="82">
        <v>0</v>
      </c>
      <c r="I387" s="82"/>
      <c r="J387" s="82">
        <v>0</v>
      </c>
      <c r="K387" s="82"/>
      <c r="L387" s="82">
        <v>0</v>
      </c>
      <c r="M387" s="82"/>
      <c r="N387" s="82">
        <v>0</v>
      </c>
      <c r="O387" s="82"/>
      <c r="P387" s="82"/>
      <c r="Q387" s="145">
        <f t="shared" si="21"/>
        <v>0</v>
      </c>
      <c r="R387" s="151" t="str">
        <f t="shared" si="22"/>
        <v>SI</v>
      </c>
      <c r="S387" s="152" t="str">
        <f t="shared" si="23"/>
        <v>Sin Riesgo</v>
      </c>
      <c r="T387" s="180"/>
    </row>
    <row r="388" spans="1:20" s="178" customFormat="1" ht="32.1" customHeight="1" x14ac:dyDescent="0.2">
      <c r="A388" s="127" t="s">
        <v>220</v>
      </c>
      <c r="B388" s="99" t="s">
        <v>244</v>
      </c>
      <c r="C388" s="113" t="s">
        <v>1343</v>
      </c>
      <c r="D388" s="121">
        <v>50</v>
      </c>
      <c r="E388" s="82"/>
      <c r="F388" s="82">
        <v>0</v>
      </c>
      <c r="G388" s="82"/>
      <c r="H388" s="82">
        <v>0</v>
      </c>
      <c r="I388" s="82"/>
      <c r="J388" s="82">
        <v>0</v>
      </c>
      <c r="K388" s="82"/>
      <c r="L388" s="82">
        <v>0</v>
      </c>
      <c r="M388" s="82"/>
      <c r="N388" s="82">
        <v>0</v>
      </c>
      <c r="O388" s="82"/>
      <c r="P388" s="82"/>
      <c r="Q388" s="145">
        <f t="shared" ref="Q388:Q429" si="24">AVERAGE(E388:P388)</f>
        <v>0</v>
      </c>
      <c r="R388" s="151" t="str">
        <f t="shared" si="22"/>
        <v>SI</v>
      </c>
      <c r="S388" s="152" t="str">
        <f t="shared" si="23"/>
        <v>Sin Riesgo</v>
      </c>
      <c r="T388" s="180"/>
    </row>
    <row r="389" spans="1:20" s="178" customFormat="1" ht="32.1" customHeight="1" x14ac:dyDescent="0.2">
      <c r="A389" s="127" t="s">
        <v>220</v>
      </c>
      <c r="B389" s="99" t="s">
        <v>661</v>
      </c>
      <c r="C389" s="113" t="s">
        <v>1344</v>
      </c>
      <c r="D389" s="121">
        <v>151</v>
      </c>
      <c r="E389" s="82"/>
      <c r="F389" s="82">
        <v>0</v>
      </c>
      <c r="G389" s="82"/>
      <c r="H389" s="82">
        <v>0</v>
      </c>
      <c r="I389" s="82"/>
      <c r="J389" s="82">
        <v>0</v>
      </c>
      <c r="K389" s="82"/>
      <c r="L389" s="82">
        <v>0</v>
      </c>
      <c r="M389" s="82"/>
      <c r="N389" s="82">
        <v>0</v>
      </c>
      <c r="O389" s="82"/>
      <c r="P389" s="82"/>
      <c r="Q389" s="145">
        <f t="shared" si="24"/>
        <v>0</v>
      </c>
      <c r="R389" s="151" t="str">
        <f t="shared" si="22"/>
        <v>SI</v>
      </c>
      <c r="S389" s="152" t="str">
        <f t="shared" si="23"/>
        <v>Sin Riesgo</v>
      </c>
      <c r="T389" s="180"/>
    </row>
    <row r="390" spans="1:20" s="178" customFormat="1" ht="32.1" customHeight="1" x14ac:dyDescent="0.2">
      <c r="A390" s="127" t="s">
        <v>220</v>
      </c>
      <c r="B390" s="99" t="s">
        <v>66</v>
      </c>
      <c r="C390" s="113" t="s">
        <v>1345</v>
      </c>
      <c r="D390" s="121">
        <v>35</v>
      </c>
      <c r="E390" s="82"/>
      <c r="F390" s="82">
        <v>0</v>
      </c>
      <c r="G390" s="82"/>
      <c r="H390" s="82">
        <v>0</v>
      </c>
      <c r="I390" s="82"/>
      <c r="J390" s="82">
        <v>0</v>
      </c>
      <c r="K390" s="82"/>
      <c r="L390" s="82">
        <v>0</v>
      </c>
      <c r="M390" s="82"/>
      <c r="N390" s="82">
        <v>0</v>
      </c>
      <c r="O390" s="82"/>
      <c r="P390" s="82"/>
      <c r="Q390" s="145">
        <f t="shared" si="24"/>
        <v>0</v>
      </c>
      <c r="R390" s="151" t="str">
        <f t="shared" si="22"/>
        <v>SI</v>
      </c>
      <c r="S390" s="152" t="str">
        <f t="shared" si="23"/>
        <v>Sin Riesgo</v>
      </c>
      <c r="T390" s="180"/>
    </row>
    <row r="391" spans="1:20" s="178" customFormat="1" ht="32.1" customHeight="1" x14ac:dyDescent="0.2">
      <c r="A391" s="127" t="s">
        <v>220</v>
      </c>
      <c r="B391" s="99" t="s">
        <v>1346</v>
      </c>
      <c r="C391" s="113" t="s">
        <v>1347</v>
      </c>
      <c r="D391" s="121">
        <v>115</v>
      </c>
      <c r="E391" s="82">
        <v>0</v>
      </c>
      <c r="F391" s="82">
        <v>0</v>
      </c>
      <c r="G391" s="82">
        <v>0</v>
      </c>
      <c r="H391" s="82">
        <v>0</v>
      </c>
      <c r="I391" s="82">
        <v>0</v>
      </c>
      <c r="J391" s="82">
        <v>0</v>
      </c>
      <c r="K391" s="82">
        <v>0</v>
      </c>
      <c r="L391" s="82">
        <v>0</v>
      </c>
      <c r="M391" s="82">
        <v>0</v>
      </c>
      <c r="N391" s="82">
        <v>0</v>
      </c>
      <c r="O391" s="82">
        <v>0</v>
      </c>
      <c r="P391" s="82"/>
      <c r="Q391" s="145">
        <f t="shared" si="24"/>
        <v>0</v>
      </c>
      <c r="R391" s="151" t="str">
        <f t="shared" si="22"/>
        <v>SI</v>
      </c>
      <c r="S391" s="152" t="str">
        <f t="shared" si="23"/>
        <v>Sin Riesgo</v>
      </c>
      <c r="T391" s="180"/>
    </row>
    <row r="392" spans="1:20" s="178" customFormat="1" ht="32.1" customHeight="1" x14ac:dyDescent="0.2">
      <c r="A392" s="127" t="s">
        <v>220</v>
      </c>
      <c r="B392" s="99" t="s">
        <v>1348</v>
      </c>
      <c r="C392" s="113" t="s">
        <v>1349</v>
      </c>
      <c r="D392" s="121">
        <v>82</v>
      </c>
      <c r="E392" s="82">
        <v>0</v>
      </c>
      <c r="F392" s="82">
        <v>0</v>
      </c>
      <c r="G392" s="82">
        <v>0</v>
      </c>
      <c r="H392" s="82">
        <v>0</v>
      </c>
      <c r="I392" s="82">
        <v>0</v>
      </c>
      <c r="J392" s="82">
        <v>0</v>
      </c>
      <c r="K392" s="82">
        <v>0</v>
      </c>
      <c r="L392" s="82">
        <v>0</v>
      </c>
      <c r="M392" s="82">
        <v>0</v>
      </c>
      <c r="N392" s="82">
        <v>0</v>
      </c>
      <c r="O392" s="82">
        <v>0</v>
      </c>
      <c r="P392" s="82"/>
      <c r="Q392" s="145">
        <f t="shared" si="24"/>
        <v>0</v>
      </c>
      <c r="R392" s="151" t="str">
        <f t="shared" si="22"/>
        <v>SI</v>
      </c>
      <c r="S392" s="152" t="str">
        <f t="shared" si="23"/>
        <v>Sin Riesgo</v>
      </c>
      <c r="T392" s="180"/>
    </row>
    <row r="393" spans="1:20" s="178" customFormat="1" ht="32.1" customHeight="1" x14ac:dyDescent="0.2">
      <c r="A393" s="127" t="s">
        <v>220</v>
      </c>
      <c r="B393" s="99" t="s">
        <v>1333</v>
      </c>
      <c r="C393" s="113" t="s">
        <v>1350</v>
      </c>
      <c r="D393" s="121">
        <v>230</v>
      </c>
      <c r="E393" s="82">
        <v>0</v>
      </c>
      <c r="F393" s="82">
        <v>0</v>
      </c>
      <c r="G393" s="82">
        <v>0</v>
      </c>
      <c r="H393" s="82">
        <v>0</v>
      </c>
      <c r="I393" s="82">
        <v>0</v>
      </c>
      <c r="J393" s="82">
        <v>0</v>
      </c>
      <c r="K393" s="82">
        <v>0</v>
      </c>
      <c r="L393" s="82">
        <v>0</v>
      </c>
      <c r="M393" s="82">
        <v>0</v>
      </c>
      <c r="N393" s="82">
        <v>0</v>
      </c>
      <c r="O393" s="82">
        <v>0</v>
      </c>
      <c r="P393" s="82"/>
      <c r="Q393" s="145">
        <f t="shared" si="24"/>
        <v>0</v>
      </c>
      <c r="R393" s="151" t="str">
        <f t="shared" si="22"/>
        <v>SI</v>
      </c>
      <c r="S393" s="152" t="str">
        <f t="shared" si="23"/>
        <v>Sin Riesgo</v>
      </c>
      <c r="T393" s="180"/>
    </row>
    <row r="394" spans="1:20" s="178" customFormat="1" ht="32.1" customHeight="1" x14ac:dyDescent="0.2">
      <c r="A394" s="127" t="s">
        <v>220</v>
      </c>
      <c r="B394" s="99" t="s">
        <v>244</v>
      </c>
      <c r="C394" s="113" t="s">
        <v>1351</v>
      </c>
      <c r="D394" s="121">
        <v>102</v>
      </c>
      <c r="E394" s="82">
        <v>0</v>
      </c>
      <c r="F394" s="82">
        <v>0</v>
      </c>
      <c r="G394" s="82">
        <v>0</v>
      </c>
      <c r="H394" s="82">
        <v>0</v>
      </c>
      <c r="I394" s="82">
        <v>0</v>
      </c>
      <c r="J394" s="82">
        <v>0</v>
      </c>
      <c r="K394" s="82">
        <v>0</v>
      </c>
      <c r="L394" s="82">
        <v>0</v>
      </c>
      <c r="M394" s="82">
        <v>0</v>
      </c>
      <c r="N394" s="82">
        <v>0</v>
      </c>
      <c r="O394" s="82">
        <v>0</v>
      </c>
      <c r="P394" s="82"/>
      <c r="Q394" s="145">
        <f t="shared" si="24"/>
        <v>0</v>
      </c>
      <c r="R394" s="151" t="str">
        <f t="shared" si="22"/>
        <v>SI</v>
      </c>
      <c r="S394" s="152" t="str">
        <f t="shared" si="23"/>
        <v>Sin Riesgo</v>
      </c>
      <c r="T394" s="180"/>
    </row>
    <row r="395" spans="1:20" s="178" customFormat="1" ht="32.1" customHeight="1" x14ac:dyDescent="0.2">
      <c r="A395" s="127" t="s">
        <v>220</v>
      </c>
      <c r="B395" s="99" t="s">
        <v>1352</v>
      </c>
      <c r="C395" s="113" t="s">
        <v>1353</v>
      </c>
      <c r="D395" s="121">
        <v>45</v>
      </c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145" t="e">
        <f t="shared" si="24"/>
        <v>#DIV/0!</v>
      </c>
      <c r="R395" s="151" t="e">
        <f t="shared" si="22"/>
        <v>#DIV/0!</v>
      </c>
      <c r="S395" s="152" t="e">
        <f t="shared" si="23"/>
        <v>#DIV/0!</v>
      </c>
      <c r="T395" s="180"/>
    </row>
    <row r="396" spans="1:20" s="178" customFormat="1" ht="32.1" customHeight="1" x14ac:dyDescent="0.2">
      <c r="A396" s="127" t="s">
        <v>220</v>
      </c>
      <c r="B396" s="99" t="s">
        <v>1354</v>
      </c>
      <c r="C396" s="113" t="s">
        <v>1355</v>
      </c>
      <c r="D396" s="121">
        <v>191</v>
      </c>
      <c r="E396" s="82">
        <v>0</v>
      </c>
      <c r="F396" s="82">
        <v>0</v>
      </c>
      <c r="G396" s="82">
        <v>0</v>
      </c>
      <c r="H396" s="82">
        <v>0</v>
      </c>
      <c r="I396" s="82">
        <v>0</v>
      </c>
      <c r="J396" s="82">
        <v>0</v>
      </c>
      <c r="K396" s="82">
        <v>0</v>
      </c>
      <c r="L396" s="82">
        <v>0</v>
      </c>
      <c r="M396" s="82">
        <v>0</v>
      </c>
      <c r="N396" s="82">
        <v>0</v>
      </c>
      <c r="O396" s="82">
        <v>0</v>
      </c>
      <c r="P396" s="82"/>
      <c r="Q396" s="145">
        <f t="shared" si="24"/>
        <v>0</v>
      </c>
      <c r="R396" s="151" t="str">
        <f t="shared" si="22"/>
        <v>SI</v>
      </c>
      <c r="S396" s="152" t="str">
        <f t="shared" si="23"/>
        <v>Sin Riesgo</v>
      </c>
      <c r="T396" s="180"/>
    </row>
    <row r="397" spans="1:20" s="178" customFormat="1" ht="32.1" customHeight="1" x14ac:dyDescent="0.2">
      <c r="A397" s="127" t="s">
        <v>220</v>
      </c>
      <c r="B397" s="99" t="s">
        <v>1356</v>
      </c>
      <c r="C397" s="113" t="s">
        <v>1357</v>
      </c>
      <c r="D397" s="121">
        <v>59</v>
      </c>
      <c r="E397" s="82">
        <v>0</v>
      </c>
      <c r="F397" s="82">
        <v>0</v>
      </c>
      <c r="G397" s="82">
        <v>0</v>
      </c>
      <c r="H397" s="82">
        <v>0</v>
      </c>
      <c r="I397" s="82">
        <v>0</v>
      </c>
      <c r="J397" s="82">
        <v>0</v>
      </c>
      <c r="K397" s="82">
        <v>0</v>
      </c>
      <c r="L397" s="82">
        <v>0</v>
      </c>
      <c r="M397" s="82">
        <v>0</v>
      </c>
      <c r="N397" s="82">
        <v>0</v>
      </c>
      <c r="O397" s="82">
        <v>0</v>
      </c>
      <c r="P397" s="82"/>
      <c r="Q397" s="145">
        <f t="shared" si="24"/>
        <v>0</v>
      </c>
      <c r="R397" s="151" t="str">
        <f t="shared" si="22"/>
        <v>SI</v>
      </c>
      <c r="S397" s="152" t="str">
        <f t="shared" si="23"/>
        <v>Sin Riesgo</v>
      </c>
      <c r="T397" s="180"/>
    </row>
    <row r="398" spans="1:20" s="178" customFormat="1" ht="32.1" customHeight="1" x14ac:dyDescent="0.2">
      <c r="A398" s="127" t="s">
        <v>220</v>
      </c>
      <c r="B398" s="99" t="s">
        <v>1358</v>
      </c>
      <c r="C398" s="113" t="s">
        <v>1359</v>
      </c>
      <c r="D398" s="121">
        <v>81</v>
      </c>
      <c r="E398" s="82">
        <v>0</v>
      </c>
      <c r="F398" s="82">
        <v>0</v>
      </c>
      <c r="G398" s="82">
        <v>0</v>
      </c>
      <c r="H398" s="82">
        <v>0</v>
      </c>
      <c r="I398" s="82">
        <v>0</v>
      </c>
      <c r="J398" s="82">
        <v>0</v>
      </c>
      <c r="K398" s="82">
        <v>0</v>
      </c>
      <c r="L398" s="82">
        <v>0</v>
      </c>
      <c r="M398" s="82">
        <v>0</v>
      </c>
      <c r="N398" s="82">
        <v>0</v>
      </c>
      <c r="O398" s="82">
        <v>0</v>
      </c>
      <c r="P398" s="82"/>
      <c r="Q398" s="145">
        <f t="shared" si="24"/>
        <v>0</v>
      </c>
      <c r="R398" s="151" t="str">
        <f t="shared" si="22"/>
        <v>SI</v>
      </c>
      <c r="S398" s="152" t="str">
        <f t="shared" si="23"/>
        <v>Sin Riesgo</v>
      </c>
      <c r="T398" s="180"/>
    </row>
    <row r="399" spans="1:20" s="178" customFormat="1" ht="32.1" customHeight="1" x14ac:dyDescent="0.2">
      <c r="A399" s="127" t="s">
        <v>220</v>
      </c>
      <c r="B399" s="99" t="s">
        <v>1360</v>
      </c>
      <c r="C399" s="113" t="s">
        <v>1361</v>
      </c>
      <c r="D399" s="121">
        <v>97</v>
      </c>
      <c r="E399" s="82">
        <v>0</v>
      </c>
      <c r="F399" s="82">
        <v>0</v>
      </c>
      <c r="G399" s="82">
        <v>0</v>
      </c>
      <c r="H399" s="82">
        <v>0</v>
      </c>
      <c r="I399" s="82">
        <v>0</v>
      </c>
      <c r="J399" s="82">
        <v>0</v>
      </c>
      <c r="K399" s="82">
        <v>0</v>
      </c>
      <c r="L399" s="82">
        <v>0</v>
      </c>
      <c r="M399" s="82">
        <v>0</v>
      </c>
      <c r="N399" s="82">
        <v>0</v>
      </c>
      <c r="O399" s="82">
        <v>0</v>
      </c>
      <c r="P399" s="82"/>
      <c r="Q399" s="145">
        <f t="shared" si="24"/>
        <v>0</v>
      </c>
      <c r="R399" s="151" t="str">
        <f t="shared" si="22"/>
        <v>SI</v>
      </c>
      <c r="S399" s="152" t="str">
        <f t="shared" si="23"/>
        <v>Sin Riesgo</v>
      </c>
      <c r="T399" s="180"/>
    </row>
    <row r="400" spans="1:20" s="178" customFormat="1" ht="32.1" customHeight="1" x14ac:dyDescent="0.2">
      <c r="A400" s="127" t="s">
        <v>220</v>
      </c>
      <c r="B400" s="99" t="s">
        <v>66</v>
      </c>
      <c r="C400" s="113" t="s">
        <v>1362</v>
      </c>
      <c r="D400" s="121">
        <v>54</v>
      </c>
      <c r="E400" s="82">
        <v>0</v>
      </c>
      <c r="F400" s="82">
        <v>0</v>
      </c>
      <c r="G400" s="82">
        <v>0</v>
      </c>
      <c r="H400" s="82">
        <v>0</v>
      </c>
      <c r="I400" s="82">
        <v>0</v>
      </c>
      <c r="J400" s="82">
        <v>0</v>
      </c>
      <c r="K400" s="82">
        <v>0</v>
      </c>
      <c r="L400" s="82">
        <v>0</v>
      </c>
      <c r="M400" s="82">
        <v>0</v>
      </c>
      <c r="N400" s="82">
        <v>0</v>
      </c>
      <c r="O400" s="82">
        <v>0</v>
      </c>
      <c r="P400" s="82"/>
      <c r="Q400" s="145">
        <f t="shared" si="24"/>
        <v>0</v>
      </c>
      <c r="R400" s="151" t="str">
        <f t="shared" si="22"/>
        <v>SI</v>
      </c>
      <c r="S400" s="152" t="str">
        <f t="shared" si="23"/>
        <v>Sin Riesgo</v>
      </c>
      <c r="T400" s="180"/>
    </row>
    <row r="401" spans="1:20" s="178" customFormat="1" ht="32.1" customHeight="1" x14ac:dyDescent="0.2">
      <c r="A401" s="127" t="s">
        <v>220</v>
      </c>
      <c r="B401" s="99" t="s">
        <v>1363</v>
      </c>
      <c r="C401" s="113" t="s">
        <v>1364</v>
      </c>
      <c r="D401" s="121">
        <v>289</v>
      </c>
      <c r="E401" s="82">
        <v>2.1</v>
      </c>
      <c r="F401" s="82"/>
      <c r="G401" s="82">
        <v>2.7</v>
      </c>
      <c r="H401" s="82"/>
      <c r="I401" s="82">
        <v>2.1</v>
      </c>
      <c r="J401" s="82"/>
      <c r="K401" s="82">
        <v>2.7</v>
      </c>
      <c r="L401" s="82"/>
      <c r="M401" s="82">
        <v>2.1</v>
      </c>
      <c r="N401" s="82"/>
      <c r="O401" s="82">
        <v>2.7</v>
      </c>
      <c r="P401" s="82"/>
      <c r="Q401" s="145">
        <f t="shared" si="24"/>
        <v>2.4000000000000004</v>
      </c>
      <c r="R401" s="151" t="str">
        <f t="shared" si="22"/>
        <v>SI</v>
      </c>
      <c r="S401" s="152" t="str">
        <f t="shared" si="23"/>
        <v>Sin Riesgo</v>
      </c>
      <c r="T401" s="180"/>
    </row>
    <row r="402" spans="1:20" s="178" customFormat="1" ht="32.1" customHeight="1" x14ac:dyDescent="0.2">
      <c r="A402" s="127" t="s">
        <v>220</v>
      </c>
      <c r="B402" s="99" t="s">
        <v>1365</v>
      </c>
      <c r="C402" s="113" t="s">
        <v>1366</v>
      </c>
      <c r="D402" s="121">
        <v>84</v>
      </c>
      <c r="E402" s="82">
        <v>0</v>
      </c>
      <c r="F402" s="82"/>
      <c r="G402" s="82">
        <v>0</v>
      </c>
      <c r="H402" s="82"/>
      <c r="I402" s="82">
        <v>0</v>
      </c>
      <c r="J402" s="82"/>
      <c r="K402" s="82">
        <v>0</v>
      </c>
      <c r="L402" s="82"/>
      <c r="M402" s="82">
        <v>0</v>
      </c>
      <c r="N402" s="82"/>
      <c r="O402" s="82">
        <v>0</v>
      </c>
      <c r="P402" s="82"/>
      <c r="Q402" s="145">
        <f t="shared" si="24"/>
        <v>0</v>
      </c>
      <c r="R402" s="151" t="str">
        <f t="shared" si="22"/>
        <v>SI</v>
      </c>
      <c r="S402" s="152" t="str">
        <f t="shared" si="23"/>
        <v>Sin Riesgo</v>
      </c>
      <c r="T402" s="180"/>
    </row>
    <row r="403" spans="1:20" s="178" customFormat="1" ht="32.1" customHeight="1" x14ac:dyDescent="0.2">
      <c r="A403" s="127" t="s">
        <v>220</v>
      </c>
      <c r="B403" s="99" t="s">
        <v>672</v>
      </c>
      <c r="C403" s="113" t="s">
        <v>1367</v>
      </c>
      <c r="D403" s="121">
        <v>53</v>
      </c>
      <c r="E403" s="82">
        <v>0</v>
      </c>
      <c r="F403" s="82"/>
      <c r="G403" s="82">
        <v>0</v>
      </c>
      <c r="H403" s="82"/>
      <c r="I403" s="82">
        <v>26.5</v>
      </c>
      <c r="J403" s="82"/>
      <c r="K403" s="82">
        <v>0</v>
      </c>
      <c r="L403" s="82"/>
      <c r="M403" s="82">
        <v>0</v>
      </c>
      <c r="N403" s="82"/>
      <c r="O403" s="82">
        <v>0</v>
      </c>
      <c r="P403" s="82"/>
      <c r="Q403" s="145">
        <f t="shared" si="24"/>
        <v>4.416666666666667</v>
      </c>
      <c r="R403" s="151" t="str">
        <f t="shared" si="22"/>
        <v>SI</v>
      </c>
      <c r="S403" s="152" t="str">
        <f t="shared" si="23"/>
        <v>Sin Riesgo</v>
      </c>
      <c r="T403" s="180"/>
    </row>
    <row r="404" spans="1:20" s="178" customFormat="1" ht="32.1" customHeight="1" x14ac:dyDescent="0.2">
      <c r="A404" s="127" t="s">
        <v>220</v>
      </c>
      <c r="B404" s="99" t="s">
        <v>1368</v>
      </c>
      <c r="C404" s="113" t="s">
        <v>1369</v>
      </c>
      <c r="D404" s="121">
        <v>146</v>
      </c>
      <c r="E404" s="82">
        <v>2.7</v>
      </c>
      <c r="F404" s="82"/>
      <c r="G404" s="82">
        <v>2.1</v>
      </c>
      <c r="H404" s="82"/>
      <c r="I404" s="82">
        <v>2.1</v>
      </c>
      <c r="J404" s="82"/>
      <c r="K404" s="82">
        <v>2.1</v>
      </c>
      <c r="L404" s="82"/>
      <c r="M404" s="82">
        <v>2.7</v>
      </c>
      <c r="N404" s="82"/>
      <c r="O404" s="82">
        <v>2.1</v>
      </c>
      <c r="P404" s="82"/>
      <c r="Q404" s="145">
        <f t="shared" si="24"/>
        <v>2.2999999999999998</v>
      </c>
      <c r="R404" s="151" t="str">
        <f t="shared" si="22"/>
        <v>SI</v>
      </c>
      <c r="S404" s="152" t="str">
        <f t="shared" si="23"/>
        <v>Sin Riesgo</v>
      </c>
      <c r="T404" s="180"/>
    </row>
    <row r="405" spans="1:20" s="178" customFormat="1" ht="32.1" customHeight="1" x14ac:dyDescent="0.2">
      <c r="A405" s="127" t="s">
        <v>220</v>
      </c>
      <c r="B405" s="99" t="s">
        <v>1370</v>
      </c>
      <c r="C405" s="113" t="s">
        <v>1371</v>
      </c>
      <c r="D405" s="121">
        <v>42</v>
      </c>
      <c r="E405" s="82">
        <v>0</v>
      </c>
      <c r="F405" s="82"/>
      <c r="G405" s="82">
        <v>0</v>
      </c>
      <c r="H405" s="82"/>
      <c r="I405" s="82">
        <v>26.5</v>
      </c>
      <c r="J405" s="82"/>
      <c r="K405" s="82">
        <v>0</v>
      </c>
      <c r="L405" s="82"/>
      <c r="M405" s="82">
        <v>21</v>
      </c>
      <c r="N405" s="82"/>
      <c r="O405" s="82">
        <v>0</v>
      </c>
      <c r="P405" s="82"/>
      <c r="Q405" s="145">
        <f t="shared" si="24"/>
        <v>7.916666666666667</v>
      </c>
      <c r="R405" s="151" t="str">
        <f t="shared" si="22"/>
        <v>NO</v>
      </c>
      <c r="S405" s="152" t="str">
        <f t="shared" si="23"/>
        <v>Bajo</v>
      </c>
      <c r="T405" s="180"/>
    </row>
    <row r="406" spans="1:20" s="178" customFormat="1" ht="32.1" customHeight="1" x14ac:dyDescent="0.2">
      <c r="A406" s="127" t="s">
        <v>220</v>
      </c>
      <c r="B406" s="99" t="s">
        <v>1049</v>
      </c>
      <c r="C406" s="113" t="s">
        <v>1372</v>
      </c>
      <c r="D406" s="121">
        <v>173</v>
      </c>
      <c r="E406" s="82"/>
      <c r="F406" s="82">
        <v>0</v>
      </c>
      <c r="G406" s="82"/>
      <c r="H406" s="82">
        <v>0</v>
      </c>
      <c r="I406" s="82"/>
      <c r="J406" s="82">
        <v>0</v>
      </c>
      <c r="K406" s="82"/>
      <c r="L406" s="82">
        <v>0</v>
      </c>
      <c r="M406" s="82"/>
      <c r="N406" s="82">
        <v>0</v>
      </c>
      <c r="O406" s="82"/>
      <c r="P406" s="82">
        <v>0</v>
      </c>
      <c r="Q406" s="145">
        <f t="shared" si="24"/>
        <v>0</v>
      </c>
      <c r="R406" s="151" t="str">
        <f t="shared" si="22"/>
        <v>SI</v>
      </c>
      <c r="S406" s="152" t="str">
        <f t="shared" si="23"/>
        <v>Sin Riesgo</v>
      </c>
      <c r="T406" s="180"/>
    </row>
    <row r="407" spans="1:20" s="178" customFormat="1" ht="32.1" customHeight="1" x14ac:dyDescent="0.2">
      <c r="A407" s="127" t="s">
        <v>220</v>
      </c>
      <c r="B407" s="99" t="s">
        <v>1373</v>
      </c>
      <c r="C407" s="113" t="s">
        <v>1374</v>
      </c>
      <c r="D407" s="121">
        <v>83</v>
      </c>
      <c r="E407" s="82"/>
      <c r="F407" s="82">
        <v>0</v>
      </c>
      <c r="G407" s="82"/>
      <c r="H407" s="82">
        <v>0</v>
      </c>
      <c r="I407" s="82"/>
      <c r="J407" s="82">
        <v>21</v>
      </c>
      <c r="K407" s="82"/>
      <c r="L407" s="82">
        <v>0</v>
      </c>
      <c r="M407" s="82"/>
      <c r="N407" s="82">
        <v>0</v>
      </c>
      <c r="O407" s="82"/>
      <c r="P407" s="82">
        <v>0</v>
      </c>
      <c r="Q407" s="145">
        <f t="shared" si="24"/>
        <v>3.5</v>
      </c>
      <c r="R407" s="151" t="str">
        <f t="shared" si="22"/>
        <v>SI</v>
      </c>
      <c r="S407" s="152" t="str">
        <f t="shared" si="23"/>
        <v>Sin Riesgo</v>
      </c>
      <c r="T407" s="180"/>
    </row>
    <row r="408" spans="1:20" s="178" customFormat="1" ht="32.1" customHeight="1" x14ac:dyDescent="0.2">
      <c r="A408" s="127" t="s">
        <v>220</v>
      </c>
      <c r="B408" s="99" t="s">
        <v>1375</v>
      </c>
      <c r="C408" s="113" t="s">
        <v>1376</v>
      </c>
      <c r="D408" s="121">
        <v>31</v>
      </c>
      <c r="E408" s="82"/>
      <c r="F408" s="82">
        <v>0</v>
      </c>
      <c r="G408" s="82"/>
      <c r="H408" s="82">
        <v>0</v>
      </c>
      <c r="I408" s="82"/>
      <c r="J408" s="82">
        <v>0</v>
      </c>
      <c r="K408" s="82"/>
      <c r="L408" s="82">
        <v>21</v>
      </c>
      <c r="M408" s="82"/>
      <c r="N408" s="82">
        <v>0</v>
      </c>
      <c r="O408" s="82"/>
      <c r="P408" s="82">
        <v>0</v>
      </c>
      <c r="Q408" s="145">
        <f t="shared" si="24"/>
        <v>3.5</v>
      </c>
      <c r="R408" s="151" t="str">
        <f t="shared" si="22"/>
        <v>SI</v>
      </c>
      <c r="S408" s="152" t="str">
        <f t="shared" si="23"/>
        <v>Sin Riesgo</v>
      </c>
      <c r="T408" s="180"/>
    </row>
    <row r="409" spans="1:20" s="178" customFormat="1" ht="32.1" customHeight="1" x14ac:dyDescent="0.2">
      <c r="A409" s="127" t="s">
        <v>220</v>
      </c>
      <c r="B409" s="99" t="s">
        <v>78</v>
      </c>
      <c r="C409" s="113" t="s">
        <v>1377</v>
      </c>
      <c r="D409" s="121">
        <v>253</v>
      </c>
      <c r="E409" s="82"/>
      <c r="F409" s="82">
        <v>0</v>
      </c>
      <c r="G409" s="82"/>
      <c r="H409" s="82">
        <v>0</v>
      </c>
      <c r="I409" s="82"/>
      <c r="J409" s="82">
        <v>0</v>
      </c>
      <c r="K409" s="82"/>
      <c r="L409" s="82">
        <v>0</v>
      </c>
      <c r="M409" s="82"/>
      <c r="N409" s="82">
        <v>0</v>
      </c>
      <c r="O409" s="82"/>
      <c r="P409" s="82">
        <v>0</v>
      </c>
      <c r="Q409" s="145">
        <f t="shared" si="24"/>
        <v>0</v>
      </c>
      <c r="R409" s="151" t="str">
        <f t="shared" si="22"/>
        <v>SI</v>
      </c>
      <c r="S409" s="152" t="str">
        <f t="shared" si="23"/>
        <v>Sin Riesgo</v>
      </c>
      <c r="T409" s="180"/>
    </row>
    <row r="410" spans="1:20" s="178" customFormat="1" ht="32.1" customHeight="1" x14ac:dyDescent="0.2">
      <c r="A410" s="127" t="s">
        <v>221</v>
      </c>
      <c r="B410" s="494" t="s">
        <v>4369</v>
      </c>
      <c r="C410" s="460" t="s">
        <v>4370</v>
      </c>
      <c r="D410" s="122">
        <v>160</v>
      </c>
      <c r="E410" s="459"/>
      <c r="F410" s="459"/>
      <c r="G410" s="459"/>
      <c r="H410" s="459">
        <v>0</v>
      </c>
      <c r="I410" s="459"/>
      <c r="J410" s="459"/>
      <c r="K410" s="459"/>
      <c r="L410" s="459"/>
      <c r="M410" s="459"/>
      <c r="N410" s="459"/>
      <c r="O410" s="459"/>
      <c r="P410" s="459"/>
      <c r="Q410" s="145">
        <f t="shared" si="24"/>
        <v>0</v>
      </c>
      <c r="R410" s="151" t="str">
        <f t="shared" si="22"/>
        <v>SI</v>
      </c>
      <c r="S410" s="152" t="str">
        <f t="shared" si="23"/>
        <v>Sin Riesgo</v>
      </c>
      <c r="T410" s="203"/>
    </row>
    <row r="411" spans="1:20" s="178" customFormat="1" ht="32.1" customHeight="1" x14ac:dyDescent="0.2">
      <c r="A411" s="127" t="s">
        <v>221</v>
      </c>
      <c r="B411" s="460" t="s">
        <v>4371</v>
      </c>
      <c r="C411" s="460" t="s">
        <v>4372</v>
      </c>
      <c r="D411" s="122">
        <v>19</v>
      </c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>
        <v>53</v>
      </c>
      <c r="Q411" s="145">
        <f t="shared" si="24"/>
        <v>53</v>
      </c>
      <c r="R411" s="151" t="str">
        <f t="shared" si="22"/>
        <v>NO</v>
      </c>
      <c r="S411" s="152" t="str">
        <f t="shared" si="23"/>
        <v>Alto</v>
      </c>
      <c r="T411" s="203"/>
    </row>
    <row r="412" spans="1:20" s="178" customFormat="1" ht="32.1" customHeight="1" x14ac:dyDescent="0.2">
      <c r="A412" s="127" t="s">
        <v>221</v>
      </c>
      <c r="B412" s="460" t="s">
        <v>4373</v>
      </c>
      <c r="C412" s="460" t="s">
        <v>4374</v>
      </c>
      <c r="D412" s="122">
        <v>18</v>
      </c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>
        <v>53</v>
      </c>
      <c r="P412" s="81"/>
      <c r="Q412" s="145">
        <f t="shared" si="24"/>
        <v>53</v>
      </c>
      <c r="R412" s="151" t="str">
        <f t="shared" si="22"/>
        <v>NO</v>
      </c>
      <c r="S412" s="152" t="str">
        <f t="shared" si="23"/>
        <v>Alto</v>
      </c>
      <c r="T412" s="203"/>
    </row>
    <row r="413" spans="1:20" s="178" customFormat="1" ht="32.1" customHeight="1" x14ac:dyDescent="0.2">
      <c r="A413" s="127" t="s">
        <v>221</v>
      </c>
      <c r="B413" s="460" t="s">
        <v>4375</v>
      </c>
      <c r="C413" s="460" t="s">
        <v>4376</v>
      </c>
      <c r="D413" s="122">
        <v>20</v>
      </c>
      <c r="E413" s="81"/>
      <c r="F413" s="81"/>
      <c r="G413" s="81"/>
      <c r="H413" s="81"/>
      <c r="I413" s="81">
        <v>53</v>
      </c>
      <c r="J413" s="81"/>
      <c r="K413" s="81"/>
      <c r="L413" s="81"/>
      <c r="M413" s="81"/>
      <c r="N413" s="81"/>
      <c r="O413" s="81"/>
      <c r="P413" s="81"/>
      <c r="Q413" s="145">
        <f t="shared" si="24"/>
        <v>53</v>
      </c>
      <c r="R413" s="151" t="str">
        <f t="shared" si="22"/>
        <v>NO</v>
      </c>
      <c r="S413" s="152" t="str">
        <f t="shared" si="23"/>
        <v>Alto</v>
      </c>
      <c r="T413" s="203"/>
    </row>
    <row r="414" spans="1:20" s="178" customFormat="1" ht="32.1" customHeight="1" x14ac:dyDescent="0.2">
      <c r="A414" s="127" t="s">
        <v>221</v>
      </c>
      <c r="B414" s="460" t="s">
        <v>4377</v>
      </c>
      <c r="C414" s="460" t="s">
        <v>4378</v>
      </c>
      <c r="D414" s="122">
        <v>26</v>
      </c>
      <c r="E414" s="81"/>
      <c r="F414" s="81">
        <v>53</v>
      </c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145">
        <f t="shared" si="24"/>
        <v>53</v>
      </c>
      <c r="R414" s="151" t="str">
        <f t="shared" si="22"/>
        <v>NO</v>
      </c>
      <c r="S414" s="152" t="str">
        <f t="shared" si="23"/>
        <v>Alto</v>
      </c>
      <c r="T414" s="203"/>
    </row>
    <row r="415" spans="1:20" s="178" customFormat="1" ht="32.1" customHeight="1" x14ac:dyDescent="0.2">
      <c r="A415" s="127" t="s">
        <v>221</v>
      </c>
      <c r="B415" s="460" t="s">
        <v>3574</v>
      </c>
      <c r="C415" s="460" t="s">
        <v>4379</v>
      </c>
      <c r="D415" s="122">
        <v>39</v>
      </c>
      <c r="E415" s="81"/>
      <c r="F415" s="81"/>
      <c r="G415" s="81"/>
      <c r="H415" s="81"/>
      <c r="I415" s="81"/>
      <c r="J415" s="81"/>
      <c r="K415" s="81"/>
      <c r="L415" s="81"/>
      <c r="M415" s="81"/>
      <c r="N415" s="81">
        <v>53</v>
      </c>
      <c r="O415" s="81"/>
      <c r="P415" s="81"/>
      <c r="Q415" s="145">
        <f t="shared" si="24"/>
        <v>53</v>
      </c>
      <c r="R415" s="151" t="str">
        <f t="shared" si="22"/>
        <v>NO</v>
      </c>
      <c r="S415" s="152" t="str">
        <f t="shared" si="23"/>
        <v>Alto</v>
      </c>
      <c r="T415" s="203"/>
    </row>
    <row r="416" spans="1:20" s="178" customFormat="1" ht="32.1" customHeight="1" x14ac:dyDescent="0.2">
      <c r="A416" s="127" t="s">
        <v>221</v>
      </c>
      <c r="B416" s="460" t="s">
        <v>1912</v>
      </c>
      <c r="C416" s="460" t="s">
        <v>4380</v>
      </c>
      <c r="D416" s="122">
        <v>22</v>
      </c>
      <c r="E416" s="81"/>
      <c r="F416" s="81"/>
      <c r="G416" s="81"/>
      <c r="H416" s="81">
        <v>53</v>
      </c>
      <c r="I416" s="81"/>
      <c r="J416" s="81"/>
      <c r="K416" s="81"/>
      <c r="L416" s="81"/>
      <c r="M416" s="81"/>
      <c r="N416" s="81"/>
      <c r="O416" s="81"/>
      <c r="P416" s="81"/>
      <c r="Q416" s="145">
        <f t="shared" si="24"/>
        <v>53</v>
      </c>
      <c r="R416" s="151" t="str">
        <f t="shared" si="22"/>
        <v>NO</v>
      </c>
      <c r="S416" s="152" t="str">
        <f t="shared" si="23"/>
        <v>Alto</v>
      </c>
      <c r="T416" s="203"/>
    </row>
    <row r="417" spans="1:20" s="178" customFormat="1" ht="32.1" customHeight="1" x14ac:dyDescent="0.2">
      <c r="A417" s="127" t="s">
        <v>221</v>
      </c>
      <c r="B417" s="460" t="s">
        <v>4381</v>
      </c>
      <c r="C417" s="460" t="s">
        <v>4382</v>
      </c>
      <c r="D417" s="122">
        <v>37</v>
      </c>
      <c r="E417" s="81"/>
      <c r="F417" s="81"/>
      <c r="G417" s="81"/>
      <c r="H417" s="81"/>
      <c r="I417" s="81">
        <v>53</v>
      </c>
      <c r="J417" s="81"/>
      <c r="K417" s="81"/>
      <c r="L417" s="81"/>
      <c r="M417" s="81"/>
      <c r="N417" s="81"/>
      <c r="O417" s="81"/>
      <c r="P417" s="81"/>
      <c r="Q417" s="145">
        <f t="shared" si="24"/>
        <v>53</v>
      </c>
      <c r="R417" s="151" t="str">
        <f t="shared" si="22"/>
        <v>NO</v>
      </c>
      <c r="S417" s="152" t="str">
        <f t="shared" si="23"/>
        <v>Alto</v>
      </c>
      <c r="T417" s="203"/>
    </row>
    <row r="418" spans="1:20" s="122" customFormat="1" ht="32.1" customHeight="1" x14ac:dyDescent="0.2">
      <c r="A418" s="127" t="s">
        <v>221</v>
      </c>
      <c r="B418" s="460" t="s">
        <v>494</v>
      </c>
      <c r="C418" s="460" t="s">
        <v>4383</v>
      </c>
      <c r="D418" s="122">
        <v>25</v>
      </c>
      <c r="E418" s="82"/>
      <c r="F418" s="82"/>
      <c r="G418" s="82"/>
      <c r="H418" s="82"/>
      <c r="I418" s="82"/>
      <c r="J418" s="82">
        <v>53</v>
      </c>
      <c r="K418" s="82"/>
      <c r="L418" s="82"/>
      <c r="M418" s="82"/>
      <c r="N418" s="82"/>
      <c r="O418" s="82"/>
      <c r="P418" s="82"/>
      <c r="Q418" s="145">
        <f t="shared" ref="Q418:Q420" si="25">AVERAGE(E418:P418)</f>
        <v>53</v>
      </c>
      <c r="R418" s="151" t="str">
        <f t="shared" si="22"/>
        <v>NO</v>
      </c>
      <c r="S418" s="152" t="str">
        <f t="shared" si="23"/>
        <v>Alto</v>
      </c>
      <c r="T418" s="204"/>
    </row>
    <row r="419" spans="1:20" ht="32.1" customHeight="1" x14ac:dyDescent="0.2">
      <c r="A419" s="127" t="s">
        <v>221</v>
      </c>
      <c r="B419" s="460" t="s">
        <v>4384</v>
      </c>
      <c r="C419" s="460" t="s">
        <v>4385</v>
      </c>
      <c r="D419" s="122">
        <v>25</v>
      </c>
      <c r="E419" s="82">
        <v>53</v>
      </c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145">
        <f t="shared" si="25"/>
        <v>53</v>
      </c>
      <c r="R419" s="151" t="str">
        <f t="shared" si="22"/>
        <v>NO</v>
      </c>
      <c r="S419" s="152" t="str">
        <f t="shared" si="23"/>
        <v>Alto</v>
      </c>
      <c r="T419" s="191"/>
    </row>
    <row r="420" spans="1:20" ht="32.1" customHeight="1" x14ac:dyDescent="0.2">
      <c r="A420" s="127" t="s">
        <v>221</v>
      </c>
      <c r="B420" s="460" t="s">
        <v>4386</v>
      </c>
      <c r="C420" s="460" t="s">
        <v>4387</v>
      </c>
      <c r="D420" s="122">
        <v>36</v>
      </c>
      <c r="E420" s="82"/>
      <c r="F420" s="82"/>
      <c r="G420" s="82"/>
      <c r="H420" s="82"/>
      <c r="I420" s="82"/>
      <c r="J420" s="82"/>
      <c r="K420" s="82"/>
      <c r="L420" s="82"/>
      <c r="M420" s="82"/>
      <c r="N420" s="82">
        <v>53</v>
      </c>
      <c r="O420" s="82"/>
      <c r="P420" s="82"/>
      <c r="Q420" s="145">
        <f t="shared" si="25"/>
        <v>53</v>
      </c>
      <c r="R420" s="151" t="str">
        <f t="shared" si="22"/>
        <v>NO</v>
      </c>
      <c r="S420" s="152" t="str">
        <f t="shared" si="23"/>
        <v>Alto</v>
      </c>
      <c r="T420" s="191"/>
    </row>
    <row r="421" spans="1:20" ht="42.75" customHeight="1" x14ac:dyDescent="0.2">
      <c r="A421" s="127" t="s">
        <v>82</v>
      </c>
      <c r="B421" s="99" t="s">
        <v>1379</v>
      </c>
      <c r="C421" s="99" t="s">
        <v>1380</v>
      </c>
      <c r="D421" s="121">
        <v>624</v>
      </c>
      <c r="E421" s="82"/>
      <c r="F421" s="82"/>
      <c r="G421" s="82"/>
      <c r="H421" s="82"/>
      <c r="I421" s="82"/>
      <c r="J421" s="82"/>
      <c r="K421" s="82">
        <v>0</v>
      </c>
      <c r="L421" s="82">
        <v>0</v>
      </c>
      <c r="M421" s="82">
        <v>0</v>
      </c>
      <c r="N421" s="82">
        <v>3.49</v>
      </c>
      <c r="O421" s="82">
        <v>0</v>
      </c>
      <c r="P421" s="82">
        <v>0</v>
      </c>
      <c r="Q421" s="145">
        <f t="shared" si="24"/>
        <v>0.58166666666666667</v>
      </c>
      <c r="R421" s="151" t="str">
        <f t="shared" ref="R421:R476" si="26">IF(Q421&lt;5,"SI","NO")</f>
        <v>SI</v>
      </c>
      <c r="S421" s="152" t="str">
        <f t="shared" si="23"/>
        <v>Sin Riesgo</v>
      </c>
    </row>
    <row r="422" spans="1:20" ht="32.1" customHeight="1" x14ac:dyDescent="0.2">
      <c r="A422" s="127" t="s">
        <v>82</v>
      </c>
      <c r="B422" s="99" t="s">
        <v>1381</v>
      </c>
      <c r="C422" s="99" t="s">
        <v>1382</v>
      </c>
      <c r="D422" s="121">
        <v>1.0449999999999999</v>
      </c>
      <c r="E422" s="82"/>
      <c r="F422" s="82"/>
      <c r="G422" s="82"/>
      <c r="H422" s="82"/>
      <c r="I422" s="82"/>
      <c r="J422" s="82"/>
      <c r="K422" s="82">
        <v>1.74</v>
      </c>
      <c r="L422" s="82">
        <v>0</v>
      </c>
      <c r="M422" s="82">
        <v>0</v>
      </c>
      <c r="N422" s="82">
        <v>0</v>
      </c>
      <c r="O422" s="82">
        <v>0</v>
      </c>
      <c r="P422" s="82">
        <v>0</v>
      </c>
      <c r="Q422" s="145">
        <f t="shared" si="24"/>
        <v>0.28999999999999998</v>
      </c>
      <c r="R422" s="151" t="str">
        <f t="shared" si="26"/>
        <v>SI</v>
      </c>
      <c r="S422" s="152" t="str">
        <f t="shared" si="23"/>
        <v>Sin Riesgo</v>
      </c>
    </row>
    <row r="423" spans="1:20" ht="32.1" customHeight="1" x14ac:dyDescent="0.2">
      <c r="A423" s="127" t="s">
        <v>82</v>
      </c>
      <c r="B423" s="99" t="s">
        <v>1383</v>
      </c>
      <c r="C423" s="99" t="s">
        <v>1384</v>
      </c>
      <c r="D423" s="121">
        <v>409</v>
      </c>
      <c r="E423" s="82"/>
      <c r="F423" s="82"/>
      <c r="G423" s="82"/>
      <c r="H423" s="82"/>
      <c r="I423" s="82"/>
      <c r="J423" s="82"/>
      <c r="K423" s="82">
        <v>0</v>
      </c>
      <c r="L423" s="82">
        <v>0</v>
      </c>
      <c r="M423" s="82">
        <v>0</v>
      </c>
      <c r="N423" s="82">
        <v>0</v>
      </c>
      <c r="O423" s="82">
        <v>0</v>
      </c>
      <c r="P423" s="82">
        <v>0</v>
      </c>
      <c r="Q423" s="145">
        <f t="shared" si="24"/>
        <v>0</v>
      </c>
      <c r="R423" s="151" t="str">
        <f t="shared" si="26"/>
        <v>SI</v>
      </c>
      <c r="S423" s="152" t="str">
        <f t="shared" si="23"/>
        <v>Sin Riesgo</v>
      </c>
    </row>
    <row r="424" spans="1:20" ht="32.1" customHeight="1" x14ac:dyDescent="0.2">
      <c r="A424" s="127" t="s">
        <v>82</v>
      </c>
      <c r="B424" s="99" t="s">
        <v>1162</v>
      </c>
      <c r="C424" s="99" t="s">
        <v>1385</v>
      </c>
      <c r="D424" s="121">
        <v>483</v>
      </c>
      <c r="E424" s="82"/>
      <c r="F424" s="82"/>
      <c r="G424" s="82"/>
      <c r="H424" s="82"/>
      <c r="I424" s="82"/>
      <c r="J424" s="82"/>
      <c r="K424" s="82">
        <v>0</v>
      </c>
      <c r="L424" s="82">
        <v>17.440000000000001</v>
      </c>
      <c r="M424" s="82">
        <v>0</v>
      </c>
      <c r="N424" s="82">
        <v>17.399999999999999</v>
      </c>
      <c r="O424" s="82">
        <v>0</v>
      </c>
      <c r="P424" s="82">
        <v>0</v>
      </c>
      <c r="Q424" s="145">
        <f t="shared" si="24"/>
        <v>5.8066666666666675</v>
      </c>
      <c r="R424" s="151" t="str">
        <f t="shared" si="26"/>
        <v>NO</v>
      </c>
      <c r="S424" s="152" t="str">
        <f t="shared" si="23"/>
        <v>Bajo</v>
      </c>
    </row>
    <row r="425" spans="1:20" ht="32.1" customHeight="1" x14ac:dyDescent="0.2">
      <c r="A425" s="127" t="s">
        <v>82</v>
      </c>
      <c r="B425" s="99" t="s">
        <v>1386</v>
      </c>
      <c r="C425" s="99" t="s">
        <v>1387</v>
      </c>
      <c r="D425" s="121">
        <v>1.4159999999999999</v>
      </c>
      <c r="E425" s="82"/>
      <c r="F425" s="82"/>
      <c r="G425" s="82"/>
      <c r="H425" s="82"/>
      <c r="I425" s="82"/>
      <c r="J425" s="82"/>
      <c r="K425" s="82">
        <v>0</v>
      </c>
      <c r="L425" s="82">
        <v>0</v>
      </c>
      <c r="M425" s="82">
        <v>0</v>
      </c>
      <c r="N425" s="82">
        <v>0.87</v>
      </c>
      <c r="O425" s="82">
        <v>0</v>
      </c>
      <c r="P425" s="82">
        <v>0</v>
      </c>
      <c r="Q425" s="145">
        <f t="shared" si="24"/>
        <v>0.14499999999999999</v>
      </c>
      <c r="R425" s="151" t="str">
        <f t="shared" si="26"/>
        <v>SI</v>
      </c>
      <c r="S425" s="152" t="str">
        <f t="shared" si="23"/>
        <v>Sin Riesgo</v>
      </c>
    </row>
    <row r="426" spans="1:20" ht="32.1" customHeight="1" x14ac:dyDescent="0.2">
      <c r="A426" s="127" t="s">
        <v>82</v>
      </c>
      <c r="B426" s="99" t="s">
        <v>1388</v>
      </c>
      <c r="C426" s="99" t="s">
        <v>1389</v>
      </c>
      <c r="D426" s="121">
        <v>149</v>
      </c>
      <c r="E426" s="82"/>
      <c r="F426" s="82"/>
      <c r="G426" s="82"/>
      <c r="H426" s="82"/>
      <c r="I426" s="82"/>
      <c r="J426" s="82"/>
      <c r="K426" s="82">
        <v>0</v>
      </c>
      <c r="L426" s="82">
        <v>0</v>
      </c>
      <c r="M426" s="82">
        <v>0</v>
      </c>
      <c r="N426" s="82">
        <v>0</v>
      </c>
      <c r="O426" s="82">
        <v>8.7200000000000006</v>
      </c>
      <c r="P426" s="82">
        <v>0</v>
      </c>
      <c r="Q426" s="145">
        <f t="shared" si="24"/>
        <v>1.4533333333333334</v>
      </c>
      <c r="R426" s="151" t="str">
        <f t="shared" si="26"/>
        <v>SI</v>
      </c>
      <c r="S426" s="152" t="str">
        <f t="shared" si="23"/>
        <v>Sin Riesgo</v>
      </c>
    </row>
    <row r="427" spans="1:20" ht="32.1" customHeight="1" x14ac:dyDescent="0.2">
      <c r="A427" s="127" t="s">
        <v>82</v>
      </c>
      <c r="B427" s="99" t="s">
        <v>1390</v>
      </c>
      <c r="C427" s="99" t="s">
        <v>1391</v>
      </c>
      <c r="D427" s="121">
        <v>385</v>
      </c>
      <c r="E427" s="82"/>
      <c r="F427" s="82"/>
      <c r="G427" s="82"/>
      <c r="H427" s="82"/>
      <c r="I427" s="82"/>
      <c r="J427" s="82"/>
      <c r="K427" s="82">
        <v>1.74</v>
      </c>
      <c r="L427" s="82">
        <v>0</v>
      </c>
      <c r="M427" s="82">
        <v>0</v>
      </c>
      <c r="N427" s="82">
        <v>3.49</v>
      </c>
      <c r="O427" s="82">
        <v>0</v>
      </c>
      <c r="P427" s="82">
        <v>0</v>
      </c>
      <c r="Q427" s="145">
        <f t="shared" si="24"/>
        <v>0.8716666666666667</v>
      </c>
      <c r="R427" s="151" t="str">
        <f t="shared" si="26"/>
        <v>SI</v>
      </c>
      <c r="S427" s="152" t="str">
        <f t="shared" si="23"/>
        <v>Sin Riesgo</v>
      </c>
    </row>
    <row r="428" spans="1:20" ht="32.1" customHeight="1" x14ac:dyDescent="0.2">
      <c r="A428" s="127" t="s">
        <v>82</v>
      </c>
      <c r="B428" s="99" t="s">
        <v>1392</v>
      </c>
      <c r="C428" s="99" t="s">
        <v>1393</v>
      </c>
      <c r="D428" s="116">
        <v>1.0880000000000001</v>
      </c>
      <c r="E428" s="82"/>
      <c r="F428" s="82"/>
      <c r="G428" s="82"/>
      <c r="H428" s="82"/>
      <c r="I428" s="82"/>
      <c r="J428" s="82"/>
      <c r="K428" s="82">
        <v>0</v>
      </c>
      <c r="L428" s="82">
        <v>0</v>
      </c>
      <c r="M428" s="82">
        <v>0</v>
      </c>
      <c r="N428" s="82">
        <v>27.47</v>
      </c>
      <c r="O428" s="82">
        <v>0.87</v>
      </c>
      <c r="P428" s="82">
        <v>4.8</v>
      </c>
      <c r="Q428" s="145">
        <f t="shared" si="24"/>
        <v>5.5233333333333334</v>
      </c>
      <c r="R428" s="151" t="str">
        <f t="shared" si="26"/>
        <v>NO</v>
      </c>
      <c r="S428" s="152" t="str">
        <f t="shared" si="23"/>
        <v>Bajo</v>
      </c>
    </row>
    <row r="429" spans="1:20" ht="32.1" customHeight="1" x14ac:dyDescent="0.2">
      <c r="A429" s="127" t="s">
        <v>82</v>
      </c>
      <c r="B429" s="99" t="s">
        <v>4389</v>
      </c>
      <c r="C429" s="99" t="s">
        <v>1394</v>
      </c>
      <c r="D429" s="121">
        <v>86</v>
      </c>
      <c r="E429" s="82"/>
      <c r="F429" s="82"/>
      <c r="G429" s="82"/>
      <c r="H429" s="82"/>
      <c r="I429" s="82"/>
      <c r="J429" s="82"/>
      <c r="K429" s="82">
        <v>26.16</v>
      </c>
      <c r="L429" s="82">
        <v>19.18</v>
      </c>
      <c r="M429" s="82">
        <v>1.74</v>
      </c>
      <c r="N429" s="82">
        <v>7.85</v>
      </c>
      <c r="O429" s="82">
        <v>3.49</v>
      </c>
      <c r="P429" s="82">
        <v>0.87</v>
      </c>
      <c r="Q429" s="145">
        <f t="shared" si="24"/>
        <v>9.8816666666666677</v>
      </c>
      <c r="R429" s="151" t="str">
        <f t="shared" si="26"/>
        <v>NO</v>
      </c>
      <c r="S429" s="152" t="str">
        <f t="shared" si="23"/>
        <v>Bajo</v>
      </c>
    </row>
    <row r="430" spans="1:20" ht="32.1" customHeight="1" x14ac:dyDescent="0.2">
      <c r="A430" s="127" t="s">
        <v>82</v>
      </c>
      <c r="B430" s="99" t="s">
        <v>4388</v>
      </c>
      <c r="C430" s="99" t="s">
        <v>1744</v>
      </c>
      <c r="D430" s="121">
        <v>288</v>
      </c>
      <c r="E430" s="82"/>
      <c r="F430" s="82"/>
      <c r="G430" s="82"/>
      <c r="H430" s="82"/>
      <c r="I430" s="82"/>
      <c r="J430" s="82"/>
      <c r="K430" s="82">
        <v>0</v>
      </c>
      <c r="L430" s="82">
        <v>0</v>
      </c>
      <c r="M430" s="82">
        <v>0</v>
      </c>
      <c r="N430" s="82">
        <v>6.97</v>
      </c>
      <c r="O430" s="82">
        <v>0</v>
      </c>
      <c r="P430" s="82">
        <v>0</v>
      </c>
      <c r="Q430" s="145">
        <f t="shared" ref="Q430:Q493" si="27">AVERAGE(E430:P430)</f>
        <v>1.1616666666666666</v>
      </c>
      <c r="R430" s="151" t="str">
        <f t="shared" si="26"/>
        <v>SI</v>
      </c>
      <c r="S430" s="152" t="str">
        <f t="shared" si="23"/>
        <v>Sin Riesgo</v>
      </c>
    </row>
    <row r="431" spans="1:20" ht="32.1" customHeight="1" x14ac:dyDescent="0.2">
      <c r="A431" s="127" t="s">
        <v>82</v>
      </c>
      <c r="B431" s="99" t="s">
        <v>1395</v>
      </c>
      <c r="C431" s="99" t="s">
        <v>1396</v>
      </c>
      <c r="D431" s="116">
        <v>2.2229999999999999</v>
      </c>
      <c r="E431" s="82"/>
      <c r="F431" s="82"/>
      <c r="G431" s="82"/>
      <c r="H431" s="82"/>
      <c r="I431" s="82"/>
      <c r="J431" s="82"/>
      <c r="K431" s="82">
        <v>0</v>
      </c>
      <c r="L431" s="82">
        <v>0</v>
      </c>
      <c r="M431" s="82">
        <v>0</v>
      </c>
      <c r="N431" s="82">
        <v>1.74</v>
      </c>
      <c r="O431" s="82">
        <v>0</v>
      </c>
      <c r="P431" s="82">
        <v>0</v>
      </c>
      <c r="Q431" s="145">
        <f t="shared" si="27"/>
        <v>0.28999999999999998</v>
      </c>
      <c r="R431" s="151" t="str">
        <f t="shared" si="26"/>
        <v>SI</v>
      </c>
      <c r="S431" s="152" t="str">
        <f t="shared" si="23"/>
        <v>Sin Riesgo</v>
      </c>
    </row>
    <row r="432" spans="1:20" ht="32.1" customHeight="1" x14ac:dyDescent="0.2">
      <c r="A432" s="127" t="s">
        <v>82</v>
      </c>
      <c r="B432" s="99" t="s">
        <v>1397</v>
      </c>
      <c r="C432" s="99" t="s">
        <v>1398</v>
      </c>
      <c r="D432" s="121">
        <v>638</v>
      </c>
      <c r="E432" s="82"/>
      <c r="F432" s="82"/>
      <c r="G432" s="82"/>
      <c r="H432" s="82"/>
      <c r="I432" s="82"/>
      <c r="J432" s="82"/>
      <c r="K432" s="82">
        <v>0</v>
      </c>
      <c r="L432" s="82">
        <v>0</v>
      </c>
      <c r="M432" s="82">
        <v>0</v>
      </c>
      <c r="N432" s="82">
        <v>18.309999999999999</v>
      </c>
      <c r="O432" s="82">
        <v>0</v>
      </c>
      <c r="P432" s="82">
        <v>4.3</v>
      </c>
      <c r="Q432" s="145">
        <f t="shared" si="27"/>
        <v>3.7683333333333331</v>
      </c>
      <c r="R432" s="151" t="str">
        <f t="shared" si="26"/>
        <v>SI</v>
      </c>
      <c r="S432" s="152" t="str">
        <f t="shared" si="23"/>
        <v>Sin Riesgo</v>
      </c>
    </row>
    <row r="433" spans="1:19" ht="32.1" customHeight="1" x14ac:dyDescent="0.2">
      <c r="A433" s="127" t="s">
        <v>82</v>
      </c>
      <c r="B433" s="99" t="s">
        <v>1399</v>
      </c>
      <c r="C433" s="99" t="s">
        <v>1400</v>
      </c>
      <c r="D433" s="121">
        <v>427</v>
      </c>
      <c r="E433" s="82"/>
      <c r="F433" s="82"/>
      <c r="G433" s="82"/>
      <c r="H433" s="82"/>
      <c r="I433" s="82"/>
      <c r="J433" s="82"/>
      <c r="K433" s="82">
        <v>9.16</v>
      </c>
      <c r="L433" s="82">
        <v>0</v>
      </c>
      <c r="M433" s="82">
        <v>0</v>
      </c>
      <c r="N433" s="82">
        <v>24.41</v>
      </c>
      <c r="O433" s="82">
        <v>0</v>
      </c>
      <c r="P433" s="82">
        <v>0</v>
      </c>
      <c r="Q433" s="145">
        <f t="shared" si="27"/>
        <v>5.5949999999999998</v>
      </c>
      <c r="R433" s="151" t="str">
        <f t="shared" si="26"/>
        <v>NO</v>
      </c>
      <c r="S433" s="152" t="str">
        <f t="shared" si="23"/>
        <v>Bajo</v>
      </c>
    </row>
    <row r="434" spans="1:19" ht="32.1" customHeight="1" x14ac:dyDescent="0.2">
      <c r="A434" s="127" t="s">
        <v>82</v>
      </c>
      <c r="B434" s="99" t="s">
        <v>1401</v>
      </c>
      <c r="C434" s="99" t="s">
        <v>1402</v>
      </c>
      <c r="D434" s="116">
        <v>409</v>
      </c>
      <c r="E434" s="82"/>
      <c r="F434" s="82"/>
      <c r="G434" s="82"/>
      <c r="H434" s="82"/>
      <c r="I434" s="82"/>
      <c r="J434" s="82"/>
      <c r="K434" s="82">
        <v>0</v>
      </c>
      <c r="L434" s="82">
        <v>0</v>
      </c>
      <c r="M434" s="82">
        <v>0</v>
      </c>
      <c r="N434" s="82">
        <v>0</v>
      </c>
      <c r="O434" s="82">
        <v>0</v>
      </c>
      <c r="P434" s="82">
        <v>0</v>
      </c>
      <c r="Q434" s="145">
        <f t="shared" si="27"/>
        <v>0</v>
      </c>
      <c r="R434" s="151" t="str">
        <f t="shared" si="26"/>
        <v>SI</v>
      </c>
      <c r="S434" s="152" t="str">
        <f t="shared" si="23"/>
        <v>Sin Riesgo</v>
      </c>
    </row>
    <row r="435" spans="1:19" ht="32.1" customHeight="1" x14ac:dyDescent="0.2">
      <c r="A435" s="127" t="s">
        <v>82</v>
      </c>
      <c r="B435" s="99" t="s">
        <v>1403</v>
      </c>
      <c r="C435" s="99" t="s">
        <v>1404</v>
      </c>
      <c r="D435" s="121">
        <v>453</v>
      </c>
      <c r="E435" s="82"/>
      <c r="F435" s="82"/>
      <c r="G435" s="82"/>
      <c r="H435" s="82"/>
      <c r="I435" s="82"/>
      <c r="J435" s="82"/>
      <c r="K435" s="82">
        <v>0</v>
      </c>
      <c r="L435" s="82">
        <v>0</v>
      </c>
      <c r="M435" s="82">
        <v>0</v>
      </c>
      <c r="N435" s="82">
        <v>0</v>
      </c>
      <c r="O435" s="82">
        <v>0</v>
      </c>
      <c r="P435" s="82">
        <v>0</v>
      </c>
      <c r="Q435" s="145">
        <f t="shared" si="27"/>
        <v>0</v>
      </c>
      <c r="R435" s="151" t="str">
        <f t="shared" si="26"/>
        <v>SI</v>
      </c>
      <c r="S435" s="152" t="str">
        <f t="shared" si="23"/>
        <v>Sin Riesgo</v>
      </c>
    </row>
    <row r="436" spans="1:19" ht="32.1" customHeight="1" x14ac:dyDescent="0.2">
      <c r="A436" s="127" t="s">
        <v>82</v>
      </c>
      <c r="B436" s="99" t="s">
        <v>1405</v>
      </c>
      <c r="C436" s="99" t="s">
        <v>1406</v>
      </c>
      <c r="D436" s="121">
        <v>816</v>
      </c>
      <c r="E436" s="82"/>
      <c r="F436" s="82"/>
      <c r="G436" s="82"/>
      <c r="H436" s="82"/>
      <c r="I436" s="82"/>
      <c r="J436" s="82"/>
      <c r="K436" s="82">
        <v>0</v>
      </c>
      <c r="L436" s="82">
        <v>0</v>
      </c>
      <c r="M436" s="82">
        <v>0</v>
      </c>
      <c r="N436" s="82">
        <v>3.57</v>
      </c>
      <c r="O436" s="82">
        <v>0</v>
      </c>
      <c r="P436" s="82">
        <v>0</v>
      </c>
      <c r="Q436" s="145">
        <f t="shared" si="27"/>
        <v>0.59499999999999997</v>
      </c>
      <c r="R436" s="151" t="str">
        <f t="shared" si="26"/>
        <v>SI</v>
      </c>
      <c r="S436" s="152" t="str">
        <f t="shared" si="23"/>
        <v>Sin Riesgo</v>
      </c>
    </row>
    <row r="437" spans="1:19" ht="32.1" customHeight="1" x14ac:dyDescent="0.2">
      <c r="A437" s="127" t="s">
        <v>82</v>
      </c>
      <c r="B437" s="99" t="s">
        <v>1407</v>
      </c>
      <c r="C437" s="99" t="s">
        <v>1408</v>
      </c>
      <c r="D437" s="121">
        <v>137</v>
      </c>
      <c r="E437" s="82"/>
      <c r="F437" s="82"/>
      <c r="G437" s="82"/>
      <c r="H437" s="82"/>
      <c r="I437" s="82"/>
      <c r="J437" s="82"/>
      <c r="K437" s="82">
        <v>0</v>
      </c>
      <c r="L437" s="82">
        <v>0.87</v>
      </c>
      <c r="M437" s="82">
        <v>0</v>
      </c>
      <c r="N437" s="82">
        <v>17.440000000000001</v>
      </c>
      <c r="O437" s="82">
        <v>0</v>
      </c>
      <c r="P437" s="82">
        <v>0</v>
      </c>
      <c r="Q437" s="145">
        <f t="shared" si="27"/>
        <v>3.0516666666666672</v>
      </c>
      <c r="R437" s="151" t="str">
        <f t="shared" si="26"/>
        <v>SI</v>
      </c>
      <c r="S437" s="152" t="str">
        <f t="shared" si="23"/>
        <v>Sin Riesgo</v>
      </c>
    </row>
    <row r="438" spans="1:19" ht="32.1" customHeight="1" x14ac:dyDescent="0.2">
      <c r="A438" s="127" t="s">
        <v>82</v>
      </c>
      <c r="B438" s="99" t="s">
        <v>1409</v>
      </c>
      <c r="C438" s="99" t="s">
        <v>1410</v>
      </c>
      <c r="D438" s="121">
        <v>662</v>
      </c>
      <c r="E438" s="82"/>
      <c r="F438" s="82"/>
      <c r="G438" s="82"/>
      <c r="H438" s="82"/>
      <c r="I438" s="82"/>
      <c r="J438" s="82"/>
      <c r="K438" s="82">
        <v>0</v>
      </c>
      <c r="L438" s="82">
        <v>0</v>
      </c>
      <c r="M438" s="82">
        <v>0</v>
      </c>
      <c r="N438" s="82">
        <v>8.7200000000000006</v>
      </c>
      <c r="O438" s="82">
        <v>0</v>
      </c>
      <c r="P438" s="82">
        <v>0</v>
      </c>
      <c r="Q438" s="145">
        <f t="shared" si="27"/>
        <v>1.4533333333333334</v>
      </c>
      <c r="R438" s="151" t="str">
        <f t="shared" si="26"/>
        <v>SI</v>
      </c>
      <c r="S438" s="152" t="str">
        <f t="shared" si="23"/>
        <v>Sin Riesgo</v>
      </c>
    </row>
    <row r="439" spans="1:19" ht="32.1" customHeight="1" x14ac:dyDescent="0.2">
      <c r="A439" s="127" t="s">
        <v>82</v>
      </c>
      <c r="B439" s="99" t="s">
        <v>1411</v>
      </c>
      <c r="C439" s="99" t="s">
        <v>1412</v>
      </c>
      <c r="D439" s="121">
        <v>139</v>
      </c>
      <c r="E439" s="82"/>
      <c r="F439" s="82"/>
      <c r="G439" s="82"/>
      <c r="H439" s="82"/>
      <c r="I439" s="82"/>
      <c r="J439" s="82"/>
      <c r="K439" s="82">
        <v>6.97</v>
      </c>
      <c r="L439" s="82">
        <v>0</v>
      </c>
      <c r="M439" s="82">
        <v>0</v>
      </c>
      <c r="N439" s="82">
        <v>6.97</v>
      </c>
      <c r="O439" s="82">
        <v>0</v>
      </c>
      <c r="P439" s="82">
        <v>0</v>
      </c>
      <c r="Q439" s="145">
        <f t="shared" si="27"/>
        <v>2.3233333333333333</v>
      </c>
      <c r="R439" s="151" t="str">
        <f t="shared" si="26"/>
        <v>SI</v>
      </c>
      <c r="S439" s="152" t="str">
        <f t="shared" si="23"/>
        <v>Sin Riesgo</v>
      </c>
    </row>
    <row r="440" spans="1:19" ht="32.1" customHeight="1" x14ac:dyDescent="0.2">
      <c r="A440" s="127" t="s">
        <v>82</v>
      </c>
      <c r="B440" s="99" t="s">
        <v>1413</v>
      </c>
      <c r="C440" s="99" t="s">
        <v>1414</v>
      </c>
      <c r="D440" s="121">
        <v>265</v>
      </c>
      <c r="E440" s="82"/>
      <c r="F440" s="82"/>
      <c r="G440" s="82"/>
      <c r="H440" s="82"/>
      <c r="I440" s="82"/>
      <c r="J440" s="82"/>
      <c r="K440" s="82">
        <v>0</v>
      </c>
      <c r="L440" s="82">
        <v>0</v>
      </c>
      <c r="M440" s="82">
        <v>0</v>
      </c>
      <c r="N440" s="82">
        <v>17.440000000000001</v>
      </c>
      <c r="O440" s="82">
        <v>0</v>
      </c>
      <c r="P440" s="82">
        <v>0</v>
      </c>
      <c r="Q440" s="145">
        <f t="shared" si="27"/>
        <v>2.9066666666666667</v>
      </c>
      <c r="R440" s="151" t="str">
        <f t="shared" si="26"/>
        <v>SI</v>
      </c>
      <c r="S440" s="152" t="str">
        <f t="shared" si="23"/>
        <v>Sin Riesgo</v>
      </c>
    </row>
    <row r="441" spans="1:19" ht="32.1" customHeight="1" x14ac:dyDescent="0.2">
      <c r="A441" s="127" t="s">
        <v>82</v>
      </c>
      <c r="B441" s="99" t="s">
        <v>1415</v>
      </c>
      <c r="C441" s="99" t="s">
        <v>1416</v>
      </c>
      <c r="D441" s="121">
        <v>936</v>
      </c>
      <c r="E441" s="82"/>
      <c r="F441" s="82"/>
      <c r="G441" s="82"/>
      <c r="H441" s="82"/>
      <c r="I441" s="82"/>
      <c r="J441" s="82"/>
      <c r="K441" s="82">
        <v>1.74</v>
      </c>
      <c r="L441" s="82">
        <v>0</v>
      </c>
      <c r="M441" s="82">
        <v>0</v>
      </c>
      <c r="N441" s="82">
        <v>11.33</v>
      </c>
      <c r="O441" s="82">
        <v>0.44</v>
      </c>
      <c r="P441" s="82">
        <v>0.44</v>
      </c>
      <c r="Q441" s="145">
        <f t="shared" si="27"/>
        <v>2.3249999999999997</v>
      </c>
      <c r="R441" s="151" t="str">
        <f t="shared" si="26"/>
        <v>SI</v>
      </c>
      <c r="S441" s="152" t="str">
        <f t="shared" si="23"/>
        <v>Sin Riesgo</v>
      </c>
    </row>
    <row r="442" spans="1:19" ht="32.1" customHeight="1" x14ac:dyDescent="0.2">
      <c r="A442" s="127" t="s">
        <v>54</v>
      </c>
      <c r="B442" s="100" t="s">
        <v>1118</v>
      </c>
      <c r="C442" s="113" t="s">
        <v>1417</v>
      </c>
      <c r="D442" s="149">
        <v>92</v>
      </c>
      <c r="E442" s="82"/>
      <c r="F442" s="82">
        <v>0</v>
      </c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145">
        <f t="shared" si="27"/>
        <v>0</v>
      </c>
      <c r="R442" s="151" t="str">
        <f t="shared" si="26"/>
        <v>SI</v>
      </c>
      <c r="S442" s="152" t="str">
        <f t="shared" si="23"/>
        <v>Sin Riesgo</v>
      </c>
    </row>
    <row r="443" spans="1:19" ht="32.1" customHeight="1" x14ac:dyDescent="0.2">
      <c r="A443" s="127" t="s">
        <v>54</v>
      </c>
      <c r="B443" s="100" t="s">
        <v>1418</v>
      </c>
      <c r="C443" s="113" t="s">
        <v>1419</v>
      </c>
      <c r="D443" s="149">
        <v>80</v>
      </c>
      <c r="E443" s="82"/>
      <c r="F443" s="82">
        <v>38</v>
      </c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145">
        <f t="shared" si="27"/>
        <v>38</v>
      </c>
      <c r="R443" s="151" t="str">
        <f t="shared" si="26"/>
        <v>NO</v>
      </c>
      <c r="S443" s="152" t="str">
        <f t="shared" si="23"/>
        <v>Alto</v>
      </c>
    </row>
    <row r="444" spans="1:19" ht="32.1" customHeight="1" x14ac:dyDescent="0.2">
      <c r="A444" s="127" t="s">
        <v>54</v>
      </c>
      <c r="B444" s="100" t="s">
        <v>1420</v>
      </c>
      <c r="C444" s="113" t="s">
        <v>1421</v>
      </c>
      <c r="D444" s="149">
        <v>90</v>
      </c>
      <c r="E444" s="82"/>
      <c r="F444" s="82"/>
      <c r="G444" s="82"/>
      <c r="H444" s="82"/>
      <c r="I444" s="82"/>
      <c r="J444" s="82"/>
      <c r="K444" s="82">
        <v>53.1</v>
      </c>
      <c r="L444" s="82"/>
      <c r="M444" s="82"/>
      <c r="N444" s="82"/>
      <c r="O444" s="82"/>
      <c r="P444" s="82"/>
      <c r="Q444" s="145">
        <f t="shared" si="27"/>
        <v>53.1</v>
      </c>
      <c r="R444" s="151" t="str">
        <f t="shared" si="26"/>
        <v>NO</v>
      </c>
      <c r="S444" s="152" t="str">
        <f t="shared" si="23"/>
        <v>Alto</v>
      </c>
    </row>
    <row r="445" spans="1:19" ht="32.1" customHeight="1" x14ac:dyDescent="0.2">
      <c r="A445" s="127" t="s">
        <v>54</v>
      </c>
      <c r="B445" s="100" t="s">
        <v>1422</v>
      </c>
      <c r="C445" s="113" t="s">
        <v>1423</v>
      </c>
      <c r="D445" s="149">
        <v>600</v>
      </c>
      <c r="E445" s="82"/>
      <c r="F445" s="82"/>
      <c r="G445" s="82"/>
      <c r="H445" s="82">
        <v>20.98</v>
      </c>
      <c r="I445" s="82"/>
      <c r="J445" s="82">
        <v>0</v>
      </c>
      <c r="K445" s="82"/>
      <c r="L445" s="82"/>
      <c r="M445" s="82"/>
      <c r="N445" s="82">
        <v>0</v>
      </c>
      <c r="O445" s="82"/>
      <c r="P445" s="82"/>
      <c r="Q445" s="145">
        <f t="shared" si="27"/>
        <v>6.9933333333333332</v>
      </c>
      <c r="R445" s="151" t="str">
        <f t="shared" si="26"/>
        <v>NO</v>
      </c>
      <c r="S445" s="152" t="str">
        <f t="shared" si="23"/>
        <v>Bajo</v>
      </c>
    </row>
    <row r="446" spans="1:19" ht="32.1" customHeight="1" x14ac:dyDescent="0.2">
      <c r="A446" s="127" t="s">
        <v>54</v>
      </c>
      <c r="B446" s="100" t="s">
        <v>1424</v>
      </c>
      <c r="C446" s="113" t="s">
        <v>1425</v>
      </c>
      <c r="D446" s="149">
        <v>70</v>
      </c>
      <c r="E446" s="82"/>
      <c r="F446" s="82"/>
      <c r="G446" s="82">
        <v>24</v>
      </c>
      <c r="H446" s="82"/>
      <c r="I446" s="82"/>
      <c r="J446" s="82">
        <v>62.94</v>
      </c>
      <c r="K446" s="82"/>
      <c r="L446" s="82">
        <v>41.96</v>
      </c>
      <c r="M446" s="82"/>
      <c r="N446" s="82"/>
      <c r="O446" s="82"/>
      <c r="P446" s="82"/>
      <c r="Q446" s="145">
        <f t="shared" si="27"/>
        <v>42.966666666666669</v>
      </c>
      <c r="R446" s="151" t="str">
        <f t="shared" si="26"/>
        <v>NO</v>
      </c>
      <c r="S446" s="152" t="str">
        <f t="shared" ref="S446:S509" si="28">IF(Q446&lt;5,"Sin Riesgo",IF(Q446 &lt;=14,"Bajo",IF(Q446&lt;=35,"Medio",IF(Q446&lt;=80,"Alto","Inviable Sanitariamente"))))</f>
        <v>Alto</v>
      </c>
    </row>
    <row r="447" spans="1:19" ht="32.1" customHeight="1" x14ac:dyDescent="0.2">
      <c r="A447" s="127" t="s">
        <v>54</v>
      </c>
      <c r="B447" s="100" t="s">
        <v>1426</v>
      </c>
      <c r="C447" s="113" t="s">
        <v>1427</v>
      </c>
      <c r="D447" s="150">
        <v>75</v>
      </c>
      <c r="E447" s="82"/>
      <c r="F447" s="82">
        <v>26.5</v>
      </c>
      <c r="G447" s="82"/>
      <c r="H447" s="82"/>
      <c r="I447" s="82"/>
      <c r="J447" s="82"/>
      <c r="K447" s="82"/>
      <c r="L447" s="82"/>
      <c r="M447" s="82"/>
      <c r="N447" s="82">
        <v>97.9</v>
      </c>
      <c r="O447" s="82"/>
      <c r="P447" s="82"/>
      <c r="Q447" s="145">
        <f t="shared" si="27"/>
        <v>62.2</v>
      </c>
      <c r="R447" s="151" t="str">
        <f t="shared" si="26"/>
        <v>NO</v>
      </c>
      <c r="S447" s="152" t="str">
        <f t="shared" si="28"/>
        <v>Alto</v>
      </c>
    </row>
    <row r="448" spans="1:19" ht="32.1" customHeight="1" x14ac:dyDescent="0.2">
      <c r="A448" s="127" t="s">
        <v>54</v>
      </c>
      <c r="B448" s="100" t="s">
        <v>1428</v>
      </c>
      <c r="C448" s="113" t="s">
        <v>1429</v>
      </c>
      <c r="D448" s="149">
        <v>80</v>
      </c>
      <c r="E448" s="82"/>
      <c r="F448" s="82">
        <v>0</v>
      </c>
      <c r="G448" s="82"/>
      <c r="H448" s="82">
        <v>42.5</v>
      </c>
      <c r="I448" s="82"/>
      <c r="J448" s="82">
        <v>76.900000000000006</v>
      </c>
      <c r="K448" s="82"/>
      <c r="L448" s="82">
        <v>97.35</v>
      </c>
      <c r="M448" s="82"/>
      <c r="N448" s="82"/>
      <c r="O448" s="82"/>
      <c r="P448" s="82"/>
      <c r="Q448" s="145">
        <f t="shared" si="27"/>
        <v>54.1875</v>
      </c>
      <c r="R448" s="151" t="str">
        <f t="shared" si="26"/>
        <v>NO</v>
      </c>
      <c r="S448" s="152" t="str">
        <f t="shared" si="28"/>
        <v>Alto</v>
      </c>
    </row>
    <row r="449" spans="1:19" ht="32.1" customHeight="1" x14ac:dyDescent="0.2">
      <c r="A449" s="127" t="s">
        <v>54</v>
      </c>
      <c r="B449" s="100" t="s">
        <v>1430</v>
      </c>
      <c r="C449" s="113" t="s">
        <v>1431</v>
      </c>
      <c r="D449" s="116">
        <v>192</v>
      </c>
      <c r="E449" s="82"/>
      <c r="F449" s="82"/>
      <c r="G449" s="82">
        <v>0</v>
      </c>
      <c r="H449" s="82"/>
      <c r="I449" s="82">
        <v>76.92</v>
      </c>
      <c r="J449" s="82"/>
      <c r="K449" s="82"/>
      <c r="L449" s="82"/>
      <c r="M449" s="82"/>
      <c r="N449" s="82"/>
      <c r="O449" s="82"/>
      <c r="P449" s="82"/>
      <c r="Q449" s="145">
        <f t="shared" si="27"/>
        <v>38.46</v>
      </c>
      <c r="R449" s="151" t="str">
        <f t="shared" si="26"/>
        <v>NO</v>
      </c>
      <c r="S449" s="152" t="str">
        <f t="shared" si="28"/>
        <v>Alto</v>
      </c>
    </row>
    <row r="450" spans="1:19" ht="32.1" customHeight="1" x14ac:dyDescent="0.2">
      <c r="A450" s="127" t="s">
        <v>54</v>
      </c>
      <c r="B450" s="100" t="s">
        <v>1432</v>
      </c>
      <c r="C450" s="113" t="s">
        <v>1433</v>
      </c>
      <c r="D450" s="149">
        <v>26</v>
      </c>
      <c r="E450" s="82"/>
      <c r="F450" s="82"/>
      <c r="G450" s="82">
        <v>2</v>
      </c>
      <c r="H450" s="82"/>
      <c r="I450" s="82">
        <v>0</v>
      </c>
      <c r="J450" s="82"/>
      <c r="K450" s="82">
        <v>53.1</v>
      </c>
      <c r="L450" s="82"/>
      <c r="M450" s="82"/>
      <c r="N450" s="82"/>
      <c r="O450" s="82"/>
      <c r="P450" s="82"/>
      <c r="Q450" s="145">
        <f t="shared" si="27"/>
        <v>18.366666666666667</v>
      </c>
      <c r="R450" s="151" t="str">
        <f t="shared" si="26"/>
        <v>NO</v>
      </c>
      <c r="S450" s="152" t="str">
        <f t="shared" si="28"/>
        <v>Medio</v>
      </c>
    </row>
    <row r="451" spans="1:19" ht="32.1" customHeight="1" x14ac:dyDescent="0.2">
      <c r="A451" s="127" t="s">
        <v>54</v>
      </c>
      <c r="B451" s="100" t="s">
        <v>1434</v>
      </c>
      <c r="C451" s="113" t="s">
        <v>1435</v>
      </c>
      <c r="D451" s="150">
        <v>40</v>
      </c>
      <c r="E451" s="82"/>
      <c r="F451" s="82"/>
      <c r="G451" s="82"/>
      <c r="H451" s="82"/>
      <c r="I451" s="82"/>
      <c r="J451" s="82"/>
      <c r="K451" s="82"/>
      <c r="L451" s="82"/>
      <c r="M451" s="82">
        <v>48.67</v>
      </c>
      <c r="N451" s="82"/>
      <c r="O451" s="82"/>
      <c r="P451" s="82"/>
      <c r="Q451" s="145">
        <f t="shared" si="27"/>
        <v>48.67</v>
      </c>
      <c r="R451" s="151" t="str">
        <f t="shared" si="26"/>
        <v>NO</v>
      </c>
      <c r="S451" s="152" t="str">
        <f t="shared" si="28"/>
        <v>Alto</v>
      </c>
    </row>
    <row r="452" spans="1:19" ht="32.1" customHeight="1" x14ac:dyDescent="0.2">
      <c r="A452" s="127" t="s">
        <v>54</v>
      </c>
      <c r="B452" s="100" t="s">
        <v>722</v>
      </c>
      <c r="C452" s="113" t="s">
        <v>1436</v>
      </c>
      <c r="D452" s="150">
        <v>38</v>
      </c>
      <c r="E452" s="82"/>
      <c r="F452" s="82">
        <v>38</v>
      </c>
      <c r="G452" s="82"/>
      <c r="H452" s="82"/>
      <c r="I452" s="82"/>
      <c r="J452" s="82"/>
      <c r="K452" s="82"/>
      <c r="L452" s="82">
        <v>53.1</v>
      </c>
      <c r="M452" s="82"/>
      <c r="N452" s="82"/>
      <c r="O452" s="82"/>
      <c r="P452" s="82"/>
      <c r="Q452" s="145">
        <f t="shared" si="27"/>
        <v>45.55</v>
      </c>
      <c r="R452" s="151" t="str">
        <f t="shared" si="26"/>
        <v>NO</v>
      </c>
      <c r="S452" s="152" t="str">
        <f t="shared" si="28"/>
        <v>Alto</v>
      </c>
    </row>
    <row r="453" spans="1:19" ht="32.1" customHeight="1" x14ac:dyDescent="0.2">
      <c r="A453" s="127" t="s">
        <v>54</v>
      </c>
      <c r="B453" s="100" t="s">
        <v>1437</v>
      </c>
      <c r="C453" s="113" t="s">
        <v>1438</v>
      </c>
      <c r="D453" s="149">
        <v>30</v>
      </c>
      <c r="E453" s="82"/>
      <c r="F453" s="82"/>
      <c r="G453" s="82"/>
      <c r="H453" s="82"/>
      <c r="I453" s="82">
        <v>0</v>
      </c>
      <c r="J453" s="82"/>
      <c r="K453" s="82"/>
      <c r="L453" s="82"/>
      <c r="M453" s="82"/>
      <c r="N453" s="82">
        <v>97.3</v>
      </c>
      <c r="O453" s="82"/>
      <c r="P453" s="82"/>
      <c r="Q453" s="145">
        <f t="shared" si="27"/>
        <v>48.65</v>
      </c>
      <c r="R453" s="151" t="str">
        <f t="shared" si="26"/>
        <v>NO</v>
      </c>
      <c r="S453" s="152" t="str">
        <f t="shared" si="28"/>
        <v>Alto</v>
      </c>
    </row>
    <row r="454" spans="1:19" ht="32.1" customHeight="1" x14ac:dyDescent="0.2">
      <c r="A454" s="127" t="s">
        <v>54</v>
      </c>
      <c r="B454" s="100" t="s">
        <v>1439</v>
      </c>
      <c r="C454" s="113" t="s">
        <v>1440</v>
      </c>
      <c r="D454" s="149">
        <v>88</v>
      </c>
      <c r="E454" s="82"/>
      <c r="F454" s="82"/>
      <c r="G454" s="82">
        <v>0</v>
      </c>
      <c r="H454" s="82"/>
      <c r="I454" s="82"/>
      <c r="J454" s="82"/>
      <c r="K454" s="82"/>
      <c r="L454" s="82"/>
      <c r="M454" s="82"/>
      <c r="N454" s="82"/>
      <c r="O454" s="82"/>
      <c r="P454" s="82"/>
      <c r="Q454" s="145">
        <f t="shared" si="27"/>
        <v>0</v>
      </c>
      <c r="R454" s="151" t="str">
        <f t="shared" si="26"/>
        <v>SI</v>
      </c>
      <c r="S454" s="152" t="str">
        <f t="shared" si="28"/>
        <v>Sin Riesgo</v>
      </c>
    </row>
    <row r="455" spans="1:19" ht="32.1" customHeight="1" x14ac:dyDescent="0.2">
      <c r="A455" s="127" t="s">
        <v>54</v>
      </c>
      <c r="B455" s="100" t="s">
        <v>1441</v>
      </c>
      <c r="C455" s="113" t="s">
        <v>1442</v>
      </c>
      <c r="D455" s="149">
        <v>100</v>
      </c>
      <c r="E455" s="82"/>
      <c r="F455" s="82"/>
      <c r="G455" s="82"/>
      <c r="H455" s="82"/>
      <c r="I455" s="82"/>
      <c r="J455" s="82"/>
      <c r="K455" s="82">
        <v>62.6</v>
      </c>
      <c r="L455" s="82"/>
      <c r="M455" s="82"/>
      <c r="N455" s="82"/>
      <c r="O455" s="82"/>
      <c r="P455" s="82"/>
      <c r="Q455" s="145">
        <f t="shared" si="27"/>
        <v>62.6</v>
      </c>
      <c r="R455" s="151" t="str">
        <f t="shared" si="26"/>
        <v>NO</v>
      </c>
      <c r="S455" s="152" t="str">
        <f t="shared" si="28"/>
        <v>Alto</v>
      </c>
    </row>
    <row r="456" spans="1:19" ht="32.1" customHeight="1" x14ac:dyDescent="0.2">
      <c r="A456" s="127" t="s">
        <v>54</v>
      </c>
      <c r="B456" s="100" t="s">
        <v>1443</v>
      </c>
      <c r="C456" s="113" t="s">
        <v>1444</v>
      </c>
      <c r="D456" s="121">
        <v>42</v>
      </c>
      <c r="E456" s="82"/>
      <c r="F456" s="82"/>
      <c r="G456" s="82"/>
      <c r="H456" s="82">
        <v>62.94</v>
      </c>
      <c r="I456" s="82"/>
      <c r="J456" s="82"/>
      <c r="K456" s="82"/>
      <c r="L456" s="82">
        <v>83.89</v>
      </c>
      <c r="M456" s="82"/>
      <c r="N456" s="82"/>
      <c r="O456" s="82"/>
      <c r="P456" s="82"/>
      <c r="Q456" s="145">
        <f t="shared" si="27"/>
        <v>73.414999999999992</v>
      </c>
      <c r="R456" s="151" t="str">
        <f t="shared" si="26"/>
        <v>NO</v>
      </c>
      <c r="S456" s="152" t="str">
        <f t="shared" si="28"/>
        <v>Alto</v>
      </c>
    </row>
    <row r="457" spans="1:19" ht="32.1" customHeight="1" x14ac:dyDescent="0.2">
      <c r="A457" s="127" t="s">
        <v>222</v>
      </c>
      <c r="B457" s="144" t="s">
        <v>1445</v>
      </c>
      <c r="C457" s="113" t="s">
        <v>1446</v>
      </c>
      <c r="D457" s="121">
        <v>170</v>
      </c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>
        <v>53.1</v>
      </c>
      <c r="P457" s="82"/>
      <c r="Q457" s="145">
        <f t="shared" si="27"/>
        <v>53.1</v>
      </c>
      <c r="R457" s="151" t="str">
        <f t="shared" si="26"/>
        <v>NO</v>
      </c>
      <c r="S457" s="152" t="str">
        <f t="shared" si="28"/>
        <v>Alto</v>
      </c>
    </row>
    <row r="458" spans="1:19" ht="32.1" customHeight="1" x14ac:dyDescent="0.2">
      <c r="A458" s="127" t="s">
        <v>222</v>
      </c>
      <c r="B458" s="144" t="s">
        <v>1447</v>
      </c>
      <c r="C458" s="113" t="s">
        <v>1448</v>
      </c>
      <c r="D458" s="121">
        <v>65</v>
      </c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>
        <v>97.35</v>
      </c>
      <c r="P458" s="82"/>
      <c r="Q458" s="145">
        <f t="shared" si="27"/>
        <v>97.35</v>
      </c>
      <c r="R458" s="151" t="str">
        <f t="shared" si="26"/>
        <v>NO</v>
      </c>
      <c r="S458" s="152" t="str">
        <f t="shared" si="28"/>
        <v>Inviable Sanitariamente</v>
      </c>
    </row>
    <row r="459" spans="1:19" ht="32.1" customHeight="1" x14ac:dyDescent="0.2">
      <c r="A459" s="127" t="s">
        <v>222</v>
      </c>
      <c r="B459" s="144" t="s">
        <v>1449</v>
      </c>
      <c r="C459" s="113" t="s">
        <v>1450</v>
      </c>
      <c r="D459" s="149">
        <v>28</v>
      </c>
      <c r="E459" s="82"/>
      <c r="F459" s="82">
        <v>97.4</v>
      </c>
      <c r="G459" s="82"/>
      <c r="H459" s="82"/>
      <c r="I459" s="82"/>
      <c r="J459" s="82"/>
      <c r="K459" s="82"/>
      <c r="L459" s="82">
        <v>53.1</v>
      </c>
      <c r="M459" s="82"/>
      <c r="N459" s="82"/>
      <c r="O459" s="82"/>
      <c r="P459" s="82"/>
      <c r="Q459" s="145">
        <f t="shared" si="27"/>
        <v>75.25</v>
      </c>
      <c r="R459" s="151" t="str">
        <f t="shared" si="26"/>
        <v>NO</v>
      </c>
      <c r="S459" s="152" t="str">
        <f t="shared" si="28"/>
        <v>Alto</v>
      </c>
    </row>
    <row r="460" spans="1:19" ht="32.1" customHeight="1" x14ac:dyDescent="0.2">
      <c r="A460" s="127" t="s">
        <v>222</v>
      </c>
      <c r="B460" s="144" t="s">
        <v>99</v>
      </c>
      <c r="C460" s="113" t="s">
        <v>1451</v>
      </c>
      <c r="D460" s="149">
        <v>40</v>
      </c>
      <c r="E460" s="82"/>
      <c r="F460" s="82">
        <v>53.1</v>
      </c>
      <c r="G460" s="82"/>
      <c r="H460" s="82"/>
      <c r="I460" s="82"/>
      <c r="J460" s="82"/>
      <c r="K460" s="82"/>
      <c r="L460" s="82">
        <v>97.4</v>
      </c>
      <c r="M460" s="82"/>
      <c r="N460" s="82"/>
      <c r="O460" s="82"/>
      <c r="P460" s="82"/>
      <c r="Q460" s="145">
        <f t="shared" si="27"/>
        <v>75.25</v>
      </c>
      <c r="R460" s="151" t="str">
        <f t="shared" si="26"/>
        <v>NO</v>
      </c>
      <c r="S460" s="152" t="str">
        <f t="shared" si="28"/>
        <v>Alto</v>
      </c>
    </row>
    <row r="461" spans="1:19" ht="32.1" customHeight="1" x14ac:dyDescent="0.2">
      <c r="A461" s="127" t="s">
        <v>222</v>
      </c>
      <c r="B461" s="144" t="s">
        <v>243</v>
      </c>
      <c r="C461" s="113" t="s">
        <v>1452</v>
      </c>
      <c r="D461" s="149">
        <v>32</v>
      </c>
      <c r="E461" s="82"/>
      <c r="F461" s="82"/>
      <c r="G461" s="82">
        <v>53.1</v>
      </c>
      <c r="H461" s="82"/>
      <c r="I461" s="82"/>
      <c r="J461" s="82"/>
      <c r="K461" s="82"/>
      <c r="L461" s="82">
        <v>53.1</v>
      </c>
      <c r="M461" s="82"/>
      <c r="N461" s="82"/>
      <c r="O461" s="82"/>
      <c r="P461" s="82"/>
      <c r="Q461" s="145">
        <f t="shared" si="27"/>
        <v>53.1</v>
      </c>
      <c r="R461" s="151" t="str">
        <f t="shared" si="26"/>
        <v>NO</v>
      </c>
      <c r="S461" s="152" t="str">
        <f t="shared" si="28"/>
        <v>Alto</v>
      </c>
    </row>
    <row r="462" spans="1:19" ht="32.1" customHeight="1" x14ac:dyDescent="0.2">
      <c r="A462" s="127" t="s">
        <v>222</v>
      </c>
      <c r="B462" s="144" t="s">
        <v>1453</v>
      </c>
      <c r="C462" s="113" t="s">
        <v>1454</v>
      </c>
      <c r="D462" s="121">
        <v>42</v>
      </c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>
        <v>97.35</v>
      </c>
      <c r="P462" s="82"/>
      <c r="Q462" s="145">
        <f t="shared" si="27"/>
        <v>97.35</v>
      </c>
      <c r="R462" s="151" t="str">
        <f t="shared" si="26"/>
        <v>NO</v>
      </c>
      <c r="S462" s="152" t="str">
        <f t="shared" si="28"/>
        <v>Inviable Sanitariamente</v>
      </c>
    </row>
    <row r="463" spans="1:19" ht="32.1" customHeight="1" x14ac:dyDescent="0.2">
      <c r="A463" s="127" t="s">
        <v>222</v>
      </c>
      <c r="B463" s="144" t="s">
        <v>1455</v>
      </c>
      <c r="C463" s="113" t="s">
        <v>1456</v>
      </c>
      <c r="D463" s="121">
        <v>22</v>
      </c>
      <c r="E463" s="82"/>
      <c r="F463" s="82"/>
      <c r="G463" s="82"/>
      <c r="H463" s="82"/>
      <c r="I463" s="82"/>
      <c r="J463" s="82"/>
      <c r="K463" s="82"/>
      <c r="L463" s="82"/>
      <c r="M463" s="82">
        <v>96.4</v>
      </c>
      <c r="N463" s="82"/>
      <c r="O463" s="82"/>
      <c r="P463" s="82"/>
      <c r="Q463" s="145">
        <f t="shared" si="27"/>
        <v>96.4</v>
      </c>
      <c r="R463" s="151" t="str">
        <f t="shared" si="26"/>
        <v>NO</v>
      </c>
      <c r="S463" s="152" t="str">
        <f t="shared" si="28"/>
        <v>Inviable Sanitariamente</v>
      </c>
    </row>
    <row r="464" spans="1:19" ht="32.1" customHeight="1" x14ac:dyDescent="0.2">
      <c r="A464" s="127" t="s">
        <v>75</v>
      </c>
      <c r="B464" s="144" t="s">
        <v>1457</v>
      </c>
      <c r="C464" s="113" t="s">
        <v>1458</v>
      </c>
      <c r="D464" s="121">
        <v>96</v>
      </c>
      <c r="E464" s="82"/>
      <c r="F464" s="82"/>
      <c r="G464" s="82"/>
      <c r="H464" s="82"/>
      <c r="I464" s="82"/>
      <c r="J464" s="82"/>
      <c r="K464" s="82"/>
      <c r="L464" s="82"/>
      <c r="M464" s="82"/>
      <c r="N464" s="82">
        <v>97</v>
      </c>
      <c r="O464" s="82"/>
      <c r="P464" s="82"/>
      <c r="Q464" s="145">
        <f t="shared" si="27"/>
        <v>97</v>
      </c>
      <c r="R464" s="151" t="str">
        <f t="shared" si="26"/>
        <v>NO</v>
      </c>
      <c r="S464" s="152" t="str">
        <f t="shared" si="28"/>
        <v>Inviable Sanitariamente</v>
      </c>
    </row>
    <row r="465" spans="1:19" ht="32.1" customHeight="1" x14ac:dyDescent="0.2">
      <c r="A465" s="127" t="s">
        <v>75</v>
      </c>
      <c r="B465" s="144" t="s">
        <v>1459</v>
      </c>
      <c r="C465" s="113" t="s">
        <v>1460</v>
      </c>
      <c r="D465" s="121">
        <v>65</v>
      </c>
      <c r="E465" s="82"/>
      <c r="F465" s="82"/>
      <c r="G465" s="82"/>
      <c r="H465" s="82"/>
      <c r="I465" s="82"/>
      <c r="J465" s="82"/>
      <c r="K465" s="82"/>
      <c r="L465" s="82"/>
      <c r="M465" s="82"/>
      <c r="N465" s="82">
        <v>97</v>
      </c>
      <c r="O465" s="82"/>
      <c r="P465" s="82"/>
      <c r="Q465" s="145">
        <f t="shared" si="27"/>
        <v>97</v>
      </c>
      <c r="R465" s="151" t="str">
        <f t="shared" si="26"/>
        <v>NO</v>
      </c>
      <c r="S465" s="152" t="str">
        <f t="shared" si="28"/>
        <v>Inviable Sanitariamente</v>
      </c>
    </row>
    <row r="466" spans="1:19" ht="32.1" customHeight="1" x14ac:dyDescent="0.2">
      <c r="A466" s="127" t="s">
        <v>75</v>
      </c>
      <c r="B466" s="144" t="s">
        <v>58</v>
      </c>
      <c r="C466" s="113" t="s">
        <v>1461</v>
      </c>
      <c r="D466" s="121">
        <v>70</v>
      </c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>
        <v>97</v>
      </c>
      <c r="P466" s="82"/>
      <c r="Q466" s="145">
        <f t="shared" si="27"/>
        <v>97</v>
      </c>
      <c r="R466" s="151" t="str">
        <f t="shared" si="26"/>
        <v>NO</v>
      </c>
      <c r="S466" s="152" t="str">
        <f t="shared" si="28"/>
        <v>Inviable Sanitariamente</v>
      </c>
    </row>
    <row r="467" spans="1:19" ht="32.1" customHeight="1" x14ac:dyDescent="0.2">
      <c r="A467" s="127" t="s">
        <v>75</v>
      </c>
      <c r="B467" s="144" t="s">
        <v>1462</v>
      </c>
      <c r="C467" s="113" t="s">
        <v>1463</v>
      </c>
      <c r="D467" s="121">
        <v>90</v>
      </c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>
        <v>97</v>
      </c>
      <c r="P467" s="82"/>
      <c r="Q467" s="145">
        <f t="shared" si="27"/>
        <v>97</v>
      </c>
      <c r="R467" s="151" t="str">
        <f t="shared" si="26"/>
        <v>NO</v>
      </c>
      <c r="S467" s="152" t="str">
        <f t="shared" si="28"/>
        <v>Inviable Sanitariamente</v>
      </c>
    </row>
    <row r="468" spans="1:19" ht="32.1" customHeight="1" x14ac:dyDescent="0.2">
      <c r="A468" s="127" t="s">
        <v>75</v>
      </c>
      <c r="B468" s="144" t="s">
        <v>55</v>
      </c>
      <c r="C468" s="113" t="s">
        <v>1464</v>
      </c>
      <c r="D468" s="121">
        <v>65</v>
      </c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>
        <v>97</v>
      </c>
      <c r="P468" s="82"/>
      <c r="Q468" s="145">
        <f t="shared" si="27"/>
        <v>97</v>
      </c>
      <c r="R468" s="164" t="str">
        <f t="shared" si="26"/>
        <v>NO</v>
      </c>
      <c r="S468" s="152" t="str">
        <f t="shared" si="28"/>
        <v>Inviable Sanitariamente</v>
      </c>
    </row>
    <row r="469" spans="1:19" ht="32.1" customHeight="1" x14ac:dyDescent="0.2">
      <c r="A469" s="127" t="s">
        <v>75</v>
      </c>
      <c r="B469" s="144" t="s">
        <v>1465</v>
      </c>
      <c r="C469" s="113" t="s">
        <v>1466</v>
      </c>
      <c r="D469" s="121">
        <v>70</v>
      </c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>
        <v>97</v>
      </c>
      <c r="P469" s="82"/>
      <c r="Q469" s="145">
        <f t="shared" si="27"/>
        <v>97</v>
      </c>
      <c r="R469" s="164" t="str">
        <f t="shared" si="26"/>
        <v>NO</v>
      </c>
      <c r="S469" s="152" t="str">
        <f t="shared" si="28"/>
        <v>Inviable Sanitariamente</v>
      </c>
    </row>
    <row r="470" spans="1:19" ht="32.1" customHeight="1" x14ac:dyDescent="0.2">
      <c r="A470" s="127" t="s">
        <v>75</v>
      </c>
      <c r="B470" s="144" t="s">
        <v>17</v>
      </c>
      <c r="C470" s="113" t="s">
        <v>1467</v>
      </c>
      <c r="D470" s="121">
        <v>35</v>
      </c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>
        <v>97</v>
      </c>
      <c r="P470" s="82"/>
      <c r="Q470" s="145">
        <f t="shared" si="27"/>
        <v>97</v>
      </c>
      <c r="R470" s="164" t="str">
        <f t="shared" si="26"/>
        <v>NO</v>
      </c>
      <c r="S470" s="152" t="str">
        <f t="shared" si="28"/>
        <v>Inviable Sanitariamente</v>
      </c>
    </row>
    <row r="471" spans="1:19" ht="32.1" customHeight="1" x14ac:dyDescent="0.2">
      <c r="A471" s="127" t="s">
        <v>75</v>
      </c>
      <c r="B471" s="144" t="s">
        <v>9</v>
      </c>
      <c r="C471" s="113" t="s">
        <v>1468</v>
      </c>
      <c r="D471" s="116">
        <v>30</v>
      </c>
      <c r="E471" s="82"/>
      <c r="F471" s="82"/>
      <c r="G471" s="82"/>
      <c r="H471" s="82"/>
      <c r="I471" s="82"/>
      <c r="J471" s="82"/>
      <c r="K471" s="82"/>
      <c r="L471" s="82"/>
      <c r="M471" s="82"/>
      <c r="N471" s="82">
        <v>97</v>
      </c>
      <c r="O471" s="82"/>
      <c r="P471" s="82"/>
      <c r="Q471" s="145">
        <f t="shared" si="27"/>
        <v>97</v>
      </c>
      <c r="R471" s="164" t="str">
        <f t="shared" si="26"/>
        <v>NO</v>
      </c>
      <c r="S471" s="152" t="str">
        <f t="shared" si="28"/>
        <v>Inviable Sanitariamente</v>
      </c>
    </row>
    <row r="472" spans="1:19" ht="32.1" customHeight="1" x14ac:dyDescent="0.2">
      <c r="A472" s="127" t="s">
        <v>75</v>
      </c>
      <c r="B472" s="144" t="s">
        <v>1469</v>
      </c>
      <c r="C472" s="113" t="s">
        <v>1470</v>
      </c>
      <c r="D472" s="121">
        <v>25</v>
      </c>
      <c r="E472" s="82"/>
      <c r="F472" s="82"/>
      <c r="G472" s="82"/>
      <c r="H472" s="82"/>
      <c r="I472" s="82"/>
      <c r="J472" s="82"/>
      <c r="K472" s="82"/>
      <c r="L472" s="82"/>
      <c r="M472" s="82"/>
      <c r="N472" s="82">
        <v>97</v>
      </c>
      <c r="O472" s="82"/>
      <c r="P472" s="82"/>
      <c r="Q472" s="145">
        <f t="shared" si="27"/>
        <v>97</v>
      </c>
      <c r="R472" s="164" t="str">
        <f t="shared" si="26"/>
        <v>NO</v>
      </c>
      <c r="S472" s="152" t="str">
        <f t="shared" si="28"/>
        <v>Inviable Sanitariamente</v>
      </c>
    </row>
    <row r="473" spans="1:19" ht="32.1" customHeight="1" x14ac:dyDescent="0.2">
      <c r="A473" s="489" t="s">
        <v>97</v>
      </c>
      <c r="B473" s="144" t="s">
        <v>1471</v>
      </c>
      <c r="C473" s="113" t="s">
        <v>1472</v>
      </c>
      <c r="D473" s="121">
        <v>62</v>
      </c>
      <c r="E473" s="82">
        <v>97.3</v>
      </c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>
        <v>97.3</v>
      </c>
      <c r="Q473" s="145">
        <f t="shared" si="27"/>
        <v>97.3</v>
      </c>
      <c r="R473" s="164" t="str">
        <f t="shared" si="26"/>
        <v>NO</v>
      </c>
      <c r="S473" s="152" t="str">
        <f t="shared" si="28"/>
        <v>Inviable Sanitariamente</v>
      </c>
    </row>
    <row r="474" spans="1:19" ht="32.1" customHeight="1" x14ac:dyDescent="0.2">
      <c r="A474" s="489" t="s">
        <v>97</v>
      </c>
      <c r="B474" s="144" t="s">
        <v>1473</v>
      </c>
      <c r="C474" s="113" t="s">
        <v>1474</v>
      </c>
      <c r="D474" s="121">
        <v>22</v>
      </c>
      <c r="E474" s="82"/>
      <c r="F474" s="82"/>
      <c r="G474" s="82"/>
      <c r="H474" s="82"/>
      <c r="I474" s="82"/>
      <c r="J474" s="82">
        <v>97.3</v>
      </c>
      <c r="K474" s="82"/>
      <c r="L474" s="82"/>
      <c r="M474" s="82"/>
      <c r="N474" s="82">
        <v>97.3</v>
      </c>
      <c r="O474" s="82"/>
      <c r="P474" s="82"/>
      <c r="Q474" s="145">
        <f t="shared" si="27"/>
        <v>97.3</v>
      </c>
      <c r="R474" s="164" t="str">
        <f t="shared" si="26"/>
        <v>NO</v>
      </c>
      <c r="S474" s="152" t="str">
        <f t="shared" si="28"/>
        <v>Inviable Sanitariamente</v>
      </c>
    </row>
    <row r="475" spans="1:19" ht="32.1" customHeight="1" x14ac:dyDescent="0.2">
      <c r="A475" s="489" t="s">
        <v>97</v>
      </c>
      <c r="B475" s="144" t="s">
        <v>1475</v>
      </c>
      <c r="C475" s="113" t="s">
        <v>1476</v>
      </c>
      <c r="D475" s="121">
        <v>120</v>
      </c>
      <c r="E475" s="82"/>
      <c r="F475" s="82"/>
      <c r="G475" s="82"/>
      <c r="H475" s="82"/>
      <c r="I475" s="82"/>
      <c r="J475" s="82">
        <v>97.3</v>
      </c>
      <c r="K475" s="82"/>
      <c r="L475" s="82"/>
      <c r="M475" s="82">
        <v>97.3</v>
      </c>
      <c r="N475" s="82"/>
      <c r="O475" s="82"/>
      <c r="P475" s="82"/>
      <c r="Q475" s="145">
        <f t="shared" si="27"/>
        <v>97.3</v>
      </c>
      <c r="R475" s="164" t="str">
        <f t="shared" si="26"/>
        <v>NO</v>
      </c>
      <c r="S475" s="152" t="str">
        <f t="shared" si="28"/>
        <v>Inviable Sanitariamente</v>
      </c>
    </row>
    <row r="476" spans="1:19" ht="32.1" customHeight="1" x14ac:dyDescent="0.2">
      <c r="A476" s="489" t="s">
        <v>97</v>
      </c>
      <c r="B476" s="144" t="s">
        <v>1477</v>
      </c>
      <c r="C476" s="113" t="s">
        <v>1478</v>
      </c>
      <c r="D476" s="121">
        <v>55</v>
      </c>
      <c r="E476" s="82"/>
      <c r="F476" s="82"/>
      <c r="G476" s="82"/>
      <c r="H476" s="82">
        <v>97.3</v>
      </c>
      <c r="I476" s="82"/>
      <c r="J476" s="82"/>
      <c r="K476" s="82"/>
      <c r="L476" s="82"/>
      <c r="M476" s="82"/>
      <c r="N476" s="82">
        <v>97.3</v>
      </c>
      <c r="O476" s="82"/>
      <c r="P476" s="82"/>
      <c r="Q476" s="145">
        <f t="shared" si="27"/>
        <v>97.3</v>
      </c>
      <c r="R476" s="164" t="str">
        <f t="shared" si="26"/>
        <v>NO</v>
      </c>
      <c r="S476" s="152" t="str">
        <f t="shared" si="28"/>
        <v>Inviable Sanitariamente</v>
      </c>
    </row>
    <row r="477" spans="1:19" ht="32.1" customHeight="1" x14ac:dyDescent="0.2">
      <c r="A477" s="489" t="s">
        <v>97</v>
      </c>
      <c r="B477" s="144" t="s">
        <v>1479</v>
      </c>
      <c r="C477" s="113" t="s">
        <v>1480</v>
      </c>
      <c r="D477" s="121">
        <v>73</v>
      </c>
      <c r="E477" s="82"/>
      <c r="F477" s="82">
        <v>0</v>
      </c>
      <c r="G477" s="82"/>
      <c r="H477" s="82">
        <v>0</v>
      </c>
      <c r="I477" s="82"/>
      <c r="J477" s="82">
        <v>0</v>
      </c>
      <c r="K477" s="82"/>
      <c r="L477" s="82"/>
      <c r="M477" s="82">
        <v>0</v>
      </c>
      <c r="N477" s="82"/>
      <c r="O477" s="82">
        <v>0</v>
      </c>
      <c r="P477" s="82"/>
      <c r="Q477" s="145">
        <f t="shared" si="27"/>
        <v>0</v>
      </c>
      <c r="R477" s="151" t="str">
        <f t="shared" ref="R477:R540" si="29">IF(Q477&lt;5,"SI","NO")</f>
        <v>SI</v>
      </c>
      <c r="S477" s="152" t="str">
        <f t="shared" si="28"/>
        <v>Sin Riesgo</v>
      </c>
    </row>
    <row r="478" spans="1:19" ht="32.1" customHeight="1" x14ac:dyDescent="0.2">
      <c r="A478" s="489" t="s">
        <v>97</v>
      </c>
      <c r="B478" s="144" t="s">
        <v>855</v>
      </c>
      <c r="C478" s="113" t="s">
        <v>1481</v>
      </c>
      <c r="D478" s="121">
        <v>35</v>
      </c>
      <c r="E478" s="82"/>
      <c r="F478" s="82"/>
      <c r="G478" s="82"/>
      <c r="H478" s="82"/>
      <c r="I478" s="82"/>
      <c r="J478" s="82">
        <v>97.3</v>
      </c>
      <c r="K478" s="82"/>
      <c r="L478" s="82"/>
      <c r="M478" s="82">
        <v>97.3</v>
      </c>
      <c r="N478" s="82"/>
      <c r="O478" s="82"/>
      <c r="P478" s="82"/>
      <c r="Q478" s="145">
        <f t="shared" si="27"/>
        <v>97.3</v>
      </c>
      <c r="R478" s="164" t="str">
        <f t="shared" si="29"/>
        <v>NO</v>
      </c>
      <c r="S478" s="152" t="str">
        <f t="shared" si="28"/>
        <v>Inviable Sanitariamente</v>
      </c>
    </row>
    <row r="479" spans="1:19" ht="32.1" customHeight="1" x14ac:dyDescent="0.2">
      <c r="A479" s="489" t="s">
        <v>97</v>
      </c>
      <c r="B479" s="144" t="s">
        <v>1482</v>
      </c>
      <c r="C479" s="113" t="s">
        <v>1483</v>
      </c>
      <c r="D479" s="121">
        <v>44</v>
      </c>
      <c r="E479" s="82">
        <v>97.3</v>
      </c>
      <c r="F479" s="82"/>
      <c r="G479" s="82"/>
      <c r="H479" s="82"/>
      <c r="I479" s="82"/>
      <c r="J479" s="82"/>
      <c r="K479" s="82"/>
      <c r="L479" s="82"/>
      <c r="M479" s="82"/>
      <c r="N479" s="82">
        <v>97.3</v>
      </c>
      <c r="O479" s="82"/>
      <c r="P479" s="82"/>
      <c r="Q479" s="145">
        <f t="shared" si="27"/>
        <v>97.3</v>
      </c>
      <c r="R479" s="164" t="str">
        <f t="shared" si="29"/>
        <v>NO</v>
      </c>
      <c r="S479" s="152" t="str">
        <f t="shared" si="28"/>
        <v>Inviable Sanitariamente</v>
      </c>
    </row>
    <row r="480" spans="1:19" ht="32.1" customHeight="1" x14ac:dyDescent="0.2">
      <c r="A480" s="489" t="s">
        <v>97</v>
      </c>
      <c r="B480" s="144" t="s">
        <v>1484</v>
      </c>
      <c r="C480" s="113" t="s">
        <v>1485</v>
      </c>
      <c r="D480" s="116">
        <v>40</v>
      </c>
      <c r="E480" s="82"/>
      <c r="F480" s="82"/>
      <c r="G480" s="82"/>
      <c r="H480" s="82"/>
      <c r="I480" s="82">
        <v>97.3</v>
      </c>
      <c r="J480" s="82"/>
      <c r="K480" s="82"/>
      <c r="L480" s="82"/>
      <c r="M480" s="82"/>
      <c r="N480" s="82">
        <v>97.3</v>
      </c>
      <c r="O480" s="82"/>
      <c r="P480" s="82"/>
      <c r="Q480" s="145">
        <f t="shared" si="27"/>
        <v>97.3</v>
      </c>
      <c r="R480" s="164" t="str">
        <f t="shared" si="29"/>
        <v>NO</v>
      </c>
      <c r="S480" s="152" t="str">
        <f t="shared" si="28"/>
        <v>Inviable Sanitariamente</v>
      </c>
    </row>
    <row r="481" spans="1:19" ht="32.1" customHeight="1" x14ac:dyDescent="0.2">
      <c r="A481" s="489" t="s">
        <v>97</v>
      </c>
      <c r="B481" s="144" t="s">
        <v>1486</v>
      </c>
      <c r="C481" s="113" t="s">
        <v>1487</v>
      </c>
      <c r="D481" s="121">
        <v>40</v>
      </c>
      <c r="E481" s="82"/>
      <c r="F481" s="82"/>
      <c r="G481" s="82"/>
      <c r="H481" s="82"/>
      <c r="I481" s="82"/>
      <c r="J481" s="82">
        <v>97.3</v>
      </c>
      <c r="K481" s="82"/>
      <c r="L481" s="82"/>
      <c r="M481" s="82">
        <v>97.3</v>
      </c>
      <c r="N481" s="82"/>
      <c r="O481" s="82"/>
      <c r="P481" s="82"/>
      <c r="Q481" s="145">
        <f t="shared" si="27"/>
        <v>97.3</v>
      </c>
      <c r="R481" s="164" t="str">
        <f t="shared" si="29"/>
        <v>NO</v>
      </c>
      <c r="S481" s="152" t="str">
        <f t="shared" si="28"/>
        <v>Inviable Sanitariamente</v>
      </c>
    </row>
    <row r="482" spans="1:19" ht="32.1" customHeight="1" x14ac:dyDescent="0.2">
      <c r="A482" s="489" t="s">
        <v>97</v>
      </c>
      <c r="B482" s="144" t="s">
        <v>1488</v>
      </c>
      <c r="C482" s="113" t="s">
        <v>1489</v>
      </c>
      <c r="D482" s="121">
        <v>105</v>
      </c>
      <c r="E482" s="82">
        <v>97.3</v>
      </c>
      <c r="F482" s="82"/>
      <c r="G482" s="82"/>
      <c r="H482" s="82"/>
      <c r="I482" s="82"/>
      <c r="J482" s="82"/>
      <c r="K482" s="82"/>
      <c r="L482" s="82"/>
      <c r="M482" s="82"/>
      <c r="N482" s="82">
        <v>97.3</v>
      </c>
      <c r="O482" s="82"/>
      <c r="P482" s="82"/>
      <c r="Q482" s="145">
        <f t="shared" si="27"/>
        <v>97.3</v>
      </c>
      <c r="R482" s="164" t="str">
        <f t="shared" si="29"/>
        <v>NO</v>
      </c>
      <c r="S482" s="152" t="str">
        <f t="shared" si="28"/>
        <v>Inviable Sanitariamente</v>
      </c>
    </row>
    <row r="483" spans="1:19" ht="32.1" customHeight="1" x14ac:dyDescent="0.2">
      <c r="A483" s="489" t="s">
        <v>97</v>
      </c>
      <c r="B483" s="144" t="s">
        <v>1490</v>
      </c>
      <c r="C483" s="113" t="s">
        <v>1491</v>
      </c>
      <c r="D483" s="121">
        <v>30</v>
      </c>
      <c r="E483" s="82"/>
      <c r="F483" s="82"/>
      <c r="G483" s="82"/>
      <c r="H483" s="82"/>
      <c r="I483" s="82">
        <v>97.3</v>
      </c>
      <c r="J483" s="82"/>
      <c r="K483" s="82"/>
      <c r="L483" s="82"/>
      <c r="M483" s="82"/>
      <c r="N483" s="82">
        <v>97.3</v>
      </c>
      <c r="O483" s="82"/>
      <c r="P483" s="82"/>
      <c r="Q483" s="145">
        <f t="shared" si="27"/>
        <v>97.3</v>
      </c>
      <c r="R483" s="164" t="str">
        <f t="shared" si="29"/>
        <v>NO</v>
      </c>
      <c r="S483" s="152" t="str">
        <f t="shared" si="28"/>
        <v>Inviable Sanitariamente</v>
      </c>
    </row>
    <row r="484" spans="1:19" ht="32.1" customHeight="1" x14ac:dyDescent="0.2">
      <c r="A484" s="489" t="s">
        <v>97</v>
      </c>
      <c r="B484" s="144" t="s">
        <v>1492</v>
      </c>
      <c r="C484" s="113" t="s">
        <v>1493</v>
      </c>
      <c r="D484" s="116">
        <v>40</v>
      </c>
      <c r="E484" s="82"/>
      <c r="F484" s="82"/>
      <c r="G484" s="82">
        <v>97.3</v>
      </c>
      <c r="H484" s="82"/>
      <c r="I484" s="82"/>
      <c r="J484" s="82"/>
      <c r="K484" s="82"/>
      <c r="L484" s="82"/>
      <c r="M484" s="82"/>
      <c r="N484" s="82"/>
      <c r="O484" s="82">
        <v>97.3</v>
      </c>
      <c r="P484" s="82"/>
      <c r="Q484" s="145">
        <f t="shared" si="27"/>
        <v>97.3</v>
      </c>
      <c r="R484" s="164" t="str">
        <f t="shared" si="29"/>
        <v>NO</v>
      </c>
      <c r="S484" s="152" t="str">
        <f t="shared" si="28"/>
        <v>Inviable Sanitariamente</v>
      </c>
    </row>
    <row r="485" spans="1:19" ht="32.1" customHeight="1" x14ac:dyDescent="0.2">
      <c r="A485" s="489" t="s">
        <v>97</v>
      </c>
      <c r="B485" s="144" t="s">
        <v>1494</v>
      </c>
      <c r="C485" s="113" t="s">
        <v>1495</v>
      </c>
      <c r="D485" s="121">
        <v>20</v>
      </c>
      <c r="E485" s="82"/>
      <c r="F485" s="82"/>
      <c r="G485" s="82"/>
      <c r="H485" s="82"/>
      <c r="I485" s="82"/>
      <c r="J485" s="82">
        <v>97.3</v>
      </c>
      <c r="K485" s="82"/>
      <c r="L485" s="82"/>
      <c r="M485" s="82">
        <v>97.3</v>
      </c>
      <c r="N485" s="82"/>
      <c r="O485" s="82"/>
      <c r="P485" s="82"/>
      <c r="Q485" s="145">
        <f t="shared" si="27"/>
        <v>97.3</v>
      </c>
      <c r="R485" s="164" t="str">
        <f t="shared" si="29"/>
        <v>NO</v>
      </c>
      <c r="S485" s="152" t="str">
        <f t="shared" si="28"/>
        <v>Inviable Sanitariamente</v>
      </c>
    </row>
    <row r="486" spans="1:19" ht="32.1" customHeight="1" x14ac:dyDescent="0.2">
      <c r="A486" s="489" t="s">
        <v>97</v>
      </c>
      <c r="B486" s="144" t="s">
        <v>1496</v>
      </c>
      <c r="C486" s="113" t="s">
        <v>1497</v>
      </c>
      <c r="D486" s="121">
        <v>96</v>
      </c>
      <c r="E486" s="82"/>
      <c r="F486" s="82"/>
      <c r="G486" s="82"/>
      <c r="H486" s="82">
        <v>97.3</v>
      </c>
      <c r="I486" s="82"/>
      <c r="J486" s="82"/>
      <c r="K486" s="82"/>
      <c r="L486" s="82"/>
      <c r="M486" s="82"/>
      <c r="N486" s="82">
        <v>97.3</v>
      </c>
      <c r="O486" s="82"/>
      <c r="P486" s="82"/>
      <c r="Q486" s="145">
        <f t="shared" si="27"/>
        <v>97.3</v>
      </c>
      <c r="R486" s="164" t="str">
        <f t="shared" si="29"/>
        <v>NO</v>
      </c>
      <c r="S486" s="152" t="str">
        <f t="shared" si="28"/>
        <v>Inviable Sanitariamente</v>
      </c>
    </row>
    <row r="487" spans="1:19" ht="32.1" customHeight="1" x14ac:dyDescent="0.2">
      <c r="A487" s="489" t="s">
        <v>97</v>
      </c>
      <c r="B487" s="144" t="s">
        <v>1498</v>
      </c>
      <c r="C487" s="113" t="s">
        <v>1499</v>
      </c>
      <c r="D487" s="121">
        <v>40</v>
      </c>
      <c r="E487" s="82"/>
      <c r="F487" s="82"/>
      <c r="G487" s="82"/>
      <c r="H487" s="82"/>
      <c r="I487" s="82">
        <v>97.3</v>
      </c>
      <c r="J487" s="82"/>
      <c r="K487" s="82"/>
      <c r="L487" s="82"/>
      <c r="M487" s="82"/>
      <c r="N487" s="82"/>
      <c r="O487" s="82"/>
      <c r="P487" s="82"/>
      <c r="Q487" s="145">
        <f t="shared" si="27"/>
        <v>97.3</v>
      </c>
      <c r="R487" s="164" t="str">
        <f t="shared" si="29"/>
        <v>NO</v>
      </c>
      <c r="S487" s="152" t="str">
        <f t="shared" si="28"/>
        <v>Inviable Sanitariamente</v>
      </c>
    </row>
    <row r="488" spans="1:19" ht="32.1" customHeight="1" x14ac:dyDescent="0.2">
      <c r="A488" s="489" t="s">
        <v>97</v>
      </c>
      <c r="B488" s="144" t="s">
        <v>1500</v>
      </c>
      <c r="C488" s="113" t="s">
        <v>1501</v>
      </c>
      <c r="D488" s="121">
        <v>52</v>
      </c>
      <c r="E488" s="82">
        <v>97.3</v>
      </c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>
        <v>97.3</v>
      </c>
      <c r="Q488" s="145">
        <f t="shared" si="27"/>
        <v>97.3</v>
      </c>
      <c r="R488" s="164" t="str">
        <f t="shared" si="29"/>
        <v>NO</v>
      </c>
      <c r="S488" s="152" t="str">
        <f t="shared" si="28"/>
        <v>Inviable Sanitariamente</v>
      </c>
    </row>
    <row r="489" spans="1:19" ht="32.1" customHeight="1" x14ac:dyDescent="0.2">
      <c r="A489" s="489" t="s">
        <v>223</v>
      </c>
      <c r="B489" s="183" t="s">
        <v>1552</v>
      </c>
      <c r="C489" s="182" t="s">
        <v>1502</v>
      </c>
      <c r="D489" s="198">
        <v>110</v>
      </c>
      <c r="E489" s="82">
        <v>0</v>
      </c>
      <c r="F489" s="82">
        <v>0</v>
      </c>
      <c r="G489" s="82"/>
      <c r="H489" s="82"/>
      <c r="I489" s="82">
        <v>0</v>
      </c>
      <c r="J489" s="82"/>
      <c r="K489" s="82">
        <v>0</v>
      </c>
      <c r="L489" s="82">
        <v>0</v>
      </c>
      <c r="M489" s="82"/>
      <c r="N489" s="82"/>
      <c r="O489" s="82"/>
      <c r="P489" s="82">
        <v>0</v>
      </c>
      <c r="Q489" s="145">
        <f t="shared" si="27"/>
        <v>0</v>
      </c>
      <c r="R489" s="153" t="str">
        <f t="shared" si="29"/>
        <v>SI</v>
      </c>
      <c r="S489" s="152" t="str">
        <f t="shared" si="28"/>
        <v>Sin Riesgo</v>
      </c>
    </row>
    <row r="490" spans="1:19" ht="32.1" customHeight="1" x14ac:dyDescent="0.2">
      <c r="A490" s="489" t="s">
        <v>223</v>
      </c>
      <c r="B490" s="183" t="s">
        <v>1553</v>
      </c>
      <c r="C490" s="182" t="s">
        <v>1503</v>
      </c>
      <c r="D490" s="198">
        <v>165</v>
      </c>
      <c r="E490" s="82">
        <v>0</v>
      </c>
      <c r="F490" s="82"/>
      <c r="G490" s="82"/>
      <c r="H490" s="82"/>
      <c r="I490" s="82">
        <v>0</v>
      </c>
      <c r="J490" s="82"/>
      <c r="K490" s="82">
        <v>0</v>
      </c>
      <c r="L490" s="82"/>
      <c r="M490" s="82"/>
      <c r="N490" s="82"/>
      <c r="O490" s="82"/>
      <c r="P490" s="82">
        <v>0</v>
      </c>
      <c r="Q490" s="145">
        <f t="shared" si="27"/>
        <v>0</v>
      </c>
      <c r="R490" s="153" t="str">
        <f t="shared" si="29"/>
        <v>SI</v>
      </c>
      <c r="S490" s="152" t="str">
        <f t="shared" si="28"/>
        <v>Sin Riesgo</v>
      </c>
    </row>
    <row r="491" spans="1:19" ht="32.1" customHeight="1" x14ac:dyDescent="0.2">
      <c r="A491" s="489" t="s">
        <v>223</v>
      </c>
      <c r="B491" s="183" t="s">
        <v>1554</v>
      </c>
      <c r="C491" s="182" t="s">
        <v>1504</v>
      </c>
      <c r="D491" s="198">
        <v>165</v>
      </c>
      <c r="E491" s="82"/>
      <c r="F491" s="82">
        <v>0</v>
      </c>
      <c r="G491" s="82">
        <v>0</v>
      </c>
      <c r="H491" s="82">
        <v>0</v>
      </c>
      <c r="I491" s="82"/>
      <c r="J491" s="82"/>
      <c r="K491" s="82"/>
      <c r="L491" s="82">
        <v>0</v>
      </c>
      <c r="M491" s="82">
        <v>0</v>
      </c>
      <c r="N491" s="82">
        <v>0</v>
      </c>
      <c r="O491" s="82">
        <v>0</v>
      </c>
      <c r="P491" s="82"/>
      <c r="Q491" s="145">
        <f t="shared" si="27"/>
        <v>0</v>
      </c>
      <c r="R491" s="153" t="str">
        <f t="shared" si="29"/>
        <v>SI</v>
      </c>
      <c r="S491" s="152" t="str">
        <f t="shared" si="28"/>
        <v>Sin Riesgo</v>
      </c>
    </row>
    <row r="492" spans="1:19" ht="32.1" customHeight="1" x14ac:dyDescent="0.2">
      <c r="A492" s="489" t="s">
        <v>223</v>
      </c>
      <c r="B492" s="183" t="s">
        <v>1555</v>
      </c>
      <c r="C492" s="182" t="s">
        <v>1505</v>
      </c>
      <c r="D492" s="198">
        <v>100</v>
      </c>
      <c r="E492" s="82"/>
      <c r="F492" s="82"/>
      <c r="G492" s="82"/>
      <c r="H492" s="82">
        <v>0</v>
      </c>
      <c r="I492" s="82"/>
      <c r="J492" s="82"/>
      <c r="K492" s="82"/>
      <c r="L492" s="82"/>
      <c r="M492" s="82"/>
      <c r="N492" s="82"/>
      <c r="O492" s="82">
        <v>0</v>
      </c>
      <c r="P492" s="82"/>
      <c r="Q492" s="145">
        <f t="shared" si="27"/>
        <v>0</v>
      </c>
      <c r="R492" s="153" t="str">
        <f t="shared" si="29"/>
        <v>SI</v>
      </c>
      <c r="S492" s="152" t="str">
        <f t="shared" si="28"/>
        <v>Sin Riesgo</v>
      </c>
    </row>
    <row r="493" spans="1:19" ht="32.1" customHeight="1" x14ac:dyDescent="0.2">
      <c r="A493" s="489" t="s">
        <v>223</v>
      </c>
      <c r="B493" s="183" t="s">
        <v>1184</v>
      </c>
      <c r="C493" s="182" t="s">
        <v>1506</v>
      </c>
      <c r="D493" s="198">
        <v>681</v>
      </c>
      <c r="E493" s="82">
        <v>0</v>
      </c>
      <c r="F493" s="82">
        <v>0</v>
      </c>
      <c r="G493" s="82">
        <v>0</v>
      </c>
      <c r="H493" s="82">
        <v>0</v>
      </c>
      <c r="I493" s="82">
        <v>0</v>
      </c>
      <c r="J493" s="82"/>
      <c r="K493" s="82">
        <v>0</v>
      </c>
      <c r="L493" s="82">
        <v>0</v>
      </c>
      <c r="M493" s="82">
        <v>0</v>
      </c>
      <c r="N493" s="82">
        <v>0</v>
      </c>
      <c r="O493" s="82">
        <v>0</v>
      </c>
      <c r="P493" s="82"/>
      <c r="Q493" s="145">
        <f t="shared" si="27"/>
        <v>0</v>
      </c>
      <c r="R493" s="153" t="str">
        <f t="shared" si="29"/>
        <v>SI</v>
      </c>
      <c r="S493" s="152" t="str">
        <f t="shared" si="28"/>
        <v>Sin Riesgo</v>
      </c>
    </row>
    <row r="494" spans="1:19" ht="32.1" customHeight="1" x14ac:dyDescent="0.2">
      <c r="A494" s="489" t="s">
        <v>223</v>
      </c>
      <c r="B494" s="183" t="s">
        <v>1548</v>
      </c>
      <c r="C494" s="182" t="s">
        <v>1507</v>
      </c>
      <c r="D494" s="174">
        <v>45</v>
      </c>
      <c r="E494" s="82">
        <v>0</v>
      </c>
      <c r="F494" s="82">
        <v>0</v>
      </c>
      <c r="G494" s="82">
        <v>0</v>
      </c>
      <c r="H494" s="82">
        <v>0</v>
      </c>
      <c r="I494" s="82">
        <v>0</v>
      </c>
      <c r="J494" s="82"/>
      <c r="K494" s="82">
        <v>0</v>
      </c>
      <c r="L494" s="82">
        <v>0</v>
      </c>
      <c r="M494" s="82">
        <v>0</v>
      </c>
      <c r="N494" s="82">
        <v>0</v>
      </c>
      <c r="O494" s="82">
        <v>0</v>
      </c>
      <c r="P494" s="82">
        <v>0</v>
      </c>
      <c r="Q494" s="145">
        <f t="shared" ref="Q494:Q548" si="30">AVERAGE(E494:P494)</f>
        <v>0</v>
      </c>
      <c r="R494" s="153" t="str">
        <f t="shared" si="29"/>
        <v>SI</v>
      </c>
      <c r="S494" s="152" t="str">
        <f t="shared" si="28"/>
        <v>Sin Riesgo</v>
      </c>
    </row>
    <row r="495" spans="1:19" ht="32.1" customHeight="1" x14ac:dyDescent="0.2">
      <c r="A495" s="489" t="s">
        <v>223</v>
      </c>
      <c r="B495" s="183" t="s">
        <v>1548</v>
      </c>
      <c r="C495" s="182" t="s">
        <v>1508</v>
      </c>
      <c r="D495" s="198">
        <v>45</v>
      </c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145" t="e">
        <f t="shared" si="30"/>
        <v>#DIV/0!</v>
      </c>
      <c r="R495" s="153" t="e">
        <f t="shared" si="29"/>
        <v>#DIV/0!</v>
      </c>
      <c r="S495" s="152" t="e">
        <f t="shared" si="28"/>
        <v>#DIV/0!</v>
      </c>
    </row>
    <row r="496" spans="1:19" ht="32.1" customHeight="1" x14ac:dyDescent="0.2">
      <c r="A496" s="489" t="s">
        <v>223</v>
      </c>
      <c r="B496" s="183" t="s">
        <v>1545</v>
      </c>
      <c r="C496" s="182" t="s">
        <v>1509</v>
      </c>
      <c r="D496" s="198">
        <v>49</v>
      </c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145" t="e">
        <f t="shared" si="30"/>
        <v>#DIV/0!</v>
      </c>
      <c r="R496" s="153" t="e">
        <f t="shared" si="29"/>
        <v>#DIV/0!</v>
      </c>
      <c r="S496" s="152" t="e">
        <f t="shared" si="28"/>
        <v>#DIV/0!</v>
      </c>
    </row>
    <row r="497" spans="1:19" ht="32.1" customHeight="1" x14ac:dyDescent="0.2">
      <c r="A497" s="489" t="s">
        <v>223</v>
      </c>
      <c r="B497" s="183" t="s">
        <v>1549</v>
      </c>
      <c r="C497" s="182" t="s">
        <v>1510</v>
      </c>
      <c r="D497" s="198">
        <v>52</v>
      </c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145" t="e">
        <f t="shared" si="30"/>
        <v>#DIV/0!</v>
      </c>
      <c r="R497" s="153" t="e">
        <f t="shared" si="29"/>
        <v>#DIV/0!</v>
      </c>
      <c r="S497" s="152" t="e">
        <f t="shared" si="28"/>
        <v>#DIV/0!</v>
      </c>
    </row>
    <row r="498" spans="1:19" ht="32.1" customHeight="1" x14ac:dyDescent="0.2">
      <c r="A498" s="489" t="s">
        <v>223</v>
      </c>
      <c r="B498" s="183" t="s">
        <v>1546</v>
      </c>
      <c r="C498" s="182" t="s">
        <v>1511</v>
      </c>
      <c r="D498" s="198">
        <v>45</v>
      </c>
      <c r="E498" s="82"/>
      <c r="F498" s="82"/>
      <c r="G498" s="82"/>
      <c r="H498" s="82">
        <v>0</v>
      </c>
      <c r="I498" s="82">
        <v>0</v>
      </c>
      <c r="J498" s="82"/>
      <c r="K498" s="82"/>
      <c r="L498" s="82"/>
      <c r="M498" s="82"/>
      <c r="N498" s="82">
        <v>0</v>
      </c>
      <c r="O498" s="82">
        <v>0</v>
      </c>
      <c r="P498" s="82">
        <v>0</v>
      </c>
      <c r="Q498" s="145">
        <f t="shared" si="30"/>
        <v>0</v>
      </c>
      <c r="R498" s="153" t="str">
        <f t="shared" si="29"/>
        <v>SI</v>
      </c>
      <c r="S498" s="152" t="str">
        <f t="shared" si="28"/>
        <v>Sin Riesgo</v>
      </c>
    </row>
    <row r="499" spans="1:19" ht="32.1" customHeight="1" x14ac:dyDescent="0.2">
      <c r="A499" s="489" t="s">
        <v>223</v>
      </c>
      <c r="B499" s="183" t="s">
        <v>0</v>
      </c>
      <c r="C499" s="182" t="s">
        <v>1512</v>
      </c>
      <c r="D499" s="198">
        <v>52</v>
      </c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145" t="e">
        <f t="shared" si="30"/>
        <v>#DIV/0!</v>
      </c>
      <c r="R499" s="153" t="e">
        <f t="shared" si="29"/>
        <v>#DIV/0!</v>
      </c>
      <c r="S499" s="152" t="e">
        <f t="shared" si="28"/>
        <v>#DIV/0!</v>
      </c>
    </row>
    <row r="500" spans="1:19" ht="32.1" customHeight="1" x14ac:dyDescent="0.2">
      <c r="A500" s="489" t="s">
        <v>223</v>
      </c>
      <c r="B500" s="183" t="s">
        <v>66</v>
      </c>
      <c r="C500" s="182" t="s">
        <v>1513</v>
      </c>
      <c r="D500" s="198">
        <v>47</v>
      </c>
      <c r="E500" s="82">
        <v>0</v>
      </c>
      <c r="F500" s="82">
        <v>0</v>
      </c>
      <c r="G500" s="82">
        <v>0</v>
      </c>
      <c r="H500" s="82"/>
      <c r="I500" s="82"/>
      <c r="J500" s="82"/>
      <c r="K500" s="82">
        <v>0</v>
      </c>
      <c r="L500" s="82">
        <v>0</v>
      </c>
      <c r="M500" s="82">
        <v>0</v>
      </c>
      <c r="N500" s="82"/>
      <c r="O500" s="82"/>
      <c r="P500" s="82"/>
      <c r="Q500" s="145">
        <f t="shared" si="30"/>
        <v>0</v>
      </c>
      <c r="R500" s="153" t="str">
        <f t="shared" si="29"/>
        <v>SI</v>
      </c>
      <c r="S500" s="152" t="str">
        <f t="shared" si="28"/>
        <v>Sin Riesgo</v>
      </c>
    </row>
    <row r="501" spans="1:19" ht="32.1" customHeight="1" x14ac:dyDescent="0.2">
      <c r="A501" s="489" t="s">
        <v>223</v>
      </c>
      <c r="B501" s="183" t="s">
        <v>588</v>
      </c>
      <c r="C501" s="182" t="s">
        <v>1514</v>
      </c>
      <c r="D501" s="198">
        <v>113</v>
      </c>
      <c r="E501" s="82">
        <v>0</v>
      </c>
      <c r="F501" s="82">
        <v>0</v>
      </c>
      <c r="G501" s="82">
        <v>0</v>
      </c>
      <c r="H501" s="82"/>
      <c r="I501" s="82"/>
      <c r="J501" s="82"/>
      <c r="K501" s="82">
        <v>0</v>
      </c>
      <c r="L501" s="82">
        <v>0</v>
      </c>
      <c r="M501" s="82">
        <v>0</v>
      </c>
      <c r="N501" s="82"/>
      <c r="O501" s="82"/>
      <c r="P501" s="82"/>
      <c r="Q501" s="145">
        <f t="shared" si="30"/>
        <v>0</v>
      </c>
      <c r="R501" s="153" t="str">
        <f t="shared" si="29"/>
        <v>SI</v>
      </c>
      <c r="S501" s="152" t="str">
        <f t="shared" si="28"/>
        <v>Sin Riesgo</v>
      </c>
    </row>
    <row r="502" spans="1:19" ht="32.1" customHeight="1" x14ac:dyDescent="0.2">
      <c r="A502" s="489" t="s">
        <v>223</v>
      </c>
      <c r="B502" s="183" t="s">
        <v>1556</v>
      </c>
      <c r="C502" s="182" t="s">
        <v>1515</v>
      </c>
      <c r="D502" s="198">
        <v>347</v>
      </c>
      <c r="E502" s="82"/>
      <c r="F502" s="82"/>
      <c r="G502" s="82"/>
      <c r="H502" s="82">
        <v>0</v>
      </c>
      <c r="I502" s="82">
        <v>0</v>
      </c>
      <c r="J502" s="82"/>
      <c r="K502" s="82"/>
      <c r="L502" s="82"/>
      <c r="M502" s="82"/>
      <c r="N502" s="82">
        <v>0</v>
      </c>
      <c r="O502" s="82">
        <v>0</v>
      </c>
      <c r="P502" s="82">
        <v>0</v>
      </c>
      <c r="Q502" s="145">
        <f t="shared" si="30"/>
        <v>0</v>
      </c>
      <c r="R502" s="153" t="str">
        <f t="shared" si="29"/>
        <v>SI</v>
      </c>
      <c r="S502" s="152" t="str">
        <f t="shared" si="28"/>
        <v>Sin Riesgo</v>
      </c>
    </row>
    <row r="503" spans="1:19" ht="32.1" customHeight="1" x14ac:dyDescent="0.2">
      <c r="A503" s="489" t="s">
        <v>223</v>
      </c>
      <c r="B503" s="183" t="s">
        <v>1209</v>
      </c>
      <c r="C503" s="182" t="s">
        <v>1516</v>
      </c>
      <c r="D503" s="198">
        <v>113</v>
      </c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145" t="e">
        <f t="shared" si="30"/>
        <v>#DIV/0!</v>
      </c>
      <c r="R503" s="153" t="e">
        <f t="shared" si="29"/>
        <v>#DIV/0!</v>
      </c>
      <c r="S503" s="152" t="e">
        <f t="shared" si="28"/>
        <v>#DIV/0!</v>
      </c>
    </row>
    <row r="504" spans="1:19" ht="32.1" customHeight="1" x14ac:dyDescent="0.2">
      <c r="A504" s="489" t="s">
        <v>223</v>
      </c>
      <c r="B504" s="183" t="s">
        <v>1041</v>
      </c>
      <c r="C504" s="182" t="s">
        <v>1517</v>
      </c>
      <c r="D504" s="198">
        <v>51</v>
      </c>
      <c r="E504" s="82"/>
      <c r="F504" s="82">
        <v>0</v>
      </c>
      <c r="G504" s="82">
        <v>0</v>
      </c>
      <c r="H504" s="82">
        <v>0</v>
      </c>
      <c r="I504" s="82"/>
      <c r="J504" s="82"/>
      <c r="K504" s="82"/>
      <c r="L504" s="82">
        <v>0</v>
      </c>
      <c r="M504" s="82">
        <v>0</v>
      </c>
      <c r="N504" s="82">
        <v>0</v>
      </c>
      <c r="O504" s="82">
        <v>0</v>
      </c>
      <c r="P504" s="82"/>
      <c r="Q504" s="145">
        <f t="shared" si="30"/>
        <v>0</v>
      </c>
      <c r="R504" s="153" t="str">
        <f t="shared" si="29"/>
        <v>SI</v>
      </c>
      <c r="S504" s="152" t="str">
        <f t="shared" si="28"/>
        <v>Sin Riesgo</v>
      </c>
    </row>
    <row r="505" spans="1:19" ht="32.1" customHeight="1" x14ac:dyDescent="0.2">
      <c r="A505" s="489" t="s">
        <v>223</v>
      </c>
      <c r="B505" s="183" t="s">
        <v>1557</v>
      </c>
      <c r="C505" s="182" t="s">
        <v>1518</v>
      </c>
      <c r="D505" s="198">
        <v>51</v>
      </c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145" t="e">
        <f t="shared" si="30"/>
        <v>#DIV/0!</v>
      </c>
      <c r="R505" s="153" t="e">
        <f t="shared" si="29"/>
        <v>#DIV/0!</v>
      </c>
      <c r="S505" s="152" t="e">
        <f t="shared" si="28"/>
        <v>#DIV/0!</v>
      </c>
    </row>
    <row r="506" spans="1:19" ht="32.1" customHeight="1" x14ac:dyDescent="0.2">
      <c r="A506" s="489" t="s">
        <v>223</v>
      </c>
      <c r="B506" s="183" t="s">
        <v>66</v>
      </c>
      <c r="C506" s="182" t="s">
        <v>1519</v>
      </c>
      <c r="D506" s="198">
        <v>47</v>
      </c>
      <c r="E506" s="82">
        <v>0</v>
      </c>
      <c r="F506" s="82"/>
      <c r="G506" s="82"/>
      <c r="H506" s="82"/>
      <c r="I506" s="82"/>
      <c r="J506" s="82"/>
      <c r="K506" s="82">
        <v>0</v>
      </c>
      <c r="L506" s="82"/>
      <c r="M506" s="82"/>
      <c r="N506" s="82"/>
      <c r="O506" s="82"/>
      <c r="P506" s="82"/>
      <c r="Q506" s="145">
        <f t="shared" si="30"/>
        <v>0</v>
      </c>
      <c r="R506" s="153" t="str">
        <f t="shared" si="29"/>
        <v>SI</v>
      </c>
      <c r="S506" s="152" t="str">
        <f t="shared" si="28"/>
        <v>Sin Riesgo</v>
      </c>
    </row>
    <row r="507" spans="1:19" ht="32.1" customHeight="1" x14ac:dyDescent="0.2">
      <c r="A507" s="489" t="s">
        <v>223</v>
      </c>
      <c r="B507" s="183" t="s">
        <v>1558</v>
      </c>
      <c r="C507" s="182" t="s">
        <v>1520</v>
      </c>
      <c r="D507" s="198">
        <v>47</v>
      </c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145" t="e">
        <f t="shared" si="30"/>
        <v>#DIV/0!</v>
      </c>
      <c r="R507" s="153" t="e">
        <f t="shared" si="29"/>
        <v>#DIV/0!</v>
      </c>
      <c r="S507" s="152" t="e">
        <f t="shared" si="28"/>
        <v>#DIV/0!</v>
      </c>
    </row>
    <row r="508" spans="1:19" ht="32.1" customHeight="1" x14ac:dyDescent="0.2">
      <c r="A508" s="489" t="s">
        <v>223</v>
      </c>
      <c r="B508" s="183" t="s">
        <v>502</v>
      </c>
      <c r="C508" s="182" t="s">
        <v>1521</v>
      </c>
      <c r="D508" s="198">
        <v>47</v>
      </c>
      <c r="E508" s="82"/>
      <c r="F508" s="82"/>
      <c r="G508" s="82"/>
      <c r="H508" s="82"/>
      <c r="I508" s="82">
        <v>0</v>
      </c>
      <c r="J508" s="82"/>
      <c r="K508" s="82"/>
      <c r="L508" s="82"/>
      <c r="M508" s="82"/>
      <c r="N508" s="82"/>
      <c r="O508" s="82"/>
      <c r="P508" s="82">
        <v>0</v>
      </c>
      <c r="Q508" s="145">
        <f t="shared" si="30"/>
        <v>0</v>
      </c>
      <c r="R508" s="153" t="str">
        <f t="shared" si="29"/>
        <v>SI</v>
      </c>
      <c r="S508" s="152" t="str">
        <f t="shared" si="28"/>
        <v>Sin Riesgo</v>
      </c>
    </row>
    <row r="509" spans="1:19" ht="32.1" customHeight="1" x14ac:dyDescent="0.2">
      <c r="A509" s="489" t="s">
        <v>223</v>
      </c>
      <c r="B509" s="183" t="s">
        <v>1559</v>
      </c>
      <c r="C509" s="182" t="s">
        <v>1522</v>
      </c>
      <c r="D509" s="198">
        <v>47</v>
      </c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145" t="e">
        <f t="shared" si="30"/>
        <v>#DIV/0!</v>
      </c>
      <c r="R509" s="153" t="e">
        <f t="shared" si="29"/>
        <v>#DIV/0!</v>
      </c>
      <c r="S509" s="152" t="e">
        <f t="shared" si="28"/>
        <v>#DIV/0!</v>
      </c>
    </row>
    <row r="510" spans="1:19" ht="32.1" customHeight="1" x14ac:dyDescent="0.2">
      <c r="A510" s="489" t="s">
        <v>223</v>
      </c>
      <c r="B510" s="183" t="s">
        <v>12</v>
      </c>
      <c r="C510" s="182" t="s">
        <v>1523</v>
      </c>
      <c r="D510" s="198">
        <v>126</v>
      </c>
      <c r="E510" s="82"/>
      <c r="F510" s="82"/>
      <c r="G510" s="82"/>
      <c r="H510" s="82"/>
      <c r="I510" s="82">
        <v>0</v>
      </c>
      <c r="J510" s="82"/>
      <c r="K510" s="82"/>
      <c r="L510" s="82"/>
      <c r="M510" s="82"/>
      <c r="N510" s="82"/>
      <c r="O510" s="82"/>
      <c r="P510" s="82">
        <v>0</v>
      </c>
      <c r="Q510" s="145">
        <f t="shared" si="30"/>
        <v>0</v>
      </c>
      <c r="R510" s="153" t="str">
        <f t="shared" si="29"/>
        <v>SI</v>
      </c>
      <c r="S510" s="152" t="str">
        <f t="shared" ref="S510:S548" si="31">IF(Q510&lt;5,"Sin Riesgo",IF(Q510 &lt;=14,"Bajo",IF(Q510&lt;=35,"Medio",IF(Q510&lt;=80,"Alto","Inviable Sanitariamente"))))</f>
        <v>Sin Riesgo</v>
      </c>
    </row>
    <row r="511" spans="1:19" ht="32.1" customHeight="1" x14ac:dyDescent="0.2">
      <c r="A511" s="489" t="s">
        <v>223</v>
      </c>
      <c r="B511" s="183" t="s">
        <v>1235</v>
      </c>
      <c r="C511" s="182" t="s">
        <v>1524</v>
      </c>
      <c r="D511" s="198">
        <v>126</v>
      </c>
      <c r="E511" s="82"/>
      <c r="F511" s="82"/>
      <c r="G511" s="82">
        <v>0</v>
      </c>
      <c r="H511" s="82"/>
      <c r="I511" s="82"/>
      <c r="J511" s="82"/>
      <c r="K511" s="82"/>
      <c r="L511" s="82"/>
      <c r="M511" s="82">
        <v>0</v>
      </c>
      <c r="N511" s="82"/>
      <c r="O511" s="82"/>
      <c r="P511" s="82"/>
      <c r="Q511" s="145">
        <f t="shared" si="30"/>
        <v>0</v>
      </c>
      <c r="R511" s="153" t="str">
        <f t="shared" si="29"/>
        <v>SI</v>
      </c>
      <c r="S511" s="152" t="str">
        <f t="shared" si="31"/>
        <v>Sin Riesgo</v>
      </c>
    </row>
    <row r="512" spans="1:19" ht="32.1" customHeight="1" x14ac:dyDescent="0.2">
      <c r="A512" s="489" t="s">
        <v>223</v>
      </c>
      <c r="B512" s="183" t="s">
        <v>1560</v>
      </c>
      <c r="C512" s="182" t="s">
        <v>1525</v>
      </c>
      <c r="D512" s="198">
        <v>126</v>
      </c>
      <c r="E512" s="82"/>
      <c r="F512" s="82"/>
      <c r="G512" s="82"/>
      <c r="H512" s="82">
        <v>0</v>
      </c>
      <c r="I512" s="82"/>
      <c r="J512" s="82"/>
      <c r="K512" s="82"/>
      <c r="L512" s="82"/>
      <c r="M512" s="82"/>
      <c r="N512" s="82">
        <v>0</v>
      </c>
      <c r="O512" s="82">
        <v>0</v>
      </c>
      <c r="P512" s="82"/>
      <c r="Q512" s="145">
        <f t="shared" si="30"/>
        <v>0</v>
      </c>
      <c r="R512" s="153" t="str">
        <f t="shared" si="29"/>
        <v>SI</v>
      </c>
      <c r="S512" s="152" t="str">
        <f t="shared" si="31"/>
        <v>Sin Riesgo</v>
      </c>
    </row>
    <row r="513" spans="1:19" ht="32.1" customHeight="1" x14ac:dyDescent="0.2">
      <c r="A513" s="489" t="s">
        <v>223</v>
      </c>
      <c r="B513" s="183" t="s">
        <v>1561</v>
      </c>
      <c r="C513" s="182" t="s">
        <v>1526</v>
      </c>
      <c r="D513" s="198">
        <v>126</v>
      </c>
      <c r="E513" s="82"/>
      <c r="F513" s="82">
        <v>0</v>
      </c>
      <c r="G513" s="82"/>
      <c r="H513" s="82"/>
      <c r="I513" s="82"/>
      <c r="J513" s="82"/>
      <c r="K513" s="82"/>
      <c r="L513" s="82">
        <v>0</v>
      </c>
      <c r="M513" s="82"/>
      <c r="N513" s="82"/>
      <c r="O513" s="82"/>
      <c r="P513" s="82"/>
      <c r="Q513" s="145">
        <f t="shared" si="30"/>
        <v>0</v>
      </c>
      <c r="R513" s="153" t="str">
        <f t="shared" si="29"/>
        <v>SI</v>
      </c>
      <c r="S513" s="152" t="str">
        <f t="shared" si="31"/>
        <v>Sin Riesgo</v>
      </c>
    </row>
    <row r="514" spans="1:19" ht="32.1" customHeight="1" x14ac:dyDescent="0.2">
      <c r="A514" s="489" t="s">
        <v>223</v>
      </c>
      <c r="B514" s="183" t="s">
        <v>1547</v>
      </c>
      <c r="C514" s="182" t="s">
        <v>1527</v>
      </c>
      <c r="D514" s="199">
        <v>52</v>
      </c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145" t="e">
        <f t="shared" si="30"/>
        <v>#DIV/0!</v>
      </c>
      <c r="R514" s="153" t="e">
        <f t="shared" si="29"/>
        <v>#DIV/0!</v>
      </c>
      <c r="S514" s="152" t="e">
        <f t="shared" si="31"/>
        <v>#DIV/0!</v>
      </c>
    </row>
    <row r="515" spans="1:19" ht="32.1" customHeight="1" x14ac:dyDescent="0.2">
      <c r="A515" s="489" t="s">
        <v>223</v>
      </c>
      <c r="B515" s="183" t="s">
        <v>1562</v>
      </c>
      <c r="C515" s="182" t="s">
        <v>1528</v>
      </c>
      <c r="D515" s="198">
        <v>930</v>
      </c>
      <c r="E515" s="82"/>
      <c r="F515" s="82">
        <v>0</v>
      </c>
      <c r="G515" s="82"/>
      <c r="H515" s="82"/>
      <c r="I515" s="82"/>
      <c r="J515" s="82"/>
      <c r="K515" s="82"/>
      <c r="L515" s="82">
        <v>0</v>
      </c>
      <c r="M515" s="82"/>
      <c r="N515" s="82"/>
      <c r="O515" s="82"/>
      <c r="P515" s="82"/>
      <c r="Q515" s="145">
        <f t="shared" si="30"/>
        <v>0</v>
      </c>
      <c r="R515" s="153" t="str">
        <f t="shared" si="29"/>
        <v>SI</v>
      </c>
      <c r="S515" s="152" t="str">
        <f t="shared" si="31"/>
        <v>Sin Riesgo</v>
      </c>
    </row>
    <row r="516" spans="1:19" ht="32.1" customHeight="1" x14ac:dyDescent="0.2">
      <c r="A516" s="489" t="s">
        <v>223</v>
      </c>
      <c r="B516" s="183" t="s">
        <v>1563</v>
      </c>
      <c r="C516" s="182" t="s">
        <v>1529</v>
      </c>
      <c r="D516" s="198">
        <v>930</v>
      </c>
      <c r="E516" s="82"/>
      <c r="F516" s="82"/>
      <c r="G516" s="82"/>
      <c r="H516" s="82"/>
      <c r="I516" s="82">
        <v>0</v>
      </c>
      <c r="J516" s="82"/>
      <c r="K516" s="82"/>
      <c r="L516" s="82"/>
      <c r="M516" s="82"/>
      <c r="N516" s="82"/>
      <c r="O516" s="82"/>
      <c r="P516" s="82">
        <v>0</v>
      </c>
      <c r="Q516" s="145">
        <f t="shared" si="30"/>
        <v>0</v>
      </c>
      <c r="R516" s="153" t="str">
        <f t="shared" si="29"/>
        <v>SI</v>
      </c>
      <c r="S516" s="152" t="str">
        <f t="shared" si="31"/>
        <v>Sin Riesgo</v>
      </c>
    </row>
    <row r="517" spans="1:19" ht="32.1" customHeight="1" x14ac:dyDescent="0.2">
      <c r="A517" s="489" t="s">
        <v>223</v>
      </c>
      <c r="B517" s="183" t="s">
        <v>1564</v>
      </c>
      <c r="C517" s="182" t="s">
        <v>1530</v>
      </c>
      <c r="D517" s="198">
        <v>930</v>
      </c>
      <c r="E517" s="82"/>
      <c r="F517" s="82"/>
      <c r="G517" s="82"/>
      <c r="H517" s="82">
        <v>0</v>
      </c>
      <c r="I517" s="82"/>
      <c r="J517" s="82"/>
      <c r="K517" s="82"/>
      <c r="L517" s="82"/>
      <c r="M517" s="82"/>
      <c r="N517" s="82">
        <v>0</v>
      </c>
      <c r="O517" s="82">
        <v>0</v>
      </c>
      <c r="P517" s="82"/>
      <c r="Q517" s="145">
        <f t="shared" si="30"/>
        <v>0</v>
      </c>
      <c r="R517" s="153" t="str">
        <f t="shared" si="29"/>
        <v>SI</v>
      </c>
      <c r="S517" s="152" t="str">
        <f t="shared" si="31"/>
        <v>Sin Riesgo</v>
      </c>
    </row>
    <row r="518" spans="1:19" ht="32.1" customHeight="1" x14ac:dyDescent="0.2">
      <c r="A518" s="489" t="s">
        <v>223</v>
      </c>
      <c r="B518" s="183" t="s">
        <v>735</v>
      </c>
      <c r="C518" s="182" t="s">
        <v>1531</v>
      </c>
      <c r="D518" s="198">
        <v>138</v>
      </c>
      <c r="E518" s="82"/>
      <c r="F518" s="82"/>
      <c r="G518" s="82">
        <v>0</v>
      </c>
      <c r="H518" s="82"/>
      <c r="I518" s="82"/>
      <c r="J518" s="82"/>
      <c r="K518" s="82"/>
      <c r="L518" s="82"/>
      <c r="M518" s="82">
        <v>0</v>
      </c>
      <c r="N518" s="82"/>
      <c r="O518" s="82"/>
      <c r="P518" s="82"/>
      <c r="Q518" s="145">
        <f t="shared" si="30"/>
        <v>0</v>
      </c>
      <c r="R518" s="153" t="str">
        <f t="shared" si="29"/>
        <v>SI</v>
      </c>
      <c r="S518" s="152" t="str">
        <f t="shared" si="31"/>
        <v>Sin Riesgo</v>
      </c>
    </row>
    <row r="519" spans="1:19" ht="32.1" customHeight="1" x14ac:dyDescent="0.2">
      <c r="A519" s="489" t="s">
        <v>223</v>
      </c>
      <c r="B519" s="183" t="s">
        <v>1565</v>
      </c>
      <c r="C519" s="182" t="s">
        <v>1532</v>
      </c>
      <c r="D519" s="198">
        <v>110</v>
      </c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145" t="e">
        <f t="shared" si="30"/>
        <v>#DIV/0!</v>
      </c>
      <c r="R519" s="153" t="e">
        <f t="shared" si="29"/>
        <v>#DIV/0!</v>
      </c>
      <c r="S519" s="152" t="e">
        <f t="shared" si="31"/>
        <v>#DIV/0!</v>
      </c>
    </row>
    <row r="520" spans="1:19" ht="32.1" customHeight="1" x14ac:dyDescent="0.2">
      <c r="A520" s="489" t="s">
        <v>223</v>
      </c>
      <c r="B520" s="183" t="s">
        <v>1432</v>
      </c>
      <c r="C520" s="182" t="s">
        <v>1533</v>
      </c>
      <c r="D520" s="198">
        <v>140</v>
      </c>
      <c r="E520" s="82">
        <v>0</v>
      </c>
      <c r="F520" s="82"/>
      <c r="G520" s="82"/>
      <c r="H520" s="82"/>
      <c r="I520" s="82"/>
      <c r="J520" s="82"/>
      <c r="K520" s="82">
        <v>0</v>
      </c>
      <c r="L520" s="82"/>
      <c r="M520" s="82"/>
      <c r="N520" s="82"/>
      <c r="O520" s="82"/>
      <c r="P520" s="82"/>
      <c r="Q520" s="145">
        <f t="shared" si="30"/>
        <v>0</v>
      </c>
      <c r="R520" s="153" t="str">
        <f t="shared" si="29"/>
        <v>SI</v>
      </c>
      <c r="S520" s="152" t="str">
        <f t="shared" si="31"/>
        <v>Sin Riesgo</v>
      </c>
    </row>
    <row r="521" spans="1:19" ht="32.1" customHeight="1" x14ac:dyDescent="0.2">
      <c r="A521" s="489" t="s">
        <v>223</v>
      </c>
      <c r="B521" s="183" t="s">
        <v>1545</v>
      </c>
      <c r="C521" s="182" t="s">
        <v>1534</v>
      </c>
      <c r="D521" s="198">
        <v>49</v>
      </c>
      <c r="E521" s="82">
        <v>0</v>
      </c>
      <c r="F521" s="82">
        <v>0</v>
      </c>
      <c r="G521" s="82"/>
      <c r="H521" s="82"/>
      <c r="I521" s="82"/>
      <c r="J521" s="82"/>
      <c r="K521" s="82">
        <v>0</v>
      </c>
      <c r="L521" s="82">
        <v>0</v>
      </c>
      <c r="M521" s="82"/>
      <c r="N521" s="82"/>
      <c r="O521" s="82"/>
      <c r="P521" s="82"/>
      <c r="Q521" s="145">
        <f t="shared" si="30"/>
        <v>0</v>
      </c>
      <c r="R521" s="153" t="str">
        <f t="shared" si="29"/>
        <v>SI</v>
      </c>
      <c r="S521" s="152" t="str">
        <f t="shared" si="31"/>
        <v>Sin Riesgo</v>
      </c>
    </row>
    <row r="522" spans="1:19" ht="32.1" customHeight="1" x14ac:dyDescent="0.2">
      <c r="A522" s="489" t="s">
        <v>223</v>
      </c>
      <c r="B522" s="183" t="s">
        <v>1546</v>
      </c>
      <c r="C522" s="182" t="s">
        <v>1535</v>
      </c>
      <c r="D522" s="200">
        <v>45</v>
      </c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145" t="e">
        <f t="shared" si="30"/>
        <v>#DIV/0!</v>
      </c>
      <c r="R522" s="153" t="e">
        <f t="shared" si="29"/>
        <v>#DIV/0!</v>
      </c>
      <c r="S522" s="152" t="e">
        <f t="shared" si="31"/>
        <v>#DIV/0!</v>
      </c>
    </row>
    <row r="523" spans="1:19" ht="32.1" customHeight="1" x14ac:dyDescent="0.2">
      <c r="A523" s="489" t="s">
        <v>223</v>
      </c>
      <c r="B523" s="183" t="s">
        <v>1547</v>
      </c>
      <c r="C523" s="182" t="s">
        <v>1536</v>
      </c>
      <c r="D523" s="199">
        <v>52</v>
      </c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145" t="e">
        <f t="shared" si="30"/>
        <v>#DIV/0!</v>
      </c>
      <c r="R523" s="153" t="e">
        <f t="shared" si="29"/>
        <v>#DIV/0!</v>
      </c>
      <c r="S523" s="152" t="e">
        <f t="shared" si="31"/>
        <v>#DIV/0!</v>
      </c>
    </row>
    <row r="524" spans="1:19" ht="32.1" customHeight="1" x14ac:dyDescent="0.2">
      <c r="A524" s="489" t="s">
        <v>223</v>
      </c>
      <c r="B524" s="183" t="s">
        <v>1548</v>
      </c>
      <c r="C524" s="182" t="s">
        <v>1537</v>
      </c>
      <c r="D524" s="199">
        <v>45</v>
      </c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145" t="e">
        <f t="shared" si="30"/>
        <v>#DIV/0!</v>
      </c>
      <c r="R524" s="153" t="e">
        <f t="shared" si="29"/>
        <v>#DIV/0!</v>
      </c>
      <c r="S524" s="152" t="e">
        <f t="shared" si="31"/>
        <v>#DIV/0!</v>
      </c>
    </row>
    <row r="525" spans="1:19" ht="32.1" customHeight="1" x14ac:dyDescent="0.2">
      <c r="A525" s="489" t="s">
        <v>223</v>
      </c>
      <c r="B525" s="183" t="s">
        <v>61</v>
      </c>
      <c r="C525" s="182" t="s">
        <v>1538</v>
      </c>
      <c r="D525" s="199">
        <v>160</v>
      </c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145" t="e">
        <f t="shared" si="30"/>
        <v>#DIV/0!</v>
      </c>
      <c r="R525" s="153" t="e">
        <f t="shared" si="29"/>
        <v>#DIV/0!</v>
      </c>
      <c r="S525" s="152" t="e">
        <f t="shared" si="31"/>
        <v>#DIV/0!</v>
      </c>
    </row>
    <row r="526" spans="1:19" ht="32.1" customHeight="1" x14ac:dyDescent="0.2">
      <c r="A526" s="489" t="s">
        <v>223</v>
      </c>
      <c r="B526" s="183" t="s">
        <v>1549</v>
      </c>
      <c r="C526" s="182" t="s">
        <v>1539</v>
      </c>
      <c r="D526" s="199">
        <v>52</v>
      </c>
      <c r="E526" s="82"/>
      <c r="F526" s="82"/>
      <c r="G526" s="82">
        <v>0</v>
      </c>
      <c r="H526" s="82">
        <v>0</v>
      </c>
      <c r="I526" s="82">
        <v>0</v>
      </c>
      <c r="J526" s="82"/>
      <c r="K526" s="82"/>
      <c r="L526" s="82"/>
      <c r="M526" s="82">
        <v>0</v>
      </c>
      <c r="N526" s="82">
        <v>0</v>
      </c>
      <c r="O526" s="82">
        <v>0</v>
      </c>
      <c r="P526" s="82">
        <v>0</v>
      </c>
      <c r="Q526" s="145">
        <f t="shared" si="30"/>
        <v>0</v>
      </c>
      <c r="R526" s="153" t="str">
        <f t="shared" si="29"/>
        <v>SI</v>
      </c>
      <c r="S526" s="152" t="str">
        <f t="shared" si="31"/>
        <v>Sin Riesgo</v>
      </c>
    </row>
    <row r="527" spans="1:19" ht="32.1" customHeight="1" x14ac:dyDescent="0.2">
      <c r="A527" s="489" t="s">
        <v>223</v>
      </c>
      <c r="B527" s="183" t="s">
        <v>1432</v>
      </c>
      <c r="C527" s="182" t="s">
        <v>1540</v>
      </c>
      <c r="D527" s="198">
        <v>195</v>
      </c>
      <c r="E527" s="82">
        <v>0</v>
      </c>
      <c r="F527" s="82">
        <v>0</v>
      </c>
      <c r="G527" s="82">
        <v>0</v>
      </c>
      <c r="H527" s="82">
        <v>0</v>
      </c>
      <c r="I527" s="82">
        <v>0</v>
      </c>
      <c r="J527" s="82"/>
      <c r="K527" s="82">
        <v>0</v>
      </c>
      <c r="L527" s="82">
        <v>0</v>
      </c>
      <c r="M527" s="82">
        <v>0</v>
      </c>
      <c r="N527" s="82">
        <v>0</v>
      </c>
      <c r="O527" s="82">
        <v>0</v>
      </c>
      <c r="P527" s="82">
        <v>0</v>
      </c>
      <c r="Q527" s="145">
        <f t="shared" si="30"/>
        <v>0</v>
      </c>
      <c r="R527" s="153" t="str">
        <f t="shared" si="29"/>
        <v>SI</v>
      </c>
      <c r="S527" s="152" t="str">
        <f t="shared" si="31"/>
        <v>Sin Riesgo</v>
      </c>
    </row>
    <row r="528" spans="1:19" ht="32.1" customHeight="1" x14ac:dyDescent="0.2">
      <c r="A528" s="489" t="s">
        <v>223</v>
      </c>
      <c r="B528" s="183" t="s">
        <v>1550</v>
      </c>
      <c r="C528" s="182" t="s">
        <v>1541</v>
      </c>
      <c r="D528" s="198">
        <v>442</v>
      </c>
      <c r="E528" s="82"/>
      <c r="F528" s="82"/>
      <c r="G528" s="82"/>
      <c r="H528" s="82"/>
      <c r="I528" s="82">
        <v>0</v>
      </c>
      <c r="J528" s="82"/>
      <c r="K528" s="82"/>
      <c r="L528" s="82"/>
      <c r="M528" s="82"/>
      <c r="N528" s="82"/>
      <c r="O528" s="82"/>
      <c r="P528" s="82">
        <v>0</v>
      </c>
      <c r="Q528" s="145">
        <f t="shared" si="30"/>
        <v>0</v>
      </c>
      <c r="R528" s="153" t="str">
        <f t="shared" si="29"/>
        <v>SI</v>
      </c>
      <c r="S528" s="152" t="str">
        <f t="shared" si="31"/>
        <v>Sin Riesgo</v>
      </c>
    </row>
    <row r="529" spans="1:19" ht="32.1" customHeight="1" x14ac:dyDescent="0.2">
      <c r="A529" s="489" t="s">
        <v>223</v>
      </c>
      <c r="B529" s="183" t="s">
        <v>1047</v>
      </c>
      <c r="C529" s="182" t="s">
        <v>1542</v>
      </c>
      <c r="D529" s="198">
        <v>442</v>
      </c>
      <c r="E529" s="82"/>
      <c r="F529" s="82">
        <v>0</v>
      </c>
      <c r="G529" s="82"/>
      <c r="H529" s="82">
        <v>0</v>
      </c>
      <c r="I529" s="82"/>
      <c r="J529" s="82"/>
      <c r="K529" s="82"/>
      <c r="L529" s="82">
        <v>0</v>
      </c>
      <c r="M529" s="82"/>
      <c r="N529" s="82">
        <v>0</v>
      </c>
      <c r="O529" s="82">
        <v>0</v>
      </c>
      <c r="P529" s="82"/>
      <c r="Q529" s="145">
        <f t="shared" si="30"/>
        <v>0</v>
      </c>
      <c r="R529" s="153" t="str">
        <f t="shared" si="29"/>
        <v>SI</v>
      </c>
      <c r="S529" s="152" t="str">
        <f t="shared" si="31"/>
        <v>Sin Riesgo</v>
      </c>
    </row>
    <row r="530" spans="1:19" ht="32.1" customHeight="1" x14ac:dyDescent="0.2">
      <c r="A530" s="489" t="s">
        <v>223</v>
      </c>
      <c r="B530" s="183" t="s">
        <v>1551</v>
      </c>
      <c r="C530" s="182" t="s">
        <v>1543</v>
      </c>
      <c r="D530" s="198">
        <v>126</v>
      </c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145" t="e">
        <f t="shared" si="30"/>
        <v>#DIV/0!</v>
      </c>
      <c r="R530" s="153" t="e">
        <f t="shared" si="29"/>
        <v>#DIV/0!</v>
      </c>
      <c r="S530" s="152" t="e">
        <f t="shared" si="31"/>
        <v>#DIV/0!</v>
      </c>
    </row>
    <row r="531" spans="1:19" ht="32.1" customHeight="1" x14ac:dyDescent="0.2">
      <c r="A531" s="489" t="s">
        <v>223</v>
      </c>
      <c r="B531" s="183" t="s">
        <v>0</v>
      </c>
      <c r="C531" s="182" t="s">
        <v>1544</v>
      </c>
      <c r="D531" s="198">
        <v>32</v>
      </c>
      <c r="E531" s="82">
        <v>0</v>
      </c>
      <c r="F531" s="82"/>
      <c r="G531" s="82">
        <v>0</v>
      </c>
      <c r="H531" s="82"/>
      <c r="I531" s="82"/>
      <c r="J531" s="82"/>
      <c r="K531" s="82">
        <v>0</v>
      </c>
      <c r="L531" s="82"/>
      <c r="M531" s="82">
        <v>0</v>
      </c>
      <c r="N531" s="82"/>
      <c r="O531" s="82"/>
      <c r="P531" s="82"/>
      <c r="Q531" s="145">
        <f t="shared" si="30"/>
        <v>0</v>
      </c>
      <c r="R531" s="153" t="str">
        <f t="shared" si="29"/>
        <v>SI</v>
      </c>
      <c r="S531" s="152" t="str">
        <f t="shared" si="31"/>
        <v>Sin Riesgo</v>
      </c>
    </row>
    <row r="532" spans="1:19" ht="32.1" customHeight="1" x14ac:dyDescent="0.2">
      <c r="A532" s="489" t="s">
        <v>224</v>
      </c>
      <c r="B532" s="99" t="s">
        <v>1566</v>
      </c>
      <c r="C532" s="113" t="s">
        <v>1567</v>
      </c>
      <c r="D532" s="201">
        <v>838</v>
      </c>
      <c r="E532" s="82">
        <v>0</v>
      </c>
      <c r="F532" s="82">
        <v>0</v>
      </c>
      <c r="G532" s="82">
        <v>0</v>
      </c>
      <c r="H532" s="82">
        <v>0</v>
      </c>
      <c r="I532" s="82">
        <v>0</v>
      </c>
      <c r="J532" s="82">
        <v>0</v>
      </c>
      <c r="K532" s="82">
        <v>0</v>
      </c>
      <c r="L532" s="82">
        <v>0</v>
      </c>
      <c r="M532" s="82">
        <v>0</v>
      </c>
      <c r="N532" s="82">
        <v>0</v>
      </c>
      <c r="O532" s="82">
        <v>0</v>
      </c>
      <c r="P532" s="82">
        <v>0</v>
      </c>
      <c r="Q532" s="145">
        <f t="shared" si="30"/>
        <v>0</v>
      </c>
      <c r="R532" s="151" t="str">
        <f t="shared" si="29"/>
        <v>SI</v>
      </c>
      <c r="S532" s="152" t="str">
        <f t="shared" si="31"/>
        <v>Sin Riesgo</v>
      </c>
    </row>
    <row r="533" spans="1:19" ht="32.1" customHeight="1" x14ac:dyDescent="0.2">
      <c r="A533" s="489" t="s">
        <v>224</v>
      </c>
      <c r="B533" s="99" t="s">
        <v>1270</v>
      </c>
      <c r="C533" s="113" t="s">
        <v>1568</v>
      </c>
      <c r="D533" s="201">
        <v>560</v>
      </c>
      <c r="E533" s="82">
        <v>38.71</v>
      </c>
      <c r="F533" s="82">
        <v>19.399999999999999</v>
      </c>
      <c r="G533" s="82">
        <v>19.350000000000001</v>
      </c>
      <c r="H533" s="82">
        <v>17.75</v>
      </c>
      <c r="I533" s="82">
        <v>26.5</v>
      </c>
      <c r="J533" s="82">
        <v>17.649999999999999</v>
      </c>
      <c r="K533" s="82">
        <v>0</v>
      </c>
      <c r="L533" s="82">
        <v>98.1</v>
      </c>
      <c r="M533" s="82">
        <v>19.399999999999999</v>
      </c>
      <c r="N533" s="82">
        <v>98.1</v>
      </c>
      <c r="O533" s="82">
        <v>65.3</v>
      </c>
      <c r="P533" s="82">
        <v>35.299999999999997</v>
      </c>
      <c r="Q533" s="145">
        <f t="shared" si="30"/>
        <v>37.963333333333338</v>
      </c>
      <c r="R533" s="164" t="str">
        <f t="shared" si="29"/>
        <v>NO</v>
      </c>
      <c r="S533" s="152" t="str">
        <f t="shared" si="31"/>
        <v>Alto</v>
      </c>
    </row>
    <row r="534" spans="1:19" ht="32.1" customHeight="1" x14ac:dyDescent="0.2">
      <c r="A534" s="489" t="s">
        <v>224</v>
      </c>
      <c r="B534" s="99" t="s">
        <v>1569</v>
      </c>
      <c r="C534" s="113" t="s">
        <v>1570</v>
      </c>
      <c r="D534" s="201">
        <v>150</v>
      </c>
      <c r="E534" s="82"/>
      <c r="F534" s="82"/>
      <c r="G534" s="82"/>
      <c r="H534" s="82"/>
      <c r="I534" s="82"/>
      <c r="J534" s="82"/>
      <c r="K534" s="82"/>
      <c r="L534" s="82"/>
      <c r="M534" s="82"/>
      <c r="N534" s="82">
        <v>97.35</v>
      </c>
      <c r="O534" s="82"/>
      <c r="P534" s="82"/>
      <c r="Q534" s="145">
        <f t="shared" si="30"/>
        <v>97.35</v>
      </c>
      <c r="R534" s="164" t="str">
        <f t="shared" si="29"/>
        <v>NO</v>
      </c>
      <c r="S534" s="152" t="str">
        <f t="shared" si="31"/>
        <v>Inviable Sanitariamente</v>
      </c>
    </row>
    <row r="535" spans="1:19" ht="32.1" customHeight="1" x14ac:dyDescent="0.2">
      <c r="A535" s="489" t="s">
        <v>224</v>
      </c>
      <c r="B535" s="99" t="s">
        <v>1571</v>
      </c>
      <c r="C535" s="113" t="s">
        <v>1572</v>
      </c>
      <c r="D535" s="201">
        <v>110</v>
      </c>
      <c r="E535" s="82"/>
      <c r="F535" s="82"/>
      <c r="G535" s="82">
        <v>53</v>
      </c>
      <c r="H535" s="82"/>
      <c r="I535" s="82"/>
      <c r="J535" s="82">
        <v>53</v>
      </c>
      <c r="K535" s="82"/>
      <c r="L535" s="82"/>
      <c r="M535" s="82"/>
      <c r="N535" s="82"/>
      <c r="O535" s="82"/>
      <c r="P535" s="82"/>
      <c r="Q535" s="145">
        <f t="shared" si="30"/>
        <v>53</v>
      </c>
      <c r="R535" s="164" t="str">
        <f t="shared" si="29"/>
        <v>NO</v>
      </c>
      <c r="S535" s="152" t="str">
        <f t="shared" si="31"/>
        <v>Alto</v>
      </c>
    </row>
    <row r="536" spans="1:19" ht="32.1" customHeight="1" x14ac:dyDescent="0.2">
      <c r="A536" s="489" t="s">
        <v>224</v>
      </c>
      <c r="B536" s="99" t="s">
        <v>1312</v>
      </c>
      <c r="C536" s="113" t="s">
        <v>1573</v>
      </c>
      <c r="D536" s="201">
        <v>105</v>
      </c>
      <c r="E536" s="82"/>
      <c r="F536" s="82"/>
      <c r="G536" s="82">
        <v>53</v>
      </c>
      <c r="H536" s="82"/>
      <c r="I536" s="82"/>
      <c r="J536" s="82">
        <v>53</v>
      </c>
      <c r="K536" s="82"/>
      <c r="L536" s="82"/>
      <c r="M536" s="82"/>
      <c r="N536" s="82"/>
      <c r="O536" s="82"/>
      <c r="P536" s="82">
        <v>97.4</v>
      </c>
      <c r="Q536" s="145">
        <f t="shared" si="30"/>
        <v>67.8</v>
      </c>
      <c r="R536" s="164" t="str">
        <f t="shared" si="29"/>
        <v>NO</v>
      </c>
      <c r="S536" s="152" t="str">
        <f t="shared" si="31"/>
        <v>Alto</v>
      </c>
    </row>
    <row r="537" spans="1:19" ht="32.1" customHeight="1" x14ac:dyDescent="0.2">
      <c r="A537" s="489" t="s">
        <v>224</v>
      </c>
      <c r="B537" s="99" t="s">
        <v>1574</v>
      </c>
      <c r="C537" s="113" t="s">
        <v>1575</v>
      </c>
      <c r="D537" s="201">
        <v>280</v>
      </c>
      <c r="E537" s="82"/>
      <c r="F537" s="82"/>
      <c r="G537" s="82">
        <v>97.3</v>
      </c>
      <c r="H537" s="82">
        <v>97.3</v>
      </c>
      <c r="I537" s="82">
        <v>97.3</v>
      </c>
      <c r="J537" s="82">
        <v>97.3</v>
      </c>
      <c r="K537" s="82">
        <v>97.3</v>
      </c>
      <c r="L537" s="82">
        <v>97.3</v>
      </c>
      <c r="M537" s="82">
        <v>97.3</v>
      </c>
      <c r="N537" s="82"/>
      <c r="O537" s="82">
        <v>97.3</v>
      </c>
      <c r="P537" s="82"/>
      <c r="Q537" s="145">
        <f t="shared" si="30"/>
        <v>97.299999999999983</v>
      </c>
      <c r="R537" s="164" t="str">
        <f t="shared" si="29"/>
        <v>NO</v>
      </c>
      <c r="S537" s="152" t="str">
        <f t="shared" si="31"/>
        <v>Inviable Sanitariamente</v>
      </c>
    </row>
    <row r="538" spans="1:19" ht="32.1" customHeight="1" x14ac:dyDescent="0.2">
      <c r="A538" s="489" t="s">
        <v>224</v>
      </c>
      <c r="B538" s="99" t="s">
        <v>917</v>
      </c>
      <c r="C538" s="113" t="s">
        <v>1576</v>
      </c>
      <c r="D538" s="201">
        <v>92</v>
      </c>
      <c r="E538" s="82">
        <v>97.3</v>
      </c>
      <c r="F538" s="82">
        <v>97.3</v>
      </c>
      <c r="G538" s="82">
        <v>97.3</v>
      </c>
      <c r="H538" s="82">
        <v>97.3</v>
      </c>
      <c r="I538" s="82">
        <v>97.3</v>
      </c>
      <c r="J538" s="82">
        <v>97.3</v>
      </c>
      <c r="K538" s="82">
        <v>97.3</v>
      </c>
      <c r="L538" s="82">
        <v>97.3</v>
      </c>
      <c r="M538" s="82">
        <v>97.3</v>
      </c>
      <c r="N538" s="82">
        <v>97.3</v>
      </c>
      <c r="O538" s="82">
        <v>97.3</v>
      </c>
      <c r="P538" s="82">
        <v>97.3</v>
      </c>
      <c r="Q538" s="145">
        <f t="shared" si="30"/>
        <v>97.299999999999969</v>
      </c>
      <c r="R538" s="164" t="str">
        <f t="shared" si="29"/>
        <v>NO</v>
      </c>
      <c r="S538" s="152" t="str">
        <f t="shared" si="31"/>
        <v>Inviable Sanitariamente</v>
      </c>
    </row>
    <row r="539" spans="1:19" ht="32.1" customHeight="1" x14ac:dyDescent="0.2">
      <c r="A539" s="489" t="s">
        <v>224</v>
      </c>
      <c r="B539" s="99" t="s">
        <v>1561</v>
      </c>
      <c r="C539" s="113" t="s">
        <v>1577</v>
      </c>
      <c r="D539" s="202">
        <v>56</v>
      </c>
      <c r="E539" s="82"/>
      <c r="F539" s="82"/>
      <c r="G539" s="82">
        <v>53</v>
      </c>
      <c r="H539" s="82"/>
      <c r="I539" s="82"/>
      <c r="J539" s="82">
        <v>53</v>
      </c>
      <c r="K539" s="82"/>
      <c r="L539" s="82"/>
      <c r="M539" s="82"/>
      <c r="N539" s="82"/>
      <c r="O539" s="82"/>
      <c r="P539" s="82"/>
      <c r="Q539" s="145">
        <f t="shared" si="30"/>
        <v>53</v>
      </c>
      <c r="R539" s="164" t="str">
        <f t="shared" si="29"/>
        <v>NO</v>
      </c>
      <c r="S539" s="152" t="str">
        <f t="shared" si="31"/>
        <v>Alto</v>
      </c>
    </row>
    <row r="540" spans="1:19" ht="32.1" customHeight="1" x14ac:dyDescent="0.2">
      <c r="A540" s="489" t="s">
        <v>224</v>
      </c>
      <c r="B540" s="99" t="s">
        <v>1578</v>
      </c>
      <c r="C540" s="113" t="s">
        <v>1579</v>
      </c>
      <c r="D540" s="201">
        <v>20</v>
      </c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>
        <v>97.35</v>
      </c>
      <c r="P540" s="82"/>
      <c r="Q540" s="145">
        <f t="shared" si="30"/>
        <v>97.35</v>
      </c>
      <c r="R540" s="164" t="str">
        <f t="shared" si="29"/>
        <v>NO</v>
      </c>
      <c r="S540" s="152" t="str">
        <f t="shared" si="31"/>
        <v>Inviable Sanitariamente</v>
      </c>
    </row>
    <row r="541" spans="1:19" ht="32.1" customHeight="1" x14ac:dyDescent="0.2">
      <c r="A541" s="489" t="s">
        <v>224</v>
      </c>
      <c r="B541" s="99" t="s">
        <v>1580</v>
      </c>
      <c r="C541" s="113" t="s">
        <v>1581</v>
      </c>
      <c r="D541" s="201">
        <v>98</v>
      </c>
      <c r="E541" s="82"/>
      <c r="F541" s="82"/>
      <c r="G541" s="82">
        <v>0</v>
      </c>
      <c r="H541" s="82">
        <v>0</v>
      </c>
      <c r="I541" s="82">
        <v>97.3</v>
      </c>
      <c r="J541" s="82">
        <v>97.3</v>
      </c>
      <c r="K541" s="82">
        <v>53</v>
      </c>
      <c r="L541" s="82">
        <v>97.35</v>
      </c>
      <c r="M541" s="82">
        <v>97.35</v>
      </c>
      <c r="N541" s="82"/>
      <c r="O541" s="82">
        <v>97.35</v>
      </c>
      <c r="P541" s="82"/>
      <c r="Q541" s="145">
        <f t="shared" si="30"/>
        <v>67.456249999999997</v>
      </c>
      <c r="R541" s="164" t="str">
        <f t="shared" ref="R541:R548" si="32">IF(Q541&lt;5,"SI","NO")</f>
        <v>NO</v>
      </c>
      <c r="S541" s="152" t="str">
        <f t="shared" si="31"/>
        <v>Alto</v>
      </c>
    </row>
    <row r="542" spans="1:19" ht="32.1" customHeight="1" x14ac:dyDescent="0.2">
      <c r="A542" s="489" t="s">
        <v>224</v>
      </c>
      <c r="B542" s="99" t="s">
        <v>1582</v>
      </c>
      <c r="C542" s="113" t="s">
        <v>1583</v>
      </c>
      <c r="D542" s="202">
        <v>56</v>
      </c>
      <c r="E542" s="82"/>
      <c r="F542" s="82"/>
      <c r="G542" s="82"/>
      <c r="H542" s="82"/>
      <c r="I542" s="82"/>
      <c r="J542" s="82"/>
      <c r="K542" s="82"/>
      <c r="L542" s="82"/>
      <c r="M542" s="82"/>
      <c r="N542" s="82">
        <v>97.35</v>
      </c>
      <c r="O542" s="82"/>
      <c r="P542" s="82"/>
      <c r="Q542" s="145">
        <f t="shared" si="30"/>
        <v>97.35</v>
      </c>
      <c r="R542" s="164" t="str">
        <f t="shared" si="32"/>
        <v>NO</v>
      </c>
      <c r="S542" s="152" t="str">
        <f t="shared" si="31"/>
        <v>Inviable Sanitariamente</v>
      </c>
    </row>
    <row r="543" spans="1:19" ht="32.1" customHeight="1" x14ac:dyDescent="0.2">
      <c r="A543" s="489" t="s">
        <v>224</v>
      </c>
      <c r="B543" s="99" t="s">
        <v>1584</v>
      </c>
      <c r="C543" s="113" t="s">
        <v>1585</v>
      </c>
      <c r="D543" s="201">
        <v>300</v>
      </c>
      <c r="E543" s="82"/>
      <c r="F543" s="82"/>
      <c r="G543" s="82"/>
      <c r="H543" s="82"/>
      <c r="I543" s="82"/>
      <c r="J543" s="82">
        <v>97.3</v>
      </c>
      <c r="K543" s="82"/>
      <c r="L543" s="82"/>
      <c r="M543" s="82"/>
      <c r="N543" s="82"/>
      <c r="O543" s="82"/>
      <c r="P543" s="82"/>
      <c r="Q543" s="145">
        <f t="shared" si="30"/>
        <v>97.3</v>
      </c>
      <c r="R543" s="164" t="str">
        <f t="shared" si="32"/>
        <v>NO</v>
      </c>
      <c r="S543" s="152" t="str">
        <f t="shared" si="31"/>
        <v>Inviable Sanitariamente</v>
      </c>
    </row>
    <row r="544" spans="1:19" ht="32.1" customHeight="1" x14ac:dyDescent="0.2">
      <c r="A544" s="489" t="s">
        <v>224</v>
      </c>
      <c r="B544" s="99" t="s">
        <v>9</v>
      </c>
      <c r="C544" s="113" t="s">
        <v>1586</v>
      </c>
      <c r="D544" s="201">
        <v>85</v>
      </c>
      <c r="E544" s="82"/>
      <c r="F544" s="82"/>
      <c r="G544" s="82"/>
      <c r="H544" s="82"/>
      <c r="I544" s="82"/>
      <c r="J544" s="82"/>
      <c r="K544" s="82"/>
      <c r="L544" s="82"/>
      <c r="M544" s="82">
        <v>97.35</v>
      </c>
      <c r="N544" s="82"/>
      <c r="O544" s="82"/>
      <c r="P544" s="82"/>
      <c r="Q544" s="145">
        <f t="shared" si="30"/>
        <v>97.35</v>
      </c>
      <c r="R544" s="164" t="str">
        <f t="shared" si="32"/>
        <v>NO</v>
      </c>
      <c r="S544" s="152" t="str">
        <f t="shared" si="31"/>
        <v>Inviable Sanitariamente</v>
      </c>
    </row>
    <row r="545" spans="1:19" ht="32.1" customHeight="1" x14ac:dyDescent="0.2">
      <c r="A545" s="489" t="s">
        <v>224</v>
      </c>
      <c r="B545" s="99" t="s">
        <v>1587</v>
      </c>
      <c r="C545" s="113" t="s">
        <v>1588</v>
      </c>
      <c r="D545" s="202">
        <v>128</v>
      </c>
      <c r="E545" s="82"/>
      <c r="F545" s="82"/>
      <c r="G545" s="82">
        <v>26.5</v>
      </c>
      <c r="H545" s="82">
        <v>0</v>
      </c>
      <c r="I545" s="82">
        <v>0</v>
      </c>
      <c r="J545" s="82">
        <v>26.5</v>
      </c>
      <c r="K545" s="82">
        <v>97.3</v>
      </c>
      <c r="L545" s="82">
        <v>97.3</v>
      </c>
      <c r="M545" s="82">
        <v>97.3</v>
      </c>
      <c r="N545" s="82"/>
      <c r="O545" s="82">
        <v>97.3</v>
      </c>
      <c r="P545" s="82"/>
      <c r="Q545" s="145">
        <f t="shared" si="30"/>
        <v>55.275000000000006</v>
      </c>
      <c r="R545" s="164" t="str">
        <f t="shared" si="32"/>
        <v>NO</v>
      </c>
      <c r="S545" s="152" t="str">
        <f t="shared" si="31"/>
        <v>Alto</v>
      </c>
    </row>
    <row r="546" spans="1:19" ht="32.1" customHeight="1" x14ac:dyDescent="0.2">
      <c r="A546" s="489" t="s">
        <v>224</v>
      </c>
      <c r="B546" s="99" t="s">
        <v>1589</v>
      </c>
      <c r="C546" s="113" t="s">
        <v>1590</v>
      </c>
      <c r="D546" s="201">
        <v>85</v>
      </c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145" t="e">
        <f t="shared" si="30"/>
        <v>#DIV/0!</v>
      </c>
      <c r="R546" s="151" t="e">
        <f t="shared" si="32"/>
        <v>#DIV/0!</v>
      </c>
      <c r="S546" s="152" t="e">
        <f t="shared" si="31"/>
        <v>#DIV/0!</v>
      </c>
    </row>
    <row r="547" spans="1:19" ht="32.1" customHeight="1" x14ac:dyDescent="0.2">
      <c r="A547" s="489" t="s">
        <v>224</v>
      </c>
      <c r="B547" s="99" t="s">
        <v>1113</v>
      </c>
      <c r="C547" s="113" t="s">
        <v>1591</v>
      </c>
      <c r="D547" s="201">
        <v>150</v>
      </c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>
        <v>97.4</v>
      </c>
      <c r="Q547" s="145">
        <f t="shared" si="30"/>
        <v>97.4</v>
      </c>
      <c r="R547" s="164" t="str">
        <f t="shared" si="32"/>
        <v>NO</v>
      </c>
      <c r="S547" s="152" t="str">
        <f t="shared" si="31"/>
        <v>Inviable Sanitariamente</v>
      </c>
    </row>
    <row r="548" spans="1:19" s="255" customFormat="1" ht="32.1" customHeight="1" x14ac:dyDescent="0.2">
      <c r="A548" s="489" t="s">
        <v>224</v>
      </c>
      <c r="B548" s="99" t="s">
        <v>1592</v>
      </c>
      <c r="C548" s="113" t="s">
        <v>1593</v>
      </c>
      <c r="D548" s="254">
        <v>180</v>
      </c>
      <c r="E548" s="82"/>
      <c r="F548" s="82"/>
      <c r="G548" s="82">
        <v>53</v>
      </c>
      <c r="H548" s="82"/>
      <c r="I548" s="82"/>
      <c r="J548" s="82">
        <v>53</v>
      </c>
      <c r="K548" s="82"/>
      <c r="L548" s="82"/>
      <c r="M548" s="82"/>
      <c r="N548" s="82"/>
      <c r="O548" s="82"/>
      <c r="P548" s="82">
        <v>53</v>
      </c>
      <c r="Q548" s="145">
        <f t="shared" si="30"/>
        <v>53</v>
      </c>
      <c r="R548" s="164" t="str">
        <f t="shared" si="32"/>
        <v>NO</v>
      </c>
      <c r="S548" s="152" t="str">
        <f t="shared" si="31"/>
        <v>Alto</v>
      </c>
    </row>
    <row r="549" spans="1:19" ht="32.1" customHeight="1" x14ac:dyDescent="0.2">
      <c r="A549" s="251"/>
      <c r="B549" s="169"/>
      <c r="C549" s="252"/>
      <c r="D549" s="251"/>
      <c r="E549" s="169"/>
      <c r="F549" s="169"/>
      <c r="G549" s="169"/>
      <c r="H549" s="169"/>
      <c r="I549" s="169"/>
      <c r="J549" s="169"/>
      <c r="K549" s="169"/>
      <c r="L549" s="169"/>
      <c r="M549" s="169"/>
      <c r="N549" s="169"/>
      <c r="O549" s="169"/>
      <c r="P549" s="169"/>
      <c r="Q549" s="212"/>
      <c r="R549" s="213"/>
      <c r="S549" s="214"/>
    </row>
    <row r="550" spans="1:19" ht="36.75" customHeight="1" x14ac:dyDescent="0.2">
      <c r="A550" s="512" t="s">
        <v>4416</v>
      </c>
      <c r="B550" s="512" t="s">
        <v>4478</v>
      </c>
      <c r="C550" s="252"/>
      <c r="D550" s="251"/>
      <c r="E550" s="169"/>
      <c r="F550" s="169"/>
      <c r="G550" s="169"/>
      <c r="H550" s="169"/>
      <c r="I550" s="169"/>
      <c r="J550" s="169"/>
      <c r="K550" s="169"/>
      <c r="L550" s="169"/>
      <c r="M550" s="169"/>
      <c r="N550" s="169"/>
      <c r="O550" s="169"/>
      <c r="P550" s="169"/>
      <c r="Q550" s="212"/>
      <c r="R550" s="213"/>
      <c r="S550" s="214"/>
    </row>
    <row r="551" spans="1:19" ht="36.75" customHeight="1" x14ac:dyDescent="0.2">
      <c r="A551" s="516" t="s">
        <v>4358</v>
      </c>
      <c r="B551" s="518">
        <f>COUNTIF(E12:P548,"&lt;=5")</f>
        <v>1361</v>
      </c>
      <c r="C551" s="252"/>
      <c r="D551" s="251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  <c r="Q551" s="212"/>
      <c r="R551" s="213"/>
      <c r="S551" s="214"/>
    </row>
    <row r="552" spans="1:19" ht="36.75" customHeight="1" x14ac:dyDescent="0.2">
      <c r="A552" s="502" t="s">
        <v>4359</v>
      </c>
      <c r="B552" s="515">
        <f>COUNTIFS(E12:P548,"&gt;5",E12:P548,"&lt;=14")</f>
        <v>45</v>
      </c>
      <c r="C552" s="252"/>
      <c r="D552" s="251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  <c r="Q552" s="212"/>
      <c r="R552" s="213"/>
      <c r="S552" s="214"/>
    </row>
    <row r="553" spans="1:19" ht="36.75" customHeight="1" x14ac:dyDescent="0.2">
      <c r="A553" s="503" t="s">
        <v>4360</v>
      </c>
      <c r="B553" s="509">
        <f>COUNTIFS(E12:P548,"&gt;14",E12:P548,"&lt;=35")</f>
        <v>322</v>
      </c>
      <c r="C553" s="252"/>
      <c r="D553" s="251"/>
      <c r="E553" s="169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  <c r="Q553" s="212"/>
      <c r="R553" s="213"/>
      <c r="S553" s="214"/>
    </row>
    <row r="554" spans="1:19" ht="36.75" customHeight="1" x14ac:dyDescent="0.2">
      <c r="A554" s="504" t="s">
        <v>4361</v>
      </c>
      <c r="B554" s="509">
        <f>COUNTIFS(E12:P548,"&gt;35",E12:P548,"&lt;=80")</f>
        <v>227</v>
      </c>
      <c r="C554" s="252"/>
      <c r="D554" s="251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  <c r="Q554" s="212"/>
      <c r="R554" s="213"/>
      <c r="S554" s="214"/>
    </row>
    <row r="555" spans="1:19" ht="36.75" customHeight="1" x14ac:dyDescent="0.2">
      <c r="A555" s="505" t="s">
        <v>4362</v>
      </c>
      <c r="B555" s="509">
        <f>COUNTIFS(E12:P548,"&gt;80",E12:P548,"&lt;=100")</f>
        <v>211</v>
      </c>
      <c r="C555" s="252"/>
      <c r="D555" s="251"/>
      <c r="E555" s="169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  <c r="Q555" s="212"/>
      <c r="R555" s="213"/>
      <c r="S555" s="214"/>
    </row>
    <row r="556" spans="1:19" ht="36.75" customHeight="1" x14ac:dyDescent="0.2">
      <c r="A556" s="533" t="s">
        <v>4363</v>
      </c>
      <c r="B556" s="534">
        <f>COUNT(E12:P548)</f>
        <v>2166</v>
      </c>
      <c r="C556" s="252"/>
      <c r="D556" s="251"/>
      <c r="E556" s="169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  <c r="Q556" s="212"/>
      <c r="R556" s="213"/>
      <c r="S556" s="214"/>
    </row>
    <row r="557" spans="1:19" ht="36.75" customHeight="1" x14ac:dyDescent="0.2">
      <c r="A557" s="508" t="s">
        <v>4366</v>
      </c>
      <c r="B557" s="510">
        <f>B556-B551</f>
        <v>805</v>
      </c>
      <c r="C557" s="252"/>
      <c r="D557" s="251"/>
      <c r="E557" s="169"/>
      <c r="F557" s="169"/>
      <c r="G557" s="169"/>
      <c r="H557" s="169"/>
      <c r="I557" s="169"/>
      <c r="J557" s="169"/>
      <c r="K557" s="169"/>
      <c r="L557" s="169"/>
      <c r="M557" s="169"/>
      <c r="N557" s="169"/>
      <c r="O557" s="169"/>
      <c r="P557" s="169"/>
      <c r="Q557" s="212"/>
      <c r="R557" s="213"/>
      <c r="S557" s="214"/>
    </row>
    <row r="558" spans="1:19" ht="32.1" customHeight="1" x14ac:dyDescent="0.2">
      <c r="A558" s="251"/>
      <c r="B558" s="169"/>
      <c r="C558" s="252"/>
      <c r="D558" s="251"/>
      <c r="E558" s="169"/>
      <c r="F558" s="169"/>
      <c r="G558" s="169"/>
      <c r="H558" s="169"/>
      <c r="I558" s="169"/>
      <c r="J558" s="169"/>
      <c r="K558" s="169"/>
      <c r="L558" s="169"/>
      <c r="M558" s="169"/>
      <c r="N558" s="169"/>
      <c r="O558" s="169"/>
      <c r="P558" s="169"/>
      <c r="Q558" s="212"/>
      <c r="R558" s="213"/>
      <c r="S558" s="214"/>
    </row>
    <row r="559" spans="1:19" ht="32.1" customHeight="1" x14ac:dyDescent="0.2">
      <c r="A559" s="251"/>
      <c r="B559" s="169"/>
      <c r="C559" s="252"/>
      <c r="D559" s="251"/>
      <c r="E559" s="169"/>
      <c r="F559" s="169"/>
      <c r="G559" s="169"/>
      <c r="H559" s="169"/>
      <c r="I559" s="169"/>
      <c r="J559" s="169"/>
      <c r="K559" s="169"/>
      <c r="L559" s="169"/>
      <c r="M559" s="169"/>
      <c r="N559" s="169"/>
      <c r="O559" s="169"/>
      <c r="P559" s="169"/>
      <c r="Q559" s="212"/>
      <c r="R559" s="213"/>
      <c r="S559" s="214"/>
    </row>
    <row r="560" spans="1:19" ht="32.1" customHeight="1" x14ac:dyDescent="0.2">
      <c r="A560" s="251"/>
      <c r="B560" s="169"/>
      <c r="C560" s="252"/>
      <c r="D560" s="251"/>
      <c r="E560" s="169"/>
      <c r="F560" s="169"/>
      <c r="G560" s="169"/>
      <c r="H560" s="169"/>
      <c r="I560" s="169"/>
      <c r="J560" s="169"/>
      <c r="K560" s="169"/>
      <c r="L560" s="169"/>
      <c r="M560" s="169"/>
      <c r="N560" s="169"/>
      <c r="O560" s="169"/>
      <c r="P560" s="169"/>
      <c r="Q560" s="212"/>
      <c r="R560" s="213"/>
      <c r="S560" s="214"/>
    </row>
    <row r="561" spans="1:19" ht="32.1" customHeight="1" x14ac:dyDescent="0.2">
      <c r="A561" s="251"/>
      <c r="B561" s="169"/>
      <c r="C561" s="252"/>
      <c r="D561" s="251"/>
      <c r="E561" s="169"/>
      <c r="F561" s="169"/>
      <c r="G561" s="169"/>
      <c r="H561" s="169"/>
      <c r="I561" s="169"/>
      <c r="J561" s="169"/>
      <c r="K561" s="169"/>
      <c r="L561" s="169"/>
      <c r="M561" s="169"/>
      <c r="N561" s="169"/>
      <c r="O561" s="169"/>
      <c r="P561" s="169"/>
      <c r="Q561" s="212"/>
      <c r="R561" s="213"/>
      <c r="S561" s="214"/>
    </row>
    <row r="562" spans="1:19" ht="32.1" customHeight="1" x14ac:dyDescent="0.2">
      <c r="A562" s="251"/>
      <c r="B562" s="169"/>
      <c r="C562" s="252"/>
      <c r="D562" s="251"/>
      <c r="E562" s="169"/>
      <c r="F562" s="169"/>
      <c r="G562" s="169"/>
      <c r="H562" s="169"/>
      <c r="I562" s="169"/>
      <c r="J562" s="169"/>
      <c r="K562" s="169"/>
      <c r="L562" s="169"/>
      <c r="M562" s="169"/>
      <c r="N562" s="169"/>
      <c r="O562" s="169"/>
      <c r="P562" s="169"/>
      <c r="Q562" s="212"/>
      <c r="R562" s="213"/>
      <c r="S562" s="214"/>
    </row>
    <row r="563" spans="1:19" ht="32.1" customHeight="1" x14ac:dyDescent="0.2">
      <c r="A563" s="251"/>
      <c r="B563" s="169"/>
      <c r="C563" s="252"/>
      <c r="D563" s="251"/>
      <c r="E563" s="169"/>
      <c r="F563" s="169"/>
      <c r="G563" s="169"/>
      <c r="H563" s="169"/>
      <c r="I563" s="169"/>
      <c r="J563" s="169"/>
      <c r="K563" s="169"/>
      <c r="L563" s="169"/>
      <c r="M563" s="169"/>
      <c r="N563" s="169"/>
      <c r="O563" s="169"/>
      <c r="P563" s="169"/>
      <c r="Q563" s="212"/>
      <c r="R563" s="213"/>
      <c r="S563" s="214"/>
    </row>
    <row r="564" spans="1:19" ht="32.1" customHeight="1" x14ac:dyDescent="0.2">
      <c r="A564" s="251"/>
      <c r="B564" s="169"/>
      <c r="C564" s="252"/>
      <c r="D564" s="251"/>
      <c r="E564" s="169"/>
      <c r="F564" s="169"/>
      <c r="G564" s="169"/>
      <c r="H564" s="169"/>
      <c r="I564" s="169"/>
      <c r="J564" s="169"/>
      <c r="K564" s="169"/>
      <c r="L564" s="169"/>
      <c r="M564" s="169"/>
      <c r="N564" s="169"/>
      <c r="O564" s="169"/>
      <c r="P564" s="169"/>
      <c r="Q564" s="212"/>
      <c r="R564" s="213"/>
      <c r="S564" s="214"/>
    </row>
    <row r="565" spans="1:19" ht="32.1" customHeight="1" x14ac:dyDescent="0.2">
      <c r="A565" s="251"/>
      <c r="B565" s="169"/>
      <c r="C565" s="252"/>
      <c r="D565" s="251"/>
      <c r="E565" s="169"/>
      <c r="F565" s="169"/>
      <c r="G565" s="169"/>
      <c r="H565" s="169"/>
      <c r="I565" s="169"/>
      <c r="J565" s="169"/>
      <c r="K565" s="169"/>
      <c r="L565" s="169"/>
      <c r="M565" s="169"/>
      <c r="N565" s="169"/>
      <c r="O565" s="169"/>
      <c r="P565" s="169"/>
      <c r="Q565" s="212"/>
      <c r="R565" s="213"/>
      <c r="S565" s="214"/>
    </row>
    <row r="566" spans="1:19" ht="32.1" customHeight="1" x14ac:dyDescent="0.2">
      <c r="A566" s="251"/>
      <c r="B566" s="169"/>
      <c r="C566" s="252"/>
      <c r="D566" s="251"/>
      <c r="E566" s="169"/>
      <c r="F566" s="169"/>
      <c r="G566" s="169"/>
      <c r="H566" s="169"/>
      <c r="I566" s="169"/>
      <c r="J566" s="169"/>
      <c r="K566" s="169"/>
      <c r="L566" s="169"/>
      <c r="M566" s="169"/>
      <c r="N566" s="169"/>
      <c r="O566" s="169"/>
      <c r="P566" s="169"/>
      <c r="Q566" s="212"/>
      <c r="R566" s="213"/>
      <c r="S566" s="214"/>
    </row>
    <row r="567" spans="1:19" ht="32.1" customHeight="1" x14ac:dyDescent="0.2">
      <c r="A567" s="251"/>
      <c r="B567" s="169"/>
      <c r="C567" s="252"/>
      <c r="D567" s="251"/>
      <c r="E567" s="169"/>
      <c r="F567" s="169"/>
      <c r="G567" s="169"/>
      <c r="H567" s="169"/>
      <c r="I567" s="169"/>
      <c r="J567" s="169"/>
      <c r="K567" s="169"/>
      <c r="L567" s="169"/>
      <c r="M567" s="169"/>
      <c r="N567" s="169"/>
      <c r="O567" s="169"/>
      <c r="P567" s="169"/>
      <c r="Q567" s="212"/>
      <c r="R567" s="213"/>
      <c r="S567" s="214"/>
    </row>
    <row r="568" spans="1:19" ht="32.1" customHeight="1" x14ac:dyDescent="0.2">
      <c r="A568" s="251"/>
      <c r="B568" s="169"/>
      <c r="C568" s="252"/>
      <c r="D568" s="251"/>
      <c r="E568" s="169"/>
      <c r="F568" s="169"/>
      <c r="G568" s="169"/>
      <c r="H568" s="169"/>
      <c r="I568" s="169"/>
      <c r="J568" s="169"/>
      <c r="K568" s="169"/>
      <c r="L568" s="169"/>
      <c r="M568" s="169"/>
      <c r="N568" s="169"/>
      <c r="O568" s="169"/>
      <c r="P568" s="169"/>
      <c r="Q568" s="212"/>
      <c r="R568" s="213"/>
      <c r="S568" s="214"/>
    </row>
    <row r="569" spans="1:19" ht="32.1" customHeight="1" x14ac:dyDescent="0.2">
      <c r="A569" s="251"/>
      <c r="B569" s="169"/>
      <c r="C569" s="252"/>
      <c r="D569" s="251"/>
      <c r="E569" s="169"/>
      <c r="F569" s="169"/>
      <c r="G569" s="169"/>
      <c r="H569" s="169"/>
      <c r="I569" s="169"/>
      <c r="J569" s="169"/>
      <c r="K569" s="169"/>
      <c r="L569" s="169"/>
      <c r="M569" s="169"/>
      <c r="N569" s="169"/>
      <c r="O569" s="169"/>
      <c r="P569" s="169"/>
      <c r="Q569" s="212"/>
      <c r="R569" s="213"/>
      <c r="S569" s="214"/>
    </row>
    <row r="570" spans="1:19" ht="32.1" customHeight="1" x14ac:dyDescent="0.2">
      <c r="A570" s="251"/>
      <c r="B570" s="169"/>
      <c r="C570" s="252"/>
      <c r="D570" s="251"/>
      <c r="E570" s="169"/>
      <c r="F570" s="169"/>
      <c r="G570" s="169"/>
      <c r="H570" s="169"/>
      <c r="I570" s="169"/>
      <c r="J570" s="169"/>
      <c r="K570" s="169"/>
      <c r="L570" s="169"/>
      <c r="M570" s="169"/>
      <c r="N570" s="169"/>
      <c r="O570" s="169"/>
      <c r="P570" s="169"/>
      <c r="Q570" s="212"/>
      <c r="R570" s="213"/>
      <c r="S570" s="214"/>
    </row>
    <row r="571" spans="1:19" ht="32.1" customHeight="1" x14ac:dyDescent="0.2">
      <c r="A571" s="251"/>
      <c r="B571" s="169"/>
      <c r="C571" s="252"/>
      <c r="D571" s="251"/>
      <c r="E571" s="169"/>
      <c r="F571" s="169"/>
      <c r="G571" s="169"/>
      <c r="H571" s="169"/>
      <c r="I571" s="169"/>
      <c r="J571" s="169"/>
      <c r="K571" s="169"/>
      <c r="L571" s="169"/>
      <c r="M571" s="169"/>
      <c r="N571" s="169"/>
      <c r="O571" s="169"/>
      <c r="P571" s="169"/>
      <c r="Q571" s="212"/>
      <c r="R571" s="213"/>
      <c r="S571" s="214"/>
    </row>
    <row r="572" spans="1:19" ht="32.1" customHeight="1" x14ac:dyDescent="0.2">
      <c r="A572" s="251"/>
      <c r="B572" s="169"/>
      <c r="C572" s="252"/>
      <c r="D572" s="251"/>
      <c r="E572" s="169"/>
      <c r="F572" s="169"/>
      <c r="G572" s="169"/>
      <c r="H572" s="169"/>
      <c r="I572" s="169"/>
      <c r="J572" s="169"/>
      <c r="K572" s="169"/>
      <c r="L572" s="169"/>
      <c r="M572" s="169"/>
      <c r="N572" s="169"/>
      <c r="O572" s="169"/>
      <c r="P572" s="169"/>
      <c r="Q572" s="212"/>
      <c r="R572" s="213"/>
      <c r="S572" s="214"/>
    </row>
    <row r="573" spans="1:19" ht="32.1" customHeight="1" x14ac:dyDescent="0.2">
      <c r="A573" s="251"/>
      <c r="B573" s="169"/>
      <c r="C573" s="252"/>
      <c r="D573" s="251"/>
      <c r="E573" s="169"/>
      <c r="F573" s="169"/>
      <c r="G573" s="169"/>
      <c r="H573" s="169"/>
      <c r="I573" s="169"/>
      <c r="J573" s="169"/>
      <c r="K573" s="169"/>
      <c r="L573" s="169"/>
      <c r="M573" s="169"/>
      <c r="N573" s="169"/>
      <c r="O573" s="169"/>
      <c r="P573" s="169"/>
      <c r="Q573" s="212"/>
      <c r="R573" s="213"/>
      <c r="S573" s="214"/>
    </row>
    <row r="574" spans="1:19" ht="32.1" customHeight="1" x14ac:dyDescent="0.2">
      <c r="A574" s="134"/>
      <c r="B574" s="252"/>
      <c r="C574" s="252"/>
      <c r="D574" s="253"/>
      <c r="E574" s="169"/>
      <c r="F574" s="169"/>
      <c r="G574" s="169"/>
      <c r="H574" s="169"/>
      <c r="I574" s="169"/>
      <c r="J574" s="169"/>
      <c r="K574" s="169"/>
      <c r="L574" s="169"/>
      <c r="M574" s="169"/>
      <c r="N574" s="169"/>
      <c r="O574" s="169"/>
      <c r="P574" s="169"/>
      <c r="Q574" s="212"/>
      <c r="R574" s="213"/>
      <c r="S574" s="214"/>
    </row>
    <row r="575" spans="1:19" ht="32.1" customHeight="1" x14ac:dyDescent="0.2">
      <c r="A575" s="134"/>
      <c r="B575" s="252"/>
      <c r="C575" s="252"/>
      <c r="D575" s="253"/>
      <c r="E575" s="169"/>
      <c r="F575" s="169"/>
      <c r="G575" s="169"/>
      <c r="H575" s="169"/>
      <c r="I575" s="169"/>
      <c r="J575" s="169"/>
      <c r="K575" s="169"/>
      <c r="L575" s="169"/>
      <c r="M575" s="169"/>
      <c r="N575" s="169"/>
      <c r="O575" s="169"/>
      <c r="P575" s="169"/>
      <c r="Q575" s="169"/>
      <c r="R575" s="169"/>
      <c r="S575" s="169"/>
    </row>
    <row r="576" spans="1:19" ht="32.1" customHeight="1" x14ac:dyDescent="0.2">
      <c r="A576" s="134"/>
      <c r="B576" s="252"/>
      <c r="C576" s="252"/>
      <c r="D576" s="253"/>
      <c r="E576" s="169"/>
      <c r="F576" s="169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  <c r="Q576" s="169"/>
      <c r="R576" s="169"/>
      <c r="S576" s="169"/>
    </row>
    <row r="577" spans="1:19" ht="32.1" customHeight="1" x14ac:dyDescent="0.2">
      <c r="A577" s="134"/>
      <c r="B577" s="252"/>
      <c r="C577" s="252"/>
      <c r="D577" s="253"/>
      <c r="E577" s="169"/>
      <c r="F577" s="169"/>
      <c r="G577" s="169"/>
      <c r="H577" s="169"/>
      <c r="I577" s="169"/>
      <c r="J577" s="169"/>
      <c r="K577" s="169"/>
      <c r="L577" s="169"/>
      <c r="M577" s="169"/>
      <c r="N577" s="169"/>
      <c r="O577" s="169"/>
      <c r="P577" s="169"/>
      <c r="Q577" s="169"/>
      <c r="R577" s="169"/>
      <c r="S577" s="169"/>
    </row>
    <row r="578" spans="1:19" ht="32.1" customHeight="1" x14ac:dyDescent="0.2">
      <c r="A578" s="134"/>
      <c r="B578" s="252"/>
      <c r="C578" s="252"/>
      <c r="D578" s="253"/>
      <c r="E578" s="169"/>
      <c r="F578" s="169"/>
      <c r="G578" s="169"/>
      <c r="H578" s="169"/>
      <c r="I578" s="169"/>
      <c r="J578" s="169"/>
      <c r="K578" s="169"/>
      <c r="L578" s="169"/>
      <c r="M578" s="169"/>
      <c r="N578" s="169"/>
      <c r="O578" s="169"/>
      <c r="P578" s="169"/>
      <c r="Q578" s="169"/>
      <c r="R578" s="169"/>
      <c r="S578" s="169"/>
    </row>
    <row r="579" spans="1:19" ht="32.1" customHeight="1" x14ac:dyDescent="0.2"/>
    <row r="580" spans="1:19" ht="32.1" customHeight="1" x14ac:dyDescent="0.2"/>
    <row r="581" spans="1:19" ht="32.1" customHeight="1" x14ac:dyDescent="0.2"/>
    <row r="582" spans="1:19" ht="14.25" x14ac:dyDescent="0.2"/>
    <row r="583" spans="1:19" ht="14.25" x14ac:dyDescent="0.2"/>
    <row r="584" spans="1:19" ht="14.25" x14ac:dyDescent="0.2"/>
    <row r="585" spans="1:19" ht="14.25" x14ac:dyDescent="0.2"/>
    <row r="586" spans="1:19" ht="14.25" x14ac:dyDescent="0.2"/>
    <row r="587" spans="1:19" ht="14.25" x14ac:dyDescent="0.2"/>
    <row r="588" spans="1:19" ht="14.25" x14ac:dyDescent="0.2"/>
    <row r="589" spans="1:19" ht="14.25" x14ac:dyDescent="0.2"/>
    <row r="590" spans="1:19" ht="14.25" x14ac:dyDescent="0.2"/>
    <row r="591" spans="1:19" ht="14.25" x14ac:dyDescent="0.2"/>
    <row r="592" spans="1:19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</sheetData>
  <autoFilter ref="A11:W548">
    <sortState ref="A13:W548">
      <sortCondition ref="A11:A570"/>
    </sortState>
  </autoFilter>
  <customSheetViews>
    <customSheetView guid="{45C8AF51-29EC-46A5-AB7F-1F0634E55D82}" scale="60" hiddenRows="1" hiddenColumns="1">
      <pane xSplit="2.484076433121019" ySplit="11" topLeftCell="D14" activePane="bottomRight" state="frozenSplit"/>
      <selection pane="bottomRight" activeCell="S14" sqref="S14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hiddenRows="1" hiddenColumns="1">
      <pane xSplit="3" ySplit="11" topLeftCell="D407" activePane="bottomRight" state="frozenSplit"/>
      <selection pane="bottomRight" activeCell="I421" sqref="I42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AEDE1BDB-8710-4CDA-8488-31F49D423ACE}" scale="60" hiddenRows="1">
      <pane xSplit="3" ySplit="11" topLeftCell="D537" activePane="bottomRight" state="frozenSplit"/>
      <selection pane="bottomRight" activeCell="D553" sqref="D55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75DD7674-E7DE-4BB1-A36D-76AA33452CB3}" scale="60" showAutoFilter="1" hiddenRows="1" hiddenColumns="1">
      <pane xSplit="3" ySplit="11" topLeftCell="D13" activePane="bottomRight" state="frozenSplit"/>
      <selection pane="bottomRight" activeCell="I3" sqref="I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1:W548">
        <sortState ref="A13:W548">
          <sortCondition ref="A11:A570"/>
        </sortState>
      </autoFilter>
    </customSheetView>
  </customSheetViews>
  <mergeCells count="22">
    <mergeCell ref="S10:S11"/>
    <mergeCell ref="E10:P10"/>
    <mergeCell ref="R10:R11"/>
    <mergeCell ref="A8:B8"/>
    <mergeCell ref="A10:A11"/>
    <mergeCell ref="B10:B11"/>
    <mergeCell ref="C10:C11"/>
    <mergeCell ref="Q10:Q11"/>
    <mergeCell ref="D10:D11"/>
    <mergeCell ref="Q5:R6"/>
    <mergeCell ref="S5:S6"/>
    <mergeCell ref="B1:D1"/>
    <mergeCell ref="B2:D2"/>
    <mergeCell ref="B4:D4"/>
    <mergeCell ref="B5:B6"/>
    <mergeCell ref="C5:C6"/>
    <mergeCell ref="D5:D6"/>
    <mergeCell ref="A7:B7"/>
    <mergeCell ref="E5:G6"/>
    <mergeCell ref="H5:J6"/>
    <mergeCell ref="K5:M6"/>
    <mergeCell ref="N5:P6"/>
  </mergeCells>
  <conditionalFormatting sqref="R127:R220 R264:R409 R223:R262">
    <cfRule type="cellIs" dxfId="2251" priority="4682" stopIfTrue="1" operator="equal">
      <formula>"NO"</formula>
    </cfRule>
  </conditionalFormatting>
  <conditionalFormatting sqref="S127:S548">
    <cfRule type="cellIs" dxfId="2250" priority="4683" stopIfTrue="1" operator="equal">
      <formula>"INVIABLE SANITARIAMENTE"</formula>
    </cfRule>
  </conditionalFormatting>
  <conditionalFormatting sqref="E152:P152 E187:P191 E197:P201 E266:P270 E273:P274 E275:H275 J275:P275 E108:P128 E208:P221">
    <cfRule type="containsBlanks" dxfId="2249" priority="4675" stopIfTrue="1">
      <formula>LEN(TRIM(E108))=0</formula>
    </cfRule>
    <cfRule type="cellIs" dxfId="2248" priority="4676" stopIfTrue="1" operator="between">
      <formula>79.1</formula>
      <formula>100</formula>
    </cfRule>
    <cfRule type="cellIs" dxfId="2247" priority="4677" stopIfTrue="1" operator="between">
      <formula>34.1</formula>
      <formula>79</formula>
    </cfRule>
    <cfRule type="cellIs" dxfId="2246" priority="4678" stopIfTrue="1" operator="between">
      <formula>13.1</formula>
      <formula>34</formula>
    </cfRule>
    <cfRule type="cellIs" dxfId="2245" priority="4679" stopIfTrue="1" operator="between">
      <formula>5.1</formula>
      <formula>13</formula>
    </cfRule>
    <cfRule type="cellIs" dxfId="2244" priority="4680" stopIfTrue="1" operator="between">
      <formula>0</formula>
      <formula>5</formula>
    </cfRule>
    <cfRule type="containsBlanks" dxfId="2243" priority="4681" stopIfTrue="1">
      <formula>LEN(TRIM(E108))=0</formula>
    </cfRule>
  </conditionalFormatting>
  <conditionalFormatting sqref="E230:P230 E238:P239 E243:P243 E256:P256 E260:P261 E292:P295 E289:P289 E69:P73 E258:Q258 E264:Q264 E223:Q226 E327:P409 Q13:Q409 E421:Q548 E418:P420">
    <cfRule type="containsBlanks" dxfId="2242" priority="4668" stopIfTrue="1">
      <formula>LEN(TRIM(E13))=0</formula>
    </cfRule>
    <cfRule type="cellIs" dxfId="2241" priority="4669" stopIfTrue="1" operator="between">
      <formula>80.1</formula>
      <formula>100</formula>
    </cfRule>
    <cfRule type="cellIs" dxfId="2240" priority="4670" stopIfTrue="1" operator="between">
      <formula>35.1</formula>
      <formula>80</formula>
    </cfRule>
    <cfRule type="cellIs" dxfId="2239" priority="4671" stopIfTrue="1" operator="between">
      <formula>14.1</formula>
      <formula>35</formula>
    </cfRule>
    <cfRule type="cellIs" dxfId="2238" priority="4672" stopIfTrue="1" operator="between">
      <formula>5.1</formula>
      <formula>14</formula>
    </cfRule>
    <cfRule type="cellIs" dxfId="2237" priority="4673" stopIfTrue="1" operator="between">
      <formula>0</formula>
      <formula>5</formula>
    </cfRule>
    <cfRule type="containsBlanks" dxfId="2236" priority="4674" stopIfTrue="1">
      <formula>LEN(TRIM(E13))=0</formula>
    </cfRule>
  </conditionalFormatting>
  <conditionalFormatting sqref="S127:S548">
    <cfRule type="containsText" dxfId="2235" priority="4663" stopIfTrue="1" operator="containsText" text="INVIABLE SANITARIAMENTE">
      <formula>NOT(ISERROR(SEARCH("INVIABLE SANITARIAMENTE",S127)))</formula>
    </cfRule>
    <cfRule type="containsText" dxfId="2234" priority="4664" stopIfTrue="1" operator="containsText" text="ALTO">
      <formula>NOT(ISERROR(SEARCH("ALTO",S127)))</formula>
    </cfRule>
    <cfRule type="containsText" dxfId="2233" priority="4665" stopIfTrue="1" operator="containsText" text="MEDIO">
      <formula>NOT(ISERROR(SEARCH("MEDIO",S127)))</formula>
    </cfRule>
    <cfRule type="containsText" dxfId="2232" priority="4666" stopIfTrue="1" operator="containsText" text="BAJO">
      <formula>NOT(ISERROR(SEARCH("BAJO",S127)))</formula>
    </cfRule>
    <cfRule type="containsText" dxfId="2231" priority="4667" stopIfTrue="1" operator="containsText" text="SIN RIESGO">
      <formula>NOT(ISERROR(SEARCH("SIN RIESGO",S127)))</formula>
    </cfRule>
  </conditionalFormatting>
  <conditionalFormatting sqref="S127:S548">
    <cfRule type="containsText" dxfId="2230" priority="4662" stopIfTrue="1" operator="containsText" text="SIN RIESGO">
      <formula>NOT(ISERROR(SEARCH("SIN RIESGO",S127)))</formula>
    </cfRule>
  </conditionalFormatting>
  <conditionalFormatting sqref="E129:P129 E130:J133">
    <cfRule type="containsBlanks" dxfId="2229" priority="4641" stopIfTrue="1">
      <formula>LEN(TRIM(E129))=0</formula>
    </cfRule>
    <cfRule type="cellIs" dxfId="2228" priority="4642" stopIfTrue="1" operator="between">
      <formula>79.1</formula>
      <formula>100</formula>
    </cfRule>
    <cfRule type="cellIs" dxfId="2227" priority="4643" stopIfTrue="1" operator="between">
      <formula>34.1</formula>
      <formula>79</formula>
    </cfRule>
    <cfRule type="cellIs" dxfId="2226" priority="4644" stopIfTrue="1" operator="between">
      <formula>13.1</formula>
      <formula>34</formula>
    </cfRule>
    <cfRule type="cellIs" dxfId="2225" priority="4645" stopIfTrue="1" operator="between">
      <formula>5.1</formula>
      <formula>13</formula>
    </cfRule>
    <cfRule type="cellIs" dxfId="2224" priority="4646" stopIfTrue="1" operator="between">
      <formula>0</formula>
      <formula>5</formula>
    </cfRule>
    <cfRule type="containsBlanks" dxfId="2223" priority="4647" stopIfTrue="1">
      <formula>LEN(TRIM(E129))=0</formula>
    </cfRule>
  </conditionalFormatting>
  <conditionalFormatting sqref="E316:P318">
    <cfRule type="containsBlanks" dxfId="2222" priority="4620" stopIfTrue="1">
      <formula>LEN(TRIM(E316))=0</formula>
    </cfRule>
    <cfRule type="cellIs" dxfId="2221" priority="4621" stopIfTrue="1" operator="between">
      <formula>79.1</formula>
      <formula>100</formula>
    </cfRule>
    <cfRule type="cellIs" dxfId="2220" priority="4622" stopIfTrue="1" operator="between">
      <formula>34.1</formula>
      <formula>79</formula>
    </cfRule>
    <cfRule type="cellIs" dxfId="2219" priority="4623" stopIfTrue="1" operator="between">
      <formula>13.1</formula>
      <formula>34</formula>
    </cfRule>
    <cfRule type="cellIs" dxfId="2218" priority="4624" stopIfTrue="1" operator="between">
      <formula>5.1</formula>
      <formula>13</formula>
    </cfRule>
    <cfRule type="cellIs" dxfId="2217" priority="4625" stopIfTrue="1" operator="between">
      <formula>0</formula>
      <formula>5</formula>
    </cfRule>
    <cfRule type="containsBlanks" dxfId="2216" priority="4626" stopIfTrue="1">
      <formula>LEN(TRIM(E316))=0</formula>
    </cfRule>
  </conditionalFormatting>
  <conditionalFormatting sqref="E356:P356 M366:P366 K364:P364 J363:P363 J365:P365 K362:P362 E370:P370 N367:P367 O361:P361 L357:P360 O371:P371">
    <cfRule type="containsBlanks" dxfId="2215" priority="4613" stopIfTrue="1">
      <formula>LEN(TRIM(E356))=0</formula>
    </cfRule>
    <cfRule type="cellIs" dxfId="2214" priority="4614" stopIfTrue="1" operator="between">
      <formula>79.1</formula>
      <formula>100</formula>
    </cfRule>
    <cfRule type="cellIs" dxfId="2213" priority="4615" stopIfTrue="1" operator="between">
      <formula>34.1</formula>
      <formula>79</formula>
    </cfRule>
    <cfRule type="cellIs" dxfId="2212" priority="4616" stopIfTrue="1" operator="between">
      <formula>13.1</formula>
      <formula>34</formula>
    </cfRule>
    <cfRule type="cellIs" dxfId="2211" priority="4617" stopIfTrue="1" operator="between">
      <formula>5.1</formula>
      <formula>13</formula>
    </cfRule>
    <cfRule type="cellIs" dxfId="2210" priority="4618" stopIfTrue="1" operator="between">
      <formula>0</formula>
      <formula>5</formula>
    </cfRule>
    <cfRule type="containsBlanks" dxfId="2209" priority="4619" stopIfTrue="1">
      <formula>LEN(TRIM(E356))=0</formula>
    </cfRule>
  </conditionalFormatting>
  <conditionalFormatting sqref="E378:J379">
    <cfRule type="containsBlanks" dxfId="2208" priority="4606" stopIfTrue="1">
      <formula>LEN(TRIM(E378))=0</formula>
    </cfRule>
    <cfRule type="cellIs" dxfId="2207" priority="4607" stopIfTrue="1" operator="between">
      <formula>79.1</formula>
      <formula>100</formula>
    </cfRule>
    <cfRule type="cellIs" dxfId="2206" priority="4608" stopIfTrue="1" operator="between">
      <formula>34.1</formula>
      <formula>79</formula>
    </cfRule>
    <cfRule type="cellIs" dxfId="2205" priority="4609" stopIfTrue="1" operator="between">
      <formula>13.1</formula>
      <formula>34</formula>
    </cfRule>
    <cfRule type="cellIs" dxfId="2204" priority="4610" stopIfTrue="1" operator="between">
      <formula>5.1</formula>
      <formula>13</formula>
    </cfRule>
    <cfRule type="cellIs" dxfId="2203" priority="4611" stopIfTrue="1" operator="between">
      <formula>0</formula>
      <formula>5</formula>
    </cfRule>
    <cfRule type="containsBlanks" dxfId="2202" priority="4612" stopIfTrue="1">
      <formula>LEN(TRIM(E378))=0</formula>
    </cfRule>
  </conditionalFormatting>
  <conditionalFormatting sqref="E409:P409 P406 E407:G408 O407:P408">
    <cfRule type="containsBlanks" dxfId="2201" priority="4599" stopIfTrue="1">
      <formula>LEN(TRIM(E406))=0</formula>
    </cfRule>
    <cfRule type="cellIs" dxfId="2200" priority="4600" stopIfTrue="1" operator="between">
      <formula>79.1</formula>
      <formula>100</formula>
    </cfRule>
    <cfRule type="cellIs" dxfId="2199" priority="4601" stopIfTrue="1" operator="between">
      <formula>34.1</formula>
      <formula>79</formula>
    </cfRule>
    <cfRule type="cellIs" dxfId="2198" priority="4602" stopIfTrue="1" operator="between">
      <formula>13.1</formula>
      <formula>34</formula>
    </cfRule>
    <cfRule type="cellIs" dxfId="2197" priority="4603" stopIfTrue="1" operator="between">
      <formula>5.1</formula>
      <formula>13</formula>
    </cfRule>
    <cfRule type="cellIs" dxfId="2196" priority="4604" stopIfTrue="1" operator="between">
      <formula>0</formula>
      <formula>5</formula>
    </cfRule>
    <cfRule type="containsBlanks" dxfId="2195" priority="4605" stopIfTrue="1">
      <formula>LEN(TRIM(E406))=0</formula>
    </cfRule>
  </conditionalFormatting>
  <conditionalFormatting sqref="R135">
    <cfRule type="cellIs" dxfId="2194" priority="4430" stopIfTrue="1" operator="equal">
      <formula>"NO"</formula>
    </cfRule>
  </conditionalFormatting>
  <conditionalFormatting sqref="R130">
    <cfRule type="cellIs" dxfId="2193" priority="4415" stopIfTrue="1" operator="equal">
      <formula>"NO"</formula>
    </cfRule>
  </conditionalFormatting>
  <conditionalFormatting sqref="F130:P130">
    <cfRule type="containsBlanks" dxfId="2192" priority="4408" stopIfTrue="1">
      <formula>LEN(TRIM(F130))=0</formula>
    </cfRule>
    <cfRule type="cellIs" dxfId="2191" priority="4409" stopIfTrue="1" operator="between">
      <formula>80.1</formula>
      <formula>100</formula>
    </cfRule>
    <cfRule type="cellIs" dxfId="2190" priority="4410" stopIfTrue="1" operator="between">
      <formula>35.1</formula>
      <formula>80</formula>
    </cfRule>
    <cfRule type="cellIs" dxfId="2189" priority="4411" stopIfTrue="1" operator="between">
      <formula>14.1</formula>
      <formula>35</formula>
    </cfRule>
    <cfRule type="cellIs" dxfId="2188" priority="4412" stopIfTrue="1" operator="between">
      <formula>5.1</formula>
      <formula>14</formula>
    </cfRule>
    <cfRule type="cellIs" dxfId="2187" priority="4413" stopIfTrue="1" operator="between">
      <formula>0</formula>
      <formula>5</formula>
    </cfRule>
    <cfRule type="containsBlanks" dxfId="2186" priority="4414" stopIfTrue="1">
      <formula>LEN(TRIM(F130))=0</formula>
    </cfRule>
  </conditionalFormatting>
  <conditionalFormatting sqref="E130">
    <cfRule type="containsBlanks" dxfId="2185" priority="4401" stopIfTrue="1">
      <formula>LEN(TRIM(E130))=0</formula>
    </cfRule>
    <cfRule type="cellIs" dxfId="2184" priority="4402" stopIfTrue="1" operator="between">
      <formula>80.1</formula>
      <formula>100</formula>
    </cfRule>
    <cfRule type="cellIs" dxfId="2183" priority="4403" stopIfTrue="1" operator="between">
      <formula>35.1</formula>
      <formula>80</formula>
    </cfRule>
    <cfRule type="cellIs" dxfId="2182" priority="4404" stopIfTrue="1" operator="between">
      <formula>14.1</formula>
      <formula>35</formula>
    </cfRule>
    <cfRule type="cellIs" dxfId="2181" priority="4405" stopIfTrue="1" operator="between">
      <formula>5.1</formula>
      <formula>14</formula>
    </cfRule>
    <cfRule type="cellIs" dxfId="2180" priority="4406" stopIfTrue="1" operator="between">
      <formula>0</formula>
      <formula>5</formula>
    </cfRule>
    <cfRule type="containsBlanks" dxfId="2179" priority="4407" stopIfTrue="1">
      <formula>LEN(TRIM(E130))=0</formula>
    </cfRule>
  </conditionalFormatting>
  <conditionalFormatting sqref="R131">
    <cfRule type="cellIs" dxfId="2178" priority="4400" stopIfTrue="1" operator="equal">
      <formula>"NO"</formula>
    </cfRule>
  </conditionalFormatting>
  <conditionalFormatting sqref="F131:P131">
    <cfRule type="containsBlanks" dxfId="2177" priority="4393" stopIfTrue="1">
      <formula>LEN(TRIM(F131))=0</formula>
    </cfRule>
    <cfRule type="cellIs" dxfId="2176" priority="4394" stopIfTrue="1" operator="between">
      <formula>80.1</formula>
      <formula>100</formula>
    </cfRule>
    <cfRule type="cellIs" dxfId="2175" priority="4395" stopIfTrue="1" operator="between">
      <formula>35.1</formula>
      <formula>80</formula>
    </cfRule>
    <cfRule type="cellIs" dxfId="2174" priority="4396" stopIfTrue="1" operator="between">
      <formula>14.1</formula>
      <formula>35</formula>
    </cfRule>
    <cfRule type="cellIs" dxfId="2173" priority="4397" stopIfTrue="1" operator="between">
      <formula>5.1</formula>
      <formula>14</formula>
    </cfRule>
    <cfRule type="cellIs" dxfId="2172" priority="4398" stopIfTrue="1" operator="between">
      <formula>0</formula>
      <formula>5</formula>
    </cfRule>
    <cfRule type="containsBlanks" dxfId="2171" priority="4399" stopIfTrue="1">
      <formula>LEN(TRIM(F131))=0</formula>
    </cfRule>
  </conditionalFormatting>
  <conditionalFormatting sqref="E131">
    <cfRule type="containsBlanks" dxfId="2170" priority="4386" stopIfTrue="1">
      <formula>LEN(TRIM(E131))=0</formula>
    </cfRule>
    <cfRule type="cellIs" dxfId="2169" priority="4387" stopIfTrue="1" operator="between">
      <formula>80.1</formula>
      <formula>100</formula>
    </cfRule>
    <cfRule type="cellIs" dxfId="2168" priority="4388" stopIfTrue="1" operator="between">
      <formula>35.1</formula>
      <formula>80</formula>
    </cfRule>
    <cfRule type="cellIs" dxfId="2167" priority="4389" stopIfTrue="1" operator="between">
      <formula>14.1</formula>
      <formula>35</formula>
    </cfRule>
    <cfRule type="cellIs" dxfId="2166" priority="4390" stopIfTrue="1" operator="between">
      <formula>5.1</formula>
      <formula>14</formula>
    </cfRule>
    <cfRule type="cellIs" dxfId="2165" priority="4391" stopIfTrue="1" operator="between">
      <formula>0</formula>
      <formula>5</formula>
    </cfRule>
    <cfRule type="containsBlanks" dxfId="2164" priority="4392" stopIfTrue="1">
      <formula>LEN(TRIM(E131))=0</formula>
    </cfRule>
  </conditionalFormatting>
  <conditionalFormatting sqref="R132">
    <cfRule type="cellIs" dxfId="2163" priority="4385" stopIfTrue="1" operator="equal">
      <formula>"NO"</formula>
    </cfRule>
  </conditionalFormatting>
  <conditionalFormatting sqref="F132:P132">
    <cfRule type="containsBlanks" dxfId="2162" priority="4378" stopIfTrue="1">
      <formula>LEN(TRIM(F132))=0</formula>
    </cfRule>
    <cfRule type="cellIs" dxfId="2161" priority="4379" stopIfTrue="1" operator="between">
      <formula>80.1</formula>
      <formula>100</formula>
    </cfRule>
    <cfRule type="cellIs" dxfId="2160" priority="4380" stopIfTrue="1" operator="between">
      <formula>35.1</formula>
      <formula>80</formula>
    </cfRule>
    <cfRule type="cellIs" dxfId="2159" priority="4381" stopIfTrue="1" operator="between">
      <formula>14.1</formula>
      <formula>35</formula>
    </cfRule>
    <cfRule type="cellIs" dxfId="2158" priority="4382" stopIfTrue="1" operator="between">
      <formula>5.1</formula>
      <formula>14</formula>
    </cfRule>
    <cfRule type="cellIs" dxfId="2157" priority="4383" stopIfTrue="1" operator="between">
      <formula>0</formula>
      <formula>5</formula>
    </cfRule>
    <cfRule type="containsBlanks" dxfId="2156" priority="4384" stopIfTrue="1">
      <formula>LEN(TRIM(F132))=0</formula>
    </cfRule>
  </conditionalFormatting>
  <conditionalFormatting sqref="E132">
    <cfRule type="containsBlanks" dxfId="2155" priority="4371" stopIfTrue="1">
      <formula>LEN(TRIM(E132))=0</formula>
    </cfRule>
    <cfRule type="cellIs" dxfId="2154" priority="4372" stopIfTrue="1" operator="between">
      <formula>80.1</formula>
      <formula>100</formula>
    </cfRule>
    <cfRule type="cellIs" dxfId="2153" priority="4373" stopIfTrue="1" operator="between">
      <formula>35.1</formula>
      <formula>80</formula>
    </cfRule>
    <cfRule type="cellIs" dxfId="2152" priority="4374" stopIfTrue="1" operator="between">
      <formula>14.1</formula>
      <formula>35</formula>
    </cfRule>
    <cfRule type="cellIs" dxfId="2151" priority="4375" stopIfTrue="1" operator="between">
      <formula>5.1</formula>
      <formula>14</formula>
    </cfRule>
    <cfRule type="cellIs" dxfId="2150" priority="4376" stopIfTrue="1" operator="between">
      <formula>0</formula>
      <formula>5</formula>
    </cfRule>
    <cfRule type="containsBlanks" dxfId="2149" priority="4377" stopIfTrue="1">
      <formula>LEN(TRIM(E132))=0</formula>
    </cfRule>
  </conditionalFormatting>
  <conditionalFormatting sqref="R133">
    <cfRule type="cellIs" dxfId="2148" priority="4370" stopIfTrue="1" operator="equal">
      <formula>"NO"</formula>
    </cfRule>
  </conditionalFormatting>
  <conditionalFormatting sqref="F133:P133">
    <cfRule type="containsBlanks" dxfId="2147" priority="4363" stopIfTrue="1">
      <formula>LEN(TRIM(F133))=0</formula>
    </cfRule>
    <cfRule type="cellIs" dxfId="2146" priority="4364" stopIfTrue="1" operator="between">
      <formula>80.1</formula>
      <formula>100</formula>
    </cfRule>
    <cfRule type="cellIs" dxfId="2145" priority="4365" stopIfTrue="1" operator="between">
      <formula>35.1</formula>
      <formula>80</formula>
    </cfRule>
    <cfRule type="cellIs" dxfId="2144" priority="4366" stopIfTrue="1" operator="between">
      <formula>14.1</formula>
      <formula>35</formula>
    </cfRule>
    <cfRule type="cellIs" dxfId="2143" priority="4367" stopIfTrue="1" operator="between">
      <formula>5.1</formula>
      <formula>14</formula>
    </cfRule>
    <cfRule type="cellIs" dxfId="2142" priority="4368" stopIfTrue="1" operator="between">
      <formula>0</formula>
      <formula>5</formula>
    </cfRule>
    <cfRule type="containsBlanks" dxfId="2141" priority="4369" stopIfTrue="1">
      <formula>LEN(TRIM(F133))=0</formula>
    </cfRule>
  </conditionalFormatting>
  <conditionalFormatting sqref="E133">
    <cfRule type="containsBlanks" dxfId="2140" priority="4356" stopIfTrue="1">
      <formula>LEN(TRIM(E133))=0</formula>
    </cfRule>
    <cfRule type="cellIs" dxfId="2139" priority="4357" stopIfTrue="1" operator="between">
      <formula>80.1</formula>
      <formula>100</formula>
    </cfRule>
    <cfRule type="cellIs" dxfId="2138" priority="4358" stopIfTrue="1" operator="between">
      <formula>35.1</formula>
      <formula>80</formula>
    </cfRule>
    <cfRule type="cellIs" dxfId="2137" priority="4359" stopIfTrue="1" operator="between">
      <formula>14.1</formula>
      <formula>35</formula>
    </cfRule>
    <cfRule type="cellIs" dxfId="2136" priority="4360" stopIfTrue="1" operator="between">
      <formula>5.1</formula>
      <formula>14</formula>
    </cfRule>
    <cfRule type="cellIs" dxfId="2135" priority="4361" stopIfTrue="1" operator="between">
      <formula>0</formula>
      <formula>5</formula>
    </cfRule>
    <cfRule type="containsBlanks" dxfId="2134" priority="4362" stopIfTrue="1">
      <formula>LEN(TRIM(E133))=0</formula>
    </cfRule>
  </conditionalFormatting>
  <conditionalFormatting sqref="R134">
    <cfRule type="cellIs" dxfId="2133" priority="4355" stopIfTrue="1" operator="equal">
      <formula>"NO"</formula>
    </cfRule>
  </conditionalFormatting>
  <conditionalFormatting sqref="E356:J356 J363 J365 E370:J370">
    <cfRule type="containsBlanks" dxfId="2132" priority="4283" stopIfTrue="1">
      <formula>LEN(TRIM(E356))=0</formula>
    </cfRule>
    <cfRule type="cellIs" dxfId="2131" priority="4284" stopIfTrue="1" operator="between">
      <formula>80.1</formula>
      <formula>100</formula>
    </cfRule>
    <cfRule type="cellIs" dxfId="2130" priority="4285" stopIfTrue="1" operator="between">
      <formula>35.1</formula>
      <formula>80</formula>
    </cfRule>
    <cfRule type="cellIs" dxfId="2129" priority="4286" stopIfTrue="1" operator="between">
      <formula>14.1</formula>
      <formula>35</formula>
    </cfRule>
    <cfRule type="cellIs" dxfId="2128" priority="4287" stopIfTrue="1" operator="between">
      <formula>5.1</formula>
      <formula>14</formula>
    </cfRule>
    <cfRule type="cellIs" dxfId="2127" priority="4288" stopIfTrue="1" operator="between">
      <formula>0</formula>
      <formula>5</formula>
    </cfRule>
    <cfRule type="containsBlanks" dxfId="2126" priority="4289" stopIfTrue="1">
      <formula>LEN(TRIM(E356))=0</formula>
    </cfRule>
  </conditionalFormatting>
  <conditionalFormatting sqref="E222:P222">
    <cfRule type="containsBlanks" dxfId="2125" priority="4122" stopIfTrue="1">
      <formula>LEN(TRIM(E222))=0</formula>
    </cfRule>
    <cfRule type="cellIs" dxfId="2124" priority="4123" stopIfTrue="1" operator="between">
      <formula>79.1</formula>
      <formula>100</formula>
    </cfRule>
    <cfRule type="cellIs" dxfId="2123" priority="4124" stopIfTrue="1" operator="between">
      <formula>34.1</formula>
      <formula>79</formula>
    </cfRule>
    <cfRule type="cellIs" dxfId="2122" priority="4125" stopIfTrue="1" operator="between">
      <formula>13.1</formula>
      <formula>34</formula>
    </cfRule>
    <cfRule type="cellIs" dxfId="2121" priority="4126" stopIfTrue="1" operator="between">
      <formula>5.1</formula>
      <formula>13</formula>
    </cfRule>
    <cfRule type="cellIs" dxfId="2120" priority="4127" stopIfTrue="1" operator="between">
      <formula>0</formula>
      <formula>5</formula>
    </cfRule>
    <cfRule type="containsBlanks" dxfId="2119" priority="4128" stopIfTrue="1">
      <formula>LEN(TRIM(E222))=0</formula>
    </cfRule>
  </conditionalFormatting>
  <conditionalFormatting sqref="E222:G222">
    <cfRule type="containsBlanks" dxfId="2118" priority="4115" stopIfTrue="1">
      <formula>LEN(TRIM(E222))=0</formula>
    </cfRule>
    <cfRule type="cellIs" dxfId="2117" priority="4116" stopIfTrue="1" operator="between">
      <formula>79.1</formula>
      <formula>100</formula>
    </cfRule>
    <cfRule type="cellIs" dxfId="2116" priority="4117" stopIfTrue="1" operator="between">
      <formula>34.1</formula>
      <formula>79</formula>
    </cfRule>
    <cfRule type="cellIs" dxfId="2115" priority="4118" stopIfTrue="1" operator="between">
      <formula>13.1</formula>
      <formula>34</formula>
    </cfRule>
    <cfRule type="cellIs" dxfId="2114" priority="4119" stopIfTrue="1" operator="between">
      <formula>5.1</formula>
      <formula>13</formula>
    </cfRule>
    <cfRule type="cellIs" dxfId="2113" priority="4120" stopIfTrue="1" operator="between">
      <formula>0</formula>
      <formula>5</formula>
    </cfRule>
    <cfRule type="containsBlanks" dxfId="2112" priority="4121" stopIfTrue="1">
      <formula>LEN(TRIM(E222))=0</formula>
    </cfRule>
  </conditionalFormatting>
  <conditionalFormatting sqref="E177:P177 E194:P194">
    <cfRule type="containsBlanks" dxfId="2111" priority="4129" stopIfTrue="1">
      <formula>LEN(TRIM(E177))=0</formula>
    </cfRule>
    <cfRule type="cellIs" dxfId="2110" priority="4130" stopIfTrue="1" operator="between">
      <formula>79.1</formula>
      <formula>100</formula>
    </cfRule>
    <cfRule type="cellIs" dxfId="2109" priority="4131" stopIfTrue="1" operator="between">
      <formula>34.1</formula>
      <formula>79</formula>
    </cfRule>
    <cfRule type="cellIs" dxfId="2108" priority="4132" stopIfTrue="1" operator="between">
      <formula>13.1</formula>
      <formula>34</formula>
    </cfRule>
    <cfRule type="cellIs" dxfId="2107" priority="4133" stopIfTrue="1" operator="between">
      <formula>5.1</formula>
      <formula>13</formula>
    </cfRule>
    <cfRule type="cellIs" dxfId="2106" priority="4134" stopIfTrue="1" operator="between">
      <formula>0</formula>
      <formula>5</formula>
    </cfRule>
    <cfRule type="containsBlanks" dxfId="2105" priority="4135" stopIfTrue="1">
      <formula>LEN(TRIM(E177))=0</formula>
    </cfRule>
  </conditionalFormatting>
  <conditionalFormatting sqref="E280 E276:P277 G280:P280 E271:P272 E281:P282 E279:P279 E278">
    <cfRule type="containsBlanks" dxfId="2104" priority="4094" stopIfTrue="1">
      <formula>LEN(TRIM(E271))=0</formula>
    </cfRule>
    <cfRule type="cellIs" dxfId="2103" priority="4095" stopIfTrue="1" operator="between">
      <formula>79.1</formula>
      <formula>100</formula>
    </cfRule>
    <cfRule type="cellIs" dxfId="2102" priority="4096" stopIfTrue="1" operator="between">
      <formula>34.1</formula>
      <formula>79</formula>
    </cfRule>
    <cfRule type="cellIs" dxfId="2101" priority="4097" stopIfTrue="1" operator="between">
      <formula>13.1</formula>
      <formula>34</formula>
    </cfRule>
    <cfRule type="cellIs" dxfId="2100" priority="4098" stopIfTrue="1" operator="between">
      <formula>5.1</formula>
      <formula>13</formula>
    </cfRule>
    <cfRule type="cellIs" dxfId="2099" priority="4099" stopIfTrue="1" operator="between">
      <formula>0</formula>
      <formula>5</formula>
    </cfRule>
    <cfRule type="containsBlanks" dxfId="2098" priority="4100" stopIfTrue="1">
      <formula>LEN(TRIM(E271))=0</formula>
    </cfRule>
  </conditionalFormatting>
  <conditionalFormatting sqref="K378:P379">
    <cfRule type="containsBlanks" dxfId="2097" priority="4017" stopIfTrue="1">
      <formula>LEN(TRIM(K378))=0</formula>
    </cfRule>
    <cfRule type="cellIs" dxfId="2096" priority="4018" stopIfTrue="1" operator="between">
      <formula>79.1</formula>
      <formula>100</formula>
    </cfRule>
    <cfRule type="cellIs" dxfId="2095" priority="4019" stopIfTrue="1" operator="between">
      <formula>34.1</formula>
      <formula>79</formula>
    </cfRule>
    <cfRule type="cellIs" dxfId="2094" priority="4020" stopIfTrue="1" operator="between">
      <formula>13.1</formula>
      <formula>34</formula>
    </cfRule>
    <cfRule type="cellIs" dxfId="2093" priority="4021" stopIfTrue="1" operator="between">
      <formula>5.1</formula>
      <formula>13</formula>
    </cfRule>
    <cfRule type="cellIs" dxfId="2092" priority="4022" stopIfTrue="1" operator="between">
      <formula>0</formula>
      <formula>5</formula>
    </cfRule>
    <cfRule type="containsBlanks" dxfId="2091" priority="4023" stopIfTrue="1">
      <formula>LEN(TRIM(K378))=0</formula>
    </cfRule>
  </conditionalFormatting>
  <conditionalFormatting sqref="Q194 Q230 Q238:Q239 Q243 Q256 Q260:Q261 Q278:Q282 Q292:Q295 Q300:Q318 Q289 Q370:Q371 Q378:Q379">
    <cfRule type="containsBlanks" dxfId="2090" priority="4002" stopIfTrue="1">
      <formula>LEN(TRIM(Q194))=0</formula>
    </cfRule>
    <cfRule type="cellIs" dxfId="2089" priority="4003" stopIfTrue="1" operator="between">
      <formula>80.1</formula>
      <formula>100</formula>
    </cfRule>
    <cfRule type="cellIs" dxfId="2088" priority="4004" stopIfTrue="1" operator="between">
      <formula>35.1</formula>
      <formula>80</formula>
    </cfRule>
    <cfRule type="cellIs" dxfId="2087" priority="4005" stopIfTrue="1" operator="between">
      <formula>14.1</formula>
      <formula>35</formula>
    </cfRule>
    <cfRule type="cellIs" dxfId="2086" priority="4006" stopIfTrue="1" operator="between">
      <formula>5.1</formula>
      <formula>14</formula>
    </cfRule>
    <cfRule type="cellIs" dxfId="2085" priority="4007" stopIfTrue="1" operator="between">
      <formula>0</formula>
      <formula>5</formula>
    </cfRule>
    <cfRule type="containsBlanks" dxfId="2084" priority="4008" stopIfTrue="1">
      <formula>LEN(TRIM(Q194))=0</formula>
    </cfRule>
  </conditionalFormatting>
  <conditionalFormatting sqref="Q194 Q230 Q238:Q239 Q243 Q256 Q260:Q261 Q278:Q282 Q292:Q295 Q300:Q318 Q289 Q370:Q371 Q378:Q379">
    <cfRule type="containsBlanks" dxfId="2083" priority="3995" stopIfTrue="1">
      <formula>LEN(TRIM(Q194))=0</formula>
    </cfRule>
    <cfRule type="cellIs" dxfId="2082" priority="3996" stopIfTrue="1" operator="between">
      <formula>80.1</formula>
      <formula>100</formula>
    </cfRule>
    <cfRule type="cellIs" dxfId="2081" priority="3997" stopIfTrue="1" operator="between">
      <formula>35.1</formula>
      <formula>80</formula>
    </cfRule>
    <cfRule type="cellIs" dxfId="2080" priority="3998" stopIfTrue="1" operator="between">
      <formula>14.1</formula>
      <formula>35</formula>
    </cfRule>
    <cfRule type="cellIs" dxfId="2079" priority="3999" stopIfTrue="1" operator="between">
      <formula>5.1</formula>
      <formula>14</formula>
    </cfRule>
    <cfRule type="cellIs" dxfId="2078" priority="4000" stopIfTrue="1" operator="between">
      <formula>0</formula>
      <formula>5</formula>
    </cfRule>
    <cfRule type="containsBlanks" dxfId="2077" priority="4001" stopIfTrue="1">
      <formula>LEN(TRIM(Q194))=0</formula>
    </cfRule>
  </conditionalFormatting>
  <conditionalFormatting sqref="Q177">
    <cfRule type="containsBlanks" dxfId="2076" priority="3988" stopIfTrue="1">
      <formula>LEN(TRIM(Q177))=0</formula>
    </cfRule>
    <cfRule type="cellIs" dxfId="2075" priority="3989" stopIfTrue="1" operator="between">
      <formula>80.1</formula>
      <formula>100</formula>
    </cfRule>
    <cfRule type="cellIs" dxfId="2074" priority="3990" stopIfTrue="1" operator="between">
      <formula>35.1</formula>
      <formula>80</formula>
    </cfRule>
    <cfRule type="cellIs" dxfId="2073" priority="3991" stopIfTrue="1" operator="between">
      <formula>14.1</formula>
      <formula>35</formula>
    </cfRule>
    <cfRule type="cellIs" dxfId="2072" priority="3992" stopIfTrue="1" operator="between">
      <formula>5.1</formula>
      <formula>14</formula>
    </cfRule>
    <cfRule type="cellIs" dxfId="2071" priority="3993" stopIfTrue="1" operator="between">
      <formula>0</formula>
      <formula>5</formula>
    </cfRule>
    <cfRule type="containsBlanks" dxfId="2070" priority="3994" stopIfTrue="1">
      <formula>LEN(TRIM(Q177))=0</formula>
    </cfRule>
  </conditionalFormatting>
  <conditionalFormatting sqref="Q177">
    <cfRule type="containsBlanks" dxfId="2069" priority="3981" stopIfTrue="1">
      <formula>LEN(TRIM(Q177))=0</formula>
    </cfRule>
    <cfRule type="cellIs" dxfId="2068" priority="3982" stopIfTrue="1" operator="between">
      <formula>80.1</formula>
      <formula>100</formula>
    </cfRule>
    <cfRule type="cellIs" dxfId="2067" priority="3983" stopIfTrue="1" operator="between">
      <formula>35.1</formula>
      <formula>80</formula>
    </cfRule>
    <cfRule type="cellIs" dxfId="2066" priority="3984" stopIfTrue="1" operator="between">
      <formula>14.1</formula>
      <formula>35</formula>
    </cfRule>
    <cfRule type="cellIs" dxfId="2065" priority="3985" stopIfTrue="1" operator="between">
      <formula>5.1</formula>
      <formula>14</formula>
    </cfRule>
    <cfRule type="cellIs" dxfId="2064" priority="3986" stopIfTrue="1" operator="between">
      <formula>0</formula>
      <formula>5</formula>
    </cfRule>
    <cfRule type="containsBlanks" dxfId="2063" priority="3987" stopIfTrue="1">
      <formula>LEN(TRIM(Q177))=0</formula>
    </cfRule>
  </conditionalFormatting>
  <conditionalFormatting sqref="E74:E78 G74:P78">
    <cfRule type="containsBlanks" dxfId="2062" priority="3756" stopIfTrue="1">
      <formula>LEN(TRIM(E74))=0</formula>
    </cfRule>
    <cfRule type="cellIs" dxfId="2061" priority="3757" stopIfTrue="1" operator="between">
      <formula>80.1</formula>
      <formula>100</formula>
    </cfRule>
    <cfRule type="cellIs" dxfId="2060" priority="3758" stopIfTrue="1" operator="between">
      <formula>35.1</formula>
      <formula>80</formula>
    </cfRule>
    <cfRule type="cellIs" dxfId="2059" priority="3759" stopIfTrue="1" operator="between">
      <formula>14.1</formula>
      <formula>35</formula>
    </cfRule>
    <cfRule type="cellIs" dxfId="2058" priority="3760" stopIfTrue="1" operator="between">
      <formula>5.1</formula>
      <formula>14</formula>
    </cfRule>
    <cfRule type="cellIs" dxfId="2057" priority="3761" stopIfTrue="1" operator="between">
      <formula>0</formula>
      <formula>5</formula>
    </cfRule>
    <cfRule type="containsBlanks" dxfId="2056" priority="3762" stopIfTrue="1">
      <formula>LEN(TRIM(E74))=0</formula>
    </cfRule>
  </conditionalFormatting>
  <conditionalFormatting sqref="F74:F78">
    <cfRule type="containsBlanks" dxfId="2055" priority="3749" stopIfTrue="1">
      <formula>LEN(TRIM(F74))=0</formula>
    </cfRule>
    <cfRule type="cellIs" dxfId="2054" priority="3750" stopIfTrue="1" operator="between">
      <formula>79.1</formula>
      <formula>100</formula>
    </cfRule>
    <cfRule type="cellIs" dxfId="2053" priority="3751" stopIfTrue="1" operator="between">
      <formula>34.1</formula>
      <formula>79</formula>
    </cfRule>
    <cfRule type="cellIs" dxfId="2052" priority="3752" stopIfTrue="1" operator="between">
      <formula>13.1</formula>
      <formula>34</formula>
    </cfRule>
    <cfRule type="cellIs" dxfId="2051" priority="3753" stopIfTrue="1" operator="between">
      <formula>5.1</formula>
      <formula>13</formula>
    </cfRule>
    <cfRule type="cellIs" dxfId="2050" priority="3754" stopIfTrue="1" operator="between">
      <formula>0</formula>
      <formula>5</formula>
    </cfRule>
    <cfRule type="containsBlanks" dxfId="2049" priority="3755" stopIfTrue="1">
      <formula>LEN(TRIM(F74))=0</formula>
    </cfRule>
  </conditionalFormatting>
  <conditionalFormatting sqref="E79:E85 G79:P85">
    <cfRule type="containsBlanks" dxfId="2048" priority="3742" stopIfTrue="1">
      <formula>LEN(TRIM(E79))=0</formula>
    </cfRule>
    <cfRule type="cellIs" dxfId="2047" priority="3743" stopIfTrue="1" operator="between">
      <formula>80.1</formula>
      <formula>100</formula>
    </cfRule>
    <cfRule type="cellIs" dxfId="2046" priority="3744" stopIfTrue="1" operator="between">
      <formula>35.1</formula>
      <formula>80</formula>
    </cfRule>
    <cfRule type="cellIs" dxfId="2045" priority="3745" stopIfTrue="1" operator="between">
      <formula>14.1</formula>
      <formula>35</formula>
    </cfRule>
    <cfRule type="cellIs" dxfId="2044" priority="3746" stopIfTrue="1" operator="between">
      <formula>5.1</formula>
      <formula>14</formula>
    </cfRule>
    <cfRule type="cellIs" dxfId="2043" priority="3747" stopIfTrue="1" operator="between">
      <formula>0</formula>
      <formula>5</formula>
    </cfRule>
    <cfRule type="containsBlanks" dxfId="2042" priority="3748" stopIfTrue="1">
      <formula>LEN(TRIM(E79))=0</formula>
    </cfRule>
  </conditionalFormatting>
  <conditionalFormatting sqref="F79:F85">
    <cfRule type="containsBlanks" dxfId="2041" priority="3735" stopIfTrue="1">
      <formula>LEN(TRIM(F79))=0</formula>
    </cfRule>
    <cfRule type="cellIs" dxfId="2040" priority="3736" stopIfTrue="1" operator="between">
      <formula>79.1</formula>
      <formula>100</formula>
    </cfRule>
    <cfRule type="cellIs" dxfId="2039" priority="3737" stopIfTrue="1" operator="between">
      <formula>34.1</formula>
      <formula>79</formula>
    </cfRule>
    <cfRule type="cellIs" dxfId="2038" priority="3738" stopIfTrue="1" operator="between">
      <formula>13.1</formula>
      <formula>34</formula>
    </cfRule>
    <cfRule type="cellIs" dxfId="2037" priority="3739" stopIfTrue="1" operator="between">
      <formula>5.1</formula>
      <formula>13</formula>
    </cfRule>
    <cfRule type="cellIs" dxfId="2036" priority="3740" stopIfTrue="1" operator="between">
      <formula>0</formula>
      <formula>5</formula>
    </cfRule>
    <cfRule type="containsBlanks" dxfId="2035" priority="3741" stopIfTrue="1">
      <formula>LEN(TRIM(F79))=0</formula>
    </cfRule>
  </conditionalFormatting>
  <conditionalFormatting sqref="E86:E92 G86:P92">
    <cfRule type="containsBlanks" dxfId="2034" priority="3728" stopIfTrue="1">
      <formula>LEN(TRIM(E86))=0</formula>
    </cfRule>
    <cfRule type="cellIs" dxfId="2033" priority="3729" stopIfTrue="1" operator="between">
      <formula>80.1</formula>
      <formula>100</formula>
    </cfRule>
    <cfRule type="cellIs" dxfId="2032" priority="3730" stopIfTrue="1" operator="between">
      <formula>35.1</formula>
      <formula>80</formula>
    </cfRule>
    <cfRule type="cellIs" dxfId="2031" priority="3731" stopIfTrue="1" operator="between">
      <formula>14.1</formula>
      <formula>35</formula>
    </cfRule>
    <cfRule type="cellIs" dxfId="2030" priority="3732" stopIfTrue="1" operator="between">
      <formula>5.1</formula>
      <formula>14</formula>
    </cfRule>
    <cfRule type="cellIs" dxfId="2029" priority="3733" stopIfTrue="1" operator="between">
      <formula>0</formula>
      <formula>5</formula>
    </cfRule>
    <cfRule type="containsBlanks" dxfId="2028" priority="3734" stopIfTrue="1">
      <formula>LEN(TRIM(E86))=0</formula>
    </cfRule>
  </conditionalFormatting>
  <conditionalFormatting sqref="F86:F88">
    <cfRule type="containsBlanks" dxfId="2027" priority="3721" stopIfTrue="1">
      <formula>LEN(TRIM(F86))=0</formula>
    </cfRule>
    <cfRule type="cellIs" dxfId="2026" priority="3722" stopIfTrue="1" operator="between">
      <formula>79.1</formula>
      <formula>100</formula>
    </cfRule>
    <cfRule type="cellIs" dxfId="2025" priority="3723" stopIfTrue="1" operator="between">
      <formula>34.1</formula>
      <formula>79</formula>
    </cfRule>
    <cfRule type="cellIs" dxfId="2024" priority="3724" stopIfTrue="1" operator="between">
      <formula>13.1</formula>
      <formula>34</formula>
    </cfRule>
    <cfRule type="cellIs" dxfId="2023" priority="3725" stopIfTrue="1" operator="between">
      <formula>5.1</formula>
      <formula>13</formula>
    </cfRule>
    <cfRule type="cellIs" dxfId="2022" priority="3726" stopIfTrue="1" operator="between">
      <formula>0</formula>
      <formula>5</formula>
    </cfRule>
    <cfRule type="containsBlanks" dxfId="2021" priority="3727" stopIfTrue="1">
      <formula>LEN(TRIM(F86))=0</formula>
    </cfRule>
  </conditionalFormatting>
  <conditionalFormatting sqref="F89:F92">
    <cfRule type="containsBlanks" dxfId="2020" priority="3714" stopIfTrue="1">
      <formula>LEN(TRIM(F89))=0</formula>
    </cfRule>
    <cfRule type="cellIs" dxfId="2019" priority="3715" stopIfTrue="1" operator="between">
      <formula>79.1</formula>
      <formula>100</formula>
    </cfRule>
    <cfRule type="cellIs" dxfId="2018" priority="3716" stopIfTrue="1" operator="between">
      <formula>34.1</formula>
      <formula>79</formula>
    </cfRule>
    <cfRule type="cellIs" dxfId="2017" priority="3717" stopIfTrue="1" operator="between">
      <formula>13.1</formula>
      <formula>34</formula>
    </cfRule>
    <cfRule type="cellIs" dxfId="2016" priority="3718" stopIfTrue="1" operator="between">
      <formula>5.1</formula>
      <formula>13</formula>
    </cfRule>
    <cfRule type="cellIs" dxfId="2015" priority="3719" stopIfTrue="1" operator="between">
      <formula>0</formula>
      <formula>5</formula>
    </cfRule>
    <cfRule type="containsBlanks" dxfId="2014" priority="3720" stopIfTrue="1">
      <formula>LEN(TRIM(F89))=0</formula>
    </cfRule>
  </conditionalFormatting>
  <conditionalFormatting sqref="E93:E99 G93:P99">
    <cfRule type="containsBlanks" dxfId="2013" priority="3707" stopIfTrue="1">
      <formula>LEN(TRIM(E93))=0</formula>
    </cfRule>
    <cfRule type="cellIs" dxfId="2012" priority="3708" stopIfTrue="1" operator="between">
      <formula>80.1</formula>
      <formula>100</formula>
    </cfRule>
    <cfRule type="cellIs" dxfId="2011" priority="3709" stopIfTrue="1" operator="between">
      <formula>35.1</formula>
      <formula>80</formula>
    </cfRule>
    <cfRule type="cellIs" dxfId="2010" priority="3710" stopIfTrue="1" operator="between">
      <formula>14.1</formula>
      <formula>35</formula>
    </cfRule>
    <cfRule type="cellIs" dxfId="2009" priority="3711" stopIfTrue="1" operator="between">
      <formula>5.1</formula>
      <formula>14</formula>
    </cfRule>
    <cfRule type="cellIs" dxfId="2008" priority="3712" stopIfTrue="1" operator="between">
      <formula>0</formula>
      <formula>5</formula>
    </cfRule>
    <cfRule type="containsBlanks" dxfId="2007" priority="3713" stopIfTrue="1">
      <formula>LEN(TRIM(E93))=0</formula>
    </cfRule>
  </conditionalFormatting>
  <conditionalFormatting sqref="F93:F99">
    <cfRule type="containsBlanks" dxfId="2006" priority="3700" stopIfTrue="1">
      <formula>LEN(TRIM(F93))=0</formula>
    </cfRule>
    <cfRule type="cellIs" dxfId="2005" priority="3701" stopIfTrue="1" operator="between">
      <formula>79.1</formula>
      <formula>100</formula>
    </cfRule>
    <cfRule type="cellIs" dxfId="2004" priority="3702" stopIfTrue="1" operator="between">
      <formula>34.1</formula>
      <formula>79</formula>
    </cfRule>
    <cfRule type="cellIs" dxfId="2003" priority="3703" stopIfTrue="1" operator="between">
      <formula>13.1</formula>
      <formula>34</formula>
    </cfRule>
    <cfRule type="cellIs" dxfId="2002" priority="3704" stopIfTrue="1" operator="between">
      <formula>5.1</formula>
      <formula>13</formula>
    </cfRule>
    <cfRule type="cellIs" dxfId="2001" priority="3705" stopIfTrue="1" operator="between">
      <formula>0</formula>
      <formula>5</formula>
    </cfRule>
    <cfRule type="containsBlanks" dxfId="2000" priority="3706" stopIfTrue="1">
      <formula>LEN(TRIM(F93))=0</formula>
    </cfRule>
  </conditionalFormatting>
  <conditionalFormatting sqref="E100:E107 G100:P107">
    <cfRule type="containsBlanks" dxfId="1999" priority="3693" stopIfTrue="1">
      <formula>LEN(TRIM(E100))=0</formula>
    </cfRule>
    <cfRule type="cellIs" dxfId="1998" priority="3694" stopIfTrue="1" operator="between">
      <formula>80.1</formula>
      <formula>100</formula>
    </cfRule>
    <cfRule type="cellIs" dxfId="1997" priority="3695" stopIfTrue="1" operator="between">
      <formula>35.1</formula>
      <formula>80</formula>
    </cfRule>
    <cfRule type="cellIs" dxfId="1996" priority="3696" stopIfTrue="1" operator="between">
      <formula>14.1</formula>
      <formula>35</formula>
    </cfRule>
    <cfRule type="cellIs" dxfId="1995" priority="3697" stopIfTrue="1" operator="between">
      <formula>5.1</formula>
      <formula>14</formula>
    </cfRule>
    <cfRule type="cellIs" dxfId="1994" priority="3698" stopIfTrue="1" operator="between">
      <formula>0</formula>
      <formula>5</formula>
    </cfRule>
    <cfRule type="containsBlanks" dxfId="1993" priority="3699" stopIfTrue="1">
      <formula>LEN(TRIM(E100))=0</formula>
    </cfRule>
  </conditionalFormatting>
  <conditionalFormatting sqref="F100:F107">
    <cfRule type="containsBlanks" dxfId="1992" priority="3686" stopIfTrue="1">
      <formula>LEN(TRIM(F100))=0</formula>
    </cfRule>
    <cfRule type="cellIs" dxfId="1991" priority="3687" stopIfTrue="1" operator="between">
      <formula>79.1</formula>
      <formula>100</formula>
    </cfRule>
    <cfRule type="cellIs" dxfId="1990" priority="3688" stopIfTrue="1" operator="between">
      <formula>34.1</formula>
      <formula>79</formula>
    </cfRule>
    <cfRule type="cellIs" dxfId="1989" priority="3689" stopIfTrue="1" operator="between">
      <formula>13.1</formula>
      <formula>34</formula>
    </cfRule>
    <cfRule type="cellIs" dxfId="1988" priority="3690" stopIfTrue="1" operator="between">
      <formula>5.1</formula>
      <formula>13</formula>
    </cfRule>
    <cfRule type="cellIs" dxfId="1987" priority="3691" stopIfTrue="1" operator="between">
      <formula>0</formula>
      <formula>5</formula>
    </cfRule>
    <cfRule type="containsBlanks" dxfId="1986" priority="3692" stopIfTrue="1">
      <formula>LEN(TRIM(F100))=0</formula>
    </cfRule>
  </conditionalFormatting>
  <conditionalFormatting sqref="E134:Q134">
    <cfRule type="containsBlanks" dxfId="1985" priority="3679" stopIfTrue="1">
      <formula>LEN(TRIM(E134))=0</formula>
    </cfRule>
    <cfRule type="cellIs" dxfId="1984" priority="3680" stopIfTrue="1" operator="between">
      <formula>79.1</formula>
      <formula>100</formula>
    </cfRule>
    <cfRule type="cellIs" dxfId="1983" priority="3681" stopIfTrue="1" operator="between">
      <formula>34.1</formula>
      <formula>79</formula>
    </cfRule>
    <cfRule type="cellIs" dxfId="1982" priority="3682" stopIfTrue="1" operator="between">
      <formula>13.1</formula>
      <formula>34</formula>
    </cfRule>
    <cfRule type="cellIs" dxfId="1981" priority="3683" stopIfTrue="1" operator="between">
      <formula>5.1</formula>
      <formula>13</formula>
    </cfRule>
    <cfRule type="cellIs" dxfId="1980" priority="3684" stopIfTrue="1" operator="between">
      <formula>0</formula>
      <formula>5</formula>
    </cfRule>
    <cfRule type="containsBlanks" dxfId="1979" priority="3685" stopIfTrue="1">
      <formula>LEN(TRIM(E134))=0</formula>
    </cfRule>
  </conditionalFormatting>
  <conditionalFormatting sqref="E135:Q135">
    <cfRule type="containsBlanks" dxfId="1978" priority="3672" stopIfTrue="1">
      <formula>LEN(TRIM(E135))=0</formula>
    </cfRule>
    <cfRule type="cellIs" dxfId="1977" priority="3673" stopIfTrue="1" operator="between">
      <formula>79.1</formula>
      <formula>100</formula>
    </cfRule>
    <cfRule type="cellIs" dxfId="1976" priority="3674" stopIfTrue="1" operator="between">
      <formula>34.1</formula>
      <formula>79</formula>
    </cfRule>
    <cfRule type="cellIs" dxfId="1975" priority="3675" stopIfTrue="1" operator="between">
      <formula>13.1</formula>
      <formula>34</formula>
    </cfRule>
    <cfRule type="cellIs" dxfId="1974" priority="3676" stopIfTrue="1" operator="between">
      <formula>5.1</formula>
      <formula>13</formula>
    </cfRule>
    <cfRule type="cellIs" dxfId="1973" priority="3677" stopIfTrue="1" operator="between">
      <formula>0</formula>
      <formula>5</formula>
    </cfRule>
    <cfRule type="containsBlanks" dxfId="1972" priority="3678" stopIfTrue="1">
      <formula>LEN(TRIM(E135))=0</formula>
    </cfRule>
  </conditionalFormatting>
  <conditionalFormatting sqref="E136:Q136">
    <cfRule type="containsBlanks" dxfId="1971" priority="3665" stopIfTrue="1">
      <formula>LEN(TRIM(E136))=0</formula>
    </cfRule>
    <cfRule type="cellIs" dxfId="1970" priority="3666" stopIfTrue="1" operator="between">
      <formula>79.1</formula>
      <formula>100</formula>
    </cfRule>
    <cfRule type="cellIs" dxfId="1969" priority="3667" stopIfTrue="1" operator="between">
      <formula>34.1</formula>
      <formula>79</formula>
    </cfRule>
    <cfRule type="cellIs" dxfId="1968" priority="3668" stopIfTrue="1" operator="between">
      <formula>13.1</formula>
      <formula>34</formula>
    </cfRule>
    <cfRule type="cellIs" dxfId="1967" priority="3669" stopIfTrue="1" operator="between">
      <formula>5.1</formula>
      <formula>13</formula>
    </cfRule>
    <cfRule type="cellIs" dxfId="1966" priority="3670" stopIfTrue="1" operator="between">
      <formula>0</formula>
      <formula>5</formula>
    </cfRule>
    <cfRule type="containsBlanks" dxfId="1965" priority="3671" stopIfTrue="1">
      <formula>LEN(TRIM(E136))=0</formula>
    </cfRule>
  </conditionalFormatting>
  <conditionalFormatting sqref="E137:Q137">
    <cfRule type="containsBlanks" dxfId="1964" priority="3658" stopIfTrue="1">
      <formula>LEN(TRIM(E137))=0</formula>
    </cfRule>
    <cfRule type="cellIs" dxfId="1963" priority="3659" stopIfTrue="1" operator="between">
      <formula>79.1</formula>
      <formula>100</formula>
    </cfRule>
    <cfRule type="cellIs" dxfId="1962" priority="3660" stopIfTrue="1" operator="between">
      <formula>34.1</formula>
      <formula>79</formula>
    </cfRule>
    <cfRule type="cellIs" dxfId="1961" priority="3661" stopIfTrue="1" operator="between">
      <formula>13.1</formula>
      <formula>34</formula>
    </cfRule>
    <cfRule type="cellIs" dxfId="1960" priority="3662" stopIfTrue="1" operator="between">
      <formula>5.1</formula>
      <formula>13</formula>
    </cfRule>
    <cfRule type="cellIs" dxfId="1959" priority="3663" stopIfTrue="1" operator="between">
      <formula>0</formula>
      <formula>5</formula>
    </cfRule>
    <cfRule type="containsBlanks" dxfId="1958" priority="3664" stopIfTrue="1">
      <formula>LEN(TRIM(E137))=0</formula>
    </cfRule>
  </conditionalFormatting>
  <conditionalFormatting sqref="E138:Q138">
    <cfRule type="containsBlanks" dxfId="1957" priority="3651" stopIfTrue="1">
      <formula>LEN(TRIM(E138))=0</formula>
    </cfRule>
    <cfRule type="cellIs" dxfId="1956" priority="3652" stopIfTrue="1" operator="between">
      <formula>79.1</formula>
      <formula>100</formula>
    </cfRule>
    <cfRule type="cellIs" dxfId="1955" priority="3653" stopIfTrue="1" operator="between">
      <formula>34.1</formula>
      <formula>79</formula>
    </cfRule>
    <cfRule type="cellIs" dxfId="1954" priority="3654" stopIfTrue="1" operator="between">
      <formula>13.1</formula>
      <formula>34</formula>
    </cfRule>
    <cfRule type="cellIs" dxfId="1953" priority="3655" stopIfTrue="1" operator="between">
      <formula>5.1</formula>
      <formula>13</formula>
    </cfRule>
    <cfRule type="cellIs" dxfId="1952" priority="3656" stopIfTrue="1" operator="between">
      <formula>0</formula>
      <formula>5</formula>
    </cfRule>
    <cfRule type="containsBlanks" dxfId="1951" priority="3657" stopIfTrue="1">
      <formula>LEN(TRIM(E138))=0</formula>
    </cfRule>
  </conditionalFormatting>
  <conditionalFormatting sqref="E139:Q139">
    <cfRule type="containsBlanks" dxfId="1950" priority="3644" stopIfTrue="1">
      <formula>LEN(TRIM(E139))=0</formula>
    </cfRule>
    <cfRule type="cellIs" dxfId="1949" priority="3645" stopIfTrue="1" operator="between">
      <formula>79.1</formula>
      <formula>100</formula>
    </cfRule>
    <cfRule type="cellIs" dxfId="1948" priority="3646" stopIfTrue="1" operator="between">
      <formula>34.1</formula>
      <formula>79</formula>
    </cfRule>
    <cfRule type="cellIs" dxfId="1947" priority="3647" stopIfTrue="1" operator="between">
      <formula>13.1</formula>
      <formula>34</formula>
    </cfRule>
    <cfRule type="cellIs" dxfId="1946" priority="3648" stopIfTrue="1" operator="between">
      <formula>5.1</formula>
      <formula>13</formula>
    </cfRule>
    <cfRule type="cellIs" dxfId="1945" priority="3649" stopIfTrue="1" operator="between">
      <formula>0</formula>
      <formula>5</formula>
    </cfRule>
    <cfRule type="containsBlanks" dxfId="1944" priority="3650" stopIfTrue="1">
      <formula>LEN(TRIM(E139))=0</formula>
    </cfRule>
  </conditionalFormatting>
  <conditionalFormatting sqref="E140:Q143">
    <cfRule type="containsBlanks" dxfId="1943" priority="3637" stopIfTrue="1">
      <formula>LEN(TRIM(E140))=0</formula>
    </cfRule>
    <cfRule type="cellIs" dxfId="1942" priority="3638" stopIfTrue="1" operator="between">
      <formula>79.1</formula>
      <formula>100</formula>
    </cfRule>
    <cfRule type="cellIs" dxfId="1941" priority="3639" stopIfTrue="1" operator="between">
      <formula>34.1</formula>
      <formula>79</formula>
    </cfRule>
    <cfRule type="cellIs" dxfId="1940" priority="3640" stopIfTrue="1" operator="between">
      <formula>13.1</formula>
      <formula>34</formula>
    </cfRule>
    <cfRule type="cellIs" dxfId="1939" priority="3641" stopIfTrue="1" operator="between">
      <formula>5.1</formula>
      <formula>13</formula>
    </cfRule>
    <cfRule type="cellIs" dxfId="1938" priority="3642" stopIfTrue="1" operator="between">
      <formula>0</formula>
      <formula>5</formula>
    </cfRule>
    <cfRule type="containsBlanks" dxfId="1937" priority="3643" stopIfTrue="1">
      <formula>LEN(TRIM(E140))=0</formula>
    </cfRule>
  </conditionalFormatting>
  <conditionalFormatting sqref="E144:Q150">
    <cfRule type="containsBlanks" dxfId="1936" priority="3630" stopIfTrue="1">
      <formula>LEN(TRIM(E144))=0</formula>
    </cfRule>
    <cfRule type="cellIs" dxfId="1935" priority="3631" stopIfTrue="1" operator="between">
      <formula>79.1</formula>
      <formula>100</formula>
    </cfRule>
    <cfRule type="cellIs" dxfId="1934" priority="3632" stopIfTrue="1" operator="between">
      <formula>34.1</formula>
      <formula>79</formula>
    </cfRule>
    <cfRule type="cellIs" dxfId="1933" priority="3633" stopIfTrue="1" operator="between">
      <formula>13.1</formula>
      <formula>34</formula>
    </cfRule>
    <cfRule type="cellIs" dxfId="1932" priority="3634" stopIfTrue="1" operator="between">
      <formula>5.1</formula>
      <formula>13</formula>
    </cfRule>
    <cfRule type="cellIs" dxfId="1931" priority="3635" stopIfTrue="1" operator="between">
      <formula>0</formula>
      <formula>5</formula>
    </cfRule>
    <cfRule type="containsBlanks" dxfId="1930" priority="3636" stopIfTrue="1">
      <formula>LEN(TRIM(E144))=0</formula>
    </cfRule>
  </conditionalFormatting>
  <conditionalFormatting sqref="E151:Q151">
    <cfRule type="containsBlanks" dxfId="1929" priority="3623" stopIfTrue="1">
      <formula>LEN(TRIM(E151))=0</formula>
    </cfRule>
    <cfRule type="cellIs" dxfId="1928" priority="3624" stopIfTrue="1" operator="between">
      <formula>79.1</formula>
      <formula>100</formula>
    </cfRule>
    <cfRule type="cellIs" dxfId="1927" priority="3625" stopIfTrue="1" operator="between">
      <formula>34.1</formula>
      <formula>79</formula>
    </cfRule>
    <cfRule type="cellIs" dxfId="1926" priority="3626" stopIfTrue="1" operator="between">
      <formula>13.1</formula>
      <formula>34</formula>
    </cfRule>
    <cfRule type="cellIs" dxfId="1925" priority="3627" stopIfTrue="1" operator="between">
      <formula>5.1</formula>
      <formula>13</formula>
    </cfRule>
    <cfRule type="cellIs" dxfId="1924" priority="3628" stopIfTrue="1" operator="between">
      <formula>0</formula>
      <formula>5</formula>
    </cfRule>
    <cfRule type="containsBlanks" dxfId="1923" priority="3629" stopIfTrue="1">
      <formula>LEN(TRIM(E151))=0</formula>
    </cfRule>
  </conditionalFormatting>
  <conditionalFormatting sqref="E153:Q153">
    <cfRule type="containsBlanks" dxfId="1922" priority="3616" stopIfTrue="1">
      <formula>LEN(TRIM(E153))=0</formula>
    </cfRule>
    <cfRule type="cellIs" dxfId="1921" priority="3617" stopIfTrue="1" operator="between">
      <formula>80.1</formula>
      <formula>100</formula>
    </cfRule>
    <cfRule type="cellIs" dxfId="1920" priority="3618" stopIfTrue="1" operator="between">
      <formula>35.1</formula>
      <formula>80</formula>
    </cfRule>
    <cfRule type="cellIs" dxfId="1919" priority="3619" stopIfTrue="1" operator="between">
      <formula>14.1</formula>
      <formula>35</formula>
    </cfRule>
    <cfRule type="cellIs" dxfId="1918" priority="3620" stopIfTrue="1" operator="between">
      <formula>5.1</formula>
      <formula>14</formula>
    </cfRule>
    <cfRule type="cellIs" dxfId="1917" priority="3621" stopIfTrue="1" operator="between">
      <formula>0</formula>
      <formula>5</formula>
    </cfRule>
    <cfRule type="containsBlanks" dxfId="1916" priority="3622" stopIfTrue="1">
      <formula>LEN(TRIM(E153))=0</formula>
    </cfRule>
  </conditionalFormatting>
  <conditionalFormatting sqref="E154:Q161">
    <cfRule type="containsBlanks" dxfId="1915" priority="3609" stopIfTrue="1">
      <formula>LEN(TRIM(E154))=0</formula>
    </cfRule>
    <cfRule type="cellIs" dxfId="1914" priority="3610" stopIfTrue="1" operator="between">
      <formula>80.1</formula>
      <formula>100</formula>
    </cfRule>
    <cfRule type="cellIs" dxfId="1913" priority="3611" stopIfTrue="1" operator="between">
      <formula>35.1</formula>
      <formula>80</formula>
    </cfRule>
    <cfRule type="cellIs" dxfId="1912" priority="3612" stopIfTrue="1" operator="between">
      <formula>14.1</formula>
      <formula>35</formula>
    </cfRule>
    <cfRule type="cellIs" dxfId="1911" priority="3613" stopIfTrue="1" operator="between">
      <formula>5.1</formula>
      <formula>14</formula>
    </cfRule>
    <cfRule type="cellIs" dxfId="1910" priority="3614" stopIfTrue="1" operator="between">
      <formula>0</formula>
      <formula>5</formula>
    </cfRule>
    <cfRule type="containsBlanks" dxfId="1909" priority="3615" stopIfTrue="1">
      <formula>LEN(TRIM(E154))=0</formula>
    </cfRule>
  </conditionalFormatting>
  <conditionalFormatting sqref="E162:Q165">
    <cfRule type="containsBlanks" dxfId="1908" priority="3588" stopIfTrue="1">
      <formula>LEN(TRIM(E162))=0</formula>
    </cfRule>
    <cfRule type="cellIs" dxfId="1907" priority="3589" stopIfTrue="1" operator="between">
      <formula>80.1</formula>
      <formula>100</formula>
    </cfRule>
    <cfRule type="cellIs" dxfId="1906" priority="3590" stopIfTrue="1" operator="between">
      <formula>35.1</formula>
      <formula>80</formula>
    </cfRule>
    <cfRule type="cellIs" dxfId="1905" priority="3591" stopIfTrue="1" operator="between">
      <formula>14.1</formula>
      <formula>35</formula>
    </cfRule>
    <cfRule type="cellIs" dxfId="1904" priority="3592" stopIfTrue="1" operator="between">
      <formula>5.1</formula>
      <formula>14</formula>
    </cfRule>
    <cfRule type="cellIs" dxfId="1903" priority="3593" stopIfTrue="1" operator="between">
      <formula>0</formula>
      <formula>5</formula>
    </cfRule>
    <cfRule type="containsBlanks" dxfId="1902" priority="3594" stopIfTrue="1">
      <formula>LEN(TRIM(E162))=0</formula>
    </cfRule>
  </conditionalFormatting>
  <conditionalFormatting sqref="E166:Q166">
    <cfRule type="containsBlanks" dxfId="1901" priority="3581" stopIfTrue="1">
      <formula>LEN(TRIM(E166))=0</formula>
    </cfRule>
    <cfRule type="cellIs" dxfId="1900" priority="3582" stopIfTrue="1" operator="between">
      <formula>80.1</formula>
      <formula>100</formula>
    </cfRule>
    <cfRule type="cellIs" dxfId="1899" priority="3583" stopIfTrue="1" operator="between">
      <formula>35.1</formula>
      <formula>80</formula>
    </cfRule>
    <cfRule type="cellIs" dxfId="1898" priority="3584" stopIfTrue="1" operator="between">
      <formula>14.1</formula>
      <formula>35</formula>
    </cfRule>
    <cfRule type="cellIs" dxfId="1897" priority="3585" stopIfTrue="1" operator="between">
      <formula>5.1</formula>
      <formula>14</formula>
    </cfRule>
    <cfRule type="cellIs" dxfId="1896" priority="3586" stopIfTrue="1" operator="between">
      <formula>0</formula>
      <formula>5</formula>
    </cfRule>
    <cfRule type="containsBlanks" dxfId="1895" priority="3587" stopIfTrue="1">
      <formula>LEN(TRIM(E166))=0</formula>
    </cfRule>
  </conditionalFormatting>
  <conditionalFormatting sqref="E167:Q169 E171:Q171">
    <cfRule type="containsBlanks" dxfId="1894" priority="3574" stopIfTrue="1">
      <formula>LEN(TRIM(E167))=0</formula>
    </cfRule>
    <cfRule type="cellIs" dxfId="1893" priority="3575" stopIfTrue="1" operator="between">
      <formula>80.1</formula>
      <formula>100</formula>
    </cfRule>
    <cfRule type="cellIs" dxfId="1892" priority="3576" stopIfTrue="1" operator="between">
      <formula>35.1</formula>
      <formula>80</formula>
    </cfRule>
    <cfRule type="cellIs" dxfId="1891" priority="3577" stopIfTrue="1" operator="between">
      <formula>14.1</formula>
      <formula>35</formula>
    </cfRule>
    <cfRule type="cellIs" dxfId="1890" priority="3578" stopIfTrue="1" operator="between">
      <formula>5.1</formula>
      <formula>14</formula>
    </cfRule>
    <cfRule type="cellIs" dxfId="1889" priority="3579" stopIfTrue="1" operator="between">
      <formula>0</formula>
      <formula>5</formula>
    </cfRule>
    <cfRule type="containsBlanks" dxfId="1888" priority="3580" stopIfTrue="1">
      <formula>LEN(TRIM(E167))=0</formula>
    </cfRule>
  </conditionalFormatting>
  <conditionalFormatting sqref="E170:Q170">
    <cfRule type="containsBlanks" dxfId="1887" priority="3567" stopIfTrue="1">
      <formula>LEN(TRIM(E170))=0</formula>
    </cfRule>
    <cfRule type="cellIs" dxfId="1886" priority="3568" stopIfTrue="1" operator="between">
      <formula>80.1</formula>
      <formula>100</formula>
    </cfRule>
    <cfRule type="cellIs" dxfId="1885" priority="3569" stopIfTrue="1" operator="between">
      <formula>35.1</formula>
      <formula>80</formula>
    </cfRule>
    <cfRule type="cellIs" dxfId="1884" priority="3570" stopIfTrue="1" operator="between">
      <formula>14.1</formula>
      <formula>35</formula>
    </cfRule>
    <cfRule type="cellIs" dxfId="1883" priority="3571" stopIfTrue="1" operator="between">
      <formula>5.1</formula>
      <formula>14</formula>
    </cfRule>
    <cfRule type="cellIs" dxfId="1882" priority="3572" stopIfTrue="1" operator="between">
      <formula>0</formula>
      <formula>5</formula>
    </cfRule>
    <cfRule type="containsBlanks" dxfId="1881" priority="3573" stopIfTrue="1">
      <formula>LEN(TRIM(E170))=0</formula>
    </cfRule>
  </conditionalFormatting>
  <conditionalFormatting sqref="E172:Q172">
    <cfRule type="containsBlanks" dxfId="1880" priority="3560" stopIfTrue="1">
      <formula>LEN(TRIM(E172))=0</formula>
    </cfRule>
    <cfRule type="cellIs" dxfId="1879" priority="3561" stopIfTrue="1" operator="between">
      <formula>80.1</formula>
      <formula>100</formula>
    </cfRule>
    <cfRule type="cellIs" dxfId="1878" priority="3562" stopIfTrue="1" operator="between">
      <formula>35.1</formula>
      <formula>80</formula>
    </cfRule>
    <cfRule type="cellIs" dxfId="1877" priority="3563" stopIfTrue="1" operator="between">
      <formula>14.1</formula>
      <formula>35</formula>
    </cfRule>
    <cfRule type="cellIs" dxfId="1876" priority="3564" stopIfTrue="1" operator="between">
      <formula>5.1</formula>
      <formula>14</formula>
    </cfRule>
    <cfRule type="cellIs" dxfId="1875" priority="3565" stopIfTrue="1" operator="between">
      <formula>0</formula>
      <formula>5</formula>
    </cfRule>
    <cfRule type="containsBlanks" dxfId="1874" priority="3566" stopIfTrue="1">
      <formula>LEN(TRIM(E172))=0</formula>
    </cfRule>
  </conditionalFormatting>
  <conditionalFormatting sqref="E173:Q174">
    <cfRule type="containsBlanks" dxfId="1873" priority="3553" stopIfTrue="1">
      <formula>LEN(TRIM(E173))=0</formula>
    </cfRule>
    <cfRule type="cellIs" dxfId="1872" priority="3554" stopIfTrue="1" operator="between">
      <formula>80.1</formula>
      <formula>100</formula>
    </cfRule>
    <cfRule type="cellIs" dxfId="1871" priority="3555" stopIfTrue="1" operator="between">
      <formula>35.1</formula>
      <formula>80</formula>
    </cfRule>
    <cfRule type="cellIs" dxfId="1870" priority="3556" stopIfTrue="1" operator="between">
      <formula>14.1</formula>
      <formula>35</formula>
    </cfRule>
    <cfRule type="cellIs" dxfId="1869" priority="3557" stopIfTrue="1" operator="between">
      <formula>5.1</formula>
      <formula>14</formula>
    </cfRule>
    <cfRule type="cellIs" dxfId="1868" priority="3558" stopIfTrue="1" operator="between">
      <formula>0</formula>
      <formula>5</formula>
    </cfRule>
    <cfRule type="containsBlanks" dxfId="1867" priority="3559" stopIfTrue="1">
      <formula>LEN(TRIM(E173))=0</formula>
    </cfRule>
  </conditionalFormatting>
  <conditionalFormatting sqref="E175:Q175">
    <cfRule type="containsBlanks" dxfId="1866" priority="3517" stopIfTrue="1">
      <formula>LEN(TRIM(E175))=0</formula>
    </cfRule>
    <cfRule type="cellIs" dxfId="1865" priority="3518" stopIfTrue="1" operator="between">
      <formula>80.1</formula>
      <formula>100</formula>
    </cfRule>
    <cfRule type="cellIs" dxfId="1864" priority="3519" stopIfTrue="1" operator="between">
      <formula>35.1</formula>
      <formula>80</formula>
    </cfRule>
    <cfRule type="cellIs" dxfId="1863" priority="3520" stopIfTrue="1" operator="between">
      <formula>14.1</formula>
      <formula>35</formula>
    </cfRule>
    <cfRule type="cellIs" dxfId="1862" priority="3521" stopIfTrue="1" operator="between">
      <formula>5.1</formula>
      <formula>14</formula>
    </cfRule>
    <cfRule type="cellIs" dxfId="1861" priority="3522" stopIfTrue="1" operator="between">
      <formula>0</formula>
      <formula>5</formula>
    </cfRule>
    <cfRule type="containsBlanks" dxfId="1860" priority="3523" stopIfTrue="1">
      <formula>LEN(TRIM(E175))=0</formula>
    </cfRule>
  </conditionalFormatting>
  <conditionalFormatting sqref="E176:Q176">
    <cfRule type="containsBlanks" dxfId="1859" priority="3510" stopIfTrue="1">
      <formula>LEN(TRIM(E176))=0</formula>
    </cfRule>
    <cfRule type="cellIs" dxfId="1858" priority="3511" stopIfTrue="1" operator="between">
      <formula>80.1</formula>
      <formula>100</formula>
    </cfRule>
    <cfRule type="cellIs" dxfId="1857" priority="3512" stopIfTrue="1" operator="between">
      <formula>35.1</formula>
      <formula>80</formula>
    </cfRule>
    <cfRule type="cellIs" dxfId="1856" priority="3513" stopIfTrue="1" operator="between">
      <formula>14.1</formula>
      <formula>35</formula>
    </cfRule>
    <cfRule type="cellIs" dxfId="1855" priority="3514" stopIfTrue="1" operator="between">
      <formula>5.1</formula>
      <formula>14</formula>
    </cfRule>
    <cfRule type="cellIs" dxfId="1854" priority="3515" stopIfTrue="1" operator="between">
      <formula>0</formula>
      <formula>5</formula>
    </cfRule>
    <cfRule type="containsBlanks" dxfId="1853" priority="3516" stopIfTrue="1">
      <formula>LEN(TRIM(E176))=0</formula>
    </cfRule>
  </conditionalFormatting>
  <conditionalFormatting sqref="E178:Q178">
    <cfRule type="containsBlanks" dxfId="1852" priority="3503" stopIfTrue="1">
      <formula>LEN(TRIM(E178))=0</formula>
    </cfRule>
    <cfRule type="cellIs" dxfId="1851" priority="3504" stopIfTrue="1" operator="between">
      <formula>80.1</formula>
      <formula>100</formula>
    </cfRule>
    <cfRule type="cellIs" dxfId="1850" priority="3505" stopIfTrue="1" operator="between">
      <formula>35.1</formula>
      <formula>80</formula>
    </cfRule>
    <cfRule type="cellIs" dxfId="1849" priority="3506" stopIfTrue="1" operator="between">
      <formula>14.1</formula>
      <formula>35</formula>
    </cfRule>
    <cfRule type="cellIs" dxfId="1848" priority="3507" stopIfTrue="1" operator="between">
      <formula>5.1</formula>
      <formula>14</formula>
    </cfRule>
    <cfRule type="cellIs" dxfId="1847" priority="3508" stopIfTrue="1" operator="between">
      <formula>0</formula>
      <formula>5</formula>
    </cfRule>
    <cfRule type="containsBlanks" dxfId="1846" priority="3509" stopIfTrue="1">
      <formula>LEN(TRIM(E178))=0</formula>
    </cfRule>
  </conditionalFormatting>
  <conditionalFormatting sqref="E179:Q179">
    <cfRule type="containsBlanks" dxfId="1845" priority="3496" stopIfTrue="1">
      <formula>LEN(TRIM(E179))=0</formula>
    </cfRule>
    <cfRule type="cellIs" dxfId="1844" priority="3497" stopIfTrue="1" operator="between">
      <formula>80.1</formula>
      <formula>100</formula>
    </cfRule>
    <cfRule type="cellIs" dxfId="1843" priority="3498" stopIfTrue="1" operator="between">
      <formula>35.1</formula>
      <formula>80</formula>
    </cfRule>
    <cfRule type="cellIs" dxfId="1842" priority="3499" stopIfTrue="1" operator="between">
      <formula>14.1</formula>
      <formula>35</formula>
    </cfRule>
    <cfRule type="cellIs" dxfId="1841" priority="3500" stopIfTrue="1" operator="between">
      <formula>5.1</formula>
      <formula>14</formula>
    </cfRule>
    <cfRule type="cellIs" dxfId="1840" priority="3501" stopIfTrue="1" operator="between">
      <formula>0</formula>
      <formula>5</formula>
    </cfRule>
    <cfRule type="containsBlanks" dxfId="1839" priority="3502" stopIfTrue="1">
      <formula>LEN(TRIM(E179))=0</formula>
    </cfRule>
  </conditionalFormatting>
  <conditionalFormatting sqref="E180:Q180">
    <cfRule type="containsBlanks" dxfId="1838" priority="3489" stopIfTrue="1">
      <formula>LEN(TRIM(E180))=0</formula>
    </cfRule>
    <cfRule type="cellIs" dxfId="1837" priority="3490" stopIfTrue="1" operator="between">
      <formula>80.1</formula>
      <formula>100</formula>
    </cfRule>
    <cfRule type="cellIs" dxfId="1836" priority="3491" stopIfTrue="1" operator="between">
      <formula>35.1</formula>
      <formula>80</formula>
    </cfRule>
    <cfRule type="cellIs" dxfId="1835" priority="3492" stopIfTrue="1" operator="between">
      <formula>14.1</formula>
      <formula>35</formula>
    </cfRule>
    <cfRule type="cellIs" dxfId="1834" priority="3493" stopIfTrue="1" operator="between">
      <formula>5.1</formula>
      <formula>14</formula>
    </cfRule>
    <cfRule type="cellIs" dxfId="1833" priority="3494" stopIfTrue="1" operator="between">
      <formula>0</formula>
      <formula>5</formula>
    </cfRule>
    <cfRule type="containsBlanks" dxfId="1832" priority="3495" stopIfTrue="1">
      <formula>LEN(TRIM(E180))=0</formula>
    </cfRule>
  </conditionalFormatting>
  <conditionalFormatting sqref="E181:Q184">
    <cfRule type="containsBlanks" dxfId="1831" priority="3482" stopIfTrue="1">
      <formula>LEN(TRIM(E181))=0</formula>
    </cfRule>
    <cfRule type="cellIs" dxfId="1830" priority="3483" stopIfTrue="1" operator="between">
      <formula>80.1</formula>
      <formula>100</formula>
    </cfRule>
    <cfRule type="cellIs" dxfId="1829" priority="3484" stopIfTrue="1" operator="between">
      <formula>35.1</formula>
      <formula>80</formula>
    </cfRule>
    <cfRule type="cellIs" dxfId="1828" priority="3485" stopIfTrue="1" operator="between">
      <formula>14.1</formula>
      <formula>35</formula>
    </cfRule>
    <cfRule type="cellIs" dxfId="1827" priority="3486" stopIfTrue="1" operator="between">
      <formula>5.1</formula>
      <formula>14</formula>
    </cfRule>
    <cfRule type="cellIs" dxfId="1826" priority="3487" stopIfTrue="1" operator="between">
      <formula>0</formula>
      <formula>5</formula>
    </cfRule>
    <cfRule type="containsBlanks" dxfId="1825" priority="3488" stopIfTrue="1">
      <formula>LEN(TRIM(E181))=0</formula>
    </cfRule>
  </conditionalFormatting>
  <conditionalFormatting sqref="E185:Q186">
    <cfRule type="containsBlanks" dxfId="1824" priority="3475" stopIfTrue="1">
      <formula>LEN(TRIM(E185))=0</formula>
    </cfRule>
    <cfRule type="cellIs" dxfId="1823" priority="3476" stopIfTrue="1" operator="between">
      <formula>80.1</formula>
      <formula>100</formula>
    </cfRule>
    <cfRule type="cellIs" dxfId="1822" priority="3477" stopIfTrue="1" operator="between">
      <formula>35.1</formula>
      <formula>80</formula>
    </cfRule>
    <cfRule type="cellIs" dxfId="1821" priority="3478" stopIfTrue="1" operator="between">
      <formula>14.1</formula>
      <formula>35</formula>
    </cfRule>
    <cfRule type="cellIs" dxfId="1820" priority="3479" stopIfTrue="1" operator="between">
      <formula>5.1</formula>
      <formula>14</formula>
    </cfRule>
    <cfRule type="cellIs" dxfId="1819" priority="3480" stopIfTrue="1" operator="between">
      <formula>0</formula>
      <formula>5</formula>
    </cfRule>
    <cfRule type="containsBlanks" dxfId="1818" priority="3481" stopIfTrue="1">
      <formula>LEN(TRIM(E185))=0</formula>
    </cfRule>
  </conditionalFormatting>
  <conditionalFormatting sqref="E192:Q192">
    <cfRule type="containsBlanks" dxfId="1817" priority="3468" stopIfTrue="1">
      <formula>LEN(TRIM(E192))=0</formula>
    </cfRule>
    <cfRule type="cellIs" dxfId="1816" priority="3469" stopIfTrue="1" operator="between">
      <formula>80.1</formula>
      <formula>100</formula>
    </cfRule>
    <cfRule type="cellIs" dxfId="1815" priority="3470" stopIfTrue="1" operator="between">
      <formula>35.1</formula>
      <formula>80</formula>
    </cfRule>
    <cfRule type="cellIs" dxfId="1814" priority="3471" stopIfTrue="1" operator="between">
      <formula>14.1</formula>
      <formula>35</formula>
    </cfRule>
    <cfRule type="cellIs" dxfId="1813" priority="3472" stopIfTrue="1" operator="between">
      <formula>5.1</formula>
      <formula>14</formula>
    </cfRule>
    <cfRule type="cellIs" dxfId="1812" priority="3473" stopIfTrue="1" operator="between">
      <formula>0</formula>
      <formula>5</formula>
    </cfRule>
    <cfRule type="containsBlanks" dxfId="1811" priority="3474" stopIfTrue="1">
      <formula>LEN(TRIM(E192))=0</formula>
    </cfRule>
  </conditionalFormatting>
  <conditionalFormatting sqref="E195:Q196">
    <cfRule type="containsBlanks" dxfId="1810" priority="3461" stopIfTrue="1">
      <formula>LEN(TRIM(E195))=0</formula>
    </cfRule>
    <cfRule type="cellIs" dxfId="1809" priority="3462" stopIfTrue="1" operator="between">
      <formula>80.1</formula>
      <formula>100</formula>
    </cfRule>
    <cfRule type="cellIs" dxfId="1808" priority="3463" stopIfTrue="1" operator="between">
      <formula>35.1</formula>
      <formula>80</formula>
    </cfRule>
    <cfRule type="cellIs" dxfId="1807" priority="3464" stopIfTrue="1" operator="between">
      <formula>14.1</formula>
      <formula>35</formula>
    </cfRule>
    <cfRule type="cellIs" dxfId="1806" priority="3465" stopIfTrue="1" operator="between">
      <formula>5.1</formula>
      <formula>14</formula>
    </cfRule>
    <cfRule type="cellIs" dxfId="1805" priority="3466" stopIfTrue="1" operator="between">
      <formula>0</formula>
      <formula>5</formula>
    </cfRule>
    <cfRule type="containsBlanks" dxfId="1804" priority="3467" stopIfTrue="1">
      <formula>LEN(TRIM(E195))=0</formula>
    </cfRule>
  </conditionalFormatting>
  <conditionalFormatting sqref="E193:Q193">
    <cfRule type="containsBlanks" dxfId="1803" priority="3454" stopIfTrue="1">
      <formula>LEN(TRIM(E193))=0</formula>
    </cfRule>
    <cfRule type="cellIs" dxfId="1802" priority="3455" stopIfTrue="1" operator="between">
      <formula>80.1</formula>
      <formula>100</formula>
    </cfRule>
    <cfRule type="cellIs" dxfId="1801" priority="3456" stopIfTrue="1" operator="between">
      <formula>35.1</formula>
      <formula>80</formula>
    </cfRule>
    <cfRule type="cellIs" dxfId="1800" priority="3457" stopIfTrue="1" operator="between">
      <formula>14.1</formula>
      <formula>35</formula>
    </cfRule>
    <cfRule type="cellIs" dxfId="1799" priority="3458" stopIfTrue="1" operator="between">
      <formula>5.1</formula>
      <formula>14</formula>
    </cfRule>
    <cfRule type="cellIs" dxfId="1798" priority="3459" stopIfTrue="1" operator="between">
      <formula>0</formula>
      <formula>5</formula>
    </cfRule>
    <cfRule type="containsBlanks" dxfId="1797" priority="3460" stopIfTrue="1">
      <formula>LEN(TRIM(E193))=0</formula>
    </cfRule>
  </conditionalFormatting>
  <conditionalFormatting sqref="E202:Q207">
    <cfRule type="containsBlanks" dxfId="1796" priority="3447" stopIfTrue="1">
      <formula>LEN(TRIM(E202))=0</formula>
    </cfRule>
    <cfRule type="cellIs" dxfId="1795" priority="3448" stopIfTrue="1" operator="between">
      <formula>80.1</formula>
      <formula>100</formula>
    </cfRule>
    <cfRule type="cellIs" dxfId="1794" priority="3449" stopIfTrue="1" operator="between">
      <formula>35.1</formula>
      <formula>80</formula>
    </cfRule>
    <cfRule type="cellIs" dxfId="1793" priority="3450" stopIfTrue="1" operator="between">
      <formula>14.1</formula>
      <formula>35</formula>
    </cfRule>
    <cfRule type="cellIs" dxfId="1792" priority="3451" stopIfTrue="1" operator="between">
      <formula>5.1</formula>
      <formula>14</formula>
    </cfRule>
    <cfRule type="cellIs" dxfId="1791" priority="3452" stopIfTrue="1" operator="between">
      <formula>0</formula>
      <formula>5</formula>
    </cfRule>
    <cfRule type="containsBlanks" dxfId="1790" priority="3453" stopIfTrue="1">
      <formula>LEN(TRIM(E202))=0</formula>
    </cfRule>
  </conditionalFormatting>
  <conditionalFormatting sqref="E228:Q228">
    <cfRule type="containsBlanks" dxfId="1789" priority="3433" stopIfTrue="1">
      <formula>LEN(TRIM(E228))=0</formula>
    </cfRule>
    <cfRule type="cellIs" dxfId="1788" priority="3434" stopIfTrue="1" operator="between">
      <formula>79.1</formula>
      <formula>100</formula>
    </cfRule>
    <cfRule type="cellIs" dxfId="1787" priority="3435" stopIfTrue="1" operator="between">
      <formula>34.1</formula>
      <formula>79</formula>
    </cfRule>
    <cfRule type="cellIs" dxfId="1786" priority="3436" stopIfTrue="1" operator="between">
      <formula>13.1</formula>
      <formula>34</formula>
    </cfRule>
    <cfRule type="cellIs" dxfId="1785" priority="3437" stopIfTrue="1" operator="between">
      <formula>5.1</formula>
      <formula>13</formula>
    </cfRule>
    <cfRule type="cellIs" dxfId="1784" priority="3438" stopIfTrue="1" operator="between">
      <formula>0</formula>
      <formula>5</formula>
    </cfRule>
    <cfRule type="containsBlanks" dxfId="1783" priority="3439" stopIfTrue="1">
      <formula>LEN(TRIM(E228))=0</formula>
    </cfRule>
  </conditionalFormatting>
  <conditionalFormatting sqref="E237:Q237">
    <cfRule type="containsBlanks" dxfId="1782" priority="3412" stopIfTrue="1">
      <formula>LEN(TRIM(E237))=0</formula>
    </cfRule>
    <cfRule type="cellIs" dxfId="1781" priority="3413" stopIfTrue="1" operator="between">
      <formula>79.1</formula>
      <formula>100</formula>
    </cfRule>
    <cfRule type="cellIs" dxfId="1780" priority="3414" stopIfTrue="1" operator="between">
      <formula>34.1</formula>
      <formula>79</formula>
    </cfRule>
    <cfRule type="cellIs" dxfId="1779" priority="3415" stopIfTrue="1" operator="between">
      <formula>13.1</formula>
      <formula>34</formula>
    </cfRule>
    <cfRule type="cellIs" dxfId="1778" priority="3416" stopIfTrue="1" operator="between">
      <formula>5.1</formula>
      <formula>13</formula>
    </cfRule>
    <cfRule type="cellIs" dxfId="1777" priority="3417" stopIfTrue="1" operator="between">
      <formula>0</formula>
      <formula>5</formula>
    </cfRule>
    <cfRule type="containsBlanks" dxfId="1776" priority="3418" stopIfTrue="1">
      <formula>LEN(TRIM(E237))=0</formula>
    </cfRule>
  </conditionalFormatting>
  <conditionalFormatting sqref="E232:Q232">
    <cfRule type="containsBlanks" dxfId="1775" priority="3419" stopIfTrue="1">
      <formula>LEN(TRIM(E232))=0</formula>
    </cfRule>
    <cfRule type="cellIs" dxfId="1774" priority="3420" stopIfTrue="1" operator="between">
      <formula>79.1</formula>
      <formula>100</formula>
    </cfRule>
    <cfRule type="cellIs" dxfId="1773" priority="3421" stopIfTrue="1" operator="between">
      <formula>34.1</formula>
      <formula>79</formula>
    </cfRule>
    <cfRule type="cellIs" dxfId="1772" priority="3422" stopIfTrue="1" operator="between">
      <formula>13.1</formula>
      <formula>34</formula>
    </cfRule>
    <cfRule type="cellIs" dxfId="1771" priority="3423" stopIfTrue="1" operator="between">
      <formula>5.1</formula>
      <formula>13</formula>
    </cfRule>
    <cfRule type="cellIs" dxfId="1770" priority="3424" stopIfTrue="1" operator="between">
      <formula>0</formula>
      <formula>5</formula>
    </cfRule>
    <cfRule type="containsBlanks" dxfId="1769" priority="3425" stopIfTrue="1">
      <formula>LEN(TRIM(E232))=0</formula>
    </cfRule>
  </conditionalFormatting>
  <conditionalFormatting sqref="E262:Q262">
    <cfRule type="containsBlanks" dxfId="1768" priority="3405" stopIfTrue="1">
      <formula>LEN(TRIM(E262))=0</formula>
    </cfRule>
    <cfRule type="cellIs" dxfId="1767" priority="3406" stopIfTrue="1" operator="between">
      <formula>79.1</formula>
      <formula>100</formula>
    </cfRule>
    <cfRule type="cellIs" dxfId="1766" priority="3407" stopIfTrue="1" operator="between">
      <formula>34.1</formula>
      <formula>79</formula>
    </cfRule>
    <cfRule type="cellIs" dxfId="1765" priority="3408" stopIfTrue="1" operator="between">
      <formula>13.1</formula>
      <formula>34</formula>
    </cfRule>
    <cfRule type="cellIs" dxfId="1764" priority="3409" stopIfTrue="1" operator="between">
      <formula>5.1</formula>
      <formula>13</formula>
    </cfRule>
    <cfRule type="cellIs" dxfId="1763" priority="3410" stopIfTrue="1" operator="between">
      <formula>0</formula>
      <formula>5</formula>
    </cfRule>
    <cfRule type="containsBlanks" dxfId="1762" priority="3411" stopIfTrue="1">
      <formula>LEN(TRIM(E262))=0</formula>
    </cfRule>
  </conditionalFormatting>
  <conditionalFormatting sqref="E241:Q241">
    <cfRule type="containsBlanks" dxfId="1761" priority="3398" stopIfTrue="1">
      <formula>LEN(TRIM(E241))=0</formula>
    </cfRule>
    <cfRule type="cellIs" dxfId="1760" priority="3399" stopIfTrue="1" operator="between">
      <formula>79.1</formula>
      <formula>100</formula>
    </cfRule>
    <cfRule type="cellIs" dxfId="1759" priority="3400" stopIfTrue="1" operator="between">
      <formula>34.1</formula>
      <formula>79</formula>
    </cfRule>
    <cfRule type="cellIs" dxfId="1758" priority="3401" stopIfTrue="1" operator="between">
      <formula>13.1</formula>
      <formula>34</formula>
    </cfRule>
    <cfRule type="cellIs" dxfId="1757" priority="3402" stopIfTrue="1" operator="between">
      <formula>5.1</formula>
      <formula>13</formula>
    </cfRule>
    <cfRule type="cellIs" dxfId="1756" priority="3403" stopIfTrue="1" operator="between">
      <formula>0</formula>
      <formula>5</formula>
    </cfRule>
    <cfRule type="containsBlanks" dxfId="1755" priority="3404" stopIfTrue="1">
      <formula>LEN(TRIM(E241))=0</formula>
    </cfRule>
  </conditionalFormatting>
  <conditionalFormatting sqref="E252:Q252">
    <cfRule type="containsBlanks" dxfId="1754" priority="3391" stopIfTrue="1">
      <formula>LEN(TRIM(E252))=0</formula>
    </cfRule>
    <cfRule type="cellIs" dxfId="1753" priority="3392" stopIfTrue="1" operator="between">
      <formula>79.1</formula>
      <formula>100</formula>
    </cfRule>
    <cfRule type="cellIs" dxfId="1752" priority="3393" stopIfTrue="1" operator="between">
      <formula>34.1</formula>
      <formula>79</formula>
    </cfRule>
    <cfRule type="cellIs" dxfId="1751" priority="3394" stopIfTrue="1" operator="between">
      <formula>13.1</formula>
      <formula>34</formula>
    </cfRule>
    <cfRule type="cellIs" dxfId="1750" priority="3395" stopIfTrue="1" operator="between">
      <formula>5.1</formula>
      <formula>13</formula>
    </cfRule>
    <cfRule type="cellIs" dxfId="1749" priority="3396" stopIfTrue="1" operator="between">
      <formula>0</formula>
      <formula>5</formula>
    </cfRule>
    <cfRule type="containsBlanks" dxfId="1748" priority="3397" stopIfTrue="1">
      <formula>LEN(TRIM(E252))=0</formula>
    </cfRule>
  </conditionalFormatting>
  <conditionalFormatting sqref="E234:Q234">
    <cfRule type="containsBlanks" dxfId="1747" priority="3384" stopIfTrue="1">
      <formula>LEN(TRIM(E234))=0</formula>
    </cfRule>
    <cfRule type="cellIs" dxfId="1746" priority="3385" stopIfTrue="1" operator="between">
      <formula>79.1</formula>
      <formula>100</formula>
    </cfRule>
    <cfRule type="cellIs" dxfId="1745" priority="3386" stopIfTrue="1" operator="between">
      <formula>34.1</formula>
      <formula>79</formula>
    </cfRule>
    <cfRule type="cellIs" dxfId="1744" priority="3387" stopIfTrue="1" operator="between">
      <formula>13.1</formula>
      <formula>34</formula>
    </cfRule>
    <cfRule type="cellIs" dxfId="1743" priority="3388" stopIfTrue="1" operator="between">
      <formula>5.1</formula>
      <formula>13</formula>
    </cfRule>
    <cfRule type="cellIs" dxfId="1742" priority="3389" stopIfTrue="1" operator="between">
      <formula>0</formula>
      <formula>5</formula>
    </cfRule>
    <cfRule type="containsBlanks" dxfId="1741" priority="3390" stopIfTrue="1">
      <formula>LEN(TRIM(E234))=0</formula>
    </cfRule>
  </conditionalFormatting>
  <conditionalFormatting sqref="E235:Q235">
    <cfRule type="containsBlanks" dxfId="1740" priority="3377" stopIfTrue="1">
      <formula>LEN(TRIM(E235))=0</formula>
    </cfRule>
    <cfRule type="cellIs" dxfId="1739" priority="3378" stopIfTrue="1" operator="between">
      <formula>79.1</formula>
      <formula>100</formula>
    </cfRule>
    <cfRule type="cellIs" dxfId="1738" priority="3379" stopIfTrue="1" operator="between">
      <formula>34.1</formula>
      <formula>79</formula>
    </cfRule>
    <cfRule type="cellIs" dxfId="1737" priority="3380" stopIfTrue="1" operator="between">
      <formula>13.1</formula>
      <formula>34</formula>
    </cfRule>
    <cfRule type="cellIs" dxfId="1736" priority="3381" stopIfTrue="1" operator="between">
      <formula>5.1</formula>
      <formula>13</formula>
    </cfRule>
    <cfRule type="cellIs" dxfId="1735" priority="3382" stopIfTrue="1" operator="between">
      <formula>0</formula>
      <formula>5</formula>
    </cfRule>
    <cfRule type="containsBlanks" dxfId="1734" priority="3383" stopIfTrue="1">
      <formula>LEN(TRIM(E235))=0</formula>
    </cfRule>
  </conditionalFormatting>
  <conditionalFormatting sqref="E236:Q236">
    <cfRule type="containsBlanks" dxfId="1733" priority="3370" stopIfTrue="1">
      <formula>LEN(TRIM(E236))=0</formula>
    </cfRule>
    <cfRule type="cellIs" dxfId="1732" priority="3371" stopIfTrue="1" operator="between">
      <formula>79.1</formula>
      <formula>100</formula>
    </cfRule>
    <cfRule type="cellIs" dxfId="1731" priority="3372" stopIfTrue="1" operator="between">
      <formula>34.1</formula>
      <formula>79</formula>
    </cfRule>
    <cfRule type="cellIs" dxfId="1730" priority="3373" stopIfTrue="1" operator="between">
      <formula>13.1</formula>
      <formula>34</formula>
    </cfRule>
    <cfRule type="cellIs" dxfId="1729" priority="3374" stopIfTrue="1" operator="between">
      <formula>5.1</formula>
      <formula>13</formula>
    </cfRule>
    <cfRule type="cellIs" dxfId="1728" priority="3375" stopIfTrue="1" operator="between">
      <formula>0</formula>
      <formula>5</formula>
    </cfRule>
    <cfRule type="containsBlanks" dxfId="1727" priority="3376" stopIfTrue="1">
      <formula>LEN(TRIM(E236))=0</formula>
    </cfRule>
  </conditionalFormatting>
  <conditionalFormatting sqref="E229:Q229">
    <cfRule type="containsBlanks" dxfId="1726" priority="3363" stopIfTrue="1">
      <formula>LEN(TRIM(E229))=0</formula>
    </cfRule>
    <cfRule type="cellIs" dxfId="1725" priority="3364" stopIfTrue="1" operator="between">
      <formula>79.1</formula>
      <formula>100</formula>
    </cfRule>
    <cfRule type="cellIs" dxfId="1724" priority="3365" stopIfTrue="1" operator="between">
      <formula>34.1</formula>
      <formula>79</formula>
    </cfRule>
    <cfRule type="cellIs" dxfId="1723" priority="3366" stopIfTrue="1" operator="between">
      <formula>13.1</formula>
      <formula>34</formula>
    </cfRule>
    <cfRule type="cellIs" dxfId="1722" priority="3367" stopIfTrue="1" operator="between">
      <formula>5.1</formula>
      <formula>13</formula>
    </cfRule>
    <cfRule type="cellIs" dxfId="1721" priority="3368" stopIfTrue="1" operator="between">
      <formula>0</formula>
      <formula>5</formula>
    </cfRule>
    <cfRule type="containsBlanks" dxfId="1720" priority="3369" stopIfTrue="1">
      <formula>LEN(TRIM(E229))=0</formula>
    </cfRule>
  </conditionalFormatting>
  <conditionalFormatting sqref="E240:Q240">
    <cfRule type="containsBlanks" dxfId="1719" priority="3356" stopIfTrue="1">
      <formula>LEN(TRIM(E240))=0</formula>
    </cfRule>
    <cfRule type="cellIs" dxfId="1718" priority="3357" stopIfTrue="1" operator="between">
      <formula>79.1</formula>
      <formula>100</formula>
    </cfRule>
    <cfRule type="cellIs" dxfId="1717" priority="3358" stopIfTrue="1" operator="between">
      <formula>34.1</formula>
      <formula>79</formula>
    </cfRule>
    <cfRule type="cellIs" dxfId="1716" priority="3359" stopIfTrue="1" operator="between">
      <formula>13.1</formula>
      <formula>34</formula>
    </cfRule>
    <cfRule type="cellIs" dxfId="1715" priority="3360" stopIfTrue="1" operator="between">
      <formula>5.1</formula>
      <formula>13</formula>
    </cfRule>
    <cfRule type="cellIs" dxfId="1714" priority="3361" stopIfTrue="1" operator="between">
      <formula>0</formula>
      <formula>5</formula>
    </cfRule>
    <cfRule type="containsBlanks" dxfId="1713" priority="3362" stopIfTrue="1">
      <formula>LEN(TRIM(E240))=0</formula>
    </cfRule>
  </conditionalFormatting>
  <conditionalFormatting sqref="E242:Q242">
    <cfRule type="containsBlanks" dxfId="1712" priority="3349" stopIfTrue="1">
      <formula>LEN(TRIM(E242))=0</formula>
    </cfRule>
    <cfRule type="cellIs" dxfId="1711" priority="3350" stopIfTrue="1" operator="between">
      <formula>79.1</formula>
      <formula>100</formula>
    </cfRule>
    <cfRule type="cellIs" dxfId="1710" priority="3351" stopIfTrue="1" operator="between">
      <formula>34.1</formula>
      <formula>79</formula>
    </cfRule>
    <cfRule type="cellIs" dxfId="1709" priority="3352" stopIfTrue="1" operator="between">
      <formula>13.1</formula>
      <formula>34</formula>
    </cfRule>
    <cfRule type="cellIs" dxfId="1708" priority="3353" stopIfTrue="1" operator="between">
      <formula>5.1</formula>
      <formula>13</formula>
    </cfRule>
    <cfRule type="cellIs" dxfId="1707" priority="3354" stopIfTrue="1" operator="between">
      <formula>0</formula>
      <formula>5</formula>
    </cfRule>
    <cfRule type="containsBlanks" dxfId="1706" priority="3355" stopIfTrue="1">
      <formula>LEN(TRIM(E242))=0</formula>
    </cfRule>
  </conditionalFormatting>
  <conditionalFormatting sqref="E245:Q245">
    <cfRule type="containsBlanks" dxfId="1705" priority="3342" stopIfTrue="1">
      <formula>LEN(TRIM(E245))=0</formula>
    </cfRule>
    <cfRule type="cellIs" dxfId="1704" priority="3343" stopIfTrue="1" operator="between">
      <formula>79.1</formula>
      <formula>100</formula>
    </cfRule>
    <cfRule type="cellIs" dxfId="1703" priority="3344" stopIfTrue="1" operator="between">
      <formula>34.1</formula>
      <formula>79</formula>
    </cfRule>
    <cfRule type="cellIs" dxfId="1702" priority="3345" stopIfTrue="1" operator="between">
      <formula>13.1</formula>
      <formula>34</formula>
    </cfRule>
    <cfRule type="cellIs" dxfId="1701" priority="3346" stopIfTrue="1" operator="between">
      <formula>5.1</formula>
      <formula>13</formula>
    </cfRule>
    <cfRule type="cellIs" dxfId="1700" priority="3347" stopIfTrue="1" operator="between">
      <formula>0</formula>
      <formula>5</formula>
    </cfRule>
    <cfRule type="containsBlanks" dxfId="1699" priority="3348" stopIfTrue="1">
      <formula>LEN(TRIM(E245))=0</formula>
    </cfRule>
  </conditionalFormatting>
  <conditionalFormatting sqref="E246:Q246">
    <cfRule type="containsBlanks" dxfId="1698" priority="3335" stopIfTrue="1">
      <formula>LEN(TRIM(E246))=0</formula>
    </cfRule>
    <cfRule type="cellIs" dxfId="1697" priority="3336" stopIfTrue="1" operator="between">
      <formula>79.1</formula>
      <formula>100</formula>
    </cfRule>
    <cfRule type="cellIs" dxfId="1696" priority="3337" stopIfTrue="1" operator="between">
      <formula>34.1</formula>
      <formula>79</formula>
    </cfRule>
    <cfRule type="cellIs" dxfId="1695" priority="3338" stopIfTrue="1" operator="between">
      <formula>13.1</formula>
      <formula>34</formula>
    </cfRule>
    <cfRule type="cellIs" dxfId="1694" priority="3339" stopIfTrue="1" operator="between">
      <formula>5.1</formula>
      <formula>13</formula>
    </cfRule>
    <cfRule type="cellIs" dxfId="1693" priority="3340" stopIfTrue="1" operator="between">
      <formula>0</formula>
      <formula>5</formula>
    </cfRule>
    <cfRule type="containsBlanks" dxfId="1692" priority="3341" stopIfTrue="1">
      <formula>LEN(TRIM(E246))=0</formula>
    </cfRule>
  </conditionalFormatting>
  <conditionalFormatting sqref="E247:Q247">
    <cfRule type="containsBlanks" dxfId="1691" priority="3328" stopIfTrue="1">
      <formula>LEN(TRIM(E247))=0</formula>
    </cfRule>
    <cfRule type="cellIs" dxfId="1690" priority="3329" stopIfTrue="1" operator="between">
      <formula>79.1</formula>
      <formula>100</formula>
    </cfRule>
    <cfRule type="cellIs" dxfId="1689" priority="3330" stopIfTrue="1" operator="between">
      <formula>34.1</formula>
      <formula>79</formula>
    </cfRule>
    <cfRule type="cellIs" dxfId="1688" priority="3331" stopIfTrue="1" operator="between">
      <formula>13.1</formula>
      <formula>34</formula>
    </cfRule>
    <cfRule type="cellIs" dxfId="1687" priority="3332" stopIfTrue="1" operator="between">
      <formula>5.1</formula>
      <formula>13</formula>
    </cfRule>
    <cfRule type="cellIs" dxfId="1686" priority="3333" stopIfTrue="1" operator="between">
      <formula>0</formula>
      <formula>5</formula>
    </cfRule>
    <cfRule type="containsBlanks" dxfId="1685" priority="3334" stopIfTrue="1">
      <formula>LEN(TRIM(E247))=0</formula>
    </cfRule>
  </conditionalFormatting>
  <conditionalFormatting sqref="E248:Q248">
    <cfRule type="containsBlanks" dxfId="1684" priority="3321" stopIfTrue="1">
      <formula>LEN(TRIM(E248))=0</formula>
    </cfRule>
    <cfRule type="cellIs" dxfId="1683" priority="3322" stopIfTrue="1" operator="between">
      <formula>79.1</formula>
      <formula>100</formula>
    </cfRule>
    <cfRule type="cellIs" dxfId="1682" priority="3323" stopIfTrue="1" operator="between">
      <formula>34.1</formula>
      <formula>79</formula>
    </cfRule>
    <cfRule type="cellIs" dxfId="1681" priority="3324" stopIfTrue="1" operator="between">
      <formula>13.1</formula>
      <formula>34</formula>
    </cfRule>
    <cfRule type="cellIs" dxfId="1680" priority="3325" stopIfTrue="1" operator="between">
      <formula>5.1</formula>
      <formula>13</formula>
    </cfRule>
    <cfRule type="cellIs" dxfId="1679" priority="3326" stopIfTrue="1" operator="between">
      <formula>0</formula>
      <formula>5</formula>
    </cfRule>
    <cfRule type="containsBlanks" dxfId="1678" priority="3327" stopIfTrue="1">
      <formula>LEN(TRIM(E248))=0</formula>
    </cfRule>
  </conditionalFormatting>
  <conditionalFormatting sqref="E255:Q255">
    <cfRule type="containsBlanks" dxfId="1677" priority="3314" stopIfTrue="1">
      <formula>LEN(TRIM(E255))=0</formula>
    </cfRule>
    <cfRule type="cellIs" dxfId="1676" priority="3315" stopIfTrue="1" operator="between">
      <formula>79.1</formula>
      <formula>100</formula>
    </cfRule>
    <cfRule type="cellIs" dxfId="1675" priority="3316" stopIfTrue="1" operator="between">
      <formula>34.1</formula>
      <formula>79</formula>
    </cfRule>
    <cfRule type="cellIs" dxfId="1674" priority="3317" stopIfTrue="1" operator="between">
      <formula>13.1</formula>
      <formula>34</formula>
    </cfRule>
    <cfRule type="cellIs" dxfId="1673" priority="3318" stopIfTrue="1" operator="between">
      <formula>5.1</formula>
      <formula>13</formula>
    </cfRule>
    <cfRule type="cellIs" dxfId="1672" priority="3319" stopIfTrue="1" operator="between">
      <formula>0</formula>
      <formula>5</formula>
    </cfRule>
    <cfRule type="containsBlanks" dxfId="1671" priority="3320" stopIfTrue="1">
      <formula>LEN(TRIM(E255))=0</formula>
    </cfRule>
  </conditionalFormatting>
  <conditionalFormatting sqref="E233:Q233">
    <cfRule type="containsBlanks" dxfId="1670" priority="3286" stopIfTrue="1">
      <formula>LEN(TRIM(E233))=0</formula>
    </cfRule>
    <cfRule type="cellIs" dxfId="1669" priority="3287" stopIfTrue="1" operator="between">
      <formula>79.1</formula>
      <formula>100</formula>
    </cfRule>
    <cfRule type="cellIs" dxfId="1668" priority="3288" stopIfTrue="1" operator="between">
      <formula>34.1</formula>
      <formula>79</formula>
    </cfRule>
    <cfRule type="cellIs" dxfId="1667" priority="3289" stopIfTrue="1" operator="between">
      <formula>13.1</formula>
      <formula>34</formula>
    </cfRule>
    <cfRule type="cellIs" dxfId="1666" priority="3290" stopIfTrue="1" operator="between">
      <formula>5.1</formula>
      <formula>13</formula>
    </cfRule>
    <cfRule type="cellIs" dxfId="1665" priority="3291" stopIfTrue="1" operator="between">
      <formula>0</formula>
      <formula>5</formula>
    </cfRule>
    <cfRule type="containsBlanks" dxfId="1664" priority="3292" stopIfTrue="1">
      <formula>LEN(TRIM(E233))=0</formula>
    </cfRule>
  </conditionalFormatting>
  <conditionalFormatting sqref="E265:Q265">
    <cfRule type="containsBlanks" dxfId="1663" priority="3187" stopIfTrue="1">
      <formula>LEN(TRIM(E265))=0</formula>
    </cfRule>
    <cfRule type="cellIs" dxfId="1662" priority="3188" stopIfTrue="1" operator="between">
      <formula>79.1</formula>
      <formula>100</formula>
    </cfRule>
    <cfRule type="cellIs" dxfId="1661" priority="3189" stopIfTrue="1" operator="between">
      <formula>34.1</formula>
      <formula>79</formula>
    </cfRule>
    <cfRule type="cellIs" dxfId="1660" priority="3190" stopIfTrue="1" operator="between">
      <formula>13.1</formula>
      <formula>34</formula>
    </cfRule>
    <cfRule type="cellIs" dxfId="1659" priority="3191" stopIfTrue="1" operator="between">
      <formula>5.1</formula>
      <formula>13</formula>
    </cfRule>
    <cfRule type="cellIs" dxfId="1658" priority="3192" stopIfTrue="1" operator="between">
      <formula>0</formula>
      <formula>5</formula>
    </cfRule>
    <cfRule type="containsBlanks" dxfId="1657" priority="3193" stopIfTrue="1">
      <formula>LEN(TRIM(E265))=0</formula>
    </cfRule>
  </conditionalFormatting>
  <conditionalFormatting sqref="E227:I227">
    <cfRule type="containsBlanks" dxfId="1656" priority="3307" stopIfTrue="1">
      <formula>LEN(TRIM(E227))=0</formula>
    </cfRule>
    <cfRule type="cellIs" dxfId="1655" priority="3308" stopIfTrue="1" operator="between">
      <formula>79.1</formula>
      <formula>100</formula>
    </cfRule>
    <cfRule type="cellIs" dxfId="1654" priority="3309" stopIfTrue="1" operator="between">
      <formula>34.1</formula>
      <formula>79</formula>
    </cfRule>
    <cfRule type="cellIs" dxfId="1653" priority="3310" stopIfTrue="1" operator="between">
      <formula>13.1</formula>
      <formula>34</formula>
    </cfRule>
    <cfRule type="cellIs" dxfId="1652" priority="3311" stopIfTrue="1" operator="between">
      <formula>5.1</formula>
      <formula>13</formula>
    </cfRule>
    <cfRule type="cellIs" dxfId="1651" priority="3312" stopIfTrue="1" operator="between">
      <formula>0</formula>
      <formula>5</formula>
    </cfRule>
    <cfRule type="containsBlanks" dxfId="1650" priority="3313" stopIfTrue="1">
      <formula>LEN(TRIM(E227))=0</formula>
    </cfRule>
  </conditionalFormatting>
  <conditionalFormatting sqref="J227:Q227">
    <cfRule type="containsBlanks" dxfId="1649" priority="3300" stopIfTrue="1">
      <formula>LEN(TRIM(J227))=0</formula>
    </cfRule>
    <cfRule type="cellIs" dxfId="1648" priority="3301" stopIfTrue="1" operator="between">
      <formula>79.1</formula>
      <formula>100</formula>
    </cfRule>
    <cfRule type="cellIs" dxfId="1647" priority="3302" stopIfTrue="1" operator="between">
      <formula>34.1</formula>
      <formula>79</formula>
    </cfRule>
    <cfRule type="cellIs" dxfId="1646" priority="3303" stopIfTrue="1" operator="between">
      <formula>13.1</formula>
      <formula>34</formula>
    </cfRule>
    <cfRule type="cellIs" dxfId="1645" priority="3304" stopIfTrue="1" operator="between">
      <formula>5.1</formula>
      <formula>13</formula>
    </cfRule>
    <cfRule type="cellIs" dxfId="1644" priority="3305" stopIfTrue="1" operator="between">
      <formula>0</formula>
      <formula>5</formula>
    </cfRule>
    <cfRule type="containsBlanks" dxfId="1643" priority="3306" stopIfTrue="1">
      <formula>LEN(TRIM(J227))=0</formula>
    </cfRule>
  </conditionalFormatting>
  <conditionalFormatting sqref="E231:Q231">
    <cfRule type="containsBlanks" dxfId="1642" priority="3293" stopIfTrue="1">
      <formula>LEN(TRIM(E231))=0</formula>
    </cfRule>
    <cfRule type="cellIs" dxfId="1641" priority="3294" stopIfTrue="1" operator="between">
      <formula>79.1</formula>
      <formula>100</formula>
    </cfRule>
    <cfRule type="cellIs" dxfId="1640" priority="3295" stopIfTrue="1" operator="between">
      <formula>34.1</formula>
      <formula>79</formula>
    </cfRule>
    <cfRule type="cellIs" dxfId="1639" priority="3296" stopIfTrue="1" operator="between">
      <formula>13.1</formula>
      <formula>34</formula>
    </cfRule>
    <cfRule type="cellIs" dxfId="1638" priority="3297" stopIfTrue="1" operator="between">
      <formula>5.1</formula>
      <formula>13</formula>
    </cfRule>
    <cfRule type="cellIs" dxfId="1637" priority="3298" stopIfTrue="1" operator="between">
      <formula>0</formula>
      <formula>5</formula>
    </cfRule>
    <cfRule type="containsBlanks" dxfId="1636" priority="3299" stopIfTrue="1">
      <formula>LEN(TRIM(E231))=0</formula>
    </cfRule>
  </conditionalFormatting>
  <conditionalFormatting sqref="R263">
    <cfRule type="cellIs" dxfId="1635" priority="3284" stopIfTrue="1" operator="equal">
      <formula>"NO"</formula>
    </cfRule>
  </conditionalFormatting>
  <conditionalFormatting sqref="E263:Q263">
    <cfRule type="containsBlanks" dxfId="1634" priority="3250" stopIfTrue="1">
      <formula>LEN(TRIM(E263))=0</formula>
    </cfRule>
    <cfRule type="cellIs" dxfId="1633" priority="3251" stopIfTrue="1" operator="between">
      <formula>79.1</formula>
      <formula>100</formula>
    </cfRule>
    <cfRule type="cellIs" dxfId="1632" priority="3252" stopIfTrue="1" operator="between">
      <formula>34.1</formula>
      <formula>79</formula>
    </cfRule>
    <cfRule type="cellIs" dxfId="1631" priority="3253" stopIfTrue="1" operator="between">
      <formula>13.1</formula>
      <formula>34</formula>
    </cfRule>
    <cfRule type="cellIs" dxfId="1630" priority="3254" stopIfTrue="1" operator="between">
      <formula>5.1</formula>
      <formula>13</formula>
    </cfRule>
    <cfRule type="cellIs" dxfId="1629" priority="3255" stopIfTrue="1" operator="between">
      <formula>0</formula>
      <formula>5</formula>
    </cfRule>
    <cfRule type="containsBlanks" dxfId="1628" priority="3256" stopIfTrue="1">
      <formula>LEN(TRIM(E263))=0</formula>
    </cfRule>
  </conditionalFormatting>
  <conditionalFormatting sqref="E259:Q259">
    <cfRule type="containsBlanks" dxfId="1627" priority="3243" stopIfTrue="1">
      <formula>LEN(TRIM(E259))=0</formula>
    </cfRule>
    <cfRule type="cellIs" dxfId="1626" priority="3244" stopIfTrue="1" operator="between">
      <formula>79.1</formula>
      <formula>100</formula>
    </cfRule>
    <cfRule type="cellIs" dxfId="1625" priority="3245" stopIfTrue="1" operator="between">
      <formula>34.1</formula>
      <formula>79</formula>
    </cfRule>
    <cfRule type="cellIs" dxfId="1624" priority="3246" stopIfTrue="1" operator="between">
      <formula>13.1</formula>
      <formula>34</formula>
    </cfRule>
    <cfRule type="cellIs" dxfId="1623" priority="3247" stopIfTrue="1" operator="between">
      <formula>5.1</formula>
      <formula>13</formula>
    </cfRule>
    <cfRule type="cellIs" dxfId="1622" priority="3248" stopIfTrue="1" operator="between">
      <formula>0</formula>
      <formula>5</formula>
    </cfRule>
    <cfRule type="containsBlanks" dxfId="1621" priority="3249" stopIfTrue="1">
      <formula>LEN(TRIM(E259))=0</formula>
    </cfRule>
  </conditionalFormatting>
  <conditionalFormatting sqref="E244:Q244">
    <cfRule type="containsBlanks" dxfId="1620" priority="3236" stopIfTrue="1">
      <formula>LEN(TRIM(E244))=0</formula>
    </cfRule>
    <cfRule type="cellIs" dxfId="1619" priority="3237" stopIfTrue="1" operator="between">
      <formula>79.1</formula>
      <formula>100</formula>
    </cfRule>
    <cfRule type="cellIs" dxfId="1618" priority="3238" stopIfTrue="1" operator="between">
      <formula>34.1</formula>
      <formula>79</formula>
    </cfRule>
    <cfRule type="cellIs" dxfId="1617" priority="3239" stopIfTrue="1" operator="between">
      <formula>13.1</formula>
      <formula>34</formula>
    </cfRule>
    <cfRule type="cellIs" dxfId="1616" priority="3240" stopIfTrue="1" operator="between">
      <formula>5.1</formula>
      <formula>13</formula>
    </cfRule>
    <cfRule type="cellIs" dxfId="1615" priority="3241" stopIfTrue="1" operator="between">
      <formula>0</formula>
      <formula>5</formula>
    </cfRule>
    <cfRule type="containsBlanks" dxfId="1614" priority="3242" stopIfTrue="1">
      <formula>LEN(TRIM(E244))=0</formula>
    </cfRule>
  </conditionalFormatting>
  <conditionalFormatting sqref="E249:Q249">
    <cfRule type="containsBlanks" dxfId="1613" priority="3229" stopIfTrue="1">
      <formula>LEN(TRIM(E249))=0</formula>
    </cfRule>
    <cfRule type="cellIs" dxfId="1612" priority="3230" stopIfTrue="1" operator="between">
      <formula>79.1</formula>
      <formula>100</formula>
    </cfRule>
    <cfRule type="cellIs" dxfId="1611" priority="3231" stopIfTrue="1" operator="between">
      <formula>34.1</formula>
      <formula>79</formula>
    </cfRule>
    <cfRule type="cellIs" dxfId="1610" priority="3232" stopIfTrue="1" operator="between">
      <formula>13.1</formula>
      <formula>34</formula>
    </cfRule>
    <cfRule type="cellIs" dxfId="1609" priority="3233" stopIfTrue="1" operator="between">
      <formula>5.1</formula>
      <formula>13</formula>
    </cfRule>
    <cfRule type="cellIs" dxfId="1608" priority="3234" stopIfTrue="1" operator="between">
      <formula>0</formula>
      <formula>5</formula>
    </cfRule>
    <cfRule type="containsBlanks" dxfId="1607" priority="3235" stopIfTrue="1">
      <formula>LEN(TRIM(E249))=0</formula>
    </cfRule>
  </conditionalFormatting>
  <conditionalFormatting sqref="E250:Q250">
    <cfRule type="containsBlanks" dxfId="1606" priority="3222" stopIfTrue="1">
      <formula>LEN(TRIM(E250))=0</formula>
    </cfRule>
    <cfRule type="cellIs" dxfId="1605" priority="3223" stopIfTrue="1" operator="between">
      <formula>79.1</formula>
      <formula>100</formula>
    </cfRule>
    <cfRule type="cellIs" dxfId="1604" priority="3224" stopIfTrue="1" operator="between">
      <formula>34.1</formula>
      <formula>79</formula>
    </cfRule>
    <cfRule type="cellIs" dxfId="1603" priority="3225" stopIfTrue="1" operator="between">
      <formula>13.1</formula>
      <formula>34</formula>
    </cfRule>
    <cfRule type="cellIs" dxfId="1602" priority="3226" stopIfTrue="1" operator="between">
      <formula>5.1</formula>
      <formula>13</formula>
    </cfRule>
    <cfRule type="cellIs" dxfId="1601" priority="3227" stopIfTrue="1" operator="between">
      <formula>0</formula>
      <formula>5</formula>
    </cfRule>
    <cfRule type="containsBlanks" dxfId="1600" priority="3228" stopIfTrue="1">
      <formula>LEN(TRIM(E250))=0</formula>
    </cfRule>
  </conditionalFormatting>
  <conditionalFormatting sqref="E251:Q251">
    <cfRule type="containsBlanks" dxfId="1599" priority="3215" stopIfTrue="1">
      <formula>LEN(TRIM(E251))=0</formula>
    </cfRule>
    <cfRule type="cellIs" dxfId="1598" priority="3216" stopIfTrue="1" operator="between">
      <formula>79.1</formula>
      <formula>100</formula>
    </cfRule>
    <cfRule type="cellIs" dxfId="1597" priority="3217" stopIfTrue="1" operator="between">
      <formula>34.1</formula>
      <formula>79</formula>
    </cfRule>
    <cfRule type="cellIs" dxfId="1596" priority="3218" stopIfTrue="1" operator="between">
      <formula>13.1</formula>
      <formula>34</formula>
    </cfRule>
    <cfRule type="cellIs" dxfId="1595" priority="3219" stopIfTrue="1" operator="between">
      <formula>5.1</formula>
      <formula>13</formula>
    </cfRule>
    <cfRule type="cellIs" dxfId="1594" priority="3220" stopIfTrue="1" operator="between">
      <formula>0</formula>
      <formula>5</formula>
    </cfRule>
    <cfRule type="containsBlanks" dxfId="1593" priority="3221" stopIfTrue="1">
      <formula>LEN(TRIM(E251))=0</formula>
    </cfRule>
  </conditionalFormatting>
  <conditionalFormatting sqref="E253:Q253">
    <cfRule type="containsBlanks" dxfId="1592" priority="3208" stopIfTrue="1">
      <formula>LEN(TRIM(E253))=0</formula>
    </cfRule>
    <cfRule type="cellIs" dxfId="1591" priority="3209" stopIfTrue="1" operator="between">
      <formula>79.1</formula>
      <formula>100</formula>
    </cfRule>
    <cfRule type="cellIs" dxfId="1590" priority="3210" stopIfTrue="1" operator="between">
      <formula>34.1</formula>
      <formula>79</formula>
    </cfRule>
    <cfRule type="cellIs" dxfId="1589" priority="3211" stopIfTrue="1" operator="between">
      <formula>13.1</formula>
      <formula>34</formula>
    </cfRule>
    <cfRule type="cellIs" dxfId="1588" priority="3212" stopIfTrue="1" operator="between">
      <formula>5.1</formula>
      <formula>13</formula>
    </cfRule>
    <cfRule type="cellIs" dxfId="1587" priority="3213" stopIfTrue="1" operator="between">
      <formula>0</formula>
      <formula>5</formula>
    </cfRule>
    <cfRule type="containsBlanks" dxfId="1586" priority="3214" stopIfTrue="1">
      <formula>LEN(TRIM(E253))=0</formula>
    </cfRule>
  </conditionalFormatting>
  <conditionalFormatting sqref="E254:Q254">
    <cfRule type="containsBlanks" dxfId="1585" priority="3201" stopIfTrue="1">
      <formula>LEN(TRIM(E254))=0</formula>
    </cfRule>
    <cfRule type="cellIs" dxfId="1584" priority="3202" stopIfTrue="1" operator="between">
      <formula>79.1</formula>
      <formula>100</formula>
    </cfRule>
    <cfRule type="cellIs" dxfId="1583" priority="3203" stopIfTrue="1" operator="between">
      <formula>34.1</formula>
      <formula>79</formula>
    </cfRule>
    <cfRule type="cellIs" dxfId="1582" priority="3204" stopIfTrue="1" operator="between">
      <formula>13.1</formula>
      <formula>34</formula>
    </cfRule>
    <cfRule type="cellIs" dxfId="1581" priority="3205" stopIfTrue="1" operator="between">
      <formula>5.1</formula>
      <formula>13</formula>
    </cfRule>
    <cfRule type="cellIs" dxfId="1580" priority="3206" stopIfTrue="1" operator="between">
      <formula>0</formula>
      <formula>5</formula>
    </cfRule>
    <cfRule type="containsBlanks" dxfId="1579" priority="3207" stopIfTrue="1">
      <formula>LEN(TRIM(E254))=0</formula>
    </cfRule>
  </conditionalFormatting>
  <conditionalFormatting sqref="E257:Q257">
    <cfRule type="containsBlanks" dxfId="1578" priority="3194" stopIfTrue="1">
      <formula>LEN(TRIM(E257))=0</formula>
    </cfRule>
    <cfRule type="cellIs" dxfId="1577" priority="3195" stopIfTrue="1" operator="between">
      <formula>79.1</formula>
      <formula>100</formula>
    </cfRule>
    <cfRule type="cellIs" dxfId="1576" priority="3196" stopIfTrue="1" operator="between">
      <formula>34.1</formula>
      <formula>79</formula>
    </cfRule>
    <cfRule type="cellIs" dxfId="1575" priority="3197" stopIfTrue="1" operator="between">
      <formula>13.1</formula>
      <formula>34</formula>
    </cfRule>
    <cfRule type="cellIs" dxfId="1574" priority="3198" stopIfTrue="1" operator="between">
      <formula>5.1</formula>
      <formula>13</formula>
    </cfRule>
    <cfRule type="cellIs" dxfId="1573" priority="3199" stopIfTrue="1" operator="between">
      <formula>0</formula>
      <formula>5</formula>
    </cfRule>
    <cfRule type="containsBlanks" dxfId="1572" priority="3200" stopIfTrue="1">
      <formula>LEN(TRIM(E257))=0</formula>
    </cfRule>
  </conditionalFormatting>
  <conditionalFormatting sqref="E283:Q283">
    <cfRule type="containsBlanks" dxfId="1571" priority="3151" stopIfTrue="1">
      <formula>LEN(TRIM(E283))=0</formula>
    </cfRule>
    <cfRule type="cellIs" dxfId="1570" priority="3152" stopIfTrue="1" operator="between">
      <formula>80.1</formula>
      <formula>100</formula>
    </cfRule>
    <cfRule type="cellIs" dxfId="1569" priority="3153" stopIfTrue="1" operator="between">
      <formula>35.1</formula>
      <formula>80</formula>
    </cfRule>
    <cfRule type="cellIs" dxfId="1568" priority="3154" stopIfTrue="1" operator="between">
      <formula>14.1</formula>
      <formula>35</formula>
    </cfRule>
    <cfRule type="cellIs" dxfId="1567" priority="3155" stopIfTrue="1" operator="between">
      <formula>5.1</formula>
      <formula>14</formula>
    </cfRule>
    <cfRule type="cellIs" dxfId="1566" priority="3156" stopIfTrue="1" operator="between">
      <formula>0</formula>
      <formula>5</formula>
    </cfRule>
    <cfRule type="containsBlanks" dxfId="1565" priority="3157" stopIfTrue="1">
      <formula>LEN(TRIM(E283))=0</formula>
    </cfRule>
  </conditionalFormatting>
  <conditionalFormatting sqref="E284:Q286">
    <cfRule type="containsBlanks" dxfId="1564" priority="3144" stopIfTrue="1">
      <formula>LEN(TRIM(E284))=0</formula>
    </cfRule>
    <cfRule type="cellIs" dxfId="1563" priority="3145" stopIfTrue="1" operator="between">
      <formula>80.1</formula>
      <formula>100</formula>
    </cfRule>
    <cfRule type="cellIs" dxfId="1562" priority="3146" stopIfTrue="1" operator="between">
      <formula>35.1</formula>
      <formula>80</formula>
    </cfRule>
    <cfRule type="cellIs" dxfId="1561" priority="3147" stopIfTrue="1" operator="between">
      <formula>14.1</formula>
      <formula>35</formula>
    </cfRule>
    <cfRule type="cellIs" dxfId="1560" priority="3148" stopIfTrue="1" operator="between">
      <formula>5.1</formula>
      <formula>14</formula>
    </cfRule>
    <cfRule type="cellIs" dxfId="1559" priority="3149" stopIfTrue="1" operator="between">
      <formula>0</formula>
      <formula>5</formula>
    </cfRule>
    <cfRule type="containsBlanks" dxfId="1558" priority="3150" stopIfTrue="1">
      <formula>LEN(TRIM(E284))=0</formula>
    </cfRule>
  </conditionalFormatting>
  <conditionalFormatting sqref="E291:Q291">
    <cfRule type="containsBlanks" dxfId="1557" priority="3137" stopIfTrue="1">
      <formula>LEN(TRIM(E291))=0</formula>
    </cfRule>
    <cfRule type="cellIs" dxfId="1556" priority="3138" stopIfTrue="1" operator="between">
      <formula>80.1</formula>
      <formula>100</formula>
    </cfRule>
    <cfRule type="cellIs" dxfId="1555" priority="3139" stopIfTrue="1" operator="between">
      <formula>35.1</formula>
      <formula>80</formula>
    </cfRule>
    <cfRule type="cellIs" dxfId="1554" priority="3140" stopIfTrue="1" operator="between">
      <formula>14.1</formula>
      <formula>35</formula>
    </cfRule>
    <cfRule type="cellIs" dxfId="1553" priority="3141" stopIfTrue="1" operator="between">
      <formula>5.1</formula>
      <formula>14</formula>
    </cfRule>
    <cfRule type="cellIs" dxfId="1552" priority="3142" stopIfTrue="1" operator="between">
      <formula>0</formula>
      <formula>5</formula>
    </cfRule>
    <cfRule type="containsBlanks" dxfId="1551" priority="3143" stopIfTrue="1">
      <formula>LEN(TRIM(E291))=0</formula>
    </cfRule>
  </conditionalFormatting>
  <conditionalFormatting sqref="E290:Q290">
    <cfRule type="containsBlanks" dxfId="1550" priority="3130" stopIfTrue="1">
      <formula>LEN(TRIM(E290))=0</formula>
    </cfRule>
    <cfRule type="cellIs" dxfId="1549" priority="3131" stopIfTrue="1" operator="between">
      <formula>80.1</formula>
      <formula>100</formula>
    </cfRule>
    <cfRule type="cellIs" dxfId="1548" priority="3132" stopIfTrue="1" operator="between">
      <formula>35.1</formula>
      <formula>80</formula>
    </cfRule>
    <cfRule type="cellIs" dxfId="1547" priority="3133" stopIfTrue="1" operator="between">
      <formula>14.1</formula>
      <formula>35</formula>
    </cfRule>
    <cfRule type="cellIs" dxfId="1546" priority="3134" stopIfTrue="1" operator="between">
      <formula>5.1</formula>
      <formula>14</formula>
    </cfRule>
    <cfRule type="cellIs" dxfId="1545" priority="3135" stopIfTrue="1" operator="between">
      <formula>0</formula>
      <formula>5</formula>
    </cfRule>
    <cfRule type="containsBlanks" dxfId="1544" priority="3136" stopIfTrue="1">
      <formula>LEN(TRIM(E290))=0</formula>
    </cfRule>
  </conditionalFormatting>
  <conditionalFormatting sqref="E296:Q296">
    <cfRule type="containsBlanks" dxfId="1543" priority="3123" stopIfTrue="1">
      <formula>LEN(TRIM(E296))=0</formula>
    </cfRule>
    <cfRule type="cellIs" dxfId="1542" priority="3124" stopIfTrue="1" operator="between">
      <formula>80.1</formula>
      <formula>100</formula>
    </cfRule>
    <cfRule type="cellIs" dxfId="1541" priority="3125" stopIfTrue="1" operator="between">
      <formula>35.1</formula>
      <formula>80</formula>
    </cfRule>
    <cfRule type="cellIs" dxfId="1540" priority="3126" stopIfTrue="1" operator="between">
      <formula>14.1</formula>
      <formula>35</formula>
    </cfRule>
    <cfRule type="cellIs" dxfId="1539" priority="3127" stopIfTrue="1" operator="between">
      <formula>5.1</formula>
      <formula>14</formula>
    </cfRule>
    <cfRule type="cellIs" dxfId="1538" priority="3128" stopIfTrue="1" operator="between">
      <formula>0</formula>
      <formula>5</formula>
    </cfRule>
    <cfRule type="containsBlanks" dxfId="1537" priority="3129" stopIfTrue="1">
      <formula>LEN(TRIM(E296))=0</formula>
    </cfRule>
  </conditionalFormatting>
  <conditionalFormatting sqref="E297:Q297">
    <cfRule type="containsBlanks" dxfId="1536" priority="3116" stopIfTrue="1">
      <formula>LEN(TRIM(E297))=0</formula>
    </cfRule>
    <cfRule type="cellIs" dxfId="1535" priority="3117" stopIfTrue="1" operator="between">
      <formula>80.1</formula>
      <formula>100</formula>
    </cfRule>
    <cfRule type="cellIs" dxfId="1534" priority="3118" stopIfTrue="1" operator="between">
      <formula>35.1</formula>
      <formula>80</formula>
    </cfRule>
    <cfRule type="cellIs" dxfId="1533" priority="3119" stopIfTrue="1" operator="between">
      <formula>14.1</formula>
      <formula>35</formula>
    </cfRule>
    <cfRule type="cellIs" dxfId="1532" priority="3120" stopIfTrue="1" operator="between">
      <formula>5.1</formula>
      <formula>14</formula>
    </cfRule>
    <cfRule type="cellIs" dxfId="1531" priority="3121" stopIfTrue="1" operator="between">
      <formula>0</formula>
      <formula>5</formula>
    </cfRule>
    <cfRule type="containsBlanks" dxfId="1530" priority="3122" stopIfTrue="1">
      <formula>LEN(TRIM(E297))=0</formula>
    </cfRule>
  </conditionalFormatting>
  <conditionalFormatting sqref="E298:Q298">
    <cfRule type="containsBlanks" dxfId="1529" priority="3109" stopIfTrue="1">
      <formula>LEN(TRIM(E298))=0</formula>
    </cfRule>
    <cfRule type="cellIs" dxfId="1528" priority="3110" stopIfTrue="1" operator="between">
      <formula>80.1</formula>
      <formula>100</formula>
    </cfRule>
    <cfRule type="cellIs" dxfId="1527" priority="3111" stopIfTrue="1" operator="between">
      <formula>35.1</formula>
      <formula>80</formula>
    </cfRule>
    <cfRule type="cellIs" dxfId="1526" priority="3112" stopIfTrue="1" operator="between">
      <formula>14.1</formula>
      <formula>35</formula>
    </cfRule>
    <cfRule type="cellIs" dxfId="1525" priority="3113" stopIfTrue="1" operator="between">
      <formula>5.1</formula>
      <formula>14</formula>
    </cfRule>
    <cfRule type="cellIs" dxfId="1524" priority="3114" stopIfTrue="1" operator="between">
      <formula>0</formula>
      <formula>5</formula>
    </cfRule>
    <cfRule type="containsBlanks" dxfId="1523" priority="3115" stopIfTrue="1">
      <formula>LEN(TRIM(E298))=0</formula>
    </cfRule>
  </conditionalFormatting>
  <conditionalFormatting sqref="E299:Q299">
    <cfRule type="containsBlanks" dxfId="1522" priority="3102" stopIfTrue="1">
      <formula>LEN(TRIM(E299))=0</formula>
    </cfRule>
    <cfRule type="cellIs" dxfId="1521" priority="3103" stopIfTrue="1" operator="between">
      <formula>80.1</formula>
      <formula>100</formula>
    </cfRule>
    <cfRule type="cellIs" dxfId="1520" priority="3104" stopIfTrue="1" operator="between">
      <formula>35.1</formula>
      <formula>80</formula>
    </cfRule>
    <cfRule type="cellIs" dxfId="1519" priority="3105" stopIfTrue="1" operator="between">
      <formula>14.1</formula>
      <formula>35</formula>
    </cfRule>
    <cfRule type="cellIs" dxfId="1518" priority="3106" stopIfTrue="1" operator="between">
      <formula>5.1</formula>
      <formula>14</formula>
    </cfRule>
    <cfRule type="cellIs" dxfId="1517" priority="3107" stopIfTrue="1" operator="between">
      <formula>0</formula>
      <formula>5</formula>
    </cfRule>
    <cfRule type="containsBlanks" dxfId="1516" priority="3108" stopIfTrue="1">
      <formula>LEN(TRIM(E299))=0</formula>
    </cfRule>
  </conditionalFormatting>
  <conditionalFormatting sqref="E288:Q288">
    <cfRule type="containsBlanks" dxfId="1515" priority="3095" stopIfTrue="1">
      <formula>LEN(TRIM(E288))=0</formula>
    </cfRule>
    <cfRule type="cellIs" dxfId="1514" priority="3096" stopIfTrue="1" operator="between">
      <formula>80.1</formula>
      <formula>100</formula>
    </cfRule>
    <cfRule type="cellIs" dxfId="1513" priority="3097" stopIfTrue="1" operator="between">
      <formula>35.1</formula>
      <formula>80</formula>
    </cfRule>
    <cfRule type="cellIs" dxfId="1512" priority="3098" stopIfTrue="1" operator="between">
      <formula>14.1</formula>
      <formula>35</formula>
    </cfRule>
    <cfRule type="cellIs" dxfId="1511" priority="3099" stopIfTrue="1" operator="between">
      <formula>5.1</formula>
      <formula>14</formula>
    </cfRule>
    <cfRule type="cellIs" dxfId="1510" priority="3100" stopIfTrue="1" operator="between">
      <formula>0</formula>
      <formula>5</formula>
    </cfRule>
    <cfRule type="containsBlanks" dxfId="1509" priority="3101" stopIfTrue="1">
      <formula>LEN(TRIM(E288))=0</formula>
    </cfRule>
  </conditionalFormatting>
  <conditionalFormatting sqref="E287:Q287">
    <cfRule type="containsBlanks" dxfId="1508" priority="3088" stopIfTrue="1">
      <formula>LEN(TRIM(E287))=0</formula>
    </cfRule>
    <cfRule type="cellIs" dxfId="1507" priority="3089" stopIfTrue="1" operator="between">
      <formula>80.1</formula>
      <formula>100</formula>
    </cfRule>
    <cfRule type="cellIs" dxfId="1506" priority="3090" stopIfTrue="1" operator="between">
      <formula>35.1</formula>
      <formula>80</formula>
    </cfRule>
    <cfRule type="cellIs" dxfId="1505" priority="3091" stopIfTrue="1" operator="between">
      <formula>14.1</formula>
      <formula>35</formula>
    </cfRule>
    <cfRule type="cellIs" dxfId="1504" priority="3092" stopIfTrue="1" operator="between">
      <formula>5.1</formula>
      <formula>14</formula>
    </cfRule>
    <cfRule type="cellIs" dxfId="1503" priority="3093" stopIfTrue="1" operator="between">
      <formula>0</formula>
      <formula>5</formula>
    </cfRule>
    <cfRule type="containsBlanks" dxfId="1502" priority="3094" stopIfTrue="1">
      <formula>LEN(TRIM(E287))=0</formula>
    </cfRule>
  </conditionalFormatting>
  <conditionalFormatting sqref="F278:P278">
    <cfRule type="containsBlanks" dxfId="1501" priority="3081" stopIfTrue="1">
      <formula>LEN(TRIM(F278))=0</formula>
    </cfRule>
    <cfRule type="cellIs" dxfId="1500" priority="3082" stopIfTrue="1" operator="between">
      <formula>79.1</formula>
      <formula>100</formula>
    </cfRule>
    <cfRule type="cellIs" dxfId="1499" priority="3083" stopIfTrue="1" operator="between">
      <formula>34.1</formula>
      <formula>79</formula>
    </cfRule>
    <cfRule type="cellIs" dxfId="1498" priority="3084" stopIfTrue="1" operator="between">
      <formula>13.1</formula>
      <formula>34</formula>
    </cfRule>
    <cfRule type="cellIs" dxfId="1497" priority="3085" stopIfTrue="1" operator="between">
      <formula>5.1</formula>
      <formula>13</formula>
    </cfRule>
    <cfRule type="cellIs" dxfId="1496" priority="3086" stopIfTrue="1" operator="between">
      <formula>0</formula>
      <formula>5</formula>
    </cfRule>
    <cfRule type="containsBlanks" dxfId="1495" priority="3087" stopIfTrue="1">
      <formula>LEN(TRIM(F278))=0</formula>
    </cfRule>
  </conditionalFormatting>
  <conditionalFormatting sqref="E300:P300">
    <cfRule type="containsBlanks" dxfId="1494" priority="3074" stopIfTrue="1">
      <formula>LEN(TRIM(E300))=0</formula>
    </cfRule>
    <cfRule type="cellIs" dxfId="1493" priority="3075" stopIfTrue="1" operator="between">
      <formula>79.1</formula>
      <formula>100</formula>
    </cfRule>
    <cfRule type="cellIs" dxfId="1492" priority="3076" stopIfTrue="1" operator="between">
      <formula>34.1</formula>
      <formula>79</formula>
    </cfRule>
    <cfRule type="cellIs" dxfId="1491" priority="3077" stopIfTrue="1" operator="between">
      <formula>13.1</formula>
      <formula>34</formula>
    </cfRule>
    <cfRule type="cellIs" dxfId="1490" priority="3078" stopIfTrue="1" operator="between">
      <formula>5.1</formula>
      <formula>13</formula>
    </cfRule>
    <cfRule type="cellIs" dxfId="1489" priority="3079" stopIfTrue="1" operator="between">
      <formula>0</formula>
      <formula>5</formula>
    </cfRule>
    <cfRule type="containsBlanks" dxfId="1488" priority="3080" stopIfTrue="1">
      <formula>LEN(TRIM(E300))=0</formula>
    </cfRule>
  </conditionalFormatting>
  <conditionalFormatting sqref="E301:P305">
    <cfRule type="containsBlanks" dxfId="1487" priority="3060" stopIfTrue="1">
      <formula>LEN(TRIM(E301))=0</formula>
    </cfRule>
    <cfRule type="cellIs" dxfId="1486" priority="3061" stopIfTrue="1" operator="between">
      <formula>79.1</formula>
      <formula>100</formula>
    </cfRule>
    <cfRule type="cellIs" dxfId="1485" priority="3062" stopIfTrue="1" operator="between">
      <formula>34.1</formula>
      <formula>79</formula>
    </cfRule>
    <cfRule type="cellIs" dxfId="1484" priority="3063" stopIfTrue="1" operator="between">
      <formula>13.1</formula>
      <formula>34</formula>
    </cfRule>
    <cfRule type="cellIs" dxfId="1483" priority="3064" stopIfTrue="1" operator="between">
      <formula>5.1</formula>
      <formula>13</formula>
    </cfRule>
    <cfRule type="cellIs" dxfId="1482" priority="3065" stopIfTrue="1" operator="between">
      <formula>0</formula>
      <formula>5</formula>
    </cfRule>
    <cfRule type="containsBlanks" dxfId="1481" priority="3066" stopIfTrue="1">
      <formula>LEN(TRIM(E301))=0</formula>
    </cfRule>
  </conditionalFormatting>
  <conditionalFormatting sqref="E307:P307">
    <cfRule type="containsBlanks" dxfId="1480" priority="3053" stopIfTrue="1">
      <formula>LEN(TRIM(E307))=0</formula>
    </cfRule>
    <cfRule type="cellIs" dxfId="1479" priority="3054" stopIfTrue="1" operator="between">
      <formula>79.1</formula>
      <formula>100</formula>
    </cfRule>
    <cfRule type="cellIs" dxfId="1478" priority="3055" stopIfTrue="1" operator="between">
      <formula>34.1</formula>
      <formula>79</formula>
    </cfRule>
    <cfRule type="cellIs" dxfId="1477" priority="3056" stopIfTrue="1" operator="between">
      <formula>13.1</formula>
      <formula>34</formula>
    </cfRule>
    <cfRule type="cellIs" dxfId="1476" priority="3057" stopIfTrue="1" operator="between">
      <formula>5.1</formula>
      <formula>13</formula>
    </cfRule>
    <cfRule type="cellIs" dxfId="1475" priority="3058" stopIfTrue="1" operator="between">
      <formula>0</formula>
      <formula>5</formula>
    </cfRule>
    <cfRule type="containsBlanks" dxfId="1474" priority="3059" stopIfTrue="1">
      <formula>LEN(TRIM(E307))=0</formula>
    </cfRule>
  </conditionalFormatting>
  <conditionalFormatting sqref="E306:P306">
    <cfRule type="containsBlanks" dxfId="1473" priority="3046" stopIfTrue="1">
      <formula>LEN(TRIM(E306))=0</formula>
    </cfRule>
    <cfRule type="cellIs" dxfId="1472" priority="3047" stopIfTrue="1" operator="between">
      <formula>79.1</formula>
      <formula>100</formula>
    </cfRule>
    <cfRule type="cellIs" dxfId="1471" priority="3048" stopIfTrue="1" operator="between">
      <formula>34.1</formula>
      <formula>79</formula>
    </cfRule>
    <cfRule type="cellIs" dxfId="1470" priority="3049" stopIfTrue="1" operator="between">
      <formula>13.1</formula>
      <formula>34</formula>
    </cfRule>
    <cfRule type="cellIs" dxfId="1469" priority="3050" stopIfTrue="1" operator="between">
      <formula>5.1</formula>
      <formula>13</formula>
    </cfRule>
    <cfRule type="cellIs" dxfId="1468" priority="3051" stopIfTrue="1" operator="between">
      <formula>0</formula>
      <formula>5</formula>
    </cfRule>
    <cfRule type="containsBlanks" dxfId="1467" priority="3052" stopIfTrue="1">
      <formula>LEN(TRIM(E306))=0</formula>
    </cfRule>
  </conditionalFormatting>
  <conditionalFormatting sqref="E308:P311">
    <cfRule type="containsBlanks" dxfId="1466" priority="3039" stopIfTrue="1">
      <formula>LEN(TRIM(E308))=0</formula>
    </cfRule>
    <cfRule type="cellIs" dxfId="1465" priority="3040" stopIfTrue="1" operator="between">
      <formula>79.1</formula>
      <formula>100</formula>
    </cfRule>
    <cfRule type="cellIs" dxfId="1464" priority="3041" stopIfTrue="1" operator="between">
      <formula>34.1</formula>
      <formula>79</formula>
    </cfRule>
    <cfRule type="cellIs" dxfId="1463" priority="3042" stopIfTrue="1" operator="between">
      <formula>13.1</formula>
      <formula>34</formula>
    </cfRule>
    <cfRule type="cellIs" dxfId="1462" priority="3043" stopIfTrue="1" operator="between">
      <formula>5.1</formula>
      <formula>13</formula>
    </cfRule>
    <cfRule type="cellIs" dxfId="1461" priority="3044" stopIfTrue="1" operator="between">
      <formula>0</formula>
      <formula>5</formula>
    </cfRule>
    <cfRule type="containsBlanks" dxfId="1460" priority="3045" stopIfTrue="1">
      <formula>LEN(TRIM(E308))=0</formula>
    </cfRule>
  </conditionalFormatting>
  <conditionalFormatting sqref="E312:P315">
    <cfRule type="containsBlanks" dxfId="1459" priority="3032" stopIfTrue="1">
      <formula>LEN(TRIM(E312))=0</formula>
    </cfRule>
    <cfRule type="cellIs" dxfId="1458" priority="3033" stopIfTrue="1" operator="between">
      <formula>79.1</formula>
      <formula>100</formula>
    </cfRule>
    <cfRule type="cellIs" dxfId="1457" priority="3034" stopIfTrue="1" operator="between">
      <formula>34.1</formula>
      <formula>79</formula>
    </cfRule>
    <cfRule type="cellIs" dxfId="1456" priority="3035" stopIfTrue="1" operator="between">
      <formula>13.1</formula>
      <formula>34</formula>
    </cfRule>
    <cfRule type="cellIs" dxfId="1455" priority="3036" stopIfTrue="1" operator="between">
      <formula>5.1</formula>
      <formula>13</formula>
    </cfRule>
    <cfRule type="cellIs" dxfId="1454" priority="3037" stopIfTrue="1" operator="between">
      <formula>0</formula>
      <formula>5</formula>
    </cfRule>
    <cfRule type="containsBlanks" dxfId="1453" priority="3038" stopIfTrue="1">
      <formula>LEN(TRIM(E312))=0</formula>
    </cfRule>
  </conditionalFormatting>
  <conditionalFormatting sqref="E319:Q321">
    <cfRule type="containsBlanks" dxfId="1452" priority="3025" stopIfTrue="1">
      <formula>LEN(TRIM(E319))=0</formula>
    </cfRule>
    <cfRule type="cellIs" dxfId="1451" priority="3026" stopIfTrue="1" operator="between">
      <formula>80.1</formula>
      <formula>100</formula>
    </cfRule>
    <cfRule type="cellIs" dxfId="1450" priority="3027" stopIfTrue="1" operator="between">
      <formula>35.1</formula>
      <formula>80</formula>
    </cfRule>
    <cfRule type="cellIs" dxfId="1449" priority="3028" stopIfTrue="1" operator="between">
      <formula>14.1</formula>
      <formula>35</formula>
    </cfRule>
    <cfRule type="cellIs" dxfId="1448" priority="3029" stopIfTrue="1" operator="between">
      <formula>5.1</formula>
      <formula>14</formula>
    </cfRule>
    <cfRule type="cellIs" dxfId="1447" priority="3030" stopIfTrue="1" operator="between">
      <formula>0</formula>
      <formula>5</formula>
    </cfRule>
    <cfRule type="containsBlanks" dxfId="1446" priority="3031" stopIfTrue="1">
      <formula>LEN(TRIM(E319))=0</formula>
    </cfRule>
  </conditionalFormatting>
  <conditionalFormatting sqref="E322:Q326">
    <cfRule type="containsBlanks" dxfId="1445" priority="3018" stopIfTrue="1">
      <formula>LEN(TRIM(E322))=0</formula>
    </cfRule>
    <cfRule type="cellIs" dxfId="1444" priority="3019" stopIfTrue="1" operator="between">
      <formula>80.1</formula>
      <formula>100</formula>
    </cfRule>
    <cfRule type="cellIs" dxfId="1443" priority="3020" stopIfTrue="1" operator="between">
      <formula>35.1</formula>
      <formula>80</formula>
    </cfRule>
    <cfRule type="cellIs" dxfId="1442" priority="3021" stopIfTrue="1" operator="between">
      <formula>14.1</formula>
      <formula>35</formula>
    </cfRule>
    <cfRule type="cellIs" dxfId="1441" priority="3022" stopIfTrue="1" operator="between">
      <formula>5.1</formula>
      <formula>14</formula>
    </cfRule>
    <cfRule type="cellIs" dxfId="1440" priority="3023" stopIfTrue="1" operator="between">
      <formula>0</formula>
      <formula>5</formula>
    </cfRule>
    <cfRule type="containsBlanks" dxfId="1439" priority="3024" stopIfTrue="1">
      <formula>LEN(TRIM(E322))=0</formula>
    </cfRule>
  </conditionalFormatting>
  <conditionalFormatting sqref="E327:Q330">
    <cfRule type="containsBlanks" dxfId="1438" priority="3011" stopIfTrue="1">
      <formula>LEN(TRIM(E327))=0</formula>
    </cfRule>
    <cfRule type="cellIs" dxfId="1437" priority="3012" stopIfTrue="1" operator="between">
      <formula>80.1</formula>
      <formula>100</formula>
    </cfRule>
    <cfRule type="cellIs" dxfId="1436" priority="3013" stopIfTrue="1" operator="between">
      <formula>35.1</formula>
      <formula>80</formula>
    </cfRule>
    <cfRule type="cellIs" dxfId="1435" priority="3014" stopIfTrue="1" operator="between">
      <formula>14.1</formula>
      <formula>35</formula>
    </cfRule>
    <cfRule type="cellIs" dxfId="1434" priority="3015" stopIfTrue="1" operator="between">
      <formula>5.1</formula>
      <formula>14</formula>
    </cfRule>
    <cfRule type="cellIs" dxfId="1433" priority="3016" stopIfTrue="1" operator="between">
      <formula>0</formula>
      <formula>5</formula>
    </cfRule>
    <cfRule type="containsBlanks" dxfId="1432" priority="3017" stopIfTrue="1">
      <formula>LEN(TRIM(E327))=0</formula>
    </cfRule>
  </conditionalFormatting>
  <conditionalFormatting sqref="E331:Q339">
    <cfRule type="containsBlanks" dxfId="1431" priority="3004" stopIfTrue="1">
      <formula>LEN(TRIM(E331))=0</formula>
    </cfRule>
    <cfRule type="cellIs" dxfId="1430" priority="3005" stopIfTrue="1" operator="between">
      <formula>80.1</formula>
      <formula>100</formula>
    </cfRule>
    <cfRule type="cellIs" dxfId="1429" priority="3006" stopIfTrue="1" operator="between">
      <formula>35.1</formula>
      <formula>80</formula>
    </cfRule>
    <cfRule type="cellIs" dxfId="1428" priority="3007" stopIfTrue="1" operator="between">
      <formula>14.1</formula>
      <formula>35</formula>
    </cfRule>
    <cfRule type="cellIs" dxfId="1427" priority="3008" stopIfTrue="1" operator="between">
      <formula>5.1</formula>
      <formula>14</formula>
    </cfRule>
    <cfRule type="cellIs" dxfId="1426" priority="3009" stopIfTrue="1" operator="between">
      <formula>0</formula>
      <formula>5</formula>
    </cfRule>
    <cfRule type="containsBlanks" dxfId="1425" priority="3010" stopIfTrue="1">
      <formula>LEN(TRIM(E331))=0</formula>
    </cfRule>
  </conditionalFormatting>
  <conditionalFormatting sqref="E340:Q346 E348:Q349">
    <cfRule type="containsBlanks" dxfId="1424" priority="2997" stopIfTrue="1">
      <formula>LEN(TRIM(E340))=0</formula>
    </cfRule>
    <cfRule type="cellIs" dxfId="1423" priority="2998" stopIfTrue="1" operator="between">
      <formula>80.1</formula>
      <formula>100</formula>
    </cfRule>
    <cfRule type="cellIs" dxfId="1422" priority="2999" stopIfTrue="1" operator="between">
      <formula>35.1</formula>
      <formula>80</formula>
    </cfRule>
    <cfRule type="cellIs" dxfId="1421" priority="3000" stopIfTrue="1" operator="between">
      <formula>14.1</formula>
      <formula>35</formula>
    </cfRule>
    <cfRule type="cellIs" dxfId="1420" priority="3001" stopIfTrue="1" operator="between">
      <formula>5.1</formula>
      <formula>14</formula>
    </cfRule>
    <cfRule type="cellIs" dxfId="1419" priority="3002" stopIfTrue="1" operator="between">
      <formula>0</formula>
      <formula>5</formula>
    </cfRule>
    <cfRule type="containsBlanks" dxfId="1418" priority="3003" stopIfTrue="1">
      <formula>LEN(TRIM(E340))=0</formula>
    </cfRule>
  </conditionalFormatting>
  <conditionalFormatting sqref="E347:Q347">
    <cfRule type="containsBlanks" dxfId="1417" priority="2990" stopIfTrue="1">
      <formula>LEN(TRIM(E347))=0</formula>
    </cfRule>
    <cfRule type="cellIs" dxfId="1416" priority="2991" stopIfTrue="1" operator="between">
      <formula>80.1</formula>
      <formula>100</formula>
    </cfRule>
    <cfRule type="cellIs" dxfId="1415" priority="2992" stopIfTrue="1" operator="between">
      <formula>35.1</formula>
      <formula>80</formula>
    </cfRule>
    <cfRule type="cellIs" dxfId="1414" priority="2993" stopIfTrue="1" operator="between">
      <formula>14.1</formula>
      <formula>35</formula>
    </cfRule>
    <cfRule type="cellIs" dxfId="1413" priority="2994" stopIfTrue="1" operator="between">
      <formula>5.1</formula>
      <formula>14</formula>
    </cfRule>
    <cfRule type="cellIs" dxfId="1412" priority="2995" stopIfTrue="1" operator="between">
      <formula>0</formula>
      <formula>5</formula>
    </cfRule>
    <cfRule type="containsBlanks" dxfId="1411" priority="2996" stopIfTrue="1">
      <formula>LEN(TRIM(E347))=0</formula>
    </cfRule>
  </conditionalFormatting>
  <conditionalFormatting sqref="E350:Q355">
    <cfRule type="containsBlanks" dxfId="1410" priority="2983" stopIfTrue="1">
      <formula>LEN(TRIM(E350))=0</formula>
    </cfRule>
    <cfRule type="cellIs" dxfId="1409" priority="2984" stopIfTrue="1" operator="between">
      <formula>80.1</formula>
      <formula>100</formula>
    </cfRule>
    <cfRule type="cellIs" dxfId="1408" priority="2985" stopIfTrue="1" operator="between">
      <formula>35.1</formula>
      <formula>80</formula>
    </cfRule>
    <cfRule type="cellIs" dxfId="1407" priority="2986" stopIfTrue="1" operator="between">
      <formula>14.1</formula>
      <formula>35</formula>
    </cfRule>
    <cfRule type="cellIs" dxfId="1406" priority="2987" stopIfTrue="1" operator="between">
      <formula>5.1</formula>
      <formula>14</formula>
    </cfRule>
    <cfRule type="cellIs" dxfId="1405" priority="2988" stopIfTrue="1" operator="between">
      <formula>0</formula>
      <formula>5</formula>
    </cfRule>
    <cfRule type="containsBlanks" dxfId="1404" priority="2989" stopIfTrue="1">
      <formula>LEN(TRIM(E350))=0</formula>
    </cfRule>
  </conditionalFormatting>
  <conditionalFormatting sqref="E364:J364">
    <cfRule type="containsBlanks" dxfId="1403" priority="2976" stopIfTrue="1">
      <formula>LEN(TRIM(E364))=0</formula>
    </cfRule>
    <cfRule type="cellIs" dxfId="1402" priority="2977" stopIfTrue="1" operator="between">
      <formula>79.1</formula>
      <formula>100</formula>
    </cfRule>
    <cfRule type="cellIs" dxfId="1401" priority="2978" stopIfTrue="1" operator="between">
      <formula>34.1</formula>
      <formula>79</formula>
    </cfRule>
    <cfRule type="cellIs" dxfId="1400" priority="2979" stopIfTrue="1" operator="between">
      <formula>13.1</formula>
      <formula>34</formula>
    </cfRule>
    <cfRule type="cellIs" dxfId="1399" priority="2980" stopIfTrue="1" operator="between">
      <formula>5.1</formula>
      <formula>13</formula>
    </cfRule>
    <cfRule type="cellIs" dxfId="1398" priority="2981" stopIfTrue="1" operator="between">
      <formula>0</formula>
      <formula>5</formula>
    </cfRule>
    <cfRule type="containsBlanks" dxfId="1397" priority="2982" stopIfTrue="1">
      <formula>LEN(TRIM(E364))=0</formula>
    </cfRule>
  </conditionalFormatting>
  <conditionalFormatting sqref="E363:I363">
    <cfRule type="containsBlanks" dxfId="1396" priority="2969" stopIfTrue="1">
      <formula>LEN(TRIM(E363))=0</formula>
    </cfRule>
    <cfRule type="cellIs" dxfId="1395" priority="2970" stopIfTrue="1" operator="between">
      <formula>79.1</formula>
      <formula>100</formula>
    </cfRule>
    <cfRule type="cellIs" dxfId="1394" priority="2971" stopIfTrue="1" operator="between">
      <formula>34.1</formula>
      <formula>79</formula>
    </cfRule>
    <cfRule type="cellIs" dxfId="1393" priority="2972" stopIfTrue="1" operator="between">
      <formula>13.1</formula>
      <formula>34</formula>
    </cfRule>
    <cfRule type="cellIs" dxfId="1392" priority="2973" stopIfTrue="1" operator="between">
      <formula>5.1</formula>
      <formula>13</formula>
    </cfRule>
    <cfRule type="cellIs" dxfId="1391" priority="2974" stopIfTrue="1" operator="between">
      <formula>0</formula>
      <formula>5</formula>
    </cfRule>
    <cfRule type="containsBlanks" dxfId="1390" priority="2975" stopIfTrue="1">
      <formula>LEN(TRIM(E363))=0</formula>
    </cfRule>
  </conditionalFormatting>
  <conditionalFormatting sqref="E365:I365">
    <cfRule type="containsBlanks" dxfId="1389" priority="2962" stopIfTrue="1">
      <formula>LEN(TRIM(E365))=0</formula>
    </cfRule>
    <cfRule type="cellIs" dxfId="1388" priority="2963" stopIfTrue="1" operator="between">
      <formula>79.1</formula>
      <formula>100</formula>
    </cfRule>
    <cfRule type="cellIs" dxfId="1387" priority="2964" stopIfTrue="1" operator="between">
      <formula>34.1</formula>
      <formula>79</formula>
    </cfRule>
    <cfRule type="cellIs" dxfId="1386" priority="2965" stopIfTrue="1" operator="between">
      <formula>13.1</formula>
      <formula>34</formula>
    </cfRule>
    <cfRule type="cellIs" dxfId="1385" priority="2966" stopIfTrue="1" operator="between">
      <formula>5.1</formula>
      <formula>13</formula>
    </cfRule>
    <cfRule type="cellIs" dxfId="1384" priority="2967" stopIfTrue="1" operator="between">
      <formula>0</formula>
      <formula>5</formula>
    </cfRule>
    <cfRule type="containsBlanks" dxfId="1383" priority="2968" stopIfTrue="1">
      <formula>LEN(TRIM(E365))=0</formula>
    </cfRule>
  </conditionalFormatting>
  <conditionalFormatting sqref="E360:K360">
    <cfRule type="containsBlanks" dxfId="1382" priority="2955" stopIfTrue="1">
      <formula>LEN(TRIM(E360))=0</formula>
    </cfRule>
    <cfRule type="cellIs" dxfId="1381" priority="2956" stopIfTrue="1" operator="between">
      <formula>79.1</formula>
      <formula>100</formula>
    </cfRule>
    <cfRule type="cellIs" dxfId="1380" priority="2957" stopIfTrue="1" operator="between">
      <formula>34.1</formula>
      <formula>79</formula>
    </cfRule>
    <cfRule type="cellIs" dxfId="1379" priority="2958" stopIfTrue="1" operator="between">
      <formula>13.1</formula>
      <formula>34</formula>
    </cfRule>
    <cfRule type="cellIs" dxfId="1378" priority="2959" stopIfTrue="1" operator="between">
      <formula>5.1</formula>
      <formula>13</formula>
    </cfRule>
    <cfRule type="cellIs" dxfId="1377" priority="2960" stopIfTrue="1" operator="between">
      <formula>0</formula>
      <formula>5</formula>
    </cfRule>
    <cfRule type="containsBlanks" dxfId="1376" priority="2961" stopIfTrue="1">
      <formula>LEN(TRIM(E360))=0</formula>
    </cfRule>
  </conditionalFormatting>
  <conditionalFormatting sqref="E357:K357">
    <cfRule type="containsBlanks" dxfId="1375" priority="2948" stopIfTrue="1">
      <formula>LEN(TRIM(E357))=0</formula>
    </cfRule>
    <cfRule type="cellIs" dxfId="1374" priority="2949" stopIfTrue="1" operator="between">
      <formula>79.1</formula>
      <formula>100</formula>
    </cfRule>
    <cfRule type="cellIs" dxfId="1373" priority="2950" stopIfTrue="1" operator="between">
      <formula>34.1</formula>
      <formula>79</formula>
    </cfRule>
    <cfRule type="cellIs" dxfId="1372" priority="2951" stopIfTrue="1" operator="between">
      <formula>13.1</formula>
      <formula>34</formula>
    </cfRule>
    <cfRule type="cellIs" dxfId="1371" priority="2952" stopIfTrue="1" operator="between">
      <formula>5.1</formula>
      <formula>13</formula>
    </cfRule>
    <cfRule type="cellIs" dxfId="1370" priority="2953" stopIfTrue="1" operator="between">
      <formula>0</formula>
      <formula>5</formula>
    </cfRule>
    <cfRule type="containsBlanks" dxfId="1369" priority="2954" stopIfTrue="1">
      <formula>LEN(TRIM(E357))=0</formula>
    </cfRule>
  </conditionalFormatting>
  <conditionalFormatting sqref="E362:J362">
    <cfRule type="containsBlanks" dxfId="1368" priority="2941" stopIfTrue="1">
      <formula>LEN(TRIM(E362))=0</formula>
    </cfRule>
    <cfRule type="cellIs" dxfId="1367" priority="2942" stopIfTrue="1" operator="between">
      <formula>79.1</formula>
      <formula>100</formula>
    </cfRule>
    <cfRule type="cellIs" dxfId="1366" priority="2943" stopIfTrue="1" operator="between">
      <formula>34.1</formula>
      <formula>79</formula>
    </cfRule>
    <cfRule type="cellIs" dxfId="1365" priority="2944" stopIfTrue="1" operator="between">
      <formula>13.1</formula>
      <formula>34</formula>
    </cfRule>
    <cfRule type="cellIs" dxfId="1364" priority="2945" stopIfTrue="1" operator="between">
      <formula>5.1</formula>
      <formula>13</formula>
    </cfRule>
    <cfRule type="cellIs" dxfId="1363" priority="2946" stopIfTrue="1" operator="between">
      <formula>0</formula>
      <formula>5</formula>
    </cfRule>
    <cfRule type="containsBlanks" dxfId="1362" priority="2947" stopIfTrue="1">
      <formula>LEN(TRIM(E362))=0</formula>
    </cfRule>
  </conditionalFormatting>
  <conditionalFormatting sqref="E367:M367">
    <cfRule type="containsBlanks" dxfId="1361" priority="2934" stopIfTrue="1">
      <formula>LEN(TRIM(E367))=0</formula>
    </cfRule>
    <cfRule type="cellIs" dxfId="1360" priority="2935" stopIfTrue="1" operator="between">
      <formula>79.1</formula>
      <formula>100</formula>
    </cfRule>
    <cfRule type="cellIs" dxfId="1359" priority="2936" stopIfTrue="1" operator="between">
      <formula>34.1</formula>
      <formula>79</formula>
    </cfRule>
    <cfRule type="cellIs" dxfId="1358" priority="2937" stopIfTrue="1" operator="between">
      <formula>13.1</formula>
      <formula>34</formula>
    </cfRule>
    <cfRule type="cellIs" dxfId="1357" priority="2938" stopIfTrue="1" operator="between">
      <formula>5.1</formula>
      <formula>13</formula>
    </cfRule>
    <cfRule type="cellIs" dxfId="1356" priority="2939" stopIfTrue="1" operator="between">
      <formula>0</formula>
      <formula>5</formula>
    </cfRule>
    <cfRule type="containsBlanks" dxfId="1355" priority="2940" stopIfTrue="1">
      <formula>LEN(TRIM(E367))=0</formula>
    </cfRule>
  </conditionalFormatting>
  <conditionalFormatting sqref="E361:N361">
    <cfRule type="containsBlanks" dxfId="1354" priority="2927" stopIfTrue="1">
      <formula>LEN(TRIM(E361))=0</formula>
    </cfRule>
    <cfRule type="cellIs" dxfId="1353" priority="2928" stopIfTrue="1" operator="between">
      <formula>79.1</formula>
      <formula>100</formula>
    </cfRule>
    <cfRule type="cellIs" dxfId="1352" priority="2929" stopIfTrue="1" operator="between">
      <formula>34.1</formula>
      <formula>79</formula>
    </cfRule>
    <cfRule type="cellIs" dxfId="1351" priority="2930" stopIfTrue="1" operator="between">
      <formula>13.1</formula>
      <formula>34</formula>
    </cfRule>
    <cfRule type="cellIs" dxfId="1350" priority="2931" stopIfTrue="1" operator="between">
      <formula>5.1</formula>
      <formula>13</formula>
    </cfRule>
    <cfRule type="cellIs" dxfId="1349" priority="2932" stopIfTrue="1" operator="between">
      <formula>0</formula>
      <formula>5</formula>
    </cfRule>
    <cfRule type="containsBlanks" dxfId="1348" priority="2933" stopIfTrue="1">
      <formula>LEN(TRIM(E361))=0</formula>
    </cfRule>
  </conditionalFormatting>
  <conditionalFormatting sqref="E359:K359">
    <cfRule type="containsBlanks" dxfId="1347" priority="2920" stopIfTrue="1">
      <formula>LEN(TRIM(E359))=0</formula>
    </cfRule>
    <cfRule type="cellIs" dxfId="1346" priority="2921" stopIfTrue="1" operator="between">
      <formula>79.1</formula>
      <formula>100</formula>
    </cfRule>
    <cfRule type="cellIs" dxfId="1345" priority="2922" stopIfTrue="1" operator="between">
      <formula>34.1</formula>
      <formula>79</formula>
    </cfRule>
    <cfRule type="cellIs" dxfId="1344" priority="2923" stopIfTrue="1" operator="between">
      <formula>13.1</formula>
      <formula>34</formula>
    </cfRule>
    <cfRule type="cellIs" dxfId="1343" priority="2924" stopIfTrue="1" operator="between">
      <formula>5.1</formula>
      <formula>13</formula>
    </cfRule>
    <cfRule type="cellIs" dxfId="1342" priority="2925" stopIfTrue="1" operator="between">
      <formula>0</formula>
      <formula>5</formula>
    </cfRule>
    <cfRule type="containsBlanks" dxfId="1341" priority="2926" stopIfTrue="1">
      <formula>LEN(TRIM(E359))=0</formula>
    </cfRule>
  </conditionalFormatting>
  <conditionalFormatting sqref="E366:L366">
    <cfRule type="containsBlanks" dxfId="1340" priority="2913" stopIfTrue="1">
      <formula>LEN(TRIM(E366))=0</formula>
    </cfRule>
    <cfRule type="cellIs" dxfId="1339" priority="2914" stopIfTrue="1" operator="between">
      <formula>79.1</formula>
      <formula>100</formula>
    </cfRule>
    <cfRule type="cellIs" dxfId="1338" priority="2915" stopIfTrue="1" operator="between">
      <formula>34.1</formula>
      <formula>79</formula>
    </cfRule>
    <cfRule type="cellIs" dxfId="1337" priority="2916" stopIfTrue="1" operator="between">
      <formula>13.1</formula>
      <formula>34</formula>
    </cfRule>
    <cfRule type="cellIs" dxfId="1336" priority="2917" stopIfTrue="1" operator="between">
      <formula>5.1</formula>
      <formula>13</formula>
    </cfRule>
    <cfRule type="cellIs" dxfId="1335" priority="2918" stopIfTrue="1" operator="between">
      <formula>0</formula>
      <formula>5</formula>
    </cfRule>
    <cfRule type="containsBlanks" dxfId="1334" priority="2919" stopIfTrue="1">
      <formula>LEN(TRIM(E366))=0</formula>
    </cfRule>
  </conditionalFormatting>
  <conditionalFormatting sqref="E358:K358">
    <cfRule type="containsBlanks" dxfId="1333" priority="2906" stopIfTrue="1">
      <formula>LEN(TRIM(E358))=0</formula>
    </cfRule>
    <cfRule type="cellIs" dxfId="1332" priority="2907" stopIfTrue="1" operator="between">
      <formula>79.1</formula>
      <formula>100</formula>
    </cfRule>
    <cfRule type="cellIs" dxfId="1331" priority="2908" stopIfTrue="1" operator="between">
      <formula>34.1</formula>
      <formula>79</formula>
    </cfRule>
    <cfRule type="cellIs" dxfId="1330" priority="2909" stopIfTrue="1" operator="between">
      <formula>13.1</formula>
      <formula>34</formula>
    </cfRule>
    <cfRule type="cellIs" dxfId="1329" priority="2910" stopIfTrue="1" operator="between">
      <formula>5.1</formula>
      <formula>13</formula>
    </cfRule>
    <cfRule type="cellIs" dxfId="1328" priority="2911" stopIfTrue="1" operator="between">
      <formula>0</formula>
      <formula>5</formula>
    </cfRule>
    <cfRule type="containsBlanks" dxfId="1327" priority="2912" stopIfTrue="1">
      <formula>LEN(TRIM(E358))=0</formula>
    </cfRule>
  </conditionalFormatting>
  <conditionalFormatting sqref="E368:G368 K368:Q368">
    <cfRule type="containsBlanks" dxfId="1326" priority="2899" stopIfTrue="1">
      <formula>LEN(TRIM(E368))=0</formula>
    </cfRule>
    <cfRule type="cellIs" dxfId="1325" priority="2900" stopIfTrue="1" operator="between">
      <formula>80.1</formula>
      <formula>100</formula>
    </cfRule>
    <cfRule type="cellIs" dxfId="1324" priority="2901" stopIfTrue="1" operator="between">
      <formula>35.1</formula>
      <formula>80</formula>
    </cfRule>
    <cfRule type="cellIs" dxfId="1323" priority="2902" stopIfTrue="1" operator="between">
      <formula>14.1</formula>
      <formula>35</formula>
    </cfRule>
    <cfRule type="cellIs" dxfId="1322" priority="2903" stopIfTrue="1" operator="between">
      <formula>5.1</formula>
      <formula>14</formula>
    </cfRule>
    <cfRule type="cellIs" dxfId="1321" priority="2904" stopIfTrue="1" operator="between">
      <formula>0</formula>
      <formula>5</formula>
    </cfRule>
    <cfRule type="containsBlanks" dxfId="1320" priority="2905" stopIfTrue="1">
      <formula>LEN(TRIM(E368))=0</formula>
    </cfRule>
  </conditionalFormatting>
  <conditionalFormatting sqref="H368:J368">
    <cfRule type="containsBlanks" dxfId="1319" priority="2892" stopIfTrue="1">
      <formula>LEN(TRIM(H368))=0</formula>
    </cfRule>
    <cfRule type="cellIs" dxfId="1318" priority="2893" stopIfTrue="1" operator="between">
      <formula>80.1</formula>
      <formula>100</formula>
    </cfRule>
    <cfRule type="cellIs" dxfId="1317" priority="2894" stopIfTrue="1" operator="between">
      <formula>35.1</formula>
      <formula>80</formula>
    </cfRule>
    <cfRule type="cellIs" dxfId="1316" priority="2895" stopIfTrue="1" operator="between">
      <formula>14.1</formula>
      <formula>35</formula>
    </cfRule>
    <cfRule type="cellIs" dxfId="1315" priority="2896" stopIfTrue="1" operator="between">
      <formula>5.1</formula>
      <formula>14</formula>
    </cfRule>
    <cfRule type="cellIs" dxfId="1314" priority="2897" stopIfTrue="1" operator="between">
      <formula>0</formula>
      <formula>5</formula>
    </cfRule>
    <cfRule type="containsBlanks" dxfId="1313" priority="2898" stopIfTrue="1">
      <formula>LEN(TRIM(H368))=0</formula>
    </cfRule>
  </conditionalFormatting>
  <conditionalFormatting sqref="E374:G374 K374:Q374">
    <cfRule type="containsBlanks" dxfId="1312" priority="2885" stopIfTrue="1">
      <formula>LEN(TRIM(E374))=0</formula>
    </cfRule>
    <cfRule type="cellIs" dxfId="1311" priority="2886" stopIfTrue="1" operator="between">
      <formula>80.1</formula>
      <formula>100</formula>
    </cfRule>
    <cfRule type="cellIs" dxfId="1310" priority="2887" stopIfTrue="1" operator="between">
      <formula>35.1</formula>
      <formula>80</formula>
    </cfRule>
    <cfRule type="cellIs" dxfId="1309" priority="2888" stopIfTrue="1" operator="between">
      <formula>14.1</formula>
      <formula>35</formula>
    </cfRule>
    <cfRule type="cellIs" dxfId="1308" priority="2889" stopIfTrue="1" operator="between">
      <formula>5.1</formula>
      <formula>14</formula>
    </cfRule>
    <cfRule type="cellIs" dxfId="1307" priority="2890" stopIfTrue="1" operator="between">
      <formula>0</formula>
      <formula>5</formula>
    </cfRule>
    <cfRule type="containsBlanks" dxfId="1306" priority="2891" stopIfTrue="1">
      <formula>LEN(TRIM(E374))=0</formula>
    </cfRule>
  </conditionalFormatting>
  <conditionalFormatting sqref="H374:J374">
    <cfRule type="containsBlanks" dxfId="1305" priority="2878" stopIfTrue="1">
      <formula>LEN(TRIM(H374))=0</formula>
    </cfRule>
    <cfRule type="cellIs" dxfId="1304" priority="2879" stopIfTrue="1" operator="between">
      <formula>80.1</formula>
      <formula>100</formula>
    </cfRule>
    <cfRule type="cellIs" dxfId="1303" priority="2880" stopIfTrue="1" operator="between">
      <formula>35.1</formula>
      <formula>80</formula>
    </cfRule>
    <cfRule type="cellIs" dxfId="1302" priority="2881" stopIfTrue="1" operator="between">
      <formula>14.1</formula>
      <formula>35</formula>
    </cfRule>
    <cfRule type="cellIs" dxfId="1301" priority="2882" stopIfTrue="1" operator="between">
      <formula>5.1</formula>
      <formula>14</formula>
    </cfRule>
    <cfRule type="cellIs" dxfId="1300" priority="2883" stopIfTrue="1" operator="between">
      <formula>0</formula>
      <formula>5</formula>
    </cfRule>
    <cfRule type="containsBlanks" dxfId="1299" priority="2884" stopIfTrue="1">
      <formula>LEN(TRIM(H374))=0</formula>
    </cfRule>
  </conditionalFormatting>
  <conditionalFormatting sqref="E383:G383 K383:Q383">
    <cfRule type="containsBlanks" dxfId="1298" priority="2871" stopIfTrue="1">
      <formula>LEN(TRIM(E383))=0</formula>
    </cfRule>
    <cfRule type="cellIs" dxfId="1297" priority="2872" stopIfTrue="1" operator="between">
      <formula>80.1</formula>
      <formula>100</formula>
    </cfRule>
    <cfRule type="cellIs" dxfId="1296" priority="2873" stopIfTrue="1" operator="between">
      <formula>35.1</formula>
      <formula>80</formula>
    </cfRule>
    <cfRule type="cellIs" dxfId="1295" priority="2874" stopIfTrue="1" operator="between">
      <formula>14.1</formula>
      <formula>35</formula>
    </cfRule>
    <cfRule type="cellIs" dxfId="1294" priority="2875" stopIfTrue="1" operator="between">
      <formula>5.1</formula>
      <formula>14</formula>
    </cfRule>
    <cfRule type="cellIs" dxfId="1293" priority="2876" stopIfTrue="1" operator="between">
      <formula>0</formula>
      <formula>5</formula>
    </cfRule>
    <cfRule type="containsBlanks" dxfId="1292" priority="2877" stopIfTrue="1">
      <formula>LEN(TRIM(E383))=0</formula>
    </cfRule>
  </conditionalFormatting>
  <conditionalFormatting sqref="H383:J383">
    <cfRule type="containsBlanks" dxfId="1291" priority="2864" stopIfTrue="1">
      <formula>LEN(TRIM(H383))=0</formula>
    </cfRule>
    <cfRule type="cellIs" dxfId="1290" priority="2865" stopIfTrue="1" operator="between">
      <formula>80.1</formula>
      <formula>100</formula>
    </cfRule>
    <cfRule type="cellIs" dxfId="1289" priority="2866" stopIfTrue="1" operator="between">
      <formula>35.1</formula>
      <formula>80</formula>
    </cfRule>
    <cfRule type="cellIs" dxfId="1288" priority="2867" stopIfTrue="1" operator="between">
      <formula>14.1</formula>
      <formula>35</formula>
    </cfRule>
    <cfRule type="cellIs" dxfId="1287" priority="2868" stopIfTrue="1" operator="between">
      <formula>5.1</formula>
      <formula>14</formula>
    </cfRule>
    <cfRule type="cellIs" dxfId="1286" priority="2869" stopIfTrue="1" operator="between">
      <formula>0</formula>
      <formula>5</formula>
    </cfRule>
    <cfRule type="containsBlanks" dxfId="1285" priority="2870" stopIfTrue="1">
      <formula>LEN(TRIM(H383))=0</formula>
    </cfRule>
  </conditionalFormatting>
  <conditionalFormatting sqref="E375:G375 K375:Q375">
    <cfRule type="containsBlanks" dxfId="1284" priority="2857" stopIfTrue="1">
      <formula>LEN(TRIM(E375))=0</formula>
    </cfRule>
    <cfRule type="cellIs" dxfId="1283" priority="2858" stopIfTrue="1" operator="between">
      <formula>80.1</formula>
      <formula>100</formula>
    </cfRule>
    <cfRule type="cellIs" dxfId="1282" priority="2859" stopIfTrue="1" operator="between">
      <formula>35.1</formula>
      <formula>80</formula>
    </cfRule>
    <cfRule type="cellIs" dxfId="1281" priority="2860" stopIfTrue="1" operator="between">
      <formula>14.1</formula>
      <formula>35</formula>
    </cfRule>
    <cfRule type="cellIs" dxfId="1280" priority="2861" stopIfTrue="1" operator="between">
      <formula>5.1</formula>
      <formula>14</formula>
    </cfRule>
    <cfRule type="cellIs" dxfId="1279" priority="2862" stopIfTrue="1" operator="between">
      <formula>0</formula>
      <formula>5</formula>
    </cfRule>
    <cfRule type="containsBlanks" dxfId="1278" priority="2863" stopIfTrue="1">
      <formula>LEN(TRIM(E375))=0</formula>
    </cfRule>
  </conditionalFormatting>
  <conditionalFormatting sqref="H375:J375">
    <cfRule type="containsBlanks" dxfId="1277" priority="2850" stopIfTrue="1">
      <formula>LEN(TRIM(H375))=0</formula>
    </cfRule>
    <cfRule type="cellIs" dxfId="1276" priority="2851" stopIfTrue="1" operator="between">
      <formula>80.1</formula>
      <formula>100</formula>
    </cfRule>
    <cfRule type="cellIs" dxfId="1275" priority="2852" stopIfTrue="1" operator="between">
      <formula>35.1</formula>
      <formula>80</formula>
    </cfRule>
    <cfRule type="cellIs" dxfId="1274" priority="2853" stopIfTrue="1" operator="between">
      <formula>14.1</formula>
      <formula>35</formula>
    </cfRule>
    <cfRule type="cellIs" dxfId="1273" priority="2854" stopIfTrue="1" operator="between">
      <formula>5.1</formula>
      <formula>14</formula>
    </cfRule>
    <cfRule type="cellIs" dxfId="1272" priority="2855" stopIfTrue="1" operator="between">
      <formula>0</formula>
      <formula>5</formula>
    </cfRule>
    <cfRule type="containsBlanks" dxfId="1271" priority="2856" stopIfTrue="1">
      <formula>LEN(TRIM(H375))=0</formula>
    </cfRule>
  </conditionalFormatting>
  <conditionalFormatting sqref="E390:G390 K390:Q390">
    <cfRule type="containsBlanks" dxfId="1270" priority="2843" stopIfTrue="1">
      <formula>LEN(TRIM(E390))=0</formula>
    </cfRule>
    <cfRule type="cellIs" dxfId="1269" priority="2844" stopIfTrue="1" operator="between">
      <formula>80.1</formula>
      <formula>100</formula>
    </cfRule>
    <cfRule type="cellIs" dxfId="1268" priority="2845" stopIfTrue="1" operator="between">
      <formula>35.1</formula>
      <formula>80</formula>
    </cfRule>
    <cfRule type="cellIs" dxfId="1267" priority="2846" stopIfTrue="1" operator="between">
      <formula>14.1</formula>
      <formula>35</formula>
    </cfRule>
    <cfRule type="cellIs" dxfId="1266" priority="2847" stopIfTrue="1" operator="between">
      <formula>5.1</formula>
      <formula>14</formula>
    </cfRule>
    <cfRule type="cellIs" dxfId="1265" priority="2848" stopIfTrue="1" operator="between">
      <formula>0</formula>
      <formula>5</formula>
    </cfRule>
    <cfRule type="containsBlanks" dxfId="1264" priority="2849" stopIfTrue="1">
      <formula>LEN(TRIM(E390))=0</formula>
    </cfRule>
  </conditionalFormatting>
  <conditionalFormatting sqref="H390:J390">
    <cfRule type="containsBlanks" dxfId="1263" priority="2836" stopIfTrue="1">
      <formula>LEN(TRIM(H390))=0</formula>
    </cfRule>
    <cfRule type="cellIs" dxfId="1262" priority="2837" stopIfTrue="1" operator="between">
      <formula>80.1</formula>
      <formula>100</formula>
    </cfRule>
    <cfRule type="cellIs" dxfId="1261" priority="2838" stopIfTrue="1" operator="between">
      <formula>35.1</formula>
      <formula>80</formula>
    </cfRule>
    <cfRule type="cellIs" dxfId="1260" priority="2839" stopIfTrue="1" operator="between">
      <formula>14.1</formula>
      <formula>35</formula>
    </cfRule>
    <cfRule type="cellIs" dxfId="1259" priority="2840" stopIfTrue="1" operator="between">
      <formula>5.1</formula>
      <formula>14</formula>
    </cfRule>
    <cfRule type="cellIs" dxfId="1258" priority="2841" stopIfTrue="1" operator="between">
      <formula>0</formula>
      <formula>5</formula>
    </cfRule>
    <cfRule type="containsBlanks" dxfId="1257" priority="2842" stopIfTrue="1">
      <formula>LEN(TRIM(H390))=0</formula>
    </cfRule>
  </conditionalFormatting>
  <conditionalFormatting sqref="E371:G371 K371:N371">
    <cfRule type="containsBlanks" dxfId="1256" priority="2829" stopIfTrue="1">
      <formula>LEN(TRIM(E371))=0</formula>
    </cfRule>
    <cfRule type="cellIs" dxfId="1255" priority="2830" stopIfTrue="1" operator="between">
      <formula>80.1</formula>
      <formula>100</formula>
    </cfRule>
    <cfRule type="cellIs" dxfId="1254" priority="2831" stopIfTrue="1" operator="between">
      <formula>35.1</formula>
      <formula>80</formula>
    </cfRule>
    <cfRule type="cellIs" dxfId="1253" priority="2832" stopIfTrue="1" operator="between">
      <formula>14.1</formula>
      <formula>35</formula>
    </cfRule>
    <cfRule type="cellIs" dxfId="1252" priority="2833" stopIfTrue="1" operator="between">
      <formula>5.1</formula>
      <formula>14</formula>
    </cfRule>
    <cfRule type="cellIs" dxfId="1251" priority="2834" stopIfTrue="1" operator="between">
      <formula>0</formula>
      <formula>5</formula>
    </cfRule>
    <cfRule type="containsBlanks" dxfId="1250" priority="2835" stopIfTrue="1">
      <formula>LEN(TRIM(E371))=0</formula>
    </cfRule>
  </conditionalFormatting>
  <conditionalFormatting sqref="H371:J371">
    <cfRule type="containsBlanks" dxfId="1249" priority="2822" stopIfTrue="1">
      <formula>LEN(TRIM(H371))=0</formula>
    </cfRule>
    <cfRule type="cellIs" dxfId="1248" priority="2823" stopIfTrue="1" operator="between">
      <formula>80.1</formula>
      <formula>100</formula>
    </cfRule>
    <cfRule type="cellIs" dxfId="1247" priority="2824" stopIfTrue="1" operator="between">
      <formula>35.1</formula>
      <formula>80</formula>
    </cfRule>
    <cfRule type="cellIs" dxfId="1246" priority="2825" stopIfTrue="1" operator="between">
      <formula>14.1</formula>
      <formula>35</formula>
    </cfRule>
    <cfRule type="cellIs" dxfId="1245" priority="2826" stopIfTrue="1" operator="between">
      <formula>5.1</formula>
      <formula>14</formula>
    </cfRule>
    <cfRule type="cellIs" dxfId="1244" priority="2827" stopIfTrue="1" operator="between">
      <formula>0</formula>
      <formula>5</formula>
    </cfRule>
    <cfRule type="containsBlanks" dxfId="1243" priority="2828" stopIfTrue="1">
      <formula>LEN(TRIM(H371))=0</formula>
    </cfRule>
  </conditionalFormatting>
  <conditionalFormatting sqref="E386:G386 K386:Q386">
    <cfRule type="containsBlanks" dxfId="1242" priority="2815" stopIfTrue="1">
      <formula>LEN(TRIM(E386))=0</formula>
    </cfRule>
    <cfRule type="cellIs" dxfId="1241" priority="2816" stopIfTrue="1" operator="between">
      <formula>80.1</formula>
      <formula>100</formula>
    </cfRule>
    <cfRule type="cellIs" dxfId="1240" priority="2817" stopIfTrue="1" operator="between">
      <formula>35.1</formula>
      <formula>80</formula>
    </cfRule>
    <cfRule type="cellIs" dxfId="1239" priority="2818" stopIfTrue="1" operator="between">
      <formula>14.1</formula>
      <formula>35</formula>
    </cfRule>
    <cfRule type="cellIs" dxfId="1238" priority="2819" stopIfTrue="1" operator="between">
      <formula>5.1</formula>
      <formula>14</formula>
    </cfRule>
    <cfRule type="cellIs" dxfId="1237" priority="2820" stopIfTrue="1" operator="between">
      <formula>0</formula>
      <formula>5</formula>
    </cfRule>
    <cfRule type="containsBlanks" dxfId="1236" priority="2821" stopIfTrue="1">
      <formula>LEN(TRIM(E386))=0</formula>
    </cfRule>
  </conditionalFormatting>
  <conditionalFormatting sqref="H386:J386">
    <cfRule type="containsBlanks" dxfId="1235" priority="2808" stopIfTrue="1">
      <formula>LEN(TRIM(H386))=0</formula>
    </cfRule>
    <cfRule type="cellIs" dxfId="1234" priority="2809" stopIfTrue="1" operator="between">
      <formula>80.1</formula>
      <formula>100</formula>
    </cfRule>
    <cfRule type="cellIs" dxfId="1233" priority="2810" stopIfTrue="1" operator="between">
      <formula>35.1</formula>
      <formula>80</formula>
    </cfRule>
    <cfRule type="cellIs" dxfId="1232" priority="2811" stopIfTrue="1" operator="between">
      <formula>14.1</formula>
      <formula>35</formula>
    </cfRule>
    <cfRule type="cellIs" dxfId="1231" priority="2812" stopIfTrue="1" operator="between">
      <formula>5.1</formula>
      <formula>14</formula>
    </cfRule>
    <cfRule type="cellIs" dxfId="1230" priority="2813" stopIfTrue="1" operator="between">
      <formula>0</formula>
      <formula>5</formula>
    </cfRule>
    <cfRule type="containsBlanks" dxfId="1229" priority="2814" stopIfTrue="1">
      <formula>LEN(TRIM(H386))=0</formula>
    </cfRule>
  </conditionalFormatting>
  <conditionalFormatting sqref="E377:G377 K377:Q377">
    <cfRule type="containsBlanks" dxfId="1228" priority="2801" stopIfTrue="1">
      <formula>LEN(TRIM(E377))=0</formula>
    </cfRule>
    <cfRule type="cellIs" dxfId="1227" priority="2802" stopIfTrue="1" operator="between">
      <formula>80.1</formula>
      <formula>100</formula>
    </cfRule>
    <cfRule type="cellIs" dxfId="1226" priority="2803" stopIfTrue="1" operator="between">
      <formula>35.1</formula>
      <formula>80</formula>
    </cfRule>
    <cfRule type="cellIs" dxfId="1225" priority="2804" stopIfTrue="1" operator="between">
      <formula>14.1</formula>
      <formula>35</formula>
    </cfRule>
    <cfRule type="cellIs" dxfId="1224" priority="2805" stopIfTrue="1" operator="between">
      <formula>5.1</formula>
      <formula>14</formula>
    </cfRule>
    <cfRule type="cellIs" dxfId="1223" priority="2806" stopIfTrue="1" operator="between">
      <formula>0</formula>
      <formula>5</formula>
    </cfRule>
    <cfRule type="containsBlanks" dxfId="1222" priority="2807" stopIfTrue="1">
      <formula>LEN(TRIM(E377))=0</formula>
    </cfRule>
  </conditionalFormatting>
  <conditionalFormatting sqref="H377:J377">
    <cfRule type="containsBlanks" dxfId="1221" priority="2794" stopIfTrue="1">
      <formula>LEN(TRIM(H377))=0</formula>
    </cfRule>
    <cfRule type="cellIs" dxfId="1220" priority="2795" stopIfTrue="1" operator="between">
      <formula>80.1</formula>
      <formula>100</formula>
    </cfRule>
    <cfRule type="cellIs" dxfId="1219" priority="2796" stopIfTrue="1" operator="between">
      <formula>35.1</formula>
      <formula>80</formula>
    </cfRule>
    <cfRule type="cellIs" dxfId="1218" priority="2797" stopIfTrue="1" operator="between">
      <formula>14.1</formula>
      <formula>35</formula>
    </cfRule>
    <cfRule type="cellIs" dxfId="1217" priority="2798" stopIfTrue="1" operator="between">
      <formula>5.1</formula>
      <formula>14</formula>
    </cfRule>
    <cfRule type="cellIs" dxfId="1216" priority="2799" stopIfTrue="1" operator="between">
      <formula>0</formula>
      <formula>5</formula>
    </cfRule>
    <cfRule type="containsBlanks" dxfId="1215" priority="2800" stopIfTrue="1">
      <formula>LEN(TRIM(H377))=0</formula>
    </cfRule>
  </conditionalFormatting>
  <conditionalFormatting sqref="E381:G381 K381:Q381">
    <cfRule type="containsBlanks" dxfId="1214" priority="2787" stopIfTrue="1">
      <formula>LEN(TRIM(E381))=0</formula>
    </cfRule>
    <cfRule type="cellIs" dxfId="1213" priority="2788" stopIfTrue="1" operator="between">
      <formula>80.1</formula>
      <formula>100</formula>
    </cfRule>
    <cfRule type="cellIs" dxfId="1212" priority="2789" stopIfTrue="1" operator="between">
      <formula>35.1</formula>
      <formula>80</formula>
    </cfRule>
    <cfRule type="cellIs" dxfId="1211" priority="2790" stopIfTrue="1" operator="between">
      <formula>14.1</formula>
      <formula>35</formula>
    </cfRule>
    <cfRule type="cellIs" dxfId="1210" priority="2791" stopIfTrue="1" operator="between">
      <formula>5.1</formula>
      <formula>14</formula>
    </cfRule>
    <cfRule type="cellIs" dxfId="1209" priority="2792" stopIfTrue="1" operator="between">
      <formula>0</formula>
      <formula>5</formula>
    </cfRule>
    <cfRule type="containsBlanks" dxfId="1208" priority="2793" stopIfTrue="1">
      <formula>LEN(TRIM(E381))=0</formula>
    </cfRule>
  </conditionalFormatting>
  <conditionalFormatting sqref="H381:J381">
    <cfRule type="containsBlanks" dxfId="1207" priority="2780" stopIfTrue="1">
      <formula>LEN(TRIM(H381))=0</formula>
    </cfRule>
    <cfRule type="cellIs" dxfId="1206" priority="2781" stopIfTrue="1" operator="between">
      <formula>80.1</formula>
      <formula>100</formula>
    </cfRule>
    <cfRule type="cellIs" dxfId="1205" priority="2782" stopIfTrue="1" operator="between">
      <formula>35.1</formula>
      <formula>80</formula>
    </cfRule>
    <cfRule type="cellIs" dxfId="1204" priority="2783" stopIfTrue="1" operator="between">
      <formula>14.1</formula>
      <formula>35</formula>
    </cfRule>
    <cfRule type="cellIs" dxfId="1203" priority="2784" stopIfTrue="1" operator="between">
      <formula>5.1</formula>
      <formula>14</formula>
    </cfRule>
    <cfRule type="cellIs" dxfId="1202" priority="2785" stopIfTrue="1" operator="between">
      <formula>0</formula>
      <formula>5</formula>
    </cfRule>
    <cfRule type="containsBlanks" dxfId="1201" priority="2786" stopIfTrue="1">
      <formula>LEN(TRIM(H381))=0</formula>
    </cfRule>
  </conditionalFormatting>
  <conditionalFormatting sqref="E382:G382 K382:Q382">
    <cfRule type="containsBlanks" dxfId="1200" priority="2773" stopIfTrue="1">
      <formula>LEN(TRIM(E382))=0</formula>
    </cfRule>
    <cfRule type="cellIs" dxfId="1199" priority="2774" stopIfTrue="1" operator="between">
      <formula>80.1</formula>
      <formula>100</formula>
    </cfRule>
    <cfRule type="cellIs" dxfId="1198" priority="2775" stopIfTrue="1" operator="between">
      <formula>35.1</formula>
      <formula>80</formula>
    </cfRule>
    <cfRule type="cellIs" dxfId="1197" priority="2776" stopIfTrue="1" operator="between">
      <formula>14.1</formula>
      <formula>35</formula>
    </cfRule>
    <cfRule type="cellIs" dxfId="1196" priority="2777" stopIfTrue="1" operator="between">
      <formula>5.1</formula>
      <formula>14</formula>
    </cfRule>
    <cfRule type="cellIs" dxfId="1195" priority="2778" stopIfTrue="1" operator="between">
      <formula>0</formula>
      <formula>5</formula>
    </cfRule>
    <cfRule type="containsBlanks" dxfId="1194" priority="2779" stopIfTrue="1">
      <formula>LEN(TRIM(E382))=0</formula>
    </cfRule>
  </conditionalFormatting>
  <conditionalFormatting sqref="H382:J382">
    <cfRule type="containsBlanks" dxfId="1193" priority="2766" stopIfTrue="1">
      <formula>LEN(TRIM(H382))=0</formula>
    </cfRule>
    <cfRule type="cellIs" dxfId="1192" priority="2767" stopIfTrue="1" operator="between">
      <formula>80.1</formula>
      <formula>100</formula>
    </cfRule>
    <cfRule type="cellIs" dxfId="1191" priority="2768" stopIfTrue="1" operator="between">
      <formula>35.1</formula>
      <formula>80</formula>
    </cfRule>
    <cfRule type="cellIs" dxfId="1190" priority="2769" stopIfTrue="1" operator="between">
      <formula>14.1</formula>
      <formula>35</formula>
    </cfRule>
    <cfRule type="cellIs" dxfId="1189" priority="2770" stopIfTrue="1" operator="between">
      <formula>5.1</formula>
      <formula>14</formula>
    </cfRule>
    <cfRule type="cellIs" dxfId="1188" priority="2771" stopIfTrue="1" operator="between">
      <formula>0</formula>
      <formula>5</formula>
    </cfRule>
    <cfRule type="containsBlanks" dxfId="1187" priority="2772" stopIfTrue="1">
      <formula>LEN(TRIM(H382))=0</formula>
    </cfRule>
  </conditionalFormatting>
  <conditionalFormatting sqref="E384:G384 K384:Q384">
    <cfRule type="containsBlanks" dxfId="1186" priority="2759" stopIfTrue="1">
      <formula>LEN(TRIM(E384))=0</formula>
    </cfRule>
    <cfRule type="cellIs" dxfId="1185" priority="2760" stopIfTrue="1" operator="between">
      <formula>80.1</formula>
      <formula>100</formula>
    </cfRule>
    <cfRule type="cellIs" dxfId="1184" priority="2761" stopIfTrue="1" operator="between">
      <formula>35.1</formula>
      <formula>80</formula>
    </cfRule>
    <cfRule type="cellIs" dxfId="1183" priority="2762" stopIfTrue="1" operator="between">
      <formula>14.1</formula>
      <formula>35</formula>
    </cfRule>
    <cfRule type="cellIs" dxfId="1182" priority="2763" stopIfTrue="1" operator="between">
      <formula>5.1</formula>
      <formula>14</formula>
    </cfRule>
    <cfRule type="cellIs" dxfId="1181" priority="2764" stopIfTrue="1" operator="between">
      <formula>0</formula>
      <formula>5</formula>
    </cfRule>
    <cfRule type="containsBlanks" dxfId="1180" priority="2765" stopIfTrue="1">
      <formula>LEN(TRIM(E384))=0</formula>
    </cfRule>
  </conditionalFormatting>
  <conditionalFormatting sqref="H384:J384">
    <cfRule type="containsBlanks" dxfId="1179" priority="2752" stopIfTrue="1">
      <formula>LEN(TRIM(H384))=0</formula>
    </cfRule>
    <cfRule type="cellIs" dxfId="1178" priority="2753" stopIfTrue="1" operator="between">
      <formula>80.1</formula>
      <formula>100</formula>
    </cfRule>
    <cfRule type="cellIs" dxfId="1177" priority="2754" stopIfTrue="1" operator="between">
      <formula>35.1</formula>
      <formula>80</formula>
    </cfRule>
    <cfRule type="cellIs" dxfId="1176" priority="2755" stopIfTrue="1" operator="between">
      <formula>14.1</formula>
      <formula>35</formula>
    </cfRule>
    <cfRule type="cellIs" dxfId="1175" priority="2756" stopIfTrue="1" operator="between">
      <formula>5.1</formula>
      <formula>14</formula>
    </cfRule>
    <cfRule type="cellIs" dxfId="1174" priority="2757" stopIfTrue="1" operator="between">
      <formula>0</formula>
      <formula>5</formula>
    </cfRule>
    <cfRule type="containsBlanks" dxfId="1173" priority="2758" stopIfTrue="1">
      <formula>LEN(TRIM(H384))=0</formula>
    </cfRule>
  </conditionalFormatting>
  <conditionalFormatting sqref="E388:G388 K388:Q388">
    <cfRule type="containsBlanks" dxfId="1172" priority="2745" stopIfTrue="1">
      <formula>LEN(TRIM(E388))=0</formula>
    </cfRule>
    <cfRule type="cellIs" dxfId="1171" priority="2746" stopIfTrue="1" operator="between">
      <formula>80.1</formula>
      <formula>100</formula>
    </cfRule>
    <cfRule type="cellIs" dxfId="1170" priority="2747" stopIfTrue="1" operator="between">
      <formula>35.1</formula>
      <formula>80</formula>
    </cfRule>
    <cfRule type="cellIs" dxfId="1169" priority="2748" stopIfTrue="1" operator="between">
      <formula>14.1</formula>
      <formula>35</formula>
    </cfRule>
    <cfRule type="cellIs" dxfId="1168" priority="2749" stopIfTrue="1" operator="between">
      <formula>5.1</formula>
      <formula>14</formula>
    </cfRule>
    <cfRule type="cellIs" dxfId="1167" priority="2750" stopIfTrue="1" operator="between">
      <formula>0</formula>
      <formula>5</formula>
    </cfRule>
    <cfRule type="containsBlanks" dxfId="1166" priority="2751" stopIfTrue="1">
      <formula>LEN(TRIM(E388))=0</formula>
    </cfRule>
  </conditionalFormatting>
  <conditionalFormatting sqref="H388:J388">
    <cfRule type="containsBlanks" dxfId="1165" priority="2738" stopIfTrue="1">
      <formula>LEN(TRIM(H388))=0</formula>
    </cfRule>
    <cfRule type="cellIs" dxfId="1164" priority="2739" stopIfTrue="1" operator="between">
      <formula>80.1</formula>
      <formula>100</formula>
    </cfRule>
    <cfRule type="cellIs" dxfId="1163" priority="2740" stopIfTrue="1" operator="between">
      <formula>35.1</formula>
      <formula>80</formula>
    </cfRule>
    <cfRule type="cellIs" dxfId="1162" priority="2741" stopIfTrue="1" operator="between">
      <formula>14.1</formula>
      <formula>35</formula>
    </cfRule>
    <cfRule type="cellIs" dxfId="1161" priority="2742" stopIfTrue="1" operator="between">
      <formula>5.1</formula>
      <formula>14</formula>
    </cfRule>
    <cfRule type="cellIs" dxfId="1160" priority="2743" stopIfTrue="1" operator="between">
      <formula>0</formula>
      <formula>5</formula>
    </cfRule>
    <cfRule type="containsBlanks" dxfId="1159" priority="2744" stopIfTrue="1">
      <formula>LEN(TRIM(H388))=0</formula>
    </cfRule>
  </conditionalFormatting>
  <conditionalFormatting sqref="E376:G376 K376:Q376">
    <cfRule type="containsBlanks" dxfId="1158" priority="2731" stopIfTrue="1">
      <formula>LEN(TRIM(E376))=0</formula>
    </cfRule>
    <cfRule type="cellIs" dxfId="1157" priority="2732" stopIfTrue="1" operator="between">
      <formula>80.1</formula>
      <formula>100</formula>
    </cfRule>
    <cfRule type="cellIs" dxfId="1156" priority="2733" stopIfTrue="1" operator="between">
      <formula>35.1</formula>
      <formula>80</formula>
    </cfRule>
    <cfRule type="cellIs" dxfId="1155" priority="2734" stopIfTrue="1" operator="between">
      <formula>14.1</formula>
      <formula>35</formula>
    </cfRule>
    <cfRule type="cellIs" dxfId="1154" priority="2735" stopIfTrue="1" operator="between">
      <formula>5.1</formula>
      <formula>14</formula>
    </cfRule>
    <cfRule type="cellIs" dxfId="1153" priority="2736" stopIfTrue="1" operator="between">
      <formula>0</formula>
      <formula>5</formula>
    </cfRule>
    <cfRule type="containsBlanks" dxfId="1152" priority="2737" stopIfTrue="1">
      <formula>LEN(TRIM(E376))=0</formula>
    </cfRule>
  </conditionalFormatting>
  <conditionalFormatting sqref="H376:J376">
    <cfRule type="containsBlanks" dxfId="1151" priority="2724" stopIfTrue="1">
      <formula>LEN(TRIM(H376))=0</formula>
    </cfRule>
    <cfRule type="cellIs" dxfId="1150" priority="2725" stopIfTrue="1" operator="between">
      <formula>80.1</formula>
      <formula>100</formula>
    </cfRule>
    <cfRule type="cellIs" dxfId="1149" priority="2726" stopIfTrue="1" operator="between">
      <formula>35.1</formula>
      <formula>80</formula>
    </cfRule>
    <cfRule type="cellIs" dxfId="1148" priority="2727" stopIfTrue="1" operator="between">
      <formula>14.1</formula>
      <formula>35</formula>
    </cfRule>
    <cfRule type="cellIs" dxfId="1147" priority="2728" stopIfTrue="1" operator="between">
      <formula>5.1</formula>
      <formula>14</formula>
    </cfRule>
    <cfRule type="cellIs" dxfId="1146" priority="2729" stopIfTrue="1" operator="between">
      <formula>0</formula>
      <formula>5</formula>
    </cfRule>
    <cfRule type="containsBlanks" dxfId="1145" priority="2730" stopIfTrue="1">
      <formula>LEN(TRIM(H376))=0</formula>
    </cfRule>
  </conditionalFormatting>
  <conditionalFormatting sqref="E391:G391 K391:Q391">
    <cfRule type="containsBlanks" dxfId="1144" priority="2717" stopIfTrue="1">
      <formula>LEN(TRIM(E391))=0</formula>
    </cfRule>
    <cfRule type="cellIs" dxfId="1143" priority="2718" stopIfTrue="1" operator="between">
      <formula>80.1</formula>
      <formula>100</formula>
    </cfRule>
    <cfRule type="cellIs" dxfId="1142" priority="2719" stopIfTrue="1" operator="between">
      <formula>35.1</formula>
      <formula>80</formula>
    </cfRule>
    <cfRule type="cellIs" dxfId="1141" priority="2720" stopIfTrue="1" operator="between">
      <formula>14.1</formula>
      <formula>35</formula>
    </cfRule>
    <cfRule type="cellIs" dxfId="1140" priority="2721" stopIfTrue="1" operator="between">
      <formula>5.1</formula>
      <formula>14</formula>
    </cfRule>
    <cfRule type="cellIs" dxfId="1139" priority="2722" stopIfTrue="1" operator="between">
      <formula>0</formula>
      <formula>5</formula>
    </cfRule>
    <cfRule type="containsBlanks" dxfId="1138" priority="2723" stopIfTrue="1">
      <formula>LEN(TRIM(E391))=0</formula>
    </cfRule>
  </conditionalFormatting>
  <conditionalFormatting sqref="H391:J391">
    <cfRule type="containsBlanks" dxfId="1137" priority="2710" stopIfTrue="1">
      <formula>LEN(TRIM(H391))=0</formula>
    </cfRule>
    <cfRule type="cellIs" dxfId="1136" priority="2711" stopIfTrue="1" operator="between">
      <formula>80.1</formula>
      <formula>100</formula>
    </cfRule>
    <cfRule type="cellIs" dxfId="1135" priority="2712" stopIfTrue="1" operator="between">
      <formula>35.1</formula>
      <formula>80</formula>
    </cfRule>
    <cfRule type="cellIs" dxfId="1134" priority="2713" stopIfTrue="1" operator="between">
      <formula>14.1</formula>
      <formula>35</formula>
    </cfRule>
    <cfRule type="cellIs" dxfId="1133" priority="2714" stopIfTrue="1" operator="between">
      <formula>5.1</formula>
      <formula>14</formula>
    </cfRule>
    <cfRule type="cellIs" dxfId="1132" priority="2715" stopIfTrue="1" operator="between">
      <formula>0</formula>
      <formula>5</formula>
    </cfRule>
    <cfRule type="containsBlanks" dxfId="1131" priority="2716" stopIfTrue="1">
      <formula>LEN(TRIM(H391))=0</formula>
    </cfRule>
  </conditionalFormatting>
  <conditionalFormatting sqref="E372:G372 K372:Q372">
    <cfRule type="containsBlanks" dxfId="1130" priority="2703" stopIfTrue="1">
      <formula>LEN(TRIM(E372))=0</formula>
    </cfRule>
    <cfRule type="cellIs" dxfId="1129" priority="2704" stopIfTrue="1" operator="between">
      <formula>80.1</formula>
      <formula>100</formula>
    </cfRule>
    <cfRule type="cellIs" dxfId="1128" priority="2705" stopIfTrue="1" operator="between">
      <formula>35.1</formula>
      <formula>80</formula>
    </cfRule>
    <cfRule type="cellIs" dxfId="1127" priority="2706" stopIfTrue="1" operator="between">
      <formula>14.1</formula>
      <formula>35</formula>
    </cfRule>
    <cfRule type="cellIs" dxfId="1126" priority="2707" stopIfTrue="1" operator="between">
      <formula>5.1</formula>
      <formula>14</formula>
    </cfRule>
    <cfRule type="cellIs" dxfId="1125" priority="2708" stopIfTrue="1" operator="between">
      <formula>0</formula>
      <formula>5</formula>
    </cfRule>
    <cfRule type="containsBlanks" dxfId="1124" priority="2709" stopIfTrue="1">
      <formula>LEN(TRIM(E372))=0</formula>
    </cfRule>
  </conditionalFormatting>
  <conditionalFormatting sqref="H372:J372">
    <cfRule type="containsBlanks" dxfId="1123" priority="2696" stopIfTrue="1">
      <formula>LEN(TRIM(H372))=0</formula>
    </cfRule>
    <cfRule type="cellIs" dxfId="1122" priority="2697" stopIfTrue="1" operator="between">
      <formula>80.1</formula>
      <formula>100</formula>
    </cfRule>
    <cfRule type="cellIs" dxfId="1121" priority="2698" stopIfTrue="1" operator="between">
      <formula>35.1</formula>
      <formula>80</formula>
    </cfRule>
    <cfRule type="cellIs" dxfId="1120" priority="2699" stopIfTrue="1" operator="between">
      <formula>14.1</formula>
      <formula>35</formula>
    </cfRule>
    <cfRule type="cellIs" dxfId="1119" priority="2700" stopIfTrue="1" operator="between">
      <formula>5.1</formula>
      <formula>14</formula>
    </cfRule>
    <cfRule type="cellIs" dxfId="1118" priority="2701" stopIfTrue="1" operator="between">
      <formula>0</formula>
      <formula>5</formula>
    </cfRule>
    <cfRule type="containsBlanks" dxfId="1117" priority="2702" stopIfTrue="1">
      <formula>LEN(TRIM(H372))=0</formula>
    </cfRule>
  </conditionalFormatting>
  <conditionalFormatting sqref="E387:G387 K387:Q387">
    <cfRule type="containsBlanks" dxfId="1116" priority="2689" stopIfTrue="1">
      <formula>LEN(TRIM(E387))=0</formula>
    </cfRule>
    <cfRule type="cellIs" dxfId="1115" priority="2690" stopIfTrue="1" operator="between">
      <formula>80.1</formula>
      <formula>100</formula>
    </cfRule>
    <cfRule type="cellIs" dxfId="1114" priority="2691" stopIfTrue="1" operator="between">
      <formula>35.1</formula>
      <formula>80</formula>
    </cfRule>
    <cfRule type="cellIs" dxfId="1113" priority="2692" stopIfTrue="1" operator="between">
      <formula>14.1</formula>
      <formula>35</formula>
    </cfRule>
    <cfRule type="cellIs" dxfId="1112" priority="2693" stopIfTrue="1" operator="between">
      <formula>5.1</formula>
      <formula>14</formula>
    </cfRule>
    <cfRule type="cellIs" dxfId="1111" priority="2694" stopIfTrue="1" operator="between">
      <formula>0</formula>
      <formula>5</formula>
    </cfRule>
    <cfRule type="containsBlanks" dxfId="1110" priority="2695" stopIfTrue="1">
      <formula>LEN(TRIM(E387))=0</formula>
    </cfRule>
  </conditionalFormatting>
  <conditionalFormatting sqref="H387:J387">
    <cfRule type="containsBlanks" dxfId="1109" priority="2682" stopIfTrue="1">
      <formula>LEN(TRIM(H387))=0</formula>
    </cfRule>
    <cfRule type="cellIs" dxfId="1108" priority="2683" stopIfTrue="1" operator="between">
      <formula>80.1</formula>
      <formula>100</formula>
    </cfRule>
    <cfRule type="cellIs" dxfId="1107" priority="2684" stopIfTrue="1" operator="between">
      <formula>35.1</formula>
      <formula>80</formula>
    </cfRule>
    <cfRule type="cellIs" dxfId="1106" priority="2685" stopIfTrue="1" operator="between">
      <formula>14.1</formula>
      <formula>35</formula>
    </cfRule>
    <cfRule type="cellIs" dxfId="1105" priority="2686" stopIfTrue="1" operator="between">
      <formula>5.1</formula>
      <formula>14</formula>
    </cfRule>
    <cfRule type="cellIs" dxfId="1104" priority="2687" stopIfTrue="1" operator="between">
      <formula>0</formula>
      <formula>5</formula>
    </cfRule>
    <cfRule type="containsBlanks" dxfId="1103" priority="2688" stopIfTrue="1">
      <formula>LEN(TRIM(H387))=0</formula>
    </cfRule>
  </conditionalFormatting>
  <conditionalFormatting sqref="E369:G369 K369:Q369">
    <cfRule type="containsBlanks" dxfId="1102" priority="2675" stopIfTrue="1">
      <formula>LEN(TRIM(E369))=0</formula>
    </cfRule>
    <cfRule type="cellIs" dxfId="1101" priority="2676" stopIfTrue="1" operator="between">
      <formula>80.1</formula>
      <formula>100</formula>
    </cfRule>
    <cfRule type="cellIs" dxfId="1100" priority="2677" stopIfTrue="1" operator="between">
      <formula>35.1</formula>
      <formula>80</formula>
    </cfRule>
    <cfRule type="cellIs" dxfId="1099" priority="2678" stopIfTrue="1" operator="between">
      <formula>14.1</formula>
      <formula>35</formula>
    </cfRule>
    <cfRule type="cellIs" dxfId="1098" priority="2679" stopIfTrue="1" operator="between">
      <formula>5.1</formula>
      <formula>14</formula>
    </cfRule>
    <cfRule type="cellIs" dxfId="1097" priority="2680" stopIfTrue="1" operator="between">
      <formula>0</formula>
      <formula>5</formula>
    </cfRule>
    <cfRule type="containsBlanks" dxfId="1096" priority="2681" stopIfTrue="1">
      <formula>LEN(TRIM(E369))=0</formula>
    </cfRule>
  </conditionalFormatting>
  <conditionalFormatting sqref="H369:J369">
    <cfRule type="containsBlanks" dxfId="1095" priority="2668" stopIfTrue="1">
      <formula>LEN(TRIM(H369))=0</formula>
    </cfRule>
    <cfRule type="cellIs" dxfId="1094" priority="2669" stopIfTrue="1" operator="between">
      <formula>80.1</formula>
      <formula>100</formula>
    </cfRule>
    <cfRule type="cellIs" dxfId="1093" priority="2670" stopIfTrue="1" operator="between">
      <formula>35.1</formula>
      <formula>80</formula>
    </cfRule>
    <cfRule type="cellIs" dxfId="1092" priority="2671" stopIfTrue="1" operator="between">
      <formula>14.1</formula>
      <formula>35</formula>
    </cfRule>
    <cfRule type="cellIs" dxfId="1091" priority="2672" stopIfTrue="1" operator="between">
      <formula>5.1</formula>
      <formula>14</formula>
    </cfRule>
    <cfRule type="cellIs" dxfId="1090" priority="2673" stopIfTrue="1" operator="between">
      <formula>0</formula>
      <formula>5</formula>
    </cfRule>
    <cfRule type="containsBlanks" dxfId="1089" priority="2674" stopIfTrue="1">
      <formula>LEN(TRIM(H369))=0</formula>
    </cfRule>
  </conditionalFormatting>
  <conditionalFormatting sqref="E385:G385 K385:Q385">
    <cfRule type="containsBlanks" dxfId="1088" priority="2661" stopIfTrue="1">
      <formula>LEN(TRIM(E385))=0</formula>
    </cfRule>
    <cfRule type="cellIs" dxfId="1087" priority="2662" stopIfTrue="1" operator="between">
      <formula>80.1</formula>
      <formula>100</formula>
    </cfRule>
    <cfRule type="cellIs" dxfId="1086" priority="2663" stopIfTrue="1" operator="between">
      <formula>35.1</formula>
      <formula>80</formula>
    </cfRule>
    <cfRule type="cellIs" dxfId="1085" priority="2664" stopIfTrue="1" operator="between">
      <formula>14.1</formula>
      <formula>35</formula>
    </cfRule>
    <cfRule type="cellIs" dxfId="1084" priority="2665" stopIfTrue="1" operator="between">
      <formula>5.1</formula>
      <formula>14</formula>
    </cfRule>
    <cfRule type="cellIs" dxfId="1083" priority="2666" stopIfTrue="1" operator="between">
      <formula>0</formula>
      <formula>5</formula>
    </cfRule>
    <cfRule type="containsBlanks" dxfId="1082" priority="2667" stopIfTrue="1">
      <formula>LEN(TRIM(E385))=0</formula>
    </cfRule>
  </conditionalFormatting>
  <conditionalFormatting sqref="H385:J385">
    <cfRule type="containsBlanks" dxfId="1081" priority="2654" stopIfTrue="1">
      <formula>LEN(TRIM(H385))=0</formula>
    </cfRule>
    <cfRule type="cellIs" dxfId="1080" priority="2655" stopIfTrue="1" operator="between">
      <formula>80.1</formula>
      <formula>100</formula>
    </cfRule>
    <cfRule type="cellIs" dxfId="1079" priority="2656" stopIfTrue="1" operator="between">
      <formula>35.1</formula>
      <formula>80</formula>
    </cfRule>
    <cfRule type="cellIs" dxfId="1078" priority="2657" stopIfTrue="1" operator="between">
      <formula>14.1</formula>
      <formula>35</formula>
    </cfRule>
    <cfRule type="cellIs" dxfId="1077" priority="2658" stopIfTrue="1" operator="between">
      <formula>5.1</formula>
      <formula>14</formula>
    </cfRule>
    <cfRule type="cellIs" dxfId="1076" priority="2659" stopIfTrue="1" operator="between">
      <formula>0</formula>
      <formula>5</formula>
    </cfRule>
    <cfRule type="containsBlanks" dxfId="1075" priority="2660" stopIfTrue="1">
      <formula>LEN(TRIM(H385))=0</formula>
    </cfRule>
  </conditionalFormatting>
  <conditionalFormatting sqref="E380:G380 K380:Q380">
    <cfRule type="containsBlanks" dxfId="1074" priority="2647" stopIfTrue="1">
      <formula>LEN(TRIM(E380))=0</formula>
    </cfRule>
    <cfRule type="cellIs" dxfId="1073" priority="2648" stopIfTrue="1" operator="between">
      <formula>80.1</formula>
      <formula>100</formula>
    </cfRule>
    <cfRule type="cellIs" dxfId="1072" priority="2649" stopIfTrue="1" operator="between">
      <formula>35.1</formula>
      <formula>80</formula>
    </cfRule>
    <cfRule type="cellIs" dxfId="1071" priority="2650" stopIfTrue="1" operator="between">
      <formula>14.1</formula>
      <formula>35</formula>
    </cfRule>
    <cfRule type="cellIs" dxfId="1070" priority="2651" stopIfTrue="1" operator="between">
      <formula>5.1</formula>
      <formula>14</formula>
    </cfRule>
    <cfRule type="cellIs" dxfId="1069" priority="2652" stopIfTrue="1" operator="between">
      <formula>0</formula>
      <formula>5</formula>
    </cfRule>
    <cfRule type="containsBlanks" dxfId="1068" priority="2653" stopIfTrue="1">
      <formula>LEN(TRIM(E380))=0</formula>
    </cfRule>
  </conditionalFormatting>
  <conditionalFormatting sqref="H380:J380">
    <cfRule type="containsBlanks" dxfId="1067" priority="2640" stopIfTrue="1">
      <formula>LEN(TRIM(H380))=0</formula>
    </cfRule>
    <cfRule type="cellIs" dxfId="1066" priority="2641" stopIfTrue="1" operator="between">
      <formula>80.1</formula>
      <formula>100</formula>
    </cfRule>
    <cfRule type="cellIs" dxfId="1065" priority="2642" stopIfTrue="1" operator="between">
      <formula>35.1</formula>
      <formula>80</formula>
    </cfRule>
    <cfRule type="cellIs" dxfId="1064" priority="2643" stopIfTrue="1" operator="between">
      <formula>14.1</formula>
      <formula>35</formula>
    </cfRule>
    <cfRule type="cellIs" dxfId="1063" priority="2644" stopIfTrue="1" operator="between">
      <formula>5.1</formula>
      <formula>14</formula>
    </cfRule>
    <cfRule type="cellIs" dxfId="1062" priority="2645" stopIfTrue="1" operator="between">
      <formula>0</formula>
      <formula>5</formula>
    </cfRule>
    <cfRule type="containsBlanks" dxfId="1061" priority="2646" stopIfTrue="1">
      <formula>LEN(TRIM(H380))=0</formula>
    </cfRule>
  </conditionalFormatting>
  <conditionalFormatting sqref="E373:G373 K373:Q373">
    <cfRule type="containsBlanks" dxfId="1060" priority="2633" stopIfTrue="1">
      <formula>LEN(TRIM(E373))=0</formula>
    </cfRule>
    <cfRule type="cellIs" dxfId="1059" priority="2634" stopIfTrue="1" operator="between">
      <formula>80.1</formula>
      <formula>100</formula>
    </cfRule>
    <cfRule type="cellIs" dxfId="1058" priority="2635" stopIfTrue="1" operator="between">
      <formula>35.1</formula>
      <formula>80</formula>
    </cfRule>
    <cfRule type="cellIs" dxfId="1057" priority="2636" stopIfTrue="1" operator="between">
      <formula>14.1</formula>
      <formula>35</formula>
    </cfRule>
    <cfRule type="cellIs" dxfId="1056" priority="2637" stopIfTrue="1" operator="between">
      <formula>5.1</formula>
      <formula>14</formula>
    </cfRule>
    <cfRule type="cellIs" dxfId="1055" priority="2638" stopIfTrue="1" operator="between">
      <formula>0</formula>
      <formula>5</formula>
    </cfRule>
    <cfRule type="containsBlanks" dxfId="1054" priority="2639" stopIfTrue="1">
      <formula>LEN(TRIM(E373))=0</formula>
    </cfRule>
  </conditionalFormatting>
  <conditionalFormatting sqref="H373:J373">
    <cfRule type="containsBlanks" dxfId="1053" priority="2626" stopIfTrue="1">
      <formula>LEN(TRIM(H373))=0</formula>
    </cfRule>
    <cfRule type="cellIs" dxfId="1052" priority="2627" stopIfTrue="1" operator="between">
      <formula>80.1</formula>
      <formula>100</formula>
    </cfRule>
    <cfRule type="cellIs" dxfId="1051" priority="2628" stopIfTrue="1" operator="between">
      <formula>35.1</formula>
      <formula>80</formula>
    </cfRule>
    <cfRule type="cellIs" dxfId="1050" priority="2629" stopIfTrue="1" operator="between">
      <formula>14.1</formula>
      <formula>35</formula>
    </cfRule>
    <cfRule type="cellIs" dxfId="1049" priority="2630" stopIfTrue="1" operator="between">
      <formula>5.1</formula>
      <formula>14</formula>
    </cfRule>
    <cfRule type="cellIs" dxfId="1048" priority="2631" stopIfTrue="1" operator="between">
      <formula>0</formula>
      <formula>5</formula>
    </cfRule>
    <cfRule type="containsBlanks" dxfId="1047" priority="2632" stopIfTrue="1">
      <formula>LEN(TRIM(H373))=0</formula>
    </cfRule>
  </conditionalFormatting>
  <conditionalFormatting sqref="E389:G389 K389:Q389">
    <cfRule type="containsBlanks" dxfId="1046" priority="2619" stopIfTrue="1">
      <formula>LEN(TRIM(E389))=0</formula>
    </cfRule>
    <cfRule type="cellIs" dxfId="1045" priority="2620" stopIfTrue="1" operator="between">
      <formula>80.1</formula>
      <formula>100</formula>
    </cfRule>
    <cfRule type="cellIs" dxfId="1044" priority="2621" stopIfTrue="1" operator="between">
      <formula>35.1</formula>
      <formula>80</formula>
    </cfRule>
    <cfRule type="cellIs" dxfId="1043" priority="2622" stopIfTrue="1" operator="between">
      <formula>14.1</formula>
      <formula>35</formula>
    </cfRule>
    <cfRule type="cellIs" dxfId="1042" priority="2623" stopIfTrue="1" operator="between">
      <formula>5.1</formula>
      <formula>14</formula>
    </cfRule>
    <cfRule type="cellIs" dxfId="1041" priority="2624" stopIfTrue="1" operator="between">
      <formula>0</formula>
      <formula>5</formula>
    </cfRule>
    <cfRule type="containsBlanks" dxfId="1040" priority="2625" stopIfTrue="1">
      <formula>LEN(TRIM(E389))=0</formula>
    </cfRule>
  </conditionalFormatting>
  <conditionalFormatting sqref="H389:J389">
    <cfRule type="containsBlanks" dxfId="1039" priority="2612" stopIfTrue="1">
      <formula>LEN(TRIM(H389))=0</formula>
    </cfRule>
    <cfRule type="cellIs" dxfId="1038" priority="2613" stopIfTrue="1" operator="between">
      <formula>80.1</formula>
      <formula>100</formula>
    </cfRule>
    <cfRule type="cellIs" dxfId="1037" priority="2614" stopIfTrue="1" operator="between">
      <formula>35.1</formula>
      <formula>80</formula>
    </cfRule>
    <cfRule type="cellIs" dxfId="1036" priority="2615" stopIfTrue="1" operator="between">
      <formula>14.1</formula>
      <formula>35</formula>
    </cfRule>
    <cfRule type="cellIs" dxfId="1035" priority="2616" stopIfTrue="1" operator="between">
      <formula>5.1</formula>
      <formula>14</formula>
    </cfRule>
    <cfRule type="cellIs" dxfId="1034" priority="2617" stopIfTrue="1" operator="between">
      <formula>0</formula>
      <formula>5</formula>
    </cfRule>
    <cfRule type="containsBlanks" dxfId="1033" priority="2618" stopIfTrue="1">
      <formula>LEN(TRIM(H389))=0</formula>
    </cfRule>
  </conditionalFormatting>
  <conditionalFormatting sqref="E393:Q393">
    <cfRule type="containsBlanks" dxfId="1032" priority="2605" stopIfTrue="1">
      <formula>LEN(TRIM(E393))=0</formula>
    </cfRule>
    <cfRule type="cellIs" dxfId="1031" priority="2606" stopIfTrue="1" operator="between">
      <formula>80.1</formula>
      <formula>100</formula>
    </cfRule>
    <cfRule type="cellIs" dxfId="1030" priority="2607" stopIfTrue="1" operator="between">
      <formula>35.1</formula>
      <formula>80</formula>
    </cfRule>
    <cfRule type="cellIs" dxfId="1029" priority="2608" stopIfTrue="1" operator="between">
      <formula>14.1</formula>
      <formula>35</formula>
    </cfRule>
    <cfRule type="cellIs" dxfId="1028" priority="2609" stopIfTrue="1" operator="between">
      <formula>5.1</formula>
      <formula>14</formula>
    </cfRule>
    <cfRule type="cellIs" dxfId="1027" priority="2610" stopIfTrue="1" operator="between">
      <formula>0</formula>
      <formula>5</formula>
    </cfRule>
    <cfRule type="containsBlanks" dxfId="1026" priority="2611" stopIfTrue="1">
      <formula>LEN(TRIM(E393))=0</formula>
    </cfRule>
  </conditionalFormatting>
  <conditionalFormatting sqref="E394:Q394">
    <cfRule type="containsBlanks" dxfId="1025" priority="2598" stopIfTrue="1">
      <formula>LEN(TRIM(E394))=0</formula>
    </cfRule>
    <cfRule type="cellIs" dxfId="1024" priority="2599" stopIfTrue="1" operator="between">
      <formula>80.1</formula>
      <formula>100</formula>
    </cfRule>
    <cfRule type="cellIs" dxfId="1023" priority="2600" stopIfTrue="1" operator="between">
      <formula>35.1</formula>
      <formula>80</formula>
    </cfRule>
    <cfRule type="cellIs" dxfId="1022" priority="2601" stopIfTrue="1" operator="between">
      <formula>14.1</formula>
      <formula>35</formula>
    </cfRule>
    <cfRule type="cellIs" dxfId="1021" priority="2602" stopIfTrue="1" operator="between">
      <formula>5.1</formula>
      <formula>14</formula>
    </cfRule>
    <cfRule type="cellIs" dxfId="1020" priority="2603" stopIfTrue="1" operator="between">
      <formula>0</formula>
      <formula>5</formula>
    </cfRule>
    <cfRule type="containsBlanks" dxfId="1019" priority="2604" stopIfTrue="1">
      <formula>LEN(TRIM(E394))=0</formula>
    </cfRule>
  </conditionalFormatting>
  <conditionalFormatting sqref="E396:Q396">
    <cfRule type="containsBlanks" dxfId="1018" priority="2591" stopIfTrue="1">
      <formula>LEN(TRIM(E396))=0</formula>
    </cfRule>
    <cfRule type="cellIs" dxfId="1017" priority="2592" stopIfTrue="1" operator="between">
      <formula>80.1</formula>
      <formula>100</formula>
    </cfRule>
    <cfRule type="cellIs" dxfId="1016" priority="2593" stopIfTrue="1" operator="between">
      <formula>35.1</formula>
      <formula>80</formula>
    </cfRule>
    <cfRule type="cellIs" dxfId="1015" priority="2594" stopIfTrue="1" operator="between">
      <formula>14.1</formula>
      <formula>35</formula>
    </cfRule>
    <cfRule type="cellIs" dxfId="1014" priority="2595" stopIfTrue="1" operator="between">
      <formula>5.1</formula>
      <formula>14</formula>
    </cfRule>
    <cfRule type="cellIs" dxfId="1013" priority="2596" stopIfTrue="1" operator="between">
      <formula>0</formula>
      <formula>5</formula>
    </cfRule>
    <cfRule type="containsBlanks" dxfId="1012" priority="2597" stopIfTrue="1">
      <formula>LEN(TRIM(E396))=0</formula>
    </cfRule>
  </conditionalFormatting>
  <conditionalFormatting sqref="E402:Q402">
    <cfRule type="containsBlanks" dxfId="1011" priority="2584" stopIfTrue="1">
      <formula>LEN(TRIM(E402))=0</formula>
    </cfRule>
    <cfRule type="cellIs" dxfId="1010" priority="2585" stopIfTrue="1" operator="between">
      <formula>80.1</formula>
      <formula>100</formula>
    </cfRule>
    <cfRule type="cellIs" dxfId="1009" priority="2586" stopIfTrue="1" operator="between">
      <formula>35.1</formula>
      <formula>80</formula>
    </cfRule>
    <cfRule type="cellIs" dxfId="1008" priority="2587" stopIfTrue="1" operator="between">
      <formula>14.1</formula>
      <formula>35</formula>
    </cfRule>
    <cfRule type="cellIs" dxfId="1007" priority="2588" stopIfTrue="1" operator="between">
      <formula>5.1</formula>
      <formula>14</formula>
    </cfRule>
    <cfRule type="cellIs" dxfId="1006" priority="2589" stopIfTrue="1" operator="between">
      <formula>0</formula>
      <formula>5</formula>
    </cfRule>
    <cfRule type="containsBlanks" dxfId="1005" priority="2590" stopIfTrue="1">
      <formula>LEN(TRIM(E402))=0</formula>
    </cfRule>
  </conditionalFormatting>
  <conditionalFormatting sqref="E400:Q400">
    <cfRule type="containsBlanks" dxfId="1004" priority="2577" stopIfTrue="1">
      <formula>LEN(TRIM(E400))=0</formula>
    </cfRule>
    <cfRule type="cellIs" dxfId="1003" priority="2578" stopIfTrue="1" operator="between">
      <formula>80.1</formula>
      <formula>100</formula>
    </cfRule>
    <cfRule type="cellIs" dxfId="1002" priority="2579" stopIfTrue="1" operator="between">
      <formula>35.1</formula>
      <formula>80</formula>
    </cfRule>
    <cfRule type="cellIs" dxfId="1001" priority="2580" stopIfTrue="1" operator="between">
      <formula>14.1</formula>
      <formula>35</formula>
    </cfRule>
    <cfRule type="cellIs" dxfId="1000" priority="2581" stopIfTrue="1" operator="between">
      <formula>5.1</formula>
      <formula>14</formula>
    </cfRule>
    <cfRule type="cellIs" dxfId="999" priority="2582" stopIfTrue="1" operator="between">
      <formula>0</formula>
      <formula>5</formula>
    </cfRule>
    <cfRule type="containsBlanks" dxfId="998" priority="2583" stopIfTrue="1">
      <formula>LEN(TRIM(E400))=0</formula>
    </cfRule>
  </conditionalFormatting>
  <conditionalFormatting sqref="E392:Q392">
    <cfRule type="containsBlanks" dxfId="997" priority="2570" stopIfTrue="1">
      <formula>LEN(TRIM(E392))=0</formula>
    </cfRule>
    <cfRule type="cellIs" dxfId="996" priority="2571" stopIfTrue="1" operator="between">
      <formula>80.1</formula>
      <formula>100</formula>
    </cfRule>
    <cfRule type="cellIs" dxfId="995" priority="2572" stopIfTrue="1" operator="between">
      <formula>35.1</formula>
      <formula>80</formula>
    </cfRule>
    <cfRule type="cellIs" dxfId="994" priority="2573" stopIfTrue="1" operator="between">
      <formula>14.1</formula>
      <formula>35</formula>
    </cfRule>
    <cfRule type="cellIs" dxfId="993" priority="2574" stopIfTrue="1" operator="between">
      <formula>5.1</formula>
      <formula>14</formula>
    </cfRule>
    <cfRule type="cellIs" dxfId="992" priority="2575" stopIfTrue="1" operator="between">
      <formula>0</formula>
      <formula>5</formula>
    </cfRule>
    <cfRule type="containsBlanks" dxfId="991" priority="2576" stopIfTrue="1">
      <formula>LEN(TRIM(E392))=0</formula>
    </cfRule>
  </conditionalFormatting>
  <conditionalFormatting sqref="E399:Q399">
    <cfRule type="containsBlanks" dxfId="990" priority="2563" stopIfTrue="1">
      <formula>LEN(TRIM(E399))=0</formula>
    </cfRule>
    <cfRule type="cellIs" dxfId="989" priority="2564" stopIfTrue="1" operator="between">
      <formula>80.1</formula>
      <formula>100</formula>
    </cfRule>
    <cfRule type="cellIs" dxfId="988" priority="2565" stopIfTrue="1" operator="between">
      <formula>35.1</formula>
      <formula>80</formula>
    </cfRule>
    <cfRule type="cellIs" dxfId="987" priority="2566" stopIfTrue="1" operator="between">
      <formula>14.1</formula>
      <formula>35</formula>
    </cfRule>
    <cfRule type="cellIs" dxfId="986" priority="2567" stopIfTrue="1" operator="between">
      <formula>5.1</formula>
      <formula>14</formula>
    </cfRule>
    <cfRule type="cellIs" dxfId="985" priority="2568" stopIfTrue="1" operator="between">
      <formula>0</formula>
      <formula>5</formula>
    </cfRule>
    <cfRule type="containsBlanks" dxfId="984" priority="2569" stopIfTrue="1">
      <formula>LEN(TRIM(E399))=0</formula>
    </cfRule>
  </conditionalFormatting>
  <conditionalFormatting sqref="E405:Q405">
    <cfRule type="containsBlanks" dxfId="983" priority="2556" stopIfTrue="1">
      <formula>LEN(TRIM(E405))=0</formula>
    </cfRule>
    <cfRule type="cellIs" dxfId="982" priority="2557" stopIfTrue="1" operator="between">
      <formula>80.1</formula>
      <formula>100</formula>
    </cfRule>
    <cfRule type="cellIs" dxfId="981" priority="2558" stopIfTrue="1" operator="between">
      <formula>35.1</formula>
      <formula>80</formula>
    </cfRule>
    <cfRule type="cellIs" dxfId="980" priority="2559" stopIfTrue="1" operator="between">
      <formula>14.1</formula>
      <formula>35</formula>
    </cfRule>
    <cfRule type="cellIs" dxfId="979" priority="2560" stopIfTrue="1" operator="between">
      <formula>5.1</formula>
      <formula>14</formula>
    </cfRule>
    <cfRule type="cellIs" dxfId="978" priority="2561" stopIfTrue="1" operator="between">
      <formula>0</formula>
      <formula>5</formula>
    </cfRule>
    <cfRule type="containsBlanks" dxfId="977" priority="2562" stopIfTrue="1">
      <formula>LEN(TRIM(E405))=0</formula>
    </cfRule>
  </conditionalFormatting>
  <conditionalFormatting sqref="E398:Q398">
    <cfRule type="containsBlanks" dxfId="976" priority="2549" stopIfTrue="1">
      <formula>LEN(TRIM(E398))=0</formula>
    </cfRule>
    <cfRule type="cellIs" dxfId="975" priority="2550" stopIfTrue="1" operator="between">
      <formula>80.1</formula>
      <formula>100</formula>
    </cfRule>
    <cfRule type="cellIs" dxfId="974" priority="2551" stopIfTrue="1" operator="between">
      <formula>35.1</formula>
      <formula>80</formula>
    </cfRule>
    <cfRule type="cellIs" dxfId="973" priority="2552" stopIfTrue="1" operator="between">
      <formula>14.1</formula>
      <formula>35</formula>
    </cfRule>
    <cfRule type="cellIs" dxfId="972" priority="2553" stopIfTrue="1" operator="between">
      <formula>5.1</formula>
      <formula>14</formula>
    </cfRule>
    <cfRule type="cellIs" dxfId="971" priority="2554" stopIfTrue="1" operator="between">
      <formula>0</formula>
      <formula>5</formula>
    </cfRule>
    <cfRule type="containsBlanks" dxfId="970" priority="2555" stopIfTrue="1">
      <formula>LEN(TRIM(E398))=0</formula>
    </cfRule>
  </conditionalFormatting>
  <conditionalFormatting sqref="E397:Q397">
    <cfRule type="containsBlanks" dxfId="969" priority="2542" stopIfTrue="1">
      <formula>LEN(TRIM(E397))=0</formula>
    </cfRule>
    <cfRule type="cellIs" dxfId="968" priority="2543" stopIfTrue="1" operator="between">
      <formula>80.1</formula>
      <formula>100</formula>
    </cfRule>
    <cfRule type="cellIs" dxfId="967" priority="2544" stopIfTrue="1" operator="between">
      <formula>35.1</formula>
      <formula>80</formula>
    </cfRule>
    <cfRule type="cellIs" dxfId="966" priority="2545" stopIfTrue="1" operator="between">
      <formula>14.1</formula>
      <formula>35</formula>
    </cfRule>
    <cfRule type="cellIs" dxfId="965" priority="2546" stopIfTrue="1" operator="between">
      <formula>5.1</formula>
      <formula>14</formula>
    </cfRule>
    <cfRule type="cellIs" dxfId="964" priority="2547" stopIfTrue="1" operator="between">
      <formula>0</formula>
      <formula>5</formula>
    </cfRule>
    <cfRule type="containsBlanks" dxfId="963" priority="2548" stopIfTrue="1">
      <formula>LEN(TRIM(E397))=0</formula>
    </cfRule>
  </conditionalFormatting>
  <conditionalFormatting sqref="E395:Q395">
    <cfRule type="containsBlanks" dxfId="962" priority="2535" stopIfTrue="1">
      <formula>LEN(TRIM(E395))=0</formula>
    </cfRule>
    <cfRule type="cellIs" dxfId="961" priority="2536" stopIfTrue="1" operator="between">
      <formula>80.1</formula>
      <formula>100</formula>
    </cfRule>
    <cfRule type="cellIs" dxfId="960" priority="2537" stopIfTrue="1" operator="between">
      <formula>35.1</formula>
      <formula>80</formula>
    </cfRule>
    <cfRule type="cellIs" dxfId="959" priority="2538" stopIfTrue="1" operator="between">
      <formula>14.1</formula>
      <formula>35</formula>
    </cfRule>
    <cfRule type="cellIs" dxfId="958" priority="2539" stopIfTrue="1" operator="between">
      <formula>5.1</formula>
      <formula>14</formula>
    </cfRule>
    <cfRule type="cellIs" dxfId="957" priority="2540" stopIfTrue="1" operator="between">
      <formula>0</formula>
      <formula>5</formula>
    </cfRule>
    <cfRule type="containsBlanks" dxfId="956" priority="2541" stopIfTrue="1">
      <formula>LEN(TRIM(E395))=0</formula>
    </cfRule>
  </conditionalFormatting>
  <conditionalFormatting sqref="E401:Q401">
    <cfRule type="containsBlanks" dxfId="955" priority="2528" stopIfTrue="1">
      <formula>LEN(TRIM(E401))=0</formula>
    </cfRule>
    <cfRule type="cellIs" dxfId="954" priority="2529" stopIfTrue="1" operator="between">
      <formula>80.1</formula>
      <formula>100</formula>
    </cfRule>
    <cfRule type="cellIs" dxfId="953" priority="2530" stopIfTrue="1" operator="between">
      <formula>35.1</formula>
      <formula>80</formula>
    </cfRule>
    <cfRule type="cellIs" dxfId="952" priority="2531" stopIfTrue="1" operator="between">
      <formula>14.1</formula>
      <formula>35</formula>
    </cfRule>
    <cfRule type="cellIs" dxfId="951" priority="2532" stopIfTrue="1" operator="between">
      <formula>5.1</formula>
      <formula>14</formula>
    </cfRule>
    <cfRule type="cellIs" dxfId="950" priority="2533" stopIfTrue="1" operator="between">
      <formula>0</formula>
      <formula>5</formula>
    </cfRule>
    <cfRule type="containsBlanks" dxfId="949" priority="2534" stopIfTrue="1">
      <formula>LEN(TRIM(E401))=0</formula>
    </cfRule>
  </conditionalFormatting>
  <conditionalFormatting sqref="E403:Q403">
    <cfRule type="containsBlanks" dxfId="948" priority="2521" stopIfTrue="1">
      <formula>LEN(TRIM(E403))=0</formula>
    </cfRule>
    <cfRule type="cellIs" dxfId="947" priority="2522" stopIfTrue="1" operator="between">
      <formula>80.1</formula>
      <formula>100</formula>
    </cfRule>
    <cfRule type="cellIs" dxfId="946" priority="2523" stopIfTrue="1" operator="between">
      <formula>35.1</formula>
      <formula>80</formula>
    </cfRule>
    <cfRule type="cellIs" dxfId="945" priority="2524" stopIfTrue="1" operator="between">
      <formula>14.1</formula>
      <formula>35</formula>
    </cfRule>
    <cfRule type="cellIs" dxfId="944" priority="2525" stopIfTrue="1" operator="between">
      <formula>5.1</formula>
      <formula>14</formula>
    </cfRule>
    <cfRule type="cellIs" dxfId="943" priority="2526" stopIfTrue="1" operator="between">
      <formula>0</formula>
      <formula>5</formula>
    </cfRule>
    <cfRule type="containsBlanks" dxfId="942" priority="2527" stopIfTrue="1">
      <formula>LEN(TRIM(E403))=0</formula>
    </cfRule>
  </conditionalFormatting>
  <conditionalFormatting sqref="E404:Q404">
    <cfRule type="containsBlanks" dxfId="941" priority="2514" stopIfTrue="1">
      <formula>LEN(TRIM(E404))=0</formula>
    </cfRule>
    <cfRule type="cellIs" dxfId="940" priority="2515" stopIfTrue="1" operator="between">
      <formula>80.1</formula>
      <formula>100</formula>
    </cfRule>
    <cfRule type="cellIs" dxfId="939" priority="2516" stopIfTrue="1" operator="between">
      <formula>35.1</formula>
      <formula>80</formula>
    </cfRule>
    <cfRule type="cellIs" dxfId="938" priority="2517" stopIfTrue="1" operator="between">
      <formula>14.1</formula>
      <formula>35</formula>
    </cfRule>
    <cfRule type="cellIs" dxfId="937" priority="2518" stopIfTrue="1" operator="between">
      <formula>5.1</formula>
      <formula>14</formula>
    </cfRule>
    <cfRule type="cellIs" dxfId="936" priority="2519" stopIfTrue="1" operator="between">
      <formula>0</formula>
      <formula>5</formula>
    </cfRule>
    <cfRule type="containsBlanks" dxfId="935" priority="2520" stopIfTrue="1">
      <formula>LEN(TRIM(E404))=0</formula>
    </cfRule>
  </conditionalFormatting>
  <conditionalFormatting sqref="E406:O406">
    <cfRule type="containsBlanks" dxfId="934" priority="2507" stopIfTrue="1">
      <formula>LEN(TRIM(E406))=0</formula>
    </cfRule>
    <cfRule type="cellIs" dxfId="933" priority="2508" stopIfTrue="1" operator="between">
      <formula>80.1</formula>
      <formula>100</formula>
    </cfRule>
    <cfRule type="cellIs" dxfId="932" priority="2509" stopIfTrue="1" operator="between">
      <formula>35.1</formula>
      <formula>80</formula>
    </cfRule>
    <cfRule type="cellIs" dxfId="931" priority="2510" stopIfTrue="1" operator="between">
      <formula>14.1</formula>
      <formula>35</formula>
    </cfRule>
    <cfRule type="cellIs" dxfId="930" priority="2511" stopIfTrue="1" operator="between">
      <formula>5.1</formula>
      <formula>14</formula>
    </cfRule>
    <cfRule type="cellIs" dxfId="929" priority="2512" stopIfTrue="1" operator="between">
      <formula>0</formula>
      <formula>5</formula>
    </cfRule>
    <cfRule type="containsBlanks" dxfId="928" priority="2513" stopIfTrue="1">
      <formula>LEN(TRIM(E406))=0</formula>
    </cfRule>
  </conditionalFormatting>
  <conditionalFormatting sqref="N407">
    <cfRule type="containsBlanks" dxfId="927" priority="2500" stopIfTrue="1">
      <formula>LEN(TRIM(N407))=0</formula>
    </cfRule>
    <cfRule type="cellIs" dxfId="926" priority="2501" stopIfTrue="1" operator="between">
      <formula>79.1</formula>
      <formula>100</formula>
    </cfRule>
    <cfRule type="cellIs" dxfId="925" priority="2502" stopIfTrue="1" operator="between">
      <formula>34.1</formula>
      <formula>79</formula>
    </cfRule>
    <cfRule type="cellIs" dxfId="924" priority="2503" stopIfTrue="1" operator="between">
      <formula>13.1</formula>
      <formula>34</formula>
    </cfRule>
    <cfRule type="cellIs" dxfId="923" priority="2504" stopIfTrue="1" operator="between">
      <formula>5.1</formula>
      <formula>13</formula>
    </cfRule>
    <cfRule type="cellIs" dxfId="922" priority="2505" stopIfTrue="1" operator="between">
      <formula>0</formula>
      <formula>5</formula>
    </cfRule>
    <cfRule type="containsBlanks" dxfId="921" priority="2506" stopIfTrue="1">
      <formula>LEN(TRIM(N407))=0</formula>
    </cfRule>
  </conditionalFormatting>
  <conditionalFormatting sqref="H407:M407">
    <cfRule type="containsBlanks" dxfId="920" priority="2493" stopIfTrue="1">
      <formula>LEN(TRIM(H407))=0</formula>
    </cfRule>
    <cfRule type="cellIs" dxfId="919" priority="2494" stopIfTrue="1" operator="between">
      <formula>79.1</formula>
      <formula>100</formula>
    </cfRule>
    <cfRule type="cellIs" dxfId="918" priority="2495" stopIfTrue="1" operator="between">
      <formula>34.1</formula>
      <formula>79</formula>
    </cfRule>
    <cfRule type="cellIs" dxfId="917" priority="2496" stopIfTrue="1" operator="between">
      <formula>13.1</formula>
      <formula>34</formula>
    </cfRule>
    <cfRule type="cellIs" dxfId="916" priority="2497" stopIfTrue="1" operator="between">
      <formula>5.1</formula>
      <formula>13</formula>
    </cfRule>
    <cfRule type="cellIs" dxfId="915" priority="2498" stopIfTrue="1" operator="between">
      <formula>0</formula>
      <formula>5</formula>
    </cfRule>
    <cfRule type="containsBlanks" dxfId="914" priority="2499" stopIfTrue="1">
      <formula>LEN(TRIM(H407))=0</formula>
    </cfRule>
  </conditionalFormatting>
  <conditionalFormatting sqref="H408:N408">
    <cfRule type="containsBlanks" dxfId="913" priority="2486" stopIfTrue="1">
      <formula>LEN(TRIM(H408))=0</formula>
    </cfRule>
    <cfRule type="cellIs" dxfId="912" priority="2487" stopIfTrue="1" operator="between">
      <formula>79.1</formula>
      <formula>100</formula>
    </cfRule>
    <cfRule type="cellIs" dxfId="911" priority="2488" stopIfTrue="1" operator="between">
      <formula>34.1</formula>
      <formula>79</formula>
    </cfRule>
    <cfRule type="cellIs" dxfId="910" priority="2489" stopIfTrue="1" operator="between">
      <formula>13.1</formula>
      <formula>34</formula>
    </cfRule>
    <cfRule type="cellIs" dxfId="909" priority="2490" stopIfTrue="1" operator="between">
      <formula>5.1</formula>
      <formula>13</formula>
    </cfRule>
    <cfRule type="cellIs" dxfId="908" priority="2491" stopIfTrue="1" operator="between">
      <formula>0</formula>
      <formula>5</formula>
    </cfRule>
    <cfRule type="containsBlanks" dxfId="907" priority="2492" stopIfTrue="1">
      <formula>LEN(TRIM(H408))=0</formula>
    </cfRule>
  </conditionalFormatting>
  <conditionalFormatting sqref="R421">
    <cfRule type="cellIs" dxfId="906" priority="1726" stopIfTrue="1" operator="equal">
      <formula>"NO"</formula>
    </cfRule>
  </conditionalFormatting>
  <conditionalFormatting sqref="Q421">
    <cfRule type="containsBlanks" dxfId="905" priority="1713" stopIfTrue="1">
      <formula>LEN(TRIM(Q421))=0</formula>
    </cfRule>
    <cfRule type="cellIs" dxfId="904" priority="1714" stopIfTrue="1" operator="between">
      <formula>80.1</formula>
      <formula>100</formula>
    </cfRule>
    <cfRule type="cellIs" dxfId="903" priority="1715" stopIfTrue="1" operator="between">
      <formula>35.1</formula>
      <formula>80</formula>
    </cfRule>
    <cfRule type="cellIs" dxfId="902" priority="1716" stopIfTrue="1" operator="between">
      <formula>14.1</formula>
      <formula>35</formula>
    </cfRule>
    <cfRule type="cellIs" dxfId="901" priority="1717" stopIfTrue="1" operator="between">
      <formula>5.1</formula>
      <formula>14</formula>
    </cfRule>
    <cfRule type="cellIs" dxfId="900" priority="1718" stopIfTrue="1" operator="between">
      <formula>0</formula>
      <formula>5</formula>
    </cfRule>
    <cfRule type="containsBlanks" dxfId="899" priority="1719" stopIfTrue="1">
      <formula>LEN(TRIM(Q421))=0</formula>
    </cfRule>
  </conditionalFormatting>
  <conditionalFormatting sqref="Q421">
    <cfRule type="containsBlanks" dxfId="898" priority="1706" stopIfTrue="1">
      <formula>LEN(TRIM(Q421))=0</formula>
    </cfRule>
    <cfRule type="cellIs" dxfId="897" priority="1707" stopIfTrue="1" operator="between">
      <formula>80.1</formula>
      <formula>100</formula>
    </cfRule>
    <cfRule type="cellIs" dxfId="896" priority="1708" stopIfTrue="1" operator="between">
      <formula>35.1</formula>
      <formula>80</formula>
    </cfRule>
    <cfRule type="cellIs" dxfId="895" priority="1709" stopIfTrue="1" operator="between">
      <formula>14.1</formula>
      <formula>35</formula>
    </cfRule>
    <cfRule type="cellIs" dxfId="894" priority="1710" stopIfTrue="1" operator="between">
      <formula>5.1</formula>
      <formula>14</formula>
    </cfRule>
    <cfRule type="cellIs" dxfId="893" priority="1711" stopIfTrue="1" operator="between">
      <formula>0</formula>
      <formula>5</formula>
    </cfRule>
    <cfRule type="containsBlanks" dxfId="892" priority="1712" stopIfTrue="1">
      <formula>LEN(TRIM(Q421))=0</formula>
    </cfRule>
  </conditionalFormatting>
  <conditionalFormatting sqref="R422">
    <cfRule type="cellIs" dxfId="891" priority="1704" stopIfTrue="1" operator="equal">
      <formula>"NO"</formula>
    </cfRule>
  </conditionalFormatting>
  <conditionalFormatting sqref="Q422">
    <cfRule type="containsBlanks" dxfId="890" priority="1691" stopIfTrue="1">
      <formula>LEN(TRIM(Q422))=0</formula>
    </cfRule>
    <cfRule type="cellIs" dxfId="889" priority="1692" stopIfTrue="1" operator="between">
      <formula>80.1</formula>
      <formula>100</formula>
    </cfRule>
    <cfRule type="cellIs" dxfId="888" priority="1693" stopIfTrue="1" operator="between">
      <formula>35.1</formula>
      <formula>80</formula>
    </cfRule>
    <cfRule type="cellIs" dxfId="887" priority="1694" stopIfTrue="1" operator="between">
      <formula>14.1</formula>
      <formula>35</formula>
    </cfRule>
    <cfRule type="cellIs" dxfId="886" priority="1695" stopIfTrue="1" operator="between">
      <formula>5.1</formula>
      <formula>14</formula>
    </cfRule>
    <cfRule type="cellIs" dxfId="885" priority="1696" stopIfTrue="1" operator="between">
      <formula>0</formula>
      <formula>5</formula>
    </cfRule>
    <cfRule type="containsBlanks" dxfId="884" priority="1697" stopIfTrue="1">
      <formula>LEN(TRIM(Q422))=0</formula>
    </cfRule>
  </conditionalFormatting>
  <conditionalFormatting sqref="Q422">
    <cfRule type="containsBlanks" dxfId="883" priority="1684" stopIfTrue="1">
      <formula>LEN(TRIM(Q422))=0</formula>
    </cfRule>
    <cfRule type="cellIs" dxfId="882" priority="1685" stopIfTrue="1" operator="between">
      <formula>80.1</formula>
      <formula>100</formula>
    </cfRule>
    <cfRule type="cellIs" dxfId="881" priority="1686" stopIfTrue="1" operator="between">
      <formula>35.1</formula>
      <formula>80</formula>
    </cfRule>
    <cfRule type="cellIs" dxfId="880" priority="1687" stopIfTrue="1" operator="between">
      <formula>14.1</formula>
      <formula>35</formula>
    </cfRule>
    <cfRule type="cellIs" dxfId="879" priority="1688" stopIfTrue="1" operator="between">
      <formula>5.1</formula>
      <formula>14</formula>
    </cfRule>
    <cfRule type="cellIs" dxfId="878" priority="1689" stopIfTrue="1" operator="between">
      <formula>0</formula>
      <formula>5</formula>
    </cfRule>
    <cfRule type="containsBlanks" dxfId="877" priority="1690" stopIfTrue="1">
      <formula>LEN(TRIM(Q422))=0</formula>
    </cfRule>
  </conditionalFormatting>
  <conditionalFormatting sqref="R423">
    <cfRule type="cellIs" dxfId="876" priority="1682" stopIfTrue="1" operator="equal">
      <formula>"NO"</formula>
    </cfRule>
  </conditionalFormatting>
  <conditionalFormatting sqref="Q423">
    <cfRule type="containsBlanks" dxfId="875" priority="1669" stopIfTrue="1">
      <formula>LEN(TRIM(Q423))=0</formula>
    </cfRule>
    <cfRule type="cellIs" dxfId="874" priority="1670" stopIfTrue="1" operator="between">
      <formula>80.1</formula>
      <formula>100</formula>
    </cfRule>
    <cfRule type="cellIs" dxfId="873" priority="1671" stopIfTrue="1" operator="between">
      <formula>35.1</formula>
      <formula>80</formula>
    </cfRule>
    <cfRule type="cellIs" dxfId="872" priority="1672" stopIfTrue="1" operator="between">
      <formula>14.1</formula>
      <formula>35</formula>
    </cfRule>
    <cfRule type="cellIs" dxfId="871" priority="1673" stopIfTrue="1" operator="between">
      <formula>5.1</formula>
      <formula>14</formula>
    </cfRule>
    <cfRule type="cellIs" dxfId="870" priority="1674" stopIfTrue="1" operator="between">
      <formula>0</formula>
      <formula>5</formula>
    </cfRule>
    <cfRule type="containsBlanks" dxfId="869" priority="1675" stopIfTrue="1">
      <formula>LEN(TRIM(Q423))=0</formula>
    </cfRule>
  </conditionalFormatting>
  <conditionalFormatting sqref="Q423">
    <cfRule type="containsBlanks" dxfId="868" priority="1662" stopIfTrue="1">
      <formula>LEN(TRIM(Q423))=0</formula>
    </cfRule>
    <cfRule type="cellIs" dxfId="867" priority="1663" stopIfTrue="1" operator="between">
      <formula>80.1</formula>
      <formula>100</formula>
    </cfRule>
    <cfRule type="cellIs" dxfId="866" priority="1664" stopIfTrue="1" operator="between">
      <formula>35.1</formula>
      <formula>80</formula>
    </cfRule>
    <cfRule type="cellIs" dxfId="865" priority="1665" stopIfTrue="1" operator="between">
      <formula>14.1</formula>
      <formula>35</formula>
    </cfRule>
    <cfRule type="cellIs" dxfId="864" priority="1666" stopIfTrue="1" operator="between">
      <formula>5.1</formula>
      <formula>14</formula>
    </cfRule>
    <cfRule type="cellIs" dxfId="863" priority="1667" stopIfTrue="1" operator="between">
      <formula>0</formula>
      <formula>5</formula>
    </cfRule>
    <cfRule type="containsBlanks" dxfId="862" priority="1668" stopIfTrue="1">
      <formula>LEN(TRIM(Q423))=0</formula>
    </cfRule>
  </conditionalFormatting>
  <conditionalFormatting sqref="R424">
    <cfRule type="cellIs" dxfId="861" priority="1660" stopIfTrue="1" operator="equal">
      <formula>"NO"</formula>
    </cfRule>
  </conditionalFormatting>
  <conditionalFormatting sqref="Q424">
    <cfRule type="containsBlanks" dxfId="860" priority="1647" stopIfTrue="1">
      <formula>LEN(TRIM(Q424))=0</formula>
    </cfRule>
    <cfRule type="cellIs" dxfId="859" priority="1648" stopIfTrue="1" operator="between">
      <formula>80.1</formula>
      <formula>100</formula>
    </cfRule>
    <cfRule type="cellIs" dxfId="858" priority="1649" stopIfTrue="1" operator="between">
      <formula>35.1</formula>
      <formula>80</formula>
    </cfRule>
    <cfRule type="cellIs" dxfId="857" priority="1650" stopIfTrue="1" operator="between">
      <formula>14.1</formula>
      <formula>35</formula>
    </cfRule>
    <cfRule type="cellIs" dxfId="856" priority="1651" stopIfTrue="1" operator="between">
      <formula>5.1</formula>
      <formula>14</formula>
    </cfRule>
    <cfRule type="cellIs" dxfId="855" priority="1652" stopIfTrue="1" operator="between">
      <formula>0</formula>
      <formula>5</formula>
    </cfRule>
    <cfRule type="containsBlanks" dxfId="854" priority="1653" stopIfTrue="1">
      <formula>LEN(TRIM(Q424))=0</formula>
    </cfRule>
  </conditionalFormatting>
  <conditionalFormatting sqref="Q424">
    <cfRule type="containsBlanks" dxfId="853" priority="1640" stopIfTrue="1">
      <formula>LEN(TRIM(Q424))=0</formula>
    </cfRule>
    <cfRule type="cellIs" dxfId="852" priority="1641" stopIfTrue="1" operator="between">
      <formula>80.1</formula>
      <formula>100</formula>
    </cfRule>
    <cfRule type="cellIs" dxfId="851" priority="1642" stopIfTrue="1" operator="between">
      <formula>35.1</formula>
      <formula>80</formula>
    </cfRule>
    <cfRule type="cellIs" dxfId="850" priority="1643" stopIfTrue="1" operator="between">
      <formula>14.1</formula>
      <formula>35</formula>
    </cfRule>
    <cfRule type="cellIs" dxfId="849" priority="1644" stopIfTrue="1" operator="between">
      <formula>5.1</formula>
      <formula>14</formula>
    </cfRule>
    <cfRule type="cellIs" dxfId="848" priority="1645" stopIfTrue="1" operator="between">
      <formula>0</formula>
      <formula>5</formula>
    </cfRule>
    <cfRule type="containsBlanks" dxfId="847" priority="1646" stopIfTrue="1">
      <formula>LEN(TRIM(Q424))=0</formula>
    </cfRule>
  </conditionalFormatting>
  <conditionalFormatting sqref="R425">
    <cfRule type="cellIs" dxfId="846" priority="1638" stopIfTrue="1" operator="equal">
      <formula>"NO"</formula>
    </cfRule>
  </conditionalFormatting>
  <conditionalFormatting sqref="Q425">
    <cfRule type="containsBlanks" dxfId="845" priority="1625" stopIfTrue="1">
      <formula>LEN(TRIM(Q425))=0</formula>
    </cfRule>
    <cfRule type="cellIs" dxfId="844" priority="1626" stopIfTrue="1" operator="between">
      <formula>80.1</formula>
      <formula>100</formula>
    </cfRule>
    <cfRule type="cellIs" dxfId="843" priority="1627" stopIfTrue="1" operator="between">
      <formula>35.1</formula>
      <formula>80</formula>
    </cfRule>
    <cfRule type="cellIs" dxfId="842" priority="1628" stopIfTrue="1" operator="between">
      <formula>14.1</formula>
      <formula>35</formula>
    </cfRule>
    <cfRule type="cellIs" dxfId="841" priority="1629" stopIfTrue="1" operator="between">
      <formula>5.1</formula>
      <formula>14</formula>
    </cfRule>
    <cfRule type="cellIs" dxfId="840" priority="1630" stopIfTrue="1" operator="between">
      <formula>0</formula>
      <formula>5</formula>
    </cfRule>
    <cfRule type="containsBlanks" dxfId="839" priority="1631" stopIfTrue="1">
      <formula>LEN(TRIM(Q425))=0</formula>
    </cfRule>
  </conditionalFormatting>
  <conditionalFormatting sqref="Q425">
    <cfRule type="containsBlanks" dxfId="838" priority="1618" stopIfTrue="1">
      <formula>LEN(TRIM(Q425))=0</formula>
    </cfRule>
    <cfRule type="cellIs" dxfId="837" priority="1619" stopIfTrue="1" operator="between">
      <formula>80.1</formula>
      <formula>100</formula>
    </cfRule>
    <cfRule type="cellIs" dxfId="836" priority="1620" stopIfTrue="1" operator="between">
      <formula>35.1</formula>
      <formula>80</formula>
    </cfRule>
    <cfRule type="cellIs" dxfId="835" priority="1621" stopIfTrue="1" operator="between">
      <formula>14.1</formula>
      <formula>35</formula>
    </cfRule>
    <cfRule type="cellIs" dxfId="834" priority="1622" stopIfTrue="1" operator="between">
      <formula>5.1</formula>
      <formula>14</formula>
    </cfRule>
    <cfRule type="cellIs" dxfId="833" priority="1623" stopIfTrue="1" operator="between">
      <formula>0</formula>
      <formula>5</formula>
    </cfRule>
    <cfRule type="containsBlanks" dxfId="832" priority="1624" stopIfTrue="1">
      <formula>LEN(TRIM(Q425))=0</formula>
    </cfRule>
  </conditionalFormatting>
  <conditionalFormatting sqref="R426">
    <cfRule type="cellIs" dxfId="831" priority="1616" stopIfTrue="1" operator="equal">
      <formula>"NO"</formula>
    </cfRule>
  </conditionalFormatting>
  <conditionalFormatting sqref="Q426">
    <cfRule type="containsBlanks" dxfId="830" priority="1603" stopIfTrue="1">
      <formula>LEN(TRIM(Q426))=0</formula>
    </cfRule>
    <cfRule type="cellIs" dxfId="829" priority="1604" stopIfTrue="1" operator="between">
      <formula>80.1</formula>
      <formula>100</formula>
    </cfRule>
    <cfRule type="cellIs" dxfId="828" priority="1605" stopIfTrue="1" operator="between">
      <formula>35.1</formula>
      <formula>80</formula>
    </cfRule>
    <cfRule type="cellIs" dxfId="827" priority="1606" stopIfTrue="1" operator="between">
      <formula>14.1</formula>
      <formula>35</formula>
    </cfRule>
    <cfRule type="cellIs" dxfId="826" priority="1607" stopIfTrue="1" operator="between">
      <formula>5.1</formula>
      <formula>14</formula>
    </cfRule>
    <cfRule type="cellIs" dxfId="825" priority="1608" stopIfTrue="1" operator="between">
      <formula>0</formula>
      <formula>5</formula>
    </cfRule>
    <cfRule type="containsBlanks" dxfId="824" priority="1609" stopIfTrue="1">
      <formula>LEN(TRIM(Q426))=0</formula>
    </cfRule>
  </conditionalFormatting>
  <conditionalFormatting sqref="Q426">
    <cfRule type="containsBlanks" dxfId="823" priority="1596" stopIfTrue="1">
      <formula>LEN(TRIM(Q426))=0</formula>
    </cfRule>
    <cfRule type="cellIs" dxfId="822" priority="1597" stopIfTrue="1" operator="between">
      <formula>80.1</formula>
      <formula>100</formula>
    </cfRule>
    <cfRule type="cellIs" dxfId="821" priority="1598" stopIfTrue="1" operator="between">
      <formula>35.1</formula>
      <formula>80</formula>
    </cfRule>
    <cfRule type="cellIs" dxfId="820" priority="1599" stopIfTrue="1" operator="between">
      <formula>14.1</formula>
      <formula>35</formula>
    </cfRule>
    <cfRule type="cellIs" dxfId="819" priority="1600" stopIfTrue="1" operator="between">
      <formula>5.1</formula>
      <formula>14</formula>
    </cfRule>
    <cfRule type="cellIs" dxfId="818" priority="1601" stopIfTrue="1" operator="between">
      <formula>0</formula>
      <formula>5</formula>
    </cfRule>
    <cfRule type="containsBlanks" dxfId="817" priority="1602" stopIfTrue="1">
      <formula>LEN(TRIM(Q426))=0</formula>
    </cfRule>
  </conditionalFormatting>
  <conditionalFormatting sqref="R427">
    <cfRule type="cellIs" dxfId="816" priority="1594" stopIfTrue="1" operator="equal">
      <formula>"NO"</formula>
    </cfRule>
  </conditionalFormatting>
  <conditionalFormatting sqref="Q427">
    <cfRule type="containsBlanks" dxfId="815" priority="1581" stopIfTrue="1">
      <formula>LEN(TRIM(Q427))=0</formula>
    </cfRule>
    <cfRule type="cellIs" dxfId="814" priority="1582" stopIfTrue="1" operator="between">
      <formula>80.1</formula>
      <formula>100</formula>
    </cfRule>
    <cfRule type="cellIs" dxfId="813" priority="1583" stopIfTrue="1" operator="between">
      <formula>35.1</formula>
      <formula>80</formula>
    </cfRule>
    <cfRule type="cellIs" dxfId="812" priority="1584" stopIfTrue="1" operator="between">
      <formula>14.1</formula>
      <formula>35</formula>
    </cfRule>
    <cfRule type="cellIs" dxfId="811" priority="1585" stopIfTrue="1" operator="between">
      <formula>5.1</formula>
      <formula>14</formula>
    </cfRule>
    <cfRule type="cellIs" dxfId="810" priority="1586" stopIfTrue="1" operator="between">
      <formula>0</formula>
      <formula>5</formula>
    </cfRule>
    <cfRule type="containsBlanks" dxfId="809" priority="1587" stopIfTrue="1">
      <formula>LEN(TRIM(Q427))=0</formula>
    </cfRule>
  </conditionalFormatting>
  <conditionalFormatting sqref="Q427">
    <cfRule type="containsBlanks" dxfId="808" priority="1574" stopIfTrue="1">
      <formula>LEN(TRIM(Q427))=0</formula>
    </cfRule>
    <cfRule type="cellIs" dxfId="807" priority="1575" stopIfTrue="1" operator="between">
      <formula>80.1</formula>
      <formula>100</formula>
    </cfRule>
    <cfRule type="cellIs" dxfId="806" priority="1576" stopIfTrue="1" operator="between">
      <formula>35.1</formula>
      <formula>80</formula>
    </cfRule>
    <cfRule type="cellIs" dxfId="805" priority="1577" stopIfTrue="1" operator="between">
      <formula>14.1</formula>
      <formula>35</formula>
    </cfRule>
    <cfRule type="cellIs" dxfId="804" priority="1578" stopIfTrue="1" operator="between">
      <formula>5.1</formula>
      <formula>14</formula>
    </cfRule>
    <cfRule type="cellIs" dxfId="803" priority="1579" stopIfTrue="1" operator="between">
      <formula>0</formula>
      <formula>5</formula>
    </cfRule>
    <cfRule type="containsBlanks" dxfId="802" priority="1580" stopIfTrue="1">
      <formula>LEN(TRIM(Q427))=0</formula>
    </cfRule>
  </conditionalFormatting>
  <conditionalFormatting sqref="R428">
    <cfRule type="cellIs" dxfId="801" priority="1550" stopIfTrue="1" operator="equal">
      <formula>"NO"</formula>
    </cfRule>
  </conditionalFormatting>
  <conditionalFormatting sqref="Q428">
    <cfRule type="containsBlanks" dxfId="800" priority="1537" stopIfTrue="1">
      <formula>LEN(TRIM(Q428))=0</formula>
    </cfRule>
    <cfRule type="cellIs" dxfId="799" priority="1538" stopIfTrue="1" operator="between">
      <formula>80.1</formula>
      <formula>100</formula>
    </cfRule>
    <cfRule type="cellIs" dxfId="798" priority="1539" stopIfTrue="1" operator="between">
      <formula>35.1</formula>
      <formula>80</formula>
    </cfRule>
    <cfRule type="cellIs" dxfId="797" priority="1540" stopIfTrue="1" operator="between">
      <formula>14.1</formula>
      <formula>35</formula>
    </cfRule>
    <cfRule type="cellIs" dxfId="796" priority="1541" stopIfTrue="1" operator="between">
      <formula>5.1</formula>
      <formula>14</formula>
    </cfRule>
    <cfRule type="cellIs" dxfId="795" priority="1542" stopIfTrue="1" operator="between">
      <formula>0</formula>
      <formula>5</formula>
    </cfRule>
    <cfRule type="containsBlanks" dxfId="794" priority="1543" stopIfTrue="1">
      <formula>LEN(TRIM(Q428))=0</formula>
    </cfRule>
  </conditionalFormatting>
  <conditionalFormatting sqref="Q428">
    <cfRule type="containsBlanks" dxfId="793" priority="1530" stopIfTrue="1">
      <formula>LEN(TRIM(Q428))=0</formula>
    </cfRule>
    <cfRule type="cellIs" dxfId="792" priority="1531" stopIfTrue="1" operator="between">
      <formula>80.1</formula>
      <formula>100</formula>
    </cfRule>
    <cfRule type="cellIs" dxfId="791" priority="1532" stopIfTrue="1" operator="between">
      <formula>35.1</formula>
      <formula>80</formula>
    </cfRule>
    <cfRule type="cellIs" dxfId="790" priority="1533" stopIfTrue="1" operator="between">
      <formula>14.1</formula>
      <formula>35</formula>
    </cfRule>
    <cfRule type="cellIs" dxfId="789" priority="1534" stopIfTrue="1" operator="between">
      <formula>5.1</formula>
      <formula>14</formula>
    </cfRule>
    <cfRule type="cellIs" dxfId="788" priority="1535" stopIfTrue="1" operator="between">
      <formula>0</formula>
      <formula>5</formula>
    </cfRule>
    <cfRule type="containsBlanks" dxfId="787" priority="1536" stopIfTrue="1">
      <formula>LEN(TRIM(Q428))=0</formula>
    </cfRule>
  </conditionalFormatting>
  <conditionalFormatting sqref="R429">
    <cfRule type="cellIs" dxfId="786" priority="1528" stopIfTrue="1" operator="equal">
      <formula>"NO"</formula>
    </cfRule>
  </conditionalFormatting>
  <conditionalFormatting sqref="Q429">
    <cfRule type="containsBlanks" dxfId="785" priority="1515" stopIfTrue="1">
      <formula>LEN(TRIM(Q429))=0</formula>
    </cfRule>
    <cfRule type="cellIs" dxfId="784" priority="1516" stopIfTrue="1" operator="between">
      <formula>80.1</formula>
      <formula>100</formula>
    </cfRule>
    <cfRule type="cellIs" dxfId="783" priority="1517" stopIfTrue="1" operator="between">
      <formula>35.1</formula>
      <formula>80</formula>
    </cfRule>
    <cfRule type="cellIs" dxfId="782" priority="1518" stopIfTrue="1" operator="between">
      <formula>14.1</formula>
      <formula>35</formula>
    </cfRule>
    <cfRule type="cellIs" dxfId="781" priority="1519" stopIfTrue="1" operator="between">
      <formula>5.1</formula>
      <formula>14</formula>
    </cfRule>
    <cfRule type="cellIs" dxfId="780" priority="1520" stopIfTrue="1" operator="between">
      <formula>0</formula>
      <formula>5</formula>
    </cfRule>
    <cfRule type="containsBlanks" dxfId="779" priority="1521" stopIfTrue="1">
      <formula>LEN(TRIM(Q429))=0</formula>
    </cfRule>
  </conditionalFormatting>
  <conditionalFormatting sqref="Q429">
    <cfRule type="containsBlanks" dxfId="778" priority="1508" stopIfTrue="1">
      <formula>LEN(TRIM(Q429))=0</formula>
    </cfRule>
    <cfRule type="cellIs" dxfId="777" priority="1509" stopIfTrue="1" operator="between">
      <formula>80.1</formula>
      <formula>100</formula>
    </cfRule>
    <cfRule type="cellIs" dxfId="776" priority="1510" stopIfTrue="1" operator="between">
      <formula>35.1</formula>
      <formula>80</formula>
    </cfRule>
    <cfRule type="cellIs" dxfId="775" priority="1511" stopIfTrue="1" operator="between">
      <formula>14.1</formula>
      <formula>35</formula>
    </cfRule>
    <cfRule type="cellIs" dxfId="774" priority="1512" stopIfTrue="1" operator="between">
      <formula>5.1</formula>
      <formula>14</formula>
    </cfRule>
    <cfRule type="cellIs" dxfId="773" priority="1513" stopIfTrue="1" operator="between">
      <formula>0</formula>
      <formula>5</formula>
    </cfRule>
    <cfRule type="containsBlanks" dxfId="772" priority="1514" stopIfTrue="1">
      <formula>LEN(TRIM(Q429))=0</formula>
    </cfRule>
  </conditionalFormatting>
  <conditionalFormatting sqref="R430">
    <cfRule type="cellIs" dxfId="771" priority="1506" stopIfTrue="1" operator="equal">
      <formula>"NO"</formula>
    </cfRule>
  </conditionalFormatting>
  <conditionalFormatting sqref="Q430">
    <cfRule type="containsBlanks" dxfId="770" priority="1493" stopIfTrue="1">
      <formula>LEN(TRIM(Q430))=0</formula>
    </cfRule>
    <cfRule type="cellIs" dxfId="769" priority="1494" stopIfTrue="1" operator="between">
      <formula>80.1</formula>
      <formula>100</formula>
    </cfRule>
    <cfRule type="cellIs" dxfId="768" priority="1495" stopIfTrue="1" operator="between">
      <formula>35.1</formula>
      <formula>80</formula>
    </cfRule>
    <cfRule type="cellIs" dxfId="767" priority="1496" stopIfTrue="1" operator="between">
      <formula>14.1</formula>
      <formula>35</formula>
    </cfRule>
    <cfRule type="cellIs" dxfId="766" priority="1497" stopIfTrue="1" operator="between">
      <formula>5.1</formula>
      <formula>14</formula>
    </cfRule>
    <cfRule type="cellIs" dxfId="765" priority="1498" stopIfTrue="1" operator="between">
      <formula>0</formula>
      <formula>5</formula>
    </cfRule>
    <cfRule type="containsBlanks" dxfId="764" priority="1499" stopIfTrue="1">
      <formula>LEN(TRIM(Q430))=0</formula>
    </cfRule>
  </conditionalFormatting>
  <conditionalFormatting sqref="Q430">
    <cfRule type="containsBlanks" dxfId="763" priority="1486" stopIfTrue="1">
      <formula>LEN(TRIM(Q430))=0</formula>
    </cfRule>
    <cfRule type="cellIs" dxfId="762" priority="1487" stopIfTrue="1" operator="between">
      <formula>80.1</formula>
      <formula>100</formula>
    </cfRule>
    <cfRule type="cellIs" dxfId="761" priority="1488" stopIfTrue="1" operator="between">
      <formula>35.1</formula>
      <formula>80</formula>
    </cfRule>
    <cfRule type="cellIs" dxfId="760" priority="1489" stopIfTrue="1" operator="between">
      <formula>14.1</formula>
      <formula>35</formula>
    </cfRule>
    <cfRule type="cellIs" dxfId="759" priority="1490" stopIfTrue="1" operator="between">
      <formula>5.1</formula>
      <formula>14</formula>
    </cfRule>
    <cfRule type="cellIs" dxfId="758" priority="1491" stopIfTrue="1" operator="between">
      <formula>0</formula>
      <formula>5</formula>
    </cfRule>
    <cfRule type="containsBlanks" dxfId="757" priority="1492" stopIfTrue="1">
      <formula>LEN(TRIM(Q430))=0</formula>
    </cfRule>
  </conditionalFormatting>
  <conditionalFormatting sqref="R431">
    <cfRule type="cellIs" dxfId="756" priority="1484" stopIfTrue="1" operator="equal">
      <formula>"NO"</formula>
    </cfRule>
  </conditionalFormatting>
  <conditionalFormatting sqref="Q431">
    <cfRule type="containsBlanks" dxfId="755" priority="1471" stopIfTrue="1">
      <formula>LEN(TRIM(Q431))=0</formula>
    </cfRule>
    <cfRule type="cellIs" dxfId="754" priority="1472" stopIfTrue="1" operator="between">
      <formula>80.1</formula>
      <formula>100</formula>
    </cfRule>
    <cfRule type="cellIs" dxfId="753" priority="1473" stopIfTrue="1" operator="between">
      <formula>35.1</formula>
      <formula>80</formula>
    </cfRule>
    <cfRule type="cellIs" dxfId="752" priority="1474" stopIfTrue="1" operator="between">
      <formula>14.1</formula>
      <formula>35</formula>
    </cfRule>
    <cfRule type="cellIs" dxfId="751" priority="1475" stopIfTrue="1" operator="between">
      <formula>5.1</formula>
      <formula>14</formula>
    </cfRule>
    <cfRule type="cellIs" dxfId="750" priority="1476" stopIfTrue="1" operator="between">
      <formula>0</formula>
      <formula>5</formula>
    </cfRule>
    <cfRule type="containsBlanks" dxfId="749" priority="1477" stopIfTrue="1">
      <formula>LEN(TRIM(Q431))=0</formula>
    </cfRule>
  </conditionalFormatting>
  <conditionalFormatting sqref="Q431">
    <cfRule type="containsBlanks" dxfId="748" priority="1464" stopIfTrue="1">
      <formula>LEN(TRIM(Q431))=0</formula>
    </cfRule>
    <cfRule type="cellIs" dxfId="747" priority="1465" stopIfTrue="1" operator="between">
      <formula>80.1</formula>
      <formula>100</formula>
    </cfRule>
    <cfRule type="cellIs" dxfId="746" priority="1466" stopIfTrue="1" operator="between">
      <formula>35.1</formula>
      <formula>80</formula>
    </cfRule>
    <cfRule type="cellIs" dxfId="745" priority="1467" stopIfTrue="1" operator="between">
      <formula>14.1</formula>
      <formula>35</formula>
    </cfRule>
    <cfRule type="cellIs" dxfId="744" priority="1468" stopIfTrue="1" operator="between">
      <formula>5.1</formula>
      <formula>14</formula>
    </cfRule>
    <cfRule type="cellIs" dxfId="743" priority="1469" stopIfTrue="1" operator="between">
      <formula>0</formula>
      <formula>5</formula>
    </cfRule>
    <cfRule type="containsBlanks" dxfId="742" priority="1470" stopIfTrue="1">
      <formula>LEN(TRIM(Q431))=0</formula>
    </cfRule>
  </conditionalFormatting>
  <conditionalFormatting sqref="R432">
    <cfRule type="cellIs" dxfId="741" priority="1462" stopIfTrue="1" operator="equal">
      <formula>"NO"</formula>
    </cfRule>
  </conditionalFormatting>
  <conditionalFormatting sqref="Q432">
    <cfRule type="containsBlanks" dxfId="740" priority="1449" stopIfTrue="1">
      <formula>LEN(TRIM(Q432))=0</formula>
    </cfRule>
    <cfRule type="cellIs" dxfId="739" priority="1450" stopIfTrue="1" operator="between">
      <formula>80.1</formula>
      <formula>100</formula>
    </cfRule>
    <cfRule type="cellIs" dxfId="738" priority="1451" stopIfTrue="1" operator="between">
      <formula>35.1</formula>
      <formula>80</formula>
    </cfRule>
    <cfRule type="cellIs" dxfId="737" priority="1452" stopIfTrue="1" operator="between">
      <formula>14.1</formula>
      <formula>35</formula>
    </cfRule>
    <cfRule type="cellIs" dxfId="736" priority="1453" stopIfTrue="1" operator="between">
      <formula>5.1</formula>
      <formula>14</formula>
    </cfRule>
    <cfRule type="cellIs" dxfId="735" priority="1454" stopIfTrue="1" operator="between">
      <formula>0</formula>
      <formula>5</formula>
    </cfRule>
    <cfRule type="containsBlanks" dxfId="734" priority="1455" stopIfTrue="1">
      <formula>LEN(TRIM(Q432))=0</formula>
    </cfRule>
  </conditionalFormatting>
  <conditionalFormatting sqref="Q432">
    <cfRule type="containsBlanks" dxfId="733" priority="1442" stopIfTrue="1">
      <formula>LEN(TRIM(Q432))=0</formula>
    </cfRule>
    <cfRule type="cellIs" dxfId="732" priority="1443" stopIfTrue="1" operator="between">
      <formula>80.1</formula>
      <formula>100</formula>
    </cfRule>
    <cfRule type="cellIs" dxfId="731" priority="1444" stopIfTrue="1" operator="between">
      <formula>35.1</formula>
      <formula>80</formula>
    </cfRule>
    <cfRule type="cellIs" dxfId="730" priority="1445" stopIfTrue="1" operator="between">
      <formula>14.1</formula>
      <formula>35</formula>
    </cfRule>
    <cfRule type="cellIs" dxfId="729" priority="1446" stopIfTrue="1" operator="between">
      <formula>5.1</formula>
      <formula>14</formula>
    </cfRule>
    <cfRule type="cellIs" dxfId="728" priority="1447" stopIfTrue="1" operator="between">
      <formula>0</formula>
      <formula>5</formula>
    </cfRule>
    <cfRule type="containsBlanks" dxfId="727" priority="1448" stopIfTrue="1">
      <formula>LEN(TRIM(Q432))=0</formula>
    </cfRule>
  </conditionalFormatting>
  <conditionalFormatting sqref="R433">
    <cfRule type="cellIs" dxfId="726" priority="1440" stopIfTrue="1" operator="equal">
      <formula>"NO"</formula>
    </cfRule>
  </conditionalFormatting>
  <conditionalFormatting sqref="Q433">
    <cfRule type="containsBlanks" dxfId="725" priority="1427" stopIfTrue="1">
      <formula>LEN(TRIM(Q433))=0</formula>
    </cfRule>
    <cfRule type="cellIs" dxfId="724" priority="1428" stopIfTrue="1" operator="between">
      <formula>80.1</formula>
      <formula>100</formula>
    </cfRule>
    <cfRule type="cellIs" dxfId="723" priority="1429" stopIfTrue="1" operator="between">
      <formula>35.1</formula>
      <formula>80</formula>
    </cfRule>
    <cfRule type="cellIs" dxfId="722" priority="1430" stopIfTrue="1" operator="between">
      <formula>14.1</formula>
      <formula>35</formula>
    </cfRule>
    <cfRule type="cellIs" dxfId="721" priority="1431" stopIfTrue="1" operator="between">
      <formula>5.1</formula>
      <formula>14</formula>
    </cfRule>
    <cfRule type="cellIs" dxfId="720" priority="1432" stopIfTrue="1" operator="between">
      <formula>0</formula>
      <formula>5</formula>
    </cfRule>
    <cfRule type="containsBlanks" dxfId="719" priority="1433" stopIfTrue="1">
      <formula>LEN(TRIM(Q433))=0</formula>
    </cfRule>
  </conditionalFormatting>
  <conditionalFormatting sqref="Q433">
    <cfRule type="containsBlanks" dxfId="718" priority="1420" stopIfTrue="1">
      <formula>LEN(TRIM(Q433))=0</formula>
    </cfRule>
    <cfRule type="cellIs" dxfId="717" priority="1421" stopIfTrue="1" operator="between">
      <formula>80.1</formula>
      <formula>100</formula>
    </cfRule>
    <cfRule type="cellIs" dxfId="716" priority="1422" stopIfTrue="1" operator="between">
      <formula>35.1</formula>
      <formula>80</formula>
    </cfRule>
    <cfRule type="cellIs" dxfId="715" priority="1423" stopIfTrue="1" operator="between">
      <formula>14.1</formula>
      <formula>35</formula>
    </cfRule>
    <cfRule type="cellIs" dxfId="714" priority="1424" stopIfTrue="1" operator="between">
      <formula>5.1</formula>
      <formula>14</formula>
    </cfRule>
    <cfRule type="cellIs" dxfId="713" priority="1425" stopIfTrue="1" operator="between">
      <formula>0</formula>
      <formula>5</formula>
    </cfRule>
    <cfRule type="containsBlanks" dxfId="712" priority="1426" stopIfTrue="1">
      <formula>LEN(TRIM(Q433))=0</formula>
    </cfRule>
  </conditionalFormatting>
  <conditionalFormatting sqref="R434">
    <cfRule type="cellIs" dxfId="711" priority="1418" stopIfTrue="1" operator="equal">
      <formula>"NO"</formula>
    </cfRule>
  </conditionalFormatting>
  <conditionalFormatting sqref="Q434">
    <cfRule type="containsBlanks" dxfId="710" priority="1405" stopIfTrue="1">
      <formula>LEN(TRIM(Q434))=0</formula>
    </cfRule>
    <cfRule type="cellIs" dxfId="709" priority="1406" stopIfTrue="1" operator="between">
      <formula>80.1</formula>
      <formula>100</formula>
    </cfRule>
    <cfRule type="cellIs" dxfId="708" priority="1407" stopIfTrue="1" operator="between">
      <formula>35.1</formula>
      <formula>80</formula>
    </cfRule>
    <cfRule type="cellIs" dxfId="707" priority="1408" stopIfTrue="1" operator="between">
      <formula>14.1</formula>
      <formula>35</formula>
    </cfRule>
    <cfRule type="cellIs" dxfId="706" priority="1409" stopIfTrue="1" operator="between">
      <formula>5.1</formula>
      <formula>14</formula>
    </cfRule>
    <cfRule type="cellIs" dxfId="705" priority="1410" stopIfTrue="1" operator="between">
      <formula>0</formula>
      <formula>5</formula>
    </cfRule>
    <cfRule type="containsBlanks" dxfId="704" priority="1411" stopIfTrue="1">
      <formula>LEN(TRIM(Q434))=0</formula>
    </cfRule>
  </conditionalFormatting>
  <conditionalFormatting sqref="Q434">
    <cfRule type="containsBlanks" dxfId="703" priority="1398" stopIfTrue="1">
      <formula>LEN(TRIM(Q434))=0</formula>
    </cfRule>
    <cfRule type="cellIs" dxfId="702" priority="1399" stopIfTrue="1" operator="between">
      <formula>80.1</formula>
      <formula>100</formula>
    </cfRule>
    <cfRule type="cellIs" dxfId="701" priority="1400" stopIfTrue="1" operator="between">
      <formula>35.1</formula>
      <formula>80</formula>
    </cfRule>
    <cfRule type="cellIs" dxfId="700" priority="1401" stopIfTrue="1" operator="between">
      <formula>14.1</formula>
      <formula>35</formula>
    </cfRule>
    <cfRule type="cellIs" dxfId="699" priority="1402" stopIfTrue="1" operator="between">
      <formula>5.1</formula>
      <formula>14</formula>
    </cfRule>
    <cfRule type="cellIs" dxfId="698" priority="1403" stopIfTrue="1" operator="between">
      <formula>0</formula>
      <formula>5</formula>
    </cfRule>
    <cfRule type="containsBlanks" dxfId="697" priority="1404" stopIfTrue="1">
      <formula>LEN(TRIM(Q434))=0</formula>
    </cfRule>
  </conditionalFormatting>
  <conditionalFormatting sqref="R435">
    <cfRule type="cellIs" dxfId="696" priority="1396" stopIfTrue="1" operator="equal">
      <formula>"NO"</formula>
    </cfRule>
  </conditionalFormatting>
  <conditionalFormatting sqref="Q435">
    <cfRule type="containsBlanks" dxfId="695" priority="1383" stopIfTrue="1">
      <formula>LEN(TRIM(Q435))=0</formula>
    </cfRule>
    <cfRule type="cellIs" dxfId="694" priority="1384" stopIfTrue="1" operator="between">
      <formula>80.1</formula>
      <formula>100</formula>
    </cfRule>
    <cfRule type="cellIs" dxfId="693" priority="1385" stopIfTrue="1" operator="between">
      <formula>35.1</formula>
      <formula>80</formula>
    </cfRule>
    <cfRule type="cellIs" dxfId="692" priority="1386" stopIfTrue="1" operator="between">
      <formula>14.1</formula>
      <formula>35</formula>
    </cfRule>
    <cfRule type="cellIs" dxfId="691" priority="1387" stopIfTrue="1" operator="between">
      <formula>5.1</formula>
      <formula>14</formula>
    </cfRule>
    <cfRule type="cellIs" dxfId="690" priority="1388" stopIfTrue="1" operator="between">
      <formula>0</formula>
      <formula>5</formula>
    </cfRule>
    <cfRule type="containsBlanks" dxfId="689" priority="1389" stopIfTrue="1">
      <formula>LEN(TRIM(Q435))=0</formula>
    </cfRule>
  </conditionalFormatting>
  <conditionalFormatting sqref="Q435">
    <cfRule type="containsBlanks" dxfId="688" priority="1376" stopIfTrue="1">
      <formula>LEN(TRIM(Q435))=0</formula>
    </cfRule>
    <cfRule type="cellIs" dxfId="687" priority="1377" stopIfTrue="1" operator="between">
      <formula>80.1</formula>
      <formula>100</formula>
    </cfRule>
    <cfRule type="cellIs" dxfId="686" priority="1378" stopIfTrue="1" operator="between">
      <formula>35.1</formula>
      <formula>80</formula>
    </cfRule>
    <cfRule type="cellIs" dxfId="685" priority="1379" stopIfTrue="1" operator="between">
      <formula>14.1</formula>
      <formula>35</formula>
    </cfRule>
    <cfRule type="cellIs" dxfId="684" priority="1380" stopIfTrue="1" operator="between">
      <formula>5.1</formula>
      <formula>14</formula>
    </cfRule>
    <cfRule type="cellIs" dxfId="683" priority="1381" stopIfTrue="1" operator="between">
      <formula>0</formula>
      <formula>5</formula>
    </cfRule>
    <cfRule type="containsBlanks" dxfId="682" priority="1382" stopIfTrue="1">
      <formula>LEN(TRIM(Q435))=0</formula>
    </cfRule>
  </conditionalFormatting>
  <conditionalFormatting sqref="R436">
    <cfRule type="cellIs" dxfId="681" priority="1374" stopIfTrue="1" operator="equal">
      <formula>"NO"</formula>
    </cfRule>
  </conditionalFormatting>
  <conditionalFormatting sqref="Q436">
    <cfRule type="containsBlanks" dxfId="680" priority="1361" stopIfTrue="1">
      <formula>LEN(TRIM(Q436))=0</formula>
    </cfRule>
    <cfRule type="cellIs" dxfId="679" priority="1362" stopIfTrue="1" operator="between">
      <formula>80.1</formula>
      <formula>100</formula>
    </cfRule>
    <cfRule type="cellIs" dxfId="678" priority="1363" stopIfTrue="1" operator="between">
      <formula>35.1</formula>
      <formula>80</formula>
    </cfRule>
    <cfRule type="cellIs" dxfId="677" priority="1364" stopIfTrue="1" operator="between">
      <formula>14.1</formula>
      <formula>35</formula>
    </cfRule>
    <cfRule type="cellIs" dxfId="676" priority="1365" stopIfTrue="1" operator="between">
      <formula>5.1</formula>
      <formula>14</formula>
    </cfRule>
    <cfRule type="cellIs" dxfId="675" priority="1366" stopIfTrue="1" operator="between">
      <formula>0</formula>
      <formula>5</formula>
    </cfRule>
    <cfRule type="containsBlanks" dxfId="674" priority="1367" stopIfTrue="1">
      <formula>LEN(TRIM(Q436))=0</formula>
    </cfRule>
  </conditionalFormatting>
  <conditionalFormatting sqref="Q436">
    <cfRule type="containsBlanks" dxfId="673" priority="1354" stopIfTrue="1">
      <formula>LEN(TRIM(Q436))=0</formula>
    </cfRule>
    <cfRule type="cellIs" dxfId="672" priority="1355" stopIfTrue="1" operator="between">
      <formula>80.1</formula>
      <formula>100</formula>
    </cfRule>
    <cfRule type="cellIs" dxfId="671" priority="1356" stopIfTrue="1" operator="between">
      <formula>35.1</formula>
      <formula>80</formula>
    </cfRule>
    <cfRule type="cellIs" dxfId="670" priority="1357" stopIfTrue="1" operator="between">
      <formula>14.1</formula>
      <formula>35</formula>
    </cfRule>
    <cfRule type="cellIs" dxfId="669" priority="1358" stopIfTrue="1" operator="between">
      <formula>5.1</formula>
      <formula>14</formula>
    </cfRule>
    <cfRule type="cellIs" dxfId="668" priority="1359" stopIfTrue="1" operator="between">
      <formula>0</formula>
      <formula>5</formula>
    </cfRule>
    <cfRule type="containsBlanks" dxfId="667" priority="1360" stopIfTrue="1">
      <formula>LEN(TRIM(Q436))=0</formula>
    </cfRule>
  </conditionalFormatting>
  <conditionalFormatting sqref="R437">
    <cfRule type="cellIs" dxfId="666" priority="1352" stopIfTrue="1" operator="equal">
      <formula>"NO"</formula>
    </cfRule>
  </conditionalFormatting>
  <conditionalFormatting sqref="Q437">
    <cfRule type="containsBlanks" dxfId="665" priority="1339" stopIfTrue="1">
      <formula>LEN(TRIM(Q437))=0</formula>
    </cfRule>
    <cfRule type="cellIs" dxfId="664" priority="1340" stopIfTrue="1" operator="between">
      <formula>80.1</formula>
      <formula>100</formula>
    </cfRule>
    <cfRule type="cellIs" dxfId="663" priority="1341" stopIfTrue="1" operator="between">
      <formula>35.1</formula>
      <formula>80</formula>
    </cfRule>
    <cfRule type="cellIs" dxfId="662" priority="1342" stopIfTrue="1" operator="between">
      <formula>14.1</formula>
      <formula>35</formula>
    </cfRule>
    <cfRule type="cellIs" dxfId="661" priority="1343" stopIfTrue="1" operator="between">
      <formula>5.1</formula>
      <formula>14</formula>
    </cfRule>
    <cfRule type="cellIs" dxfId="660" priority="1344" stopIfTrue="1" operator="between">
      <formula>0</formula>
      <formula>5</formula>
    </cfRule>
    <cfRule type="containsBlanks" dxfId="659" priority="1345" stopIfTrue="1">
      <formula>LEN(TRIM(Q437))=0</formula>
    </cfRule>
  </conditionalFormatting>
  <conditionalFormatting sqref="Q437">
    <cfRule type="containsBlanks" dxfId="658" priority="1332" stopIfTrue="1">
      <formula>LEN(TRIM(Q437))=0</formula>
    </cfRule>
    <cfRule type="cellIs" dxfId="657" priority="1333" stopIfTrue="1" operator="between">
      <formula>80.1</formula>
      <formula>100</formula>
    </cfRule>
    <cfRule type="cellIs" dxfId="656" priority="1334" stopIfTrue="1" operator="between">
      <formula>35.1</formula>
      <formula>80</formula>
    </cfRule>
    <cfRule type="cellIs" dxfId="655" priority="1335" stopIfTrue="1" operator="between">
      <formula>14.1</formula>
      <formula>35</formula>
    </cfRule>
    <cfRule type="cellIs" dxfId="654" priority="1336" stopIfTrue="1" operator="between">
      <formula>5.1</formula>
      <formula>14</formula>
    </cfRule>
    <cfRule type="cellIs" dxfId="653" priority="1337" stopIfTrue="1" operator="between">
      <formula>0</formula>
      <formula>5</formula>
    </cfRule>
    <cfRule type="containsBlanks" dxfId="652" priority="1338" stopIfTrue="1">
      <formula>LEN(TRIM(Q437))=0</formula>
    </cfRule>
  </conditionalFormatting>
  <conditionalFormatting sqref="R438">
    <cfRule type="cellIs" dxfId="651" priority="1330" stopIfTrue="1" operator="equal">
      <formula>"NO"</formula>
    </cfRule>
  </conditionalFormatting>
  <conditionalFormatting sqref="Q438">
    <cfRule type="containsBlanks" dxfId="650" priority="1317" stopIfTrue="1">
      <formula>LEN(TRIM(Q438))=0</formula>
    </cfRule>
    <cfRule type="cellIs" dxfId="649" priority="1318" stopIfTrue="1" operator="between">
      <formula>80.1</formula>
      <formula>100</formula>
    </cfRule>
    <cfRule type="cellIs" dxfId="648" priority="1319" stopIfTrue="1" operator="between">
      <formula>35.1</formula>
      <formula>80</formula>
    </cfRule>
    <cfRule type="cellIs" dxfId="647" priority="1320" stopIfTrue="1" operator="between">
      <formula>14.1</formula>
      <formula>35</formula>
    </cfRule>
    <cfRule type="cellIs" dxfId="646" priority="1321" stopIfTrue="1" operator="between">
      <formula>5.1</formula>
      <formula>14</formula>
    </cfRule>
    <cfRule type="cellIs" dxfId="645" priority="1322" stopIfTrue="1" operator="between">
      <formula>0</formula>
      <formula>5</formula>
    </cfRule>
    <cfRule type="containsBlanks" dxfId="644" priority="1323" stopIfTrue="1">
      <formula>LEN(TRIM(Q438))=0</formula>
    </cfRule>
  </conditionalFormatting>
  <conditionalFormatting sqref="Q438">
    <cfRule type="containsBlanks" dxfId="643" priority="1310" stopIfTrue="1">
      <formula>LEN(TRIM(Q438))=0</formula>
    </cfRule>
    <cfRule type="cellIs" dxfId="642" priority="1311" stopIfTrue="1" operator="between">
      <formula>80.1</formula>
      <formula>100</formula>
    </cfRule>
    <cfRule type="cellIs" dxfId="641" priority="1312" stopIfTrue="1" operator="between">
      <formula>35.1</formula>
      <formula>80</formula>
    </cfRule>
    <cfRule type="cellIs" dxfId="640" priority="1313" stopIfTrue="1" operator="between">
      <formula>14.1</formula>
      <formula>35</formula>
    </cfRule>
    <cfRule type="cellIs" dxfId="639" priority="1314" stopIfTrue="1" operator="between">
      <formula>5.1</formula>
      <formula>14</formula>
    </cfRule>
    <cfRule type="cellIs" dxfId="638" priority="1315" stopIfTrue="1" operator="between">
      <formula>0</formula>
      <formula>5</formula>
    </cfRule>
    <cfRule type="containsBlanks" dxfId="637" priority="1316" stopIfTrue="1">
      <formula>LEN(TRIM(Q438))=0</formula>
    </cfRule>
  </conditionalFormatting>
  <conditionalFormatting sqref="R439">
    <cfRule type="cellIs" dxfId="636" priority="1308" stopIfTrue="1" operator="equal">
      <formula>"NO"</formula>
    </cfRule>
  </conditionalFormatting>
  <conditionalFormatting sqref="Q439">
    <cfRule type="containsBlanks" dxfId="635" priority="1295" stopIfTrue="1">
      <formula>LEN(TRIM(Q439))=0</formula>
    </cfRule>
    <cfRule type="cellIs" dxfId="634" priority="1296" stopIfTrue="1" operator="between">
      <formula>80.1</formula>
      <formula>100</formula>
    </cfRule>
    <cfRule type="cellIs" dxfId="633" priority="1297" stopIfTrue="1" operator="between">
      <formula>35.1</formula>
      <formula>80</formula>
    </cfRule>
    <cfRule type="cellIs" dxfId="632" priority="1298" stopIfTrue="1" operator="between">
      <formula>14.1</formula>
      <formula>35</formula>
    </cfRule>
    <cfRule type="cellIs" dxfId="631" priority="1299" stopIfTrue="1" operator="between">
      <formula>5.1</formula>
      <formula>14</formula>
    </cfRule>
    <cfRule type="cellIs" dxfId="630" priority="1300" stopIfTrue="1" operator="between">
      <formula>0</formula>
      <formula>5</formula>
    </cfRule>
    <cfRule type="containsBlanks" dxfId="629" priority="1301" stopIfTrue="1">
      <formula>LEN(TRIM(Q439))=0</formula>
    </cfRule>
  </conditionalFormatting>
  <conditionalFormatting sqref="Q439">
    <cfRule type="containsBlanks" dxfId="628" priority="1288" stopIfTrue="1">
      <formula>LEN(TRIM(Q439))=0</formula>
    </cfRule>
    <cfRule type="cellIs" dxfId="627" priority="1289" stopIfTrue="1" operator="between">
      <formula>80.1</formula>
      <formula>100</formula>
    </cfRule>
    <cfRule type="cellIs" dxfId="626" priority="1290" stopIfTrue="1" operator="between">
      <formula>35.1</formula>
      <formula>80</formula>
    </cfRule>
    <cfRule type="cellIs" dxfId="625" priority="1291" stopIfTrue="1" operator="between">
      <formula>14.1</formula>
      <formula>35</formula>
    </cfRule>
    <cfRule type="cellIs" dxfId="624" priority="1292" stopIfTrue="1" operator="between">
      <formula>5.1</formula>
      <formula>14</formula>
    </cfRule>
    <cfRule type="cellIs" dxfId="623" priority="1293" stopIfTrue="1" operator="between">
      <formula>0</formula>
      <formula>5</formula>
    </cfRule>
    <cfRule type="containsBlanks" dxfId="622" priority="1294" stopIfTrue="1">
      <formula>LEN(TRIM(Q439))=0</formula>
    </cfRule>
  </conditionalFormatting>
  <conditionalFormatting sqref="R440">
    <cfRule type="cellIs" dxfId="621" priority="1286" stopIfTrue="1" operator="equal">
      <formula>"NO"</formula>
    </cfRule>
  </conditionalFormatting>
  <conditionalFormatting sqref="Q440">
    <cfRule type="containsBlanks" dxfId="620" priority="1273" stopIfTrue="1">
      <formula>LEN(TRIM(Q440))=0</formula>
    </cfRule>
    <cfRule type="cellIs" dxfId="619" priority="1274" stopIfTrue="1" operator="between">
      <formula>80.1</formula>
      <formula>100</formula>
    </cfRule>
    <cfRule type="cellIs" dxfId="618" priority="1275" stopIfTrue="1" operator="between">
      <formula>35.1</formula>
      <formula>80</formula>
    </cfRule>
    <cfRule type="cellIs" dxfId="617" priority="1276" stopIfTrue="1" operator="between">
      <formula>14.1</formula>
      <formula>35</formula>
    </cfRule>
    <cfRule type="cellIs" dxfId="616" priority="1277" stopIfTrue="1" operator="between">
      <formula>5.1</formula>
      <formula>14</formula>
    </cfRule>
    <cfRule type="cellIs" dxfId="615" priority="1278" stopIfTrue="1" operator="between">
      <formula>0</formula>
      <formula>5</formula>
    </cfRule>
    <cfRule type="containsBlanks" dxfId="614" priority="1279" stopIfTrue="1">
      <formula>LEN(TRIM(Q440))=0</formula>
    </cfRule>
  </conditionalFormatting>
  <conditionalFormatting sqref="Q440">
    <cfRule type="containsBlanks" dxfId="613" priority="1266" stopIfTrue="1">
      <formula>LEN(TRIM(Q440))=0</formula>
    </cfRule>
    <cfRule type="cellIs" dxfId="612" priority="1267" stopIfTrue="1" operator="between">
      <formula>80.1</formula>
      <formula>100</formula>
    </cfRule>
    <cfRule type="cellIs" dxfId="611" priority="1268" stopIfTrue="1" operator="between">
      <formula>35.1</formula>
      <formula>80</formula>
    </cfRule>
    <cfRule type="cellIs" dxfId="610" priority="1269" stopIfTrue="1" operator="between">
      <formula>14.1</formula>
      <formula>35</formula>
    </cfRule>
    <cfRule type="cellIs" dxfId="609" priority="1270" stopIfTrue="1" operator="between">
      <formula>5.1</formula>
      <formula>14</formula>
    </cfRule>
    <cfRule type="cellIs" dxfId="608" priority="1271" stopIfTrue="1" operator="between">
      <formula>0</formula>
      <formula>5</formula>
    </cfRule>
    <cfRule type="containsBlanks" dxfId="607" priority="1272" stopIfTrue="1">
      <formula>LEN(TRIM(Q440))=0</formula>
    </cfRule>
  </conditionalFormatting>
  <conditionalFormatting sqref="R441">
    <cfRule type="cellIs" dxfId="606" priority="1264" stopIfTrue="1" operator="equal">
      <formula>"NO"</formula>
    </cfRule>
  </conditionalFormatting>
  <conditionalFormatting sqref="Q441">
    <cfRule type="containsBlanks" dxfId="605" priority="1251" stopIfTrue="1">
      <formula>LEN(TRIM(Q441))=0</formula>
    </cfRule>
    <cfRule type="cellIs" dxfId="604" priority="1252" stopIfTrue="1" operator="between">
      <formula>80.1</formula>
      <formula>100</formula>
    </cfRule>
    <cfRule type="cellIs" dxfId="603" priority="1253" stopIfTrue="1" operator="between">
      <formula>35.1</formula>
      <formula>80</formula>
    </cfRule>
    <cfRule type="cellIs" dxfId="602" priority="1254" stopIfTrue="1" operator="between">
      <formula>14.1</formula>
      <formula>35</formula>
    </cfRule>
    <cfRule type="cellIs" dxfId="601" priority="1255" stopIfTrue="1" operator="between">
      <formula>5.1</formula>
      <formula>14</formula>
    </cfRule>
    <cfRule type="cellIs" dxfId="600" priority="1256" stopIfTrue="1" operator="between">
      <formula>0</formula>
      <formula>5</formula>
    </cfRule>
    <cfRule type="containsBlanks" dxfId="599" priority="1257" stopIfTrue="1">
      <formula>LEN(TRIM(Q441))=0</formula>
    </cfRule>
  </conditionalFormatting>
  <conditionalFormatting sqref="Q441">
    <cfRule type="containsBlanks" dxfId="598" priority="1244" stopIfTrue="1">
      <formula>LEN(TRIM(Q441))=0</formula>
    </cfRule>
    <cfRule type="cellIs" dxfId="597" priority="1245" stopIfTrue="1" operator="between">
      <formula>80.1</formula>
      <formula>100</formula>
    </cfRule>
    <cfRule type="cellIs" dxfId="596" priority="1246" stopIfTrue="1" operator="between">
      <formula>35.1</formula>
      <formula>80</formula>
    </cfRule>
    <cfRule type="cellIs" dxfId="595" priority="1247" stopIfTrue="1" operator="between">
      <formula>14.1</formula>
      <formula>35</formula>
    </cfRule>
    <cfRule type="cellIs" dxfId="594" priority="1248" stopIfTrue="1" operator="between">
      <formula>5.1</formula>
      <formula>14</formula>
    </cfRule>
    <cfRule type="cellIs" dxfId="593" priority="1249" stopIfTrue="1" operator="between">
      <formula>0</formula>
      <formula>5</formula>
    </cfRule>
    <cfRule type="containsBlanks" dxfId="592" priority="1250" stopIfTrue="1">
      <formula>LEN(TRIM(Q441))=0</formula>
    </cfRule>
  </conditionalFormatting>
  <conditionalFormatting sqref="R442">
    <cfRule type="cellIs" dxfId="591" priority="1242" stopIfTrue="1" operator="equal">
      <formula>"NO"</formula>
    </cfRule>
  </conditionalFormatting>
  <conditionalFormatting sqref="Q442">
    <cfRule type="containsBlanks" dxfId="590" priority="1229" stopIfTrue="1">
      <formula>LEN(TRIM(Q442))=0</formula>
    </cfRule>
    <cfRule type="cellIs" dxfId="589" priority="1230" stopIfTrue="1" operator="between">
      <formula>80.1</formula>
      <formula>100</formula>
    </cfRule>
    <cfRule type="cellIs" dxfId="588" priority="1231" stopIfTrue="1" operator="between">
      <formula>35.1</formula>
      <formula>80</formula>
    </cfRule>
    <cfRule type="cellIs" dxfId="587" priority="1232" stopIfTrue="1" operator="between">
      <formula>14.1</formula>
      <formula>35</formula>
    </cfRule>
    <cfRule type="cellIs" dxfId="586" priority="1233" stopIfTrue="1" operator="between">
      <formula>5.1</formula>
      <formula>14</formula>
    </cfRule>
    <cfRule type="cellIs" dxfId="585" priority="1234" stopIfTrue="1" operator="between">
      <formula>0</formula>
      <formula>5</formula>
    </cfRule>
    <cfRule type="containsBlanks" dxfId="584" priority="1235" stopIfTrue="1">
      <formula>LEN(TRIM(Q442))=0</formula>
    </cfRule>
  </conditionalFormatting>
  <conditionalFormatting sqref="Q442">
    <cfRule type="containsBlanks" dxfId="583" priority="1222" stopIfTrue="1">
      <formula>LEN(TRIM(Q442))=0</formula>
    </cfRule>
    <cfRule type="cellIs" dxfId="582" priority="1223" stopIfTrue="1" operator="between">
      <formula>80.1</formula>
      <formula>100</formula>
    </cfRule>
    <cfRule type="cellIs" dxfId="581" priority="1224" stopIfTrue="1" operator="between">
      <formula>35.1</formula>
      <formula>80</formula>
    </cfRule>
    <cfRule type="cellIs" dxfId="580" priority="1225" stopIfTrue="1" operator="between">
      <formula>14.1</formula>
      <formula>35</formula>
    </cfRule>
    <cfRule type="cellIs" dxfId="579" priority="1226" stopIfTrue="1" operator="between">
      <formula>5.1</formula>
      <formula>14</formula>
    </cfRule>
    <cfRule type="cellIs" dxfId="578" priority="1227" stopIfTrue="1" operator="between">
      <formula>0</formula>
      <formula>5</formula>
    </cfRule>
    <cfRule type="containsBlanks" dxfId="577" priority="1228" stopIfTrue="1">
      <formula>LEN(TRIM(Q442))=0</formula>
    </cfRule>
  </conditionalFormatting>
  <conditionalFormatting sqref="R443">
    <cfRule type="cellIs" dxfId="576" priority="1220" stopIfTrue="1" operator="equal">
      <formula>"NO"</formula>
    </cfRule>
  </conditionalFormatting>
  <conditionalFormatting sqref="Q443">
    <cfRule type="containsBlanks" dxfId="575" priority="1207" stopIfTrue="1">
      <formula>LEN(TRIM(Q443))=0</formula>
    </cfRule>
    <cfRule type="cellIs" dxfId="574" priority="1208" stopIfTrue="1" operator="between">
      <formula>80.1</formula>
      <formula>100</formula>
    </cfRule>
    <cfRule type="cellIs" dxfId="573" priority="1209" stopIfTrue="1" operator="between">
      <formula>35.1</formula>
      <formula>80</formula>
    </cfRule>
    <cfRule type="cellIs" dxfId="572" priority="1210" stopIfTrue="1" operator="between">
      <formula>14.1</formula>
      <formula>35</formula>
    </cfRule>
    <cfRule type="cellIs" dxfId="571" priority="1211" stopIfTrue="1" operator="between">
      <formula>5.1</formula>
      <formula>14</formula>
    </cfRule>
    <cfRule type="cellIs" dxfId="570" priority="1212" stopIfTrue="1" operator="between">
      <formula>0</formula>
      <formula>5</formula>
    </cfRule>
    <cfRule type="containsBlanks" dxfId="569" priority="1213" stopIfTrue="1">
      <formula>LEN(TRIM(Q443))=0</formula>
    </cfRule>
  </conditionalFormatting>
  <conditionalFormatting sqref="Q443">
    <cfRule type="containsBlanks" dxfId="568" priority="1200" stopIfTrue="1">
      <formula>LEN(TRIM(Q443))=0</formula>
    </cfRule>
    <cfRule type="cellIs" dxfId="567" priority="1201" stopIfTrue="1" operator="between">
      <formula>80.1</formula>
      <formula>100</formula>
    </cfRule>
    <cfRule type="cellIs" dxfId="566" priority="1202" stopIfTrue="1" operator="between">
      <formula>35.1</formula>
      <formula>80</formula>
    </cfRule>
    <cfRule type="cellIs" dxfId="565" priority="1203" stopIfTrue="1" operator="between">
      <formula>14.1</formula>
      <formula>35</formula>
    </cfRule>
    <cfRule type="cellIs" dxfId="564" priority="1204" stopIfTrue="1" operator="between">
      <formula>5.1</formula>
      <formula>14</formula>
    </cfRule>
    <cfRule type="cellIs" dxfId="563" priority="1205" stopIfTrue="1" operator="between">
      <formula>0</formula>
      <formula>5</formula>
    </cfRule>
    <cfRule type="containsBlanks" dxfId="562" priority="1206" stopIfTrue="1">
      <formula>LEN(TRIM(Q443))=0</formula>
    </cfRule>
  </conditionalFormatting>
  <conditionalFormatting sqref="R444">
    <cfRule type="cellIs" dxfId="561" priority="1198" stopIfTrue="1" operator="equal">
      <formula>"NO"</formula>
    </cfRule>
  </conditionalFormatting>
  <conditionalFormatting sqref="Q444">
    <cfRule type="containsBlanks" dxfId="560" priority="1185" stopIfTrue="1">
      <formula>LEN(TRIM(Q444))=0</formula>
    </cfRule>
    <cfRule type="cellIs" dxfId="559" priority="1186" stopIfTrue="1" operator="between">
      <formula>80.1</formula>
      <formula>100</formula>
    </cfRule>
    <cfRule type="cellIs" dxfId="558" priority="1187" stopIfTrue="1" operator="between">
      <formula>35.1</formula>
      <formula>80</formula>
    </cfRule>
    <cfRule type="cellIs" dxfId="557" priority="1188" stopIfTrue="1" operator="between">
      <formula>14.1</formula>
      <formula>35</formula>
    </cfRule>
    <cfRule type="cellIs" dxfId="556" priority="1189" stopIfTrue="1" operator="between">
      <formula>5.1</formula>
      <formula>14</formula>
    </cfRule>
    <cfRule type="cellIs" dxfId="555" priority="1190" stopIfTrue="1" operator="between">
      <formula>0</formula>
      <formula>5</formula>
    </cfRule>
    <cfRule type="containsBlanks" dxfId="554" priority="1191" stopIfTrue="1">
      <formula>LEN(TRIM(Q444))=0</formula>
    </cfRule>
  </conditionalFormatting>
  <conditionalFormatting sqref="Q444">
    <cfRule type="containsBlanks" dxfId="553" priority="1178" stopIfTrue="1">
      <formula>LEN(TRIM(Q444))=0</formula>
    </cfRule>
    <cfRule type="cellIs" dxfId="552" priority="1179" stopIfTrue="1" operator="between">
      <formula>80.1</formula>
      <formula>100</formula>
    </cfRule>
    <cfRule type="cellIs" dxfId="551" priority="1180" stopIfTrue="1" operator="between">
      <formula>35.1</formula>
      <formula>80</formula>
    </cfRule>
    <cfRule type="cellIs" dxfId="550" priority="1181" stopIfTrue="1" operator="between">
      <formula>14.1</formula>
      <formula>35</formula>
    </cfRule>
    <cfRule type="cellIs" dxfId="549" priority="1182" stopIfTrue="1" operator="between">
      <formula>5.1</formula>
      <formula>14</formula>
    </cfRule>
    <cfRule type="cellIs" dxfId="548" priority="1183" stopIfTrue="1" operator="between">
      <formula>0</formula>
      <formula>5</formula>
    </cfRule>
    <cfRule type="containsBlanks" dxfId="547" priority="1184" stopIfTrue="1">
      <formula>LEN(TRIM(Q444))=0</formula>
    </cfRule>
  </conditionalFormatting>
  <conditionalFormatting sqref="R445">
    <cfRule type="cellIs" dxfId="546" priority="1176" stopIfTrue="1" operator="equal">
      <formula>"NO"</formula>
    </cfRule>
  </conditionalFormatting>
  <conditionalFormatting sqref="Q445">
    <cfRule type="containsBlanks" dxfId="545" priority="1163" stopIfTrue="1">
      <formula>LEN(TRIM(Q445))=0</formula>
    </cfRule>
    <cfRule type="cellIs" dxfId="544" priority="1164" stopIfTrue="1" operator="between">
      <formula>80.1</formula>
      <formula>100</formula>
    </cfRule>
    <cfRule type="cellIs" dxfId="543" priority="1165" stopIfTrue="1" operator="between">
      <formula>35.1</formula>
      <formula>80</formula>
    </cfRule>
    <cfRule type="cellIs" dxfId="542" priority="1166" stopIfTrue="1" operator="between">
      <formula>14.1</formula>
      <formula>35</formula>
    </cfRule>
    <cfRule type="cellIs" dxfId="541" priority="1167" stopIfTrue="1" operator="between">
      <formula>5.1</formula>
      <formula>14</formula>
    </cfRule>
    <cfRule type="cellIs" dxfId="540" priority="1168" stopIfTrue="1" operator="between">
      <formula>0</formula>
      <formula>5</formula>
    </cfRule>
    <cfRule type="containsBlanks" dxfId="539" priority="1169" stopIfTrue="1">
      <formula>LEN(TRIM(Q445))=0</formula>
    </cfRule>
  </conditionalFormatting>
  <conditionalFormatting sqref="Q445">
    <cfRule type="containsBlanks" dxfId="538" priority="1156" stopIfTrue="1">
      <formula>LEN(TRIM(Q445))=0</formula>
    </cfRule>
    <cfRule type="cellIs" dxfId="537" priority="1157" stopIfTrue="1" operator="between">
      <formula>80.1</formula>
      <formula>100</formula>
    </cfRule>
    <cfRule type="cellIs" dxfId="536" priority="1158" stopIfTrue="1" operator="between">
      <formula>35.1</formula>
      <formula>80</formula>
    </cfRule>
    <cfRule type="cellIs" dxfId="535" priority="1159" stopIfTrue="1" operator="between">
      <formula>14.1</formula>
      <formula>35</formula>
    </cfRule>
    <cfRule type="cellIs" dxfId="534" priority="1160" stopIfTrue="1" operator="between">
      <formula>5.1</formula>
      <formula>14</formula>
    </cfRule>
    <cfRule type="cellIs" dxfId="533" priority="1161" stopIfTrue="1" operator="between">
      <formula>0</formula>
      <formula>5</formula>
    </cfRule>
    <cfRule type="containsBlanks" dxfId="532" priority="1162" stopIfTrue="1">
      <formula>LEN(TRIM(Q445))=0</formula>
    </cfRule>
  </conditionalFormatting>
  <conditionalFormatting sqref="R446">
    <cfRule type="cellIs" dxfId="531" priority="1132" stopIfTrue="1" operator="equal">
      <formula>"NO"</formula>
    </cfRule>
  </conditionalFormatting>
  <conditionalFormatting sqref="Q446">
    <cfRule type="containsBlanks" dxfId="530" priority="1119" stopIfTrue="1">
      <formula>LEN(TRIM(Q446))=0</formula>
    </cfRule>
    <cfRule type="cellIs" dxfId="529" priority="1120" stopIfTrue="1" operator="between">
      <formula>80.1</formula>
      <formula>100</formula>
    </cfRule>
    <cfRule type="cellIs" dxfId="528" priority="1121" stopIfTrue="1" operator="between">
      <formula>35.1</formula>
      <formula>80</formula>
    </cfRule>
    <cfRule type="cellIs" dxfId="527" priority="1122" stopIfTrue="1" operator="between">
      <formula>14.1</formula>
      <formula>35</formula>
    </cfRule>
    <cfRule type="cellIs" dxfId="526" priority="1123" stopIfTrue="1" operator="between">
      <formula>5.1</formula>
      <formula>14</formula>
    </cfRule>
    <cfRule type="cellIs" dxfId="525" priority="1124" stopIfTrue="1" operator="between">
      <formula>0</formula>
      <formula>5</formula>
    </cfRule>
    <cfRule type="containsBlanks" dxfId="524" priority="1125" stopIfTrue="1">
      <formula>LEN(TRIM(Q446))=0</formula>
    </cfRule>
  </conditionalFormatting>
  <conditionalFormatting sqref="Q446">
    <cfRule type="containsBlanks" dxfId="523" priority="1112" stopIfTrue="1">
      <formula>LEN(TRIM(Q446))=0</formula>
    </cfRule>
    <cfRule type="cellIs" dxfId="522" priority="1113" stopIfTrue="1" operator="between">
      <formula>80.1</formula>
      <formula>100</formula>
    </cfRule>
    <cfRule type="cellIs" dxfId="521" priority="1114" stopIfTrue="1" operator="between">
      <formula>35.1</formula>
      <formula>80</formula>
    </cfRule>
    <cfRule type="cellIs" dxfId="520" priority="1115" stopIfTrue="1" operator="between">
      <formula>14.1</formula>
      <formula>35</formula>
    </cfRule>
    <cfRule type="cellIs" dxfId="519" priority="1116" stopIfTrue="1" operator="between">
      <formula>5.1</formula>
      <formula>14</formula>
    </cfRule>
    <cfRule type="cellIs" dxfId="518" priority="1117" stopIfTrue="1" operator="between">
      <formula>0</formula>
      <formula>5</formula>
    </cfRule>
    <cfRule type="containsBlanks" dxfId="517" priority="1118" stopIfTrue="1">
      <formula>LEN(TRIM(Q446))=0</formula>
    </cfRule>
  </conditionalFormatting>
  <conditionalFormatting sqref="R447">
    <cfRule type="cellIs" dxfId="516" priority="1000" stopIfTrue="1" operator="equal">
      <formula>"NO"</formula>
    </cfRule>
  </conditionalFormatting>
  <conditionalFormatting sqref="Q447">
    <cfRule type="containsBlanks" dxfId="515" priority="987" stopIfTrue="1">
      <formula>LEN(TRIM(Q447))=0</formula>
    </cfRule>
    <cfRule type="cellIs" dxfId="514" priority="988" stopIfTrue="1" operator="between">
      <formula>80.1</formula>
      <formula>100</formula>
    </cfRule>
    <cfRule type="cellIs" dxfId="513" priority="989" stopIfTrue="1" operator="between">
      <formula>35.1</formula>
      <formula>80</formula>
    </cfRule>
    <cfRule type="cellIs" dxfId="512" priority="990" stopIfTrue="1" operator="between">
      <formula>14.1</formula>
      <formula>35</formula>
    </cfRule>
    <cfRule type="cellIs" dxfId="511" priority="991" stopIfTrue="1" operator="between">
      <formula>5.1</formula>
      <formula>14</formula>
    </cfRule>
    <cfRule type="cellIs" dxfId="510" priority="992" stopIfTrue="1" operator="between">
      <formula>0</formula>
      <formula>5</formula>
    </cfRule>
    <cfRule type="containsBlanks" dxfId="509" priority="993" stopIfTrue="1">
      <formula>LEN(TRIM(Q447))=0</formula>
    </cfRule>
  </conditionalFormatting>
  <conditionalFormatting sqref="Q447">
    <cfRule type="containsBlanks" dxfId="508" priority="980" stopIfTrue="1">
      <formula>LEN(TRIM(Q447))=0</formula>
    </cfRule>
    <cfRule type="cellIs" dxfId="507" priority="981" stopIfTrue="1" operator="between">
      <formula>80.1</formula>
      <formula>100</formula>
    </cfRule>
    <cfRule type="cellIs" dxfId="506" priority="982" stopIfTrue="1" operator="between">
      <formula>35.1</formula>
      <formula>80</formula>
    </cfRule>
    <cfRule type="cellIs" dxfId="505" priority="983" stopIfTrue="1" operator="between">
      <formula>14.1</formula>
      <formula>35</formula>
    </cfRule>
    <cfRule type="cellIs" dxfId="504" priority="984" stopIfTrue="1" operator="between">
      <formula>5.1</formula>
      <formula>14</formula>
    </cfRule>
    <cfRule type="cellIs" dxfId="503" priority="985" stopIfTrue="1" operator="between">
      <formula>0</formula>
      <formula>5</formula>
    </cfRule>
    <cfRule type="containsBlanks" dxfId="502" priority="986" stopIfTrue="1">
      <formula>LEN(TRIM(Q447))=0</formula>
    </cfRule>
  </conditionalFormatting>
  <conditionalFormatting sqref="R448">
    <cfRule type="cellIs" dxfId="501" priority="934" stopIfTrue="1" operator="equal">
      <formula>"NO"</formula>
    </cfRule>
  </conditionalFormatting>
  <conditionalFormatting sqref="Q448">
    <cfRule type="containsBlanks" dxfId="500" priority="921" stopIfTrue="1">
      <formula>LEN(TRIM(Q448))=0</formula>
    </cfRule>
    <cfRule type="cellIs" dxfId="499" priority="922" stopIfTrue="1" operator="between">
      <formula>80.1</formula>
      <formula>100</formula>
    </cfRule>
    <cfRule type="cellIs" dxfId="498" priority="923" stopIfTrue="1" operator="between">
      <formula>35.1</formula>
      <formula>80</formula>
    </cfRule>
    <cfRule type="cellIs" dxfId="497" priority="924" stopIfTrue="1" operator="between">
      <formula>14.1</formula>
      <formula>35</formula>
    </cfRule>
    <cfRule type="cellIs" dxfId="496" priority="925" stopIfTrue="1" operator="between">
      <formula>5.1</formula>
      <formula>14</formula>
    </cfRule>
    <cfRule type="cellIs" dxfId="495" priority="926" stopIfTrue="1" operator="between">
      <formula>0</formula>
      <formula>5</formula>
    </cfRule>
    <cfRule type="containsBlanks" dxfId="494" priority="927" stopIfTrue="1">
      <formula>LEN(TRIM(Q448))=0</formula>
    </cfRule>
  </conditionalFormatting>
  <conditionalFormatting sqref="Q448">
    <cfRule type="containsBlanks" dxfId="493" priority="914" stopIfTrue="1">
      <formula>LEN(TRIM(Q448))=0</formula>
    </cfRule>
    <cfRule type="cellIs" dxfId="492" priority="915" stopIfTrue="1" operator="between">
      <formula>80.1</formula>
      <formula>100</formula>
    </cfRule>
    <cfRule type="cellIs" dxfId="491" priority="916" stopIfTrue="1" operator="between">
      <formula>35.1</formula>
      <formula>80</formula>
    </cfRule>
    <cfRule type="cellIs" dxfId="490" priority="917" stopIfTrue="1" operator="between">
      <formula>14.1</formula>
      <formula>35</formula>
    </cfRule>
    <cfRule type="cellIs" dxfId="489" priority="918" stopIfTrue="1" operator="between">
      <formula>5.1</formula>
      <formula>14</formula>
    </cfRule>
    <cfRule type="cellIs" dxfId="488" priority="919" stopIfTrue="1" operator="between">
      <formula>0</formula>
      <formula>5</formula>
    </cfRule>
    <cfRule type="containsBlanks" dxfId="487" priority="920" stopIfTrue="1">
      <formula>LEN(TRIM(Q448))=0</formula>
    </cfRule>
  </conditionalFormatting>
  <conditionalFormatting sqref="R449">
    <cfRule type="cellIs" dxfId="486" priority="912" stopIfTrue="1" operator="equal">
      <formula>"NO"</formula>
    </cfRule>
  </conditionalFormatting>
  <conditionalFormatting sqref="Q449">
    <cfRule type="containsBlanks" dxfId="485" priority="899" stopIfTrue="1">
      <formula>LEN(TRIM(Q449))=0</formula>
    </cfRule>
    <cfRule type="cellIs" dxfId="484" priority="900" stopIfTrue="1" operator="between">
      <formula>80.1</formula>
      <formula>100</formula>
    </cfRule>
    <cfRule type="cellIs" dxfId="483" priority="901" stopIfTrue="1" operator="between">
      <formula>35.1</formula>
      <formula>80</formula>
    </cfRule>
    <cfRule type="cellIs" dxfId="482" priority="902" stopIfTrue="1" operator="between">
      <formula>14.1</formula>
      <formula>35</formula>
    </cfRule>
    <cfRule type="cellIs" dxfId="481" priority="903" stopIfTrue="1" operator="between">
      <formula>5.1</formula>
      <formula>14</formula>
    </cfRule>
    <cfRule type="cellIs" dxfId="480" priority="904" stopIfTrue="1" operator="between">
      <formula>0</formula>
      <formula>5</formula>
    </cfRule>
    <cfRule type="containsBlanks" dxfId="479" priority="905" stopIfTrue="1">
      <formula>LEN(TRIM(Q449))=0</formula>
    </cfRule>
  </conditionalFormatting>
  <conditionalFormatting sqref="Q449">
    <cfRule type="containsBlanks" dxfId="478" priority="892" stopIfTrue="1">
      <formula>LEN(TRIM(Q449))=0</formula>
    </cfRule>
    <cfRule type="cellIs" dxfId="477" priority="893" stopIfTrue="1" operator="between">
      <formula>80.1</formula>
      <formula>100</formula>
    </cfRule>
    <cfRule type="cellIs" dxfId="476" priority="894" stopIfTrue="1" operator="between">
      <formula>35.1</formula>
      <formula>80</formula>
    </cfRule>
    <cfRule type="cellIs" dxfId="475" priority="895" stopIfTrue="1" operator="between">
      <formula>14.1</formula>
      <formula>35</formula>
    </cfRule>
    <cfRule type="cellIs" dxfId="474" priority="896" stopIfTrue="1" operator="between">
      <formula>5.1</formula>
      <formula>14</formula>
    </cfRule>
    <cfRule type="cellIs" dxfId="473" priority="897" stopIfTrue="1" operator="between">
      <formula>0</formula>
      <formula>5</formula>
    </cfRule>
    <cfRule type="containsBlanks" dxfId="472" priority="898" stopIfTrue="1">
      <formula>LEN(TRIM(Q449))=0</formula>
    </cfRule>
  </conditionalFormatting>
  <conditionalFormatting sqref="R450">
    <cfRule type="cellIs" dxfId="471" priority="824" stopIfTrue="1" operator="equal">
      <formula>"NO"</formula>
    </cfRule>
  </conditionalFormatting>
  <conditionalFormatting sqref="Q450">
    <cfRule type="containsBlanks" dxfId="470" priority="811" stopIfTrue="1">
      <formula>LEN(TRIM(Q450))=0</formula>
    </cfRule>
    <cfRule type="cellIs" dxfId="469" priority="812" stopIfTrue="1" operator="between">
      <formula>80.1</formula>
      <formula>100</formula>
    </cfRule>
    <cfRule type="cellIs" dxfId="468" priority="813" stopIfTrue="1" operator="between">
      <formula>35.1</formula>
      <formula>80</formula>
    </cfRule>
    <cfRule type="cellIs" dxfId="467" priority="814" stopIfTrue="1" operator="between">
      <formula>14.1</formula>
      <formula>35</formula>
    </cfRule>
    <cfRule type="cellIs" dxfId="466" priority="815" stopIfTrue="1" operator="between">
      <formula>5.1</formula>
      <formula>14</formula>
    </cfRule>
    <cfRule type="cellIs" dxfId="465" priority="816" stopIfTrue="1" operator="between">
      <formula>0</formula>
      <formula>5</formula>
    </cfRule>
    <cfRule type="containsBlanks" dxfId="464" priority="817" stopIfTrue="1">
      <formula>LEN(TRIM(Q450))=0</formula>
    </cfRule>
  </conditionalFormatting>
  <conditionalFormatting sqref="Q450">
    <cfRule type="containsBlanks" dxfId="463" priority="804" stopIfTrue="1">
      <formula>LEN(TRIM(Q450))=0</formula>
    </cfRule>
    <cfRule type="cellIs" dxfId="462" priority="805" stopIfTrue="1" operator="between">
      <formula>80.1</formula>
      <formula>100</formula>
    </cfRule>
    <cfRule type="cellIs" dxfId="461" priority="806" stopIfTrue="1" operator="between">
      <formula>35.1</formula>
      <formula>80</formula>
    </cfRule>
    <cfRule type="cellIs" dxfId="460" priority="807" stopIfTrue="1" operator="between">
      <formula>14.1</formula>
      <formula>35</formula>
    </cfRule>
    <cfRule type="cellIs" dxfId="459" priority="808" stopIfTrue="1" operator="between">
      <formula>5.1</formula>
      <formula>14</formula>
    </cfRule>
    <cfRule type="cellIs" dxfId="458" priority="809" stopIfTrue="1" operator="between">
      <formula>0</formula>
      <formula>5</formula>
    </cfRule>
    <cfRule type="containsBlanks" dxfId="457" priority="810" stopIfTrue="1">
      <formula>LEN(TRIM(Q450))=0</formula>
    </cfRule>
  </conditionalFormatting>
  <conditionalFormatting sqref="R451">
    <cfRule type="cellIs" dxfId="456" priority="802" stopIfTrue="1" operator="equal">
      <formula>"NO"</formula>
    </cfRule>
  </conditionalFormatting>
  <conditionalFormatting sqref="Q451">
    <cfRule type="containsBlanks" dxfId="455" priority="789" stopIfTrue="1">
      <formula>LEN(TRIM(Q451))=0</formula>
    </cfRule>
    <cfRule type="cellIs" dxfId="454" priority="790" stopIfTrue="1" operator="between">
      <formula>80.1</formula>
      <formula>100</formula>
    </cfRule>
    <cfRule type="cellIs" dxfId="453" priority="791" stopIfTrue="1" operator="between">
      <formula>35.1</formula>
      <formula>80</formula>
    </cfRule>
    <cfRule type="cellIs" dxfId="452" priority="792" stopIfTrue="1" operator="between">
      <formula>14.1</formula>
      <formula>35</formula>
    </cfRule>
    <cfRule type="cellIs" dxfId="451" priority="793" stopIfTrue="1" operator="between">
      <formula>5.1</formula>
      <formula>14</formula>
    </cfRule>
    <cfRule type="cellIs" dxfId="450" priority="794" stopIfTrue="1" operator="between">
      <formula>0</formula>
      <formula>5</formula>
    </cfRule>
    <cfRule type="containsBlanks" dxfId="449" priority="795" stopIfTrue="1">
      <formula>LEN(TRIM(Q451))=0</formula>
    </cfRule>
  </conditionalFormatting>
  <conditionalFormatting sqref="Q451">
    <cfRule type="containsBlanks" dxfId="448" priority="782" stopIfTrue="1">
      <formula>LEN(TRIM(Q451))=0</formula>
    </cfRule>
    <cfRule type="cellIs" dxfId="447" priority="783" stopIfTrue="1" operator="between">
      <formula>80.1</formula>
      <formula>100</formula>
    </cfRule>
    <cfRule type="cellIs" dxfId="446" priority="784" stopIfTrue="1" operator="between">
      <formula>35.1</formula>
      <formula>80</formula>
    </cfRule>
    <cfRule type="cellIs" dxfId="445" priority="785" stopIfTrue="1" operator="between">
      <formula>14.1</formula>
      <formula>35</formula>
    </cfRule>
    <cfRule type="cellIs" dxfId="444" priority="786" stopIfTrue="1" operator="between">
      <formula>5.1</formula>
      <formula>14</formula>
    </cfRule>
    <cfRule type="cellIs" dxfId="443" priority="787" stopIfTrue="1" operator="between">
      <formula>0</formula>
      <formula>5</formula>
    </cfRule>
    <cfRule type="containsBlanks" dxfId="442" priority="788" stopIfTrue="1">
      <formula>LEN(TRIM(Q451))=0</formula>
    </cfRule>
  </conditionalFormatting>
  <conditionalFormatting sqref="R452">
    <cfRule type="cellIs" dxfId="441" priority="780" stopIfTrue="1" operator="equal">
      <formula>"NO"</formula>
    </cfRule>
  </conditionalFormatting>
  <conditionalFormatting sqref="Q452">
    <cfRule type="containsBlanks" dxfId="440" priority="767" stopIfTrue="1">
      <formula>LEN(TRIM(Q452))=0</formula>
    </cfRule>
    <cfRule type="cellIs" dxfId="439" priority="768" stopIfTrue="1" operator="between">
      <formula>80.1</formula>
      <formula>100</formula>
    </cfRule>
    <cfRule type="cellIs" dxfId="438" priority="769" stopIfTrue="1" operator="between">
      <formula>35.1</formula>
      <formula>80</formula>
    </cfRule>
    <cfRule type="cellIs" dxfId="437" priority="770" stopIfTrue="1" operator="between">
      <formula>14.1</formula>
      <formula>35</formula>
    </cfRule>
    <cfRule type="cellIs" dxfId="436" priority="771" stopIfTrue="1" operator="between">
      <formula>5.1</formula>
      <formula>14</formula>
    </cfRule>
    <cfRule type="cellIs" dxfId="435" priority="772" stopIfTrue="1" operator="between">
      <formula>0</formula>
      <formula>5</formula>
    </cfRule>
    <cfRule type="containsBlanks" dxfId="434" priority="773" stopIfTrue="1">
      <formula>LEN(TRIM(Q452))=0</formula>
    </cfRule>
  </conditionalFormatting>
  <conditionalFormatting sqref="Q452">
    <cfRule type="containsBlanks" dxfId="433" priority="760" stopIfTrue="1">
      <formula>LEN(TRIM(Q452))=0</formula>
    </cfRule>
    <cfRule type="cellIs" dxfId="432" priority="761" stopIfTrue="1" operator="between">
      <formula>80.1</formula>
      <formula>100</formula>
    </cfRule>
    <cfRule type="cellIs" dxfId="431" priority="762" stopIfTrue="1" operator="between">
      <formula>35.1</formula>
      <formula>80</formula>
    </cfRule>
    <cfRule type="cellIs" dxfId="430" priority="763" stopIfTrue="1" operator="between">
      <formula>14.1</formula>
      <formula>35</formula>
    </cfRule>
    <cfRule type="cellIs" dxfId="429" priority="764" stopIfTrue="1" operator="between">
      <formula>5.1</formula>
      <formula>14</formula>
    </cfRule>
    <cfRule type="cellIs" dxfId="428" priority="765" stopIfTrue="1" operator="between">
      <formula>0</formula>
      <formula>5</formula>
    </cfRule>
    <cfRule type="containsBlanks" dxfId="427" priority="766" stopIfTrue="1">
      <formula>LEN(TRIM(Q452))=0</formula>
    </cfRule>
  </conditionalFormatting>
  <conditionalFormatting sqref="R453">
    <cfRule type="cellIs" dxfId="426" priority="758" stopIfTrue="1" operator="equal">
      <formula>"NO"</formula>
    </cfRule>
  </conditionalFormatting>
  <conditionalFormatting sqref="Q453">
    <cfRule type="containsBlanks" dxfId="425" priority="745" stopIfTrue="1">
      <formula>LEN(TRIM(Q453))=0</formula>
    </cfRule>
    <cfRule type="cellIs" dxfId="424" priority="746" stopIfTrue="1" operator="between">
      <formula>80.1</formula>
      <formula>100</formula>
    </cfRule>
    <cfRule type="cellIs" dxfId="423" priority="747" stopIfTrue="1" operator="between">
      <formula>35.1</formula>
      <formula>80</formula>
    </cfRule>
    <cfRule type="cellIs" dxfId="422" priority="748" stopIfTrue="1" operator="between">
      <formula>14.1</formula>
      <formula>35</formula>
    </cfRule>
    <cfRule type="cellIs" dxfId="421" priority="749" stopIfTrue="1" operator="between">
      <formula>5.1</formula>
      <formula>14</formula>
    </cfRule>
    <cfRule type="cellIs" dxfId="420" priority="750" stopIfTrue="1" operator="between">
      <formula>0</formula>
      <formula>5</formula>
    </cfRule>
    <cfRule type="containsBlanks" dxfId="419" priority="751" stopIfTrue="1">
      <formula>LEN(TRIM(Q453))=0</formula>
    </cfRule>
  </conditionalFormatting>
  <conditionalFormatting sqref="Q453">
    <cfRule type="containsBlanks" dxfId="418" priority="738" stopIfTrue="1">
      <formula>LEN(TRIM(Q453))=0</formula>
    </cfRule>
    <cfRule type="cellIs" dxfId="417" priority="739" stopIfTrue="1" operator="between">
      <formula>80.1</formula>
      <formula>100</formula>
    </cfRule>
    <cfRule type="cellIs" dxfId="416" priority="740" stopIfTrue="1" operator="between">
      <formula>35.1</formula>
      <formula>80</formula>
    </cfRule>
    <cfRule type="cellIs" dxfId="415" priority="741" stopIfTrue="1" operator="between">
      <formula>14.1</formula>
      <formula>35</formula>
    </cfRule>
    <cfRule type="cellIs" dxfId="414" priority="742" stopIfTrue="1" operator="between">
      <formula>5.1</formula>
      <formula>14</formula>
    </cfRule>
    <cfRule type="cellIs" dxfId="413" priority="743" stopIfTrue="1" operator="between">
      <formula>0</formula>
      <formula>5</formula>
    </cfRule>
    <cfRule type="containsBlanks" dxfId="412" priority="744" stopIfTrue="1">
      <formula>LEN(TRIM(Q453))=0</formula>
    </cfRule>
  </conditionalFormatting>
  <conditionalFormatting sqref="R454">
    <cfRule type="cellIs" dxfId="411" priority="736" stopIfTrue="1" operator="equal">
      <formula>"NO"</formula>
    </cfRule>
  </conditionalFormatting>
  <conditionalFormatting sqref="Q454">
    <cfRule type="containsBlanks" dxfId="410" priority="723" stopIfTrue="1">
      <formula>LEN(TRIM(Q454))=0</formula>
    </cfRule>
    <cfRule type="cellIs" dxfId="409" priority="724" stopIfTrue="1" operator="between">
      <formula>80.1</formula>
      <formula>100</formula>
    </cfRule>
    <cfRule type="cellIs" dxfId="408" priority="725" stopIfTrue="1" operator="between">
      <formula>35.1</formula>
      <formula>80</formula>
    </cfRule>
    <cfRule type="cellIs" dxfId="407" priority="726" stopIfTrue="1" operator="between">
      <formula>14.1</formula>
      <formula>35</formula>
    </cfRule>
    <cfRule type="cellIs" dxfId="406" priority="727" stopIfTrue="1" operator="between">
      <formula>5.1</formula>
      <formula>14</formula>
    </cfRule>
    <cfRule type="cellIs" dxfId="405" priority="728" stopIfTrue="1" operator="between">
      <formula>0</formula>
      <formula>5</formula>
    </cfRule>
    <cfRule type="containsBlanks" dxfId="404" priority="729" stopIfTrue="1">
      <formula>LEN(TRIM(Q454))=0</formula>
    </cfRule>
  </conditionalFormatting>
  <conditionalFormatting sqref="Q454">
    <cfRule type="containsBlanks" dxfId="403" priority="716" stopIfTrue="1">
      <formula>LEN(TRIM(Q454))=0</formula>
    </cfRule>
    <cfRule type="cellIs" dxfId="402" priority="717" stopIfTrue="1" operator="between">
      <formula>80.1</formula>
      <formula>100</formula>
    </cfRule>
    <cfRule type="cellIs" dxfId="401" priority="718" stopIfTrue="1" operator="between">
      <formula>35.1</formula>
      <formula>80</formula>
    </cfRule>
    <cfRule type="cellIs" dxfId="400" priority="719" stopIfTrue="1" operator="between">
      <formula>14.1</formula>
      <formula>35</formula>
    </cfRule>
    <cfRule type="cellIs" dxfId="399" priority="720" stopIfTrue="1" operator="between">
      <formula>5.1</formula>
      <formula>14</formula>
    </cfRule>
    <cfRule type="cellIs" dxfId="398" priority="721" stopIfTrue="1" operator="between">
      <formula>0</formula>
      <formula>5</formula>
    </cfRule>
    <cfRule type="containsBlanks" dxfId="397" priority="722" stopIfTrue="1">
      <formula>LEN(TRIM(Q454))=0</formula>
    </cfRule>
  </conditionalFormatting>
  <conditionalFormatting sqref="R455">
    <cfRule type="cellIs" dxfId="396" priority="714" stopIfTrue="1" operator="equal">
      <formula>"NO"</formula>
    </cfRule>
  </conditionalFormatting>
  <conditionalFormatting sqref="Q455">
    <cfRule type="containsBlanks" dxfId="395" priority="701" stopIfTrue="1">
      <formula>LEN(TRIM(Q455))=0</formula>
    </cfRule>
    <cfRule type="cellIs" dxfId="394" priority="702" stopIfTrue="1" operator="between">
      <formula>80.1</formula>
      <formula>100</formula>
    </cfRule>
    <cfRule type="cellIs" dxfId="393" priority="703" stopIfTrue="1" operator="between">
      <formula>35.1</formula>
      <formula>80</formula>
    </cfRule>
    <cfRule type="cellIs" dxfId="392" priority="704" stopIfTrue="1" operator="between">
      <formula>14.1</formula>
      <formula>35</formula>
    </cfRule>
    <cfRule type="cellIs" dxfId="391" priority="705" stopIfTrue="1" operator="between">
      <formula>5.1</formula>
      <formula>14</formula>
    </cfRule>
    <cfRule type="cellIs" dxfId="390" priority="706" stopIfTrue="1" operator="between">
      <formula>0</formula>
      <formula>5</formula>
    </cfRule>
    <cfRule type="containsBlanks" dxfId="389" priority="707" stopIfTrue="1">
      <formula>LEN(TRIM(Q455))=0</formula>
    </cfRule>
  </conditionalFormatting>
  <conditionalFormatting sqref="Q455">
    <cfRule type="containsBlanks" dxfId="388" priority="694" stopIfTrue="1">
      <formula>LEN(TRIM(Q455))=0</formula>
    </cfRule>
    <cfRule type="cellIs" dxfId="387" priority="695" stopIfTrue="1" operator="between">
      <formula>80.1</formula>
      <formula>100</formula>
    </cfRule>
    <cfRule type="cellIs" dxfId="386" priority="696" stopIfTrue="1" operator="between">
      <formula>35.1</formula>
      <formula>80</formula>
    </cfRule>
    <cfRule type="cellIs" dxfId="385" priority="697" stopIfTrue="1" operator="between">
      <formula>14.1</formula>
      <formula>35</formula>
    </cfRule>
    <cfRule type="cellIs" dxfId="384" priority="698" stopIfTrue="1" operator="between">
      <formula>5.1</formula>
      <formula>14</formula>
    </cfRule>
    <cfRule type="cellIs" dxfId="383" priority="699" stopIfTrue="1" operator="between">
      <formula>0</formula>
      <formula>5</formula>
    </cfRule>
    <cfRule type="containsBlanks" dxfId="382" priority="700" stopIfTrue="1">
      <formula>LEN(TRIM(Q455))=0</formula>
    </cfRule>
  </conditionalFormatting>
  <conditionalFormatting sqref="R456">
    <cfRule type="cellIs" dxfId="381" priority="692" stopIfTrue="1" operator="equal">
      <formula>"NO"</formula>
    </cfRule>
  </conditionalFormatting>
  <conditionalFormatting sqref="Q456">
    <cfRule type="containsBlanks" dxfId="380" priority="679" stopIfTrue="1">
      <formula>LEN(TRIM(Q456))=0</formula>
    </cfRule>
    <cfRule type="cellIs" dxfId="379" priority="680" stopIfTrue="1" operator="between">
      <formula>80.1</formula>
      <formula>100</formula>
    </cfRule>
    <cfRule type="cellIs" dxfId="378" priority="681" stopIfTrue="1" operator="between">
      <formula>35.1</formula>
      <formula>80</formula>
    </cfRule>
    <cfRule type="cellIs" dxfId="377" priority="682" stopIfTrue="1" operator="between">
      <formula>14.1</formula>
      <formula>35</formula>
    </cfRule>
    <cfRule type="cellIs" dxfId="376" priority="683" stopIfTrue="1" operator="between">
      <formula>5.1</formula>
      <formula>14</formula>
    </cfRule>
    <cfRule type="cellIs" dxfId="375" priority="684" stopIfTrue="1" operator="between">
      <formula>0</formula>
      <formula>5</formula>
    </cfRule>
    <cfRule type="containsBlanks" dxfId="374" priority="685" stopIfTrue="1">
      <formula>LEN(TRIM(Q456))=0</formula>
    </cfRule>
  </conditionalFormatting>
  <conditionalFormatting sqref="Q456">
    <cfRule type="containsBlanks" dxfId="373" priority="672" stopIfTrue="1">
      <formula>LEN(TRIM(Q456))=0</formula>
    </cfRule>
    <cfRule type="cellIs" dxfId="372" priority="673" stopIfTrue="1" operator="between">
      <formula>80.1</formula>
      <formula>100</formula>
    </cfRule>
    <cfRule type="cellIs" dxfId="371" priority="674" stopIfTrue="1" operator="between">
      <formula>35.1</formula>
      <formula>80</formula>
    </cfRule>
    <cfRule type="cellIs" dxfId="370" priority="675" stopIfTrue="1" operator="between">
      <formula>14.1</formula>
      <formula>35</formula>
    </cfRule>
    <cfRule type="cellIs" dxfId="369" priority="676" stopIfTrue="1" operator="between">
      <formula>5.1</formula>
      <formula>14</formula>
    </cfRule>
    <cfRule type="cellIs" dxfId="368" priority="677" stopIfTrue="1" operator="between">
      <formula>0</formula>
      <formula>5</formula>
    </cfRule>
    <cfRule type="containsBlanks" dxfId="367" priority="678" stopIfTrue="1">
      <formula>LEN(TRIM(Q456))=0</formula>
    </cfRule>
  </conditionalFormatting>
  <conditionalFormatting sqref="R457">
    <cfRule type="cellIs" dxfId="366" priority="670" stopIfTrue="1" operator="equal">
      <formula>"NO"</formula>
    </cfRule>
  </conditionalFormatting>
  <conditionalFormatting sqref="Q457">
    <cfRule type="containsBlanks" dxfId="365" priority="657" stopIfTrue="1">
      <formula>LEN(TRIM(Q457))=0</formula>
    </cfRule>
    <cfRule type="cellIs" dxfId="364" priority="658" stopIfTrue="1" operator="between">
      <formula>80.1</formula>
      <formula>100</formula>
    </cfRule>
    <cfRule type="cellIs" dxfId="363" priority="659" stopIfTrue="1" operator="between">
      <formula>35.1</formula>
      <formula>80</formula>
    </cfRule>
    <cfRule type="cellIs" dxfId="362" priority="660" stopIfTrue="1" operator="between">
      <formula>14.1</formula>
      <formula>35</formula>
    </cfRule>
    <cfRule type="cellIs" dxfId="361" priority="661" stopIfTrue="1" operator="between">
      <formula>5.1</formula>
      <formula>14</formula>
    </cfRule>
    <cfRule type="cellIs" dxfId="360" priority="662" stopIfTrue="1" operator="between">
      <formula>0</formula>
      <formula>5</formula>
    </cfRule>
    <cfRule type="containsBlanks" dxfId="359" priority="663" stopIfTrue="1">
      <formula>LEN(TRIM(Q457))=0</formula>
    </cfRule>
  </conditionalFormatting>
  <conditionalFormatting sqref="Q457">
    <cfRule type="containsBlanks" dxfId="358" priority="650" stopIfTrue="1">
      <formula>LEN(TRIM(Q457))=0</formula>
    </cfRule>
    <cfRule type="cellIs" dxfId="357" priority="651" stopIfTrue="1" operator="between">
      <formula>80.1</formula>
      <formula>100</formula>
    </cfRule>
    <cfRule type="cellIs" dxfId="356" priority="652" stopIfTrue="1" operator="between">
      <formula>35.1</formula>
      <formula>80</formula>
    </cfRule>
    <cfRule type="cellIs" dxfId="355" priority="653" stopIfTrue="1" operator="between">
      <formula>14.1</formula>
      <formula>35</formula>
    </cfRule>
    <cfRule type="cellIs" dxfId="354" priority="654" stopIfTrue="1" operator="between">
      <formula>5.1</formula>
      <formula>14</formula>
    </cfRule>
    <cfRule type="cellIs" dxfId="353" priority="655" stopIfTrue="1" operator="between">
      <formula>0</formula>
      <formula>5</formula>
    </cfRule>
    <cfRule type="containsBlanks" dxfId="352" priority="656" stopIfTrue="1">
      <formula>LEN(TRIM(Q457))=0</formula>
    </cfRule>
  </conditionalFormatting>
  <conditionalFormatting sqref="R458">
    <cfRule type="cellIs" dxfId="351" priority="648" stopIfTrue="1" operator="equal">
      <formula>"NO"</formula>
    </cfRule>
  </conditionalFormatting>
  <conditionalFormatting sqref="Q458">
    <cfRule type="containsBlanks" dxfId="350" priority="635" stopIfTrue="1">
      <formula>LEN(TRIM(Q458))=0</formula>
    </cfRule>
    <cfRule type="cellIs" dxfId="349" priority="636" stopIfTrue="1" operator="between">
      <formula>80.1</formula>
      <formula>100</formula>
    </cfRule>
    <cfRule type="cellIs" dxfId="348" priority="637" stopIfTrue="1" operator="between">
      <formula>35.1</formula>
      <formula>80</formula>
    </cfRule>
    <cfRule type="cellIs" dxfId="347" priority="638" stopIfTrue="1" operator="between">
      <formula>14.1</formula>
      <formula>35</formula>
    </cfRule>
    <cfRule type="cellIs" dxfId="346" priority="639" stopIfTrue="1" operator="between">
      <formula>5.1</formula>
      <formula>14</formula>
    </cfRule>
    <cfRule type="cellIs" dxfId="345" priority="640" stopIfTrue="1" operator="between">
      <formula>0</formula>
      <formula>5</formula>
    </cfRule>
    <cfRule type="containsBlanks" dxfId="344" priority="641" stopIfTrue="1">
      <formula>LEN(TRIM(Q458))=0</formula>
    </cfRule>
  </conditionalFormatting>
  <conditionalFormatting sqref="Q458">
    <cfRule type="containsBlanks" dxfId="343" priority="628" stopIfTrue="1">
      <formula>LEN(TRIM(Q458))=0</formula>
    </cfRule>
    <cfRule type="cellIs" dxfId="342" priority="629" stopIfTrue="1" operator="between">
      <formula>80.1</formula>
      <formula>100</formula>
    </cfRule>
    <cfRule type="cellIs" dxfId="341" priority="630" stopIfTrue="1" operator="between">
      <formula>35.1</formula>
      <formula>80</formula>
    </cfRule>
    <cfRule type="cellIs" dxfId="340" priority="631" stopIfTrue="1" operator="between">
      <formula>14.1</formula>
      <formula>35</formula>
    </cfRule>
    <cfRule type="cellIs" dxfId="339" priority="632" stopIfTrue="1" operator="between">
      <formula>5.1</formula>
      <formula>14</formula>
    </cfRule>
    <cfRule type="cellIs" dxfId="338" priority="633" stopIfTrue="1" operator="between">
      <formula>0</formula>
      <formula>5</formula>
    </cfRule>
    <cfRule type="containsBlanks" dxfId="337" priority="634" stopIfTrue="1">
      <formula>LEN(TRIM(Q458))=0</formula>
    </cfRule>
  </conditionalFormatting>
  <conditionalFormatting sqref="R459">
    <cfRule type="cellIs" dxfId="336" priority="626" stopIfTrue="1" operator="equal">
      <formula>"NO"</formula>
    </cfRule>
  </conditionalFormatting>
  <conditionalFormatting sqref="Q459">
    <cfRule type="containsBlanks" dxfId="335" priority="613" stopIfTrue="1">
      <formula>LEN(TRIM(Q459))=0</formula>
    </cfRule>
    <cfRule type="cellIs" dxfId="334" priority="614" stopIfTrue="1" operator="between">
      <formula>80.1</formula>
      <formula>100</formula>
    </cfRule>
    <cfRule type="cellIs" dxfId="333" priority="615" stopIfTrue="1" operator="between">
      <formula>35.1</formula>
      <formula>80</formula>
    </cfRule>
    <cfRule type="cellIs" dxfId="332" priority="616" stopIfTrue="1" operator="between">
      <formula>14.1</formula>
      <formula>35</formula>
    </cfRule>
    <cfRule type="cellIs" dxfId="331" priority="617" stopIfTrue="1" operator="between">
      <formula>5.1</formula>
      <formula>14</formula>
    </cfRule>
    <cfRule type="cellIs" dxfId="330" priority="618" stopIfTrue="1" operator="between">
      <formula>0</formula>
      <formula>5</formula>
    </cfRule>
    <cfRule type="containsBlanks" dxfId="329" priority="619" stopIfTrue="1">
      <formula>LEN(TRIM(Q459))=0</formula>
    </cfRule>
  </conditionalFormatting>
  <conditionalFormatting sqref="Q459">
    <cfRule type="containsBlanks" dxfId="328" priority="606" stopIfTrue="1">
      <formula>LEN(TRIM(Q459))=0</formula>
    </cfRule>
    <cfRule type="cellIs" dxfId="327" priority="607" stopIfTrue="1" operator="between">
      <formula>80.1</formula>
      <formula>100</formula>
    </cfRule>
    <cfRule type="cellIs" dxfId="326" priority="608" stopIfTrue="1" operator="between">
      <formula>35.1</formula>
      <formula>80</formula>
    </cfRule>
    <cfRule type="cellIs" dxfId="325" priority="609" stopIfTrue="1" operator="between">
      <formula>14.1</formula>
      <formula>35</formula>
    </cfRule>
    <cfRule type="cellIs" dxfId="324" priority="610" stopIfTrue="1" operator="between">
      <formula>5.1</formula>
      <formula>14</formula>
    </cfRule>
    <cfRule type="cellIs" dxfId="323" priority="611" stopIfTrue="1" operator="between">
      <formula>0</formula>
      <formula>5</formula>
    </cfRule>
    <cfRule type="containsBlanks" dxfId="322" priority="612" stopIfTrue="1">
      <formula>LEN(TRIM(Q459))=0</formula>
    </cfRule>
  </conditionalFormatting>
  <conditionalFormatting sqref="R460">
    <cfRule type="cellIs" dxfId="321" priority="604" stopIfTrue="1" operator="equal">
      <formula>"NO"</formula>
    </cfRule>
  </conditionalFormatting>
  <conditionalFormatting sqref="Q460">
    <cfRule type="containsBlanks" dxfId="320" priority="591" stopIfTrue="1">
      <formula>LEN(TRIM(Q460))=0</formula>
    </cfRule>
    <cfRule type="cellIs" dxfId="319" priority="592" stopIfTrue="1" operator="between">
      <formula>80.1</formula>
      <formula>100</formula>
    </cfRule>
    <cfRule type="cellIs" dxfId="318" priority="593" stopIfTrue="1" operator="between">
      <formula>35.1</formula>
      <formula>80</formula>
    </cfRule>
    <cfRule type="cellIs" dxfId="317" priority="594" stopIfTrue="1" operator="between">
      <formula>14.1</formula>
      <formula>35</formula>
    </cfRule>
    <cfRule type="cellIs" dxfId="316" priority="595" stopIfTrue="1" operator="between">
      <formula>5.1</formula>
      <formula>14</formula>
    </cfRule>
    <cfRule type="cellIs" dxfId="315" priority="596" stopIfTrue="1" operator="between">
      <formula>0</formula>
      <formula>5</formula>
    </cfRule>
    <cfRule type="containsBlanks" dxfId="314" priority="597" stopIfTrue="1">
      <formula>LEN(TRIM(Q460))=0</formula>
    </cfRule>
  </conditionalFormatting>
  <conditionalFormatting sqref="Q460">
    <cfRule type="containsBlanks" dxfId="313" priority="584" stopIfTrue="1">
      <formula>LEN(TRIM(Q460))=0</formula>
    </cfRule>
    <cfRule type="cellIs" dxfId="312" priority="585" stopIfTrue="1" operator="between">
      <formula>80.1</formula>
      <formula>100</formula>
    </cfRule>
    <cfRule type="cellIs" dxfId="311" priority="586" stopIfTrue="1" operator="between">
      <formula>35.1</formula>
      <formula>80</formula>
    </cfRule>
    <cfRule type="cellIs" dxfId="310" priority="587" stopIfTrue="1" operator="between">
      <formula>14.1</formula>
      <formula>35</formula>
    </cfRule>
    <cfRule type="cellIs" dxfId="309" priority="588" stopIfTrue="1" operator="between">
      <formula>5.1</formula>
      <formula>14</formula>
    </cfRule>
    <cfRule type="cellIs" dxfId="308" priority="589" stopIfTrue="1" operator="between">
      <formula>0</formula>
      <formula>5</formula>
    </cfRule>
    <cfRule type="containsBlanks" dxfId="307" priority="590" stopIfTrue="1">
      <formula>LEN(TRIM(Q460))=0</formula>
    </cfRule>
  </conditionalFormatting>
  <conditionalFormatting sqref="R461">
    <cfRule type="cellIs" dxfId="306" priority="582" stopIfTrue="1" operator="equal">
      <formula>"NO"</formula>
    </cfRule>
  </conditionalFormatting>
  <conditionalFormatting sqref="Q461">
    <cfRule type="containsBlanks" dxfId="305" priority="569" stopIfTrue="1">
      <formula>LEN(TRIM(Q461))=0</formula>
    </cfRule>
    <cfRule type="cellIs" dxfId="304" priority="570" stopIfTrue="1" operator="between">
      <formula>80.1</formula>
      <formula>100</formula>
    </cfRule>
    <cfRule type="cellIs" dxfId="303" priority="571" stopIfTrue="1" operator="between">
      <formula>35.1</formula>
      <formula>80</formula>
    </cfRule>
    <cfRule type="cellIs" dxfId="302" priority="572" stopIfTrue="1" operator="between">
      <formula>14.1</formula>
      <formula>35</formula>
    </cfRule>
    <cfRule type="cellIs" dxfId="301" priority="573" stopIfTrue="1" operator="between">
      <formula>5.1</formula>
      <formula>14</formula>
    </cfRule>
    <cfRule type="cellIs" dxfId="300" priority="574" stopIfTrue="1" operator="between">
      <formula>0</formula>
      <formula>5</formula>
    </cfRule>
    <cfRule type="containsBlanks" dxfId="299" priority="575" stopIfTrue="1">
      <formula>LEN(TRIM(Q461))=0</formula>
    </cfRule>
  </conditionalFormatting>
  <conditionalFormatting sqref="Q461">
    <cfRule type="containsBlanks" dxfId="298" priority="562" stopIfTrue="1">
      <formula>LEN(TRIM(Q461))=0</formula>
    </cfRule>
    <cfRule type="cellIs" dxfId="297" priority="563" stopIfTrue="1" operator="between">
      <formula>80.1</formula>
      <formula>100</formula>
    </cfRule>
    <cfRule type="cellIs" dxfId="296" priority="564" stopIfTrue="1" operator="between">
      <formula>35.1</formula>
      <formula>80</formula>
    </cfRule>
    <cfRule type="cellIs" dxfId="295" priority="565" stopIfTrue="1" operator="between">
      <formula>14.1</formula>
      <formula>35</formula>
    </cfRule>
    <cfRule type="cellIs" dxfId="294" priority="566" stopIfTrue="1" operator="between">
      <formula>5.1</formula>
      <formula>14</formula>
    </cfRule>
    <cfRule type="cellIs" dxfId="293" priority="567" stopIfTrue="1" operator="between">
      <formula>0</formula>
      <formula>5</formula>
    </cfRule>
    <cfRule type="containsBlanks" dxfId="292" priority="568" stopIfTrue="1">
      <formula>LEN(TRIM(Q461))=0</formula>
    </cfRule>
  </conditionalFormatting>
  <conditionalFormatting sqref="R462">
    <cfRule type="cellIs" dxfId="291" priority="560" stopIfTrue="1" operator="equal">
      <formula>"NO"</formula>
    </cfRule>
  </conditionalFormatting>
  <conditionalFormatting sqref="Q462">
    <cfRule type="containsBlanks" dxfId="290" priority="547" stopIfTrue="1">
      <formula>LEN(TRIM(Q462))=0</formula>
    </cfRule>
    <cfRule type="cellIs" dxfId="289" priority="548" stopIfTrue="1" operator="between">
      <formula>80.1</formula>
      <formula>100</formula>
    </cfRule>
    <cfRule type="cellIs" dxfId="288" priority="549" stopIfTrue="1" operator="between">
      <formula>35.1</formula>
      <formula>80</formula>
    </cfRule>
    <cfRule type="cellIs" dxfId="287" priority="550" stopIfTrue="1" operator="between">
      <formula>14.1</formula>
      <formula>35</formula>
    </cfRule>
    <cfRule type="cellIs" dxfId="286" priority="551" stopIfTrue="1" operator="between">
      <formula>5.1</formula>
      <formula>14</formula>
    </cfRule>
    <cfRule type="cellIs" dxfId="285" priority="552" stopIfTrue="1" operator="between">
      <formula>0</formula>
      <formula>5</formula>
    </cfRule>
    <cfRule type="containsBlanks" dxfId="284" priority="553" stopIfTrue="1">
      <formula>LEN(TRIM(Q462))=0</formula>
    </cfRule>
  </conditionalFormatting>
  <conditionalFormatting sqref="Q462">
    <cfRule type="containsBlanks" dxfId="283" priority="540" stopIfTrue="1">
      <formula>LEN(TRIM(Q462))=0</formula>
    </cfRule>
    <cfRule type="cellIs" dxfId="282" priority="541" stopIfTrue="1" operator="between">
      <formula>80.1</formula>
      <formula>100</formula>
    </cfRule>
    <cfRule type="cellIs" dxfId="281" priority="542" stopIfTrue="1" operator="between">
      <formula>35.1</formula>
      <formula>80</formula>
    </cfRule>
    <cfRule type="cellIs" dxfId="280" priority="543" stopIfTrue="1" operator="between">
      <formula>14.1</formula>
      <formula>35</formula>
    </cfRule>
    <cfRule type="cellIs" dxfId="279" priority="544" stopIfTrue="1" operator="between">
      <formula>5.1</formula>
      <formula>14</formula>
    </cfRule>
    <cfRule type="cellIs" dxfId="278" priority="545" stopIfTrue="1" operator="between">
      <formula>0</formula>
      <formula>5</formula>
    </cfRule>
    <cfRule type="containsBlanks" dxfId="277" priority="546" stopIfTrue="1">
      <formula>LEN(TRIM(Q462))=0</formula>
    </cfRule>
  </conditionalFormatting>
  <conditionalFormatting sqref="R463">
    <cfRule type="cellIs" dxfId="276" priority="538" stopIfTrue="1" operator="equal">
      <formula>"NO"</formula>
    </cfRule>
  </conditionalFormatting>
  <conditionalFormatting sqref="Q463">
    <cfRule type="containsBlanks" dxfId="275" priority="525" stopIfTrue="1">
      <formula>LEN(TRIM(Q463))=0</formula>
    </cfRule>
    <cfRule type="cellIs" dxfId="274" priority="526" stopIfTrue="1" operator="between">
      <formula>80.1</formula>
      <formula>100</formula>
    </cfRule>
    <cfRule type="cellIs" dxfId="273" priority="527" stopIfTrue="1" operator="between">
      <formula>35.1</formula>
      <formula>80</formula>
    </cfRule>
    <cfRule type="cellIs" dxfId="272" priority="528" stopIfTrue="1" operator="between">
      <formula>14.1</formula>
      <formula>35</formula>
    </cfRule>
    <cfRule type="cellIs" dxfId="271" priority="529" stopIfTrue="1" operator="between">
      <formula>5.1</formula>
      <formula>14</formula>
    </cfRule>
    <cfRule type="cellIs" dxfId="270" priority="530" stopIfTrue="1" operator="between">
      <formula>0</formula>
      <formula>5</formula>
    </cfRule>
    <cfRule type="containsBlanks" dxfId="269" priority="531" stopIfTrue="1">
      <formula>LEN(TRIM(Q463))=0</formula>
    </cfRule>
  </conditionalFormatting>
  <conditionalFormatting sqref="Q463">
    <cfRule type="containsBlanks" dxfId="268" priority="518" stopIfTrue="1">
      <formula>LEN(TRIM(Q463))=0</formula>
    </cfRule>
    <cfRule type="cellIs" dxfId="267" priority="519" stopIfTrue="1" operator="between">
      <formula>80.1</formula>
      <formula>100</formula>
    </cfRule>
    <cfRule type="cellIs" dxfId="266" priority="520" stopIfTrue="1" operator="between">
      <formula>35.1</formula>
      <formula>80</formula>
    </cfRule>
    <cfRule type="cellIs" dxfId="265" priority="521" stopIfTrue="1" operator="between">
      <formula>14.1</formula>
      <formula>35</formula>
    </cfRule>
    <cfRule type="cellIs" dxfId="264" priority="522" stopIfTrue="1" operator="between">
      <formula>5.1</formula>
      <formula>14</formula>
    </cfRule>
    <cfRule type="cellIs" dxfId="263" priority="523" stopIfTrue="1" operator="between">
      <formula>0</formula>
      <formula>5</formula>
    </cfRule>
    <cfRule type="containsBlanks" dxfId="262" priority="524" stopIfTrue="1">
      <formula>LEN(TRIM(Q463))=0</formula>
    </cfRule>
  </conditionalFormatting>
  <conditionalFormatting sqref="R464">
    <cfRule type="cellIs" dxfId="261" priority="516" stopIfTrue="1" operator="equal">
      <formula>"NO"</formula>
    </cfRule>
  </conditionalFormatting>
  <conditionalFormatting sqref="Q464">
    <cfRule type="containsBlanks" dxfId="260" priority="503" stopIfTrue="1">
      <formula>LEN(TRIM(Q464))=0</formula>
    </cfRule>
    <cfRule type="cellIs" dxfId="259" priority="504" stopIfTrue="1" operator="between">
      <formula>80.1</formula>
      <formula>100</formula>
    </cfRule>
    <cfRule type="cellIs" dxfId="258" priority="505" stopIfTrue="1" operator="between">
      <formula>35.1</formula>
      <formula>80</formula>
    </cfRule>
    <cfRule type="cellIs" dxfId="257" priority="506" stopIfTrue="1" operator="between">
      <formula>14.1</formula>
      <formula>35</formula>
    </cfRule>
    <cfRule type="cellIs" dxfId="256" priority="507" stopIfTrue="1" operator="between">
      <formula>5.1</formula>
      <formula>14</formula>
    </cfRule>
    <cfRule type="cellIs" dxfId="255" priority="508" stopIfTrue="1" operator="between">
      <formula>0</formula>
      <formula>5</formula>
    </cfRule>
    <cfRule type="containsBlanks" dxfId="254" priority="509" stopIfTrue="1">
      <formula>LEN(TRIM(Q464))=0</formula>
    </cfRule>
  </conditionalFormatting>
  <conditionalFormatting sqref="Q464">
    <cfRule type="containsBlanks" dxfId="253" priority="496" stopIfTrue="1">
      <formula>LEN(TRIM(Q464))=0</formula>
    </cfRule>
    <cfRule type="cellIs" dxfId="252" priority="497" stopIfTrue="1" operator="between">
      <formula>80.1</formula>
      <formula>100</formula>
    </cfRule>
    <cfRule type="cellIs" dxfId="251" priority="498" stopIfTrue="1" operator="between">
      <formula>35.1</formula>
      <formula>80</formula>
    </cfRule>
    <cfRule type="cellIs" dxfId="250" priority="499" stopIfTrue="1" operator="between">
      <formula>14.1</formula>
      <formula>35</formula>
    </cfRule>
    <cfRule type="cellIs" dxfId="249" priority="500" stopIfTrue="1" operator="between">
      <formula>5.1</formula>
      <formula>14</formula>
    </cfRule>
    <cfRule type="cellIs" dxfId="248" priority="501" stopIfTrue="1" operator="between">
      <formula>0</formula>
      <formula>5</formula>
    </cfRule>
    <cfRule type="containsBlanks" dxfId="247" priority="502" stopIfTrue="1">
      <formula>LEN(TRIM(Q464))=0</formula>
    </cfRule>
  </conditionalFormatting>
  <conditionalFormatting sqref="R465">
    <cfRule type="cellIs" dxfId="246" priority="494" stopIfTrue="1" operator="equal">
      <formula>"NO"</formula>
    </cfRule>
  </conditionalFormatting>
  <conditionalFormatting sqref="Q465">
    <cfRule type="containsBlanks" dxfId="245" priority="481" stopIfTrue="1">
      <formula>LEN(TRIM(Q465))=0</formula>
    </cfRule>
    <cfRule type="cellIs" dxfId="244" priority="482" stopIfTrue="1" operator="between">
      <formula>80.1</formula>
      <formula>100</formula>
    </cfRule>
    <cfRule type="cellIs" dxfId="243" priority="483" stopIfTrue="1" operator="between">
      <formula>35.1</formula>
      <formula>80</formula>
    </cfRule>
    <cfRule type="cellIs" dxfId="242" priority="484" stopIfTrue="1" operator="between">
      <formula>14.1</formula>
      <formula>35</formula>
    </cfRule>
    <cfRule type="cellIs" dxfId="241" priority="485" stopIfTrue="1" operator="between">
      <formula>5.1</formula>
      <formula>14</formula>
    </cfRule>
    <cfRule type="cellIs" dxfId="240" priority="486" stopIfTrue="1" operator="between">
      <formula>0</formula>
      <formula>5</formula>
    </cfRule>
    <cfRule type="containsBlanks" dxfId="239" priority="487" stopIfTrue="1">
      <formula>LEN(TRIM(Q465))=0</formula>
    </cfRule>
  </conditionalFormatting>
  <conditionalFormatting sqref="Q465">
    <cfRule type="containsBlanks" dxfId="238" priority="474" stopIfTrue="1">
      <formula>LEN(TRIM(Q465))=0</formula>
    </cfRule>
    <cfRule type="cellIs" dxfId="237" priority="475" stopIfTrue="1" operator="between">
      <formula>80.1</formula>
      <formula>100</formula>
    </cfRule>
    <cfRule type="cellIs" dxfId="236" priority="476" stopIfTrue="1" operator="between">
      <formula>35.1</formula>
      <formula>80</formula>
    </cfRule>
    <cfRule type="cellIs" dxfId="235" priority="477" stopIfTrue="1" operator="between">
      <formula>14.1</formula>
      <formula>35</formula>
    </cfRule>
    <cfRule type="cellIs" dxfId="234" priority="478" stopIfTrue="1" operator="between">
      <formula>5.1</formula>
      <formula>14</formula>
    </cfRule>
    <cfRule type="cellIs" dxfId="233" priority="479" stopIfTrue="1" operator="between">
      <formula>0</formula>
      <formula>5</formula>
    </cfRule>
    <cfRule type="containsBlanks" dxfId="232" priority="480" stopIfTrue="1">
      <formula>LEN(TRIM(Q465))=0</formula>
    </cfRule>
  </conditionalFormatting>
  <conditionalFormatting sqref="R466">
    <cfRule type="cellIs" dxfId="231" priority="472" stopIfTrue="1" operator="equal">
      <formula>"NO"</formula>
    </cfRule>
  </conditionalFormatting>
  <conditionalFormatting sqref="Q466">
    <cfRule type="containsBlanks" dxfId="230" priority="459" stopIfTrue="1">
      <formula>LEN(TRIM(Q466))=0</formula>
    </cfRule>
    <cfRule type="cellIs" dxfId="229" priority="460" stopIfTrue="1" operator="between">
      <formula>80.1</formula>
      <formula>100</formula>
    </cfRule>
    <cfRule type="cellIs" dxfId="228" priority="461" stopIfTrue="1" operator="between">
      <formula>35.1</formula>
      <formula>80</formula>
    </cfRule>
    <cfRule type="cellIs" dxfId="227" priority="462" stopIfTrue="1" operator="between">
      <formula>14.1</formula>
      <formula>35</formula>
    </cfRule>
    <cfRule type="cellIs" dxfId="226" priority="463" stopIfTrue="1" operator="between">
      <formula>5.1</formula>
      <formula>14</formula>
    </cfRule>
    <cfRule type="cellIs" dxfId="225" priority="464" stopIfTrue="1" operator="between">
      <formula>0</formula>
      <formula>5</formula>
    </cfRule>
    <cfRule type="containsBlanks" dxfId="224" priority="465" stopIfTrue="1">
      <formula>LEN(TRIM(Q466))=0</formula>
    </cfRule>
  </conditionalFormatting>
  <conditionalFormatting sqref="Q466">
    <cfRule type="containsBlanks" dxfId="223" priority="452" stopIfTrue="1">
      <formula>LEN(TRIM(Q466))=0</formula>
    </cfRule>
    <cfRule type="cellIs" dxfId="222" priority="453" stopIfTrue="1" operator="between">
      <formula>80.1</formula>
      <formula>100</formula>
    </cfRule>
    <cfRule type="cellIs" dxfId="221" priority="454" stopIfTrue="1" operator="between">
      <formula>35.1</formula>
      <formula>80</formula>
    </cfRule>
    <cfRule type="cellIs" dxfId="220" priority="455" stopIfTrue="1" operator="between">
      <formula>14.1</formula>
      <formula>35</formula>
    </cfRule>
    <cfRule type="cellIs" dxfId="219" priority="456" stopIfTrue="1" operator="between">
      <formula>5.1</formula>
      <formula>14</formula>
    </cfRule>
    <cfRule type="cellIs" dxfId="218" priority="457" stopIfTrue="1" operator="between">
      <formula>0</formula>
      <formula>5</formula>
    </cfRule>
    <cfRule type="containsBlanks" dxfId="217" priority="458" stopIfTrue="1">
      <formula>LEN(TRIM(Q466))=0</formula>
    </cfRule>
  </conditionalFormatting>
  <conditionalFormatting sqref="R467">
    <cfRule type="cellIs" dxfId="216" priority="450" stopIfTrue="1" operator="equal">
      <formula>"NO"</formula>
    </cfRule>
  </conditionalFormatting>
  <conditionalFormatting sqref="Q467">
    <cfRule type="containsBlanks" dxfId="215" priority="437" stopIfTrue="1">
      <formula>LEN(TRIM(Q467))=0</formula>
    </cfRule>
    <cfRule type="cellIs" dxfId="214" priority="438" stopIfTrue="1" operator="between">
      <formula>80.1</formula>
      <formula>100</formula>
    </cfRule>
    <cfRule type="cellIs" dxfId="213" priority="439" stopIfTrue="1" operator="between">
      <formula>35.1</formula>
      <formula>80</formula>
    </cfRule>
    <cfRule type="cellIs" dxfId="212" priority="440" stopIfTrue="1" operator="between">
      <formula>14.1</formula>
      <formula>35</formula>
    </cfRule>
    <cfRule type="cellIs" dxfId="211" priority="441" stopIfTrue="1" operator="between">
      <formula>5.1</formula>
      <formula>14</formula>
    </cfRule>
    <cfRule type="cellIs" dxfId="210" priority="442" stopIfTrue="1" operator="between">
      <formula>0</formula>
      <formula>5</formula>
    </cfRule>
    <cfRule type="containsBlanks" dxfId="209" priority="443" stopIfTrue="1">
      <formula>LEN(TRIM(Q467))=0</formula>
    </cfRule>
  </conditionalFormatting>
  <conditionalFormatting sqref="Q467">
    <cfRule type="containsBlanks" dxfId="208" priority="430" stopIfTrue="1">
      <formula>LEN(TRIM(Q467))=0</formula>
    </cfRule>
    <cfRule type="cellIs" dxfId="207" priority="431" stopIfTrue="1" operator="between">
      <formula>80.1</formula>
      <formula>100</formula>
    </cfRule>
    <cfRule type="cellIs" dxfId="206" priority="432" stopIfTrue="1" operator="between">
      <formula>35.1</formula>
      <formula>80</formula>
    </cfRule>
    <cfRule type="cellIs" dxfId="205" priority="433" stopIfTrue="1" operator="between">
      <formula>14.1</formula>
      <formula>35</formula>
    </cfRule>
    <cfRule type="cellIs" dxfId="204" priority="434" stopIfTrue="1" operator="between">
      <formula>5.1</formula>
      <formula>14</formula>
    </cfRule>
    <cfRule type="cellIs" dxfId="203" priority="435" stopIfTrue="1" operator="between">
      <formula>0</formula>
      <formula>5</formula>
    </cfRule>
    <cfRule type="containsBlanks" dxfId="202" priority="436" stopIfTrue="1">
      <formula>LEN(TRIM(Q467))=0</formula>
    </cfRule>
  </conditionalFormatting>
  <conditionalFormatting sqref="E418:I418 K418:L418">
    <cfRule type="containsBlanks" dxfId="201" priority="423" stopIfTrue="1">
      <formula>LEN(TRIM(E418))=0</formula>
    </cfRule>
    <cfRule type="cellIs" dxfId="200" priority="424" stopIfTrue="1" operator="between">
      <formula>79.1</formula>
      <formula>100</formula>
    </cfRule>
    <cfRule type="cellIs" dxfId="199" priority="425" stopIfTrue="1" operator="between">
      <formula>34.1</formula>
      <formula>79</formula>
    </cfRule>
    <cfRule type="cellIs" dxfId="198" priority="426" stopIfTrue="1" operator="between">
      <formula>13.1</formula>
      <formula>34</formula>
    </cfRule>
    <cfRule type="cellIs" dxfId="197" priority="427" stopIfTrue="1" operator="between">
      <formula>5.1</formula>
      <formula>13</formula>
    </cfRule>
    <cfRule type="cellIs" dxfId="196" priority="428" stopIfTrue="1" operator="between">
      <formula>0</formula>
      <formula>5</formula>
    </cfRule>
    <cfRule type="containsBlanks" dxfId="195" priority="429" stopIfTrue="1">
      <formula>LEN(TRIM(E418))=0</formula>
    </cfRule>
  </conditionalFormatting>
  <conditionalFormatting sqref="J418">
    <cfRule type="containsBlanks" dxfId="194" priority="416" stopIfTrue="1">
      <formula>LEN(TRIM(J418))=0</formula>
    </cfRule>
    <cfRule type="cellIs" dxfId="193" priority="417" stopIfTrue="1" operator="between">
      <formula>79.1</formula>
      <formula>100</formula>
    </cfRule>
    <cfRule type="cellIs" dxfId="192" priority="418" stopIfTrue="1" operator="between">
      <formula>34.1</formula>
      <formula>79</formula>
    </cfRule>
    <cfRule type="cellIs" dxfId="191" priority="419" stopIfTrue="1" operator="between">
      <formula>13.1</formula>
      <formula>34</formula>
    </cfRule>
    <cfRule type="cellIs" dxfId="190" priority="420" stopIfTrue="1" operator="between">
      <formula>5.1</formula>
      <formula>13</formula>
    </cfRule>
    <cfRule type="cellIs" dxfId="189" priority="421" stopIfTrue="1" operator="between">
      <formula>0</formula>
      <formula>5</formula>
    </cfRule>
    <cfRule type="containsBlanks" dxfId="188" priority="422" stopIfTrue="1">
      <formula>LEN(TRIM(J418))=0</formula>
    </cfRule>
  </conditionalFormatting>
  <conditionalFormatting sqref="E420:I420 K420:L420">
    <cfRule type="containsBlanks" dxfId="187" priority="409" stopIfTrue="1">
      <formula>LEN(TRIM(E420))=0</formula>
    </cfRule>
    <cfRule type="cellIs" dxfId="186" priority="410" stopIfTrue="1" operator="between">
      <formula>79.1</formula>
      <formula>100</formula>
    </cfRule>
    <cfRule type="cellIs" dxfId="185" priority="411" stopIfTrue="1" operator="between">
      <formula>34.1</formula>
      <formula>79</formula>
    </cfRule>
    <cfRule type="cellIs" dxfId="184" priority="412" stopIfTrue="1" operator="between">
      <formula>13.1</formula>
      <formula>34</formula>
    </cfRule>
    <cfRule type="cellIs" dxfId="183" priority="413" stopIfTrue="1" operator="between">
      <formula>5.1</formula>
      <formula>13</formula>
    </cfRule>
    <cfRule type="cellIs" dxfId="182" priority="414" stopIfTrue="1" operator="between">
      <formula>0</formula>
      <formula>5</formula>
    </cfRule>
    <cfRule type="containsBlanks" dxfId="181" priority="415" stopIfTrue="1">
      <formula>LEN(TRIM(E420))=0</formula>
    </cfRule>
  </conditionalFormatting>
  <conditionalFormatting sqref="M420:O420">
    <cfRule type="containsBlanks" dxfId="180" priority="402" stopIfTrue="1">
      <formula>LEN(TRIM(M420))=0</formula>
    </cfRule>
    <cfRule type="cellIs" dxfId="179" priority="403" stopIfTrue="1" operator="between">
      <formula>79.1</formula>
      <formula>100</formula>
    </cfRule>
    <cfRule type="cellIs" dxfId="178" priority="404" stopIfTrue="1" operator="between">
      <formula>34.1</formula>
      <formula>79</formula>
    </cfRule>
    <cfRule type="cellIs" dxfId="177" priority="405" stopIfTrue="1" operator="between">
      <formula>13.1</formula>
      <formula>34</formula>
    </cfRule>
    <cfRule type="cellIs" dxfId="176" priority="406" stopIfTrue="1" operator="between">
      <formula>5.1</formula>
      <formula>13</formula>
    </cfRule>
    <cfRule type="cellIs" dxfId="175" priority="407" stopIfTrue="1" operator="between">
      <formula>0</formula>
      <formula>5</formula>
    </cfRule>
    <cfRule type="containsBlanks" dxfId="174" priority="408" stopIfTrue="1">
      <formula>LEN(TRIM(M420))=0</formula>
    </cfRule>
  </conditionalFormatting>
  <conditionalFormatting sqref="J420">
    <cfRule type="containsBlanks" dxfId="173" priority="395" stopIfTrue="1">
      <formula>LEN(TRIM(J420))=0</formula>
    </cfRule>
    <cfRule type="cellIs" dxfId="172" priority="396" stopIfTrue="1" operator="between">
      <formula>79.1</formula>
      <formula>100</formula>
    </cfRule>
    <cfRule type="cellIs" dxfId="171" priority="397" stopIfTrue="1" operator="between">
      <formula>34.1</formula>
      <formula>79</formula>
    </cfRule>
    <cfRule type="cellIs" dxfId="170" priority="398" stopIfTrue="1" operator="between">
      <formula>13.1</formula>
      <formula>34</formula>
    </cfRule>
    <cfRule type="cellIs" dxfId="169" priority="399" stopIfTrue="1" operator="between">
      <formula>5.1</formula>
      <formula>13</formula>
    </cfRule>
    <cfRule type="cellIs" dxfId="168" priority="400" stopIfTrue="1" operator="between">
      <formula>0</formula>
      <formula>5</formula>
    </cfRule>
    <cfRule type="containsBlanks" dxfId="167" priority="401" stopIfTrue="1">
      <formula>LEN(TRIM(J420))=0</formula>
    </cfRule>
  </conditionalFormatting>
  <conditionalFormatting sqref="E419:I419 K419:L419">
    <cfRule type="containsBlanks" dxfId="166" priority="332" stopIfTrue="1">
      <formula>LEN(TRIM(E419))=0</formula>
    </cfRule>
    <cfRule type="cellIs" dxfId="165" priority="333" stopIfTrue="1" operator="between">
      <formula>79.1</formula>
      <formula>100</formula>
    </cfRule>
    <cfRule type="cellIs" dxfId="164" priority="334" stopIfTrue="1" operator="between">
      <formula>34.1</formula>
      <formula>79</formula>
    </cfRule>
    <cfRule type="cellIs" dxfId="163" priority="335" stopIfTrue="1" operator="between">
      <formula>13.1</formula>
      <formula>34</formula>
    </cfRule>
    <cfRule type="cellIs" dxfId="162" priority="336" stopIfTrue="1" operator="between">
      <formula>5.1</formula>
      <formula>13</formula>
    </cfRule>
    <cfRule type="cellIs" dxfId="161" priority="337" stopIfTrue="1" operator="between">
      <formula>0</formula>
      <formula>5</formula>
    </cfRule>
    <cfRule type="containsBlanks" dxfId="160" priority="338" stopIfTrue="1">
      <formula>LEN(TRIM(E419))=0</formula>
    </cfRule>
  </conditionalFormatting>
  <conditionalFormatting sqref="M419:O419">
    <cfRule type="containsBlanks" dxfId="159" priority="325" stopIfTrue="1">
      <formula>LEN(TRIM(M419))=0</formula>
    </cfRule>
    <cfRule type="cellIs" dxfId="158" priority="326" stopIfTrue="1" operator="between">
      <formula>79.1</formula>
      <formula>100</formula>
    </cfRule>
    <cfRule type="cellIs" dxfId="157" priority="327" stopIfTrue="1" operator="between">
      <formula>34.1</formula>
      <formula>79</formula>
    </cfRule>
    <cfRule type="cellIs" dxfId="156" priority="328" stopIfTrue="1" operator="between">
      <formula>13.1</formula>
      <formula>34</formula>
    </cfRule>
    <cfRule type="cellIs" dxfId="155" priority="329" stopIfTrue="1" operator="between">
      <formula>5.1</formula>
      <formula>13</formula>
    </cfRule>
    <cfRule type="cellIs" dxfId="154" priority="330" stopIfTrue="1" operator="between">
      <formula>0</formula>
      <formula>5</formula>
    </cfRule>
    <cfRule type="containsBlanks" dxfId="153" priority="331" stopIfTrue="1">
      <formula>LEN(TRIM(M419))=0</formula>
    </cfRule>
  </conditionalFormatting>
  <conditionalFormatting sqref="J419">
    <cfRule type="containsBlanks" dxfId="152" priority="318" stopIfTrue="1">
      <formula>LEN(TRIM(J419))=0</formula>
    </cfRule>
    <cfRule type="cellIs" dxfId="151" priority="319" stopIfTrue="1" operator="between">
      <formula>79.1</formula>
      <formula>100</formula>
    </cfRule>
    <cfRule type="cellIs" dxfId="150" priority="320" stopIfTrue="1" operator="between">
      <formula>34.1</formula>
      <formula>79</formula>
    </cfRule>
    <cfRule type="cellIs" dxfId="149" priority="321" stopIfTrue="1" operator="between">
      <formula>13.1</formula>
      <formula>34</formula>
    </cfRule>
    <cfRule type="cellIs" dxfId="148" priority="322" stopIfTrue="1" operator="between">
      <formula>5.1</formula>
      <formula>13</formula>
    </cfRule>
    <cfRule type="cellIs" dxfId="147" priority="323" stopIfTrue="1" operator="between">
      <formula>0</formula>
      <formula>5</formula>
    </cfRule>
    <cfRule type="containsBlanks" dxfId="146" priority="324" stopIfTrue="1">
      <formula>LEN(TRIM(J419))=0</formula>
    </cfRule>
  </conditionalFormatting>
  <conditionalFormatting sqref="E453:O453">
    <cfRule type="containsBlanks" dxfId="145" priority="241" stopIfTrue="1">
      <formula>LEN(TRIM(E453))=0</formula>
    </cfRule>
    <cfRule type="cellIs" dxfId="144" priority="242" stopIfTrue="1" operator="between">
      <formula>79.1</formula>
      <formula>100</formula>
    </cfRule>
    <cfRule type="cellIs" dxfId="143" priority="243" stopIfTrue="1" operator="between">
      <formula>34.1</formula>
      <formula>79</formula>
    </cfRule>
    <cfRule type="cellIs" dxfId="142" priority="244" stopIfTrue="1" operator="between">
      <formula>13.1</formula>
      <formula>34</formula>
    </cfRule>
    <cfRule type="cellIs" dxfId="141" priority="245" stopIfTrue="1" operator="between">
      <formula>5.1</formula>
      <formula>13</formula>
    </cfRule>
    <cfRule type="cellIs" dxfId="140" priority="246" stopIfTrue="1" operator="between">
      <formula>0</formula>
      <formula>5</formula>
    </cfRule>
    <cfRule type="containsBlanks" dxfId="139" priority="247" stopIfTrue="1">
      <formula>LEN(TRIM(E453))=0</formula>
    </cfRule>
  </conditionalFormatting>
  <conditionalFormatting sqref="E457:P457">
    <cfRule type="containsBlanks" dxfId="138" priority="234" stopIfTrue="1">
      <formula>LEN(TRIM(E457))=0</formula>
    </cfRule>
    <cfRule type="cellIs" dxfId="137" priority="235" stopIfTrue="1" operator="between">
      <formula>79.1</formula>
      <formula>100</formula>
    </cfRule>
    <cfRule type="cellIs" dxfId="136" priority="236" stopIfTrue="1" operator="between">
      <formula>34.1</formula>
      <formula>79</formula>
    </cfRule>
    <cfRule type="cellIs" dxfId="135" priority="237" stopIfTrue="1" operator="between">
      <formula>13.1</formula>
      <formula>34</formula>
    </cfRule>
    <cfRule type="cellIs" dxfId="134" priority="238" stopIfTrue="1" operator="between">
      <formula>5.1</formula>
      <formula>13</formula>
    </cfRule>
    <cfRule type="cellIs" dxfId="133" priority="239" stopIfTrue="1" operator="between">
      <formula>0</formula>
      <formula>5</formula>
    </cfRule>
    <cfRule type="containsBlanks" dxfId="132" priority="240" stopIfTrue="1">
      <formula>LEN(TRIM(E457))=0</formula>
    </cfRule>
  </conditionalFormatting>
  <conditionalFormatting sqref="E455:O455">
    <cfRule type="containsBlanks" dxfId="131" priority="227" stopIfTrue="1">
      <formula>LEN(TRIM(E455))=0</formula>
    </cfRule>
    <cfRule type="cellIs" dxfId="130" priority="228" stopIfTrue="1" operator="between">
      <formula>79.1</formula>
      <formula>100</formula>
    </cfRule>
    <cfRule type="cellIs" dxfId="129" priority="229" stopIfTrue="1" operator="between">
      <formula>34.1</formula>
      <formula>79</formula>
    </cfRule>
    <cfRule type="cellIs" dxfId="128" priority="230" stopIfTrue="1" operator="between">
      <formula>13.1</formula>
      <formula>34</formula>
    </cfRule>
    <cfRule type="cellIs" dxfId="127" priority="231" stopIfTrue="1" operator="between">
      <formula>5.1</formula>
      <formula>13</formula>
    </cfRule>
    <cfRule type="cellIs" dxfId="126" priority="232" stopIfTrue="1" operator="between">
      <formula>0</formula>
      <formula>5</formula>
    </cfRule>
    <cfRule type="containsBlanks" dxfId="125" priority="233" stopIfTrue="1">
      <formula>LEN(TRIM(E455))=0</formula>
    </cfRule>
  </conditionalFormatting>
  <conditionalFormatting sqref="E462:P462">
    <cfRule type="containsBlanks" dxfId="124" priority="220" stopIfTrue="1">
      <formula>LEN(TRIM(E462))=0</formula>
    </cfRule>
    <cfRule type="cellIs" dxfId="123" priority="221" stopIfTrue="1" operator="between">
      <formula>79.1</formula>
      <formula>100</formula>
    </cfRule>
    <cfRule type="cellIs" dxfId="122" priority="222" stopIfTrue="1" operator="between">
      <formula>34.1</formula>
      <formula>79</formula>
    </cfRule>
    <cfRule type="cellIs" dxfId="121" priority="223" stopIfTrue="1" operator="between">
      <formula>13.1</formula>
      <formula>34</formula>
    </cfRule>
    <cfRule type="cellIs" dxfId="120" priority="224" stopIfTrue="1" operator="between">
      <formula>5.1</formula>
      <formula>13</formula>
    </cfRule>
    <cfRule type="cellIs" dxfId="119" priority="225" stopIfTrue="1" operator="between">
      <formula>0</formula>
      <formula>5</formula>
    </cfRule>
    <cfRule type="containsBlanks" dxfId="118" priority="226" stopIfTrue="1">
      <formula>LEN(TRIM(E462))=0</formula>
    </cfRule>
  </conditionalFormatting>
  <conditionalFormatting sqref="E451:P451">
    <cfRule type="containsBlanks" dxfId="117" priority="213" stopIfTrue="1">
      <formula>LEN(TRIM(E451))=0</formula>
    </cfRule>
    <cfRule type="cellIs" dxfId="116" priority="214" stopIfTrue="1" operator="between">
      <formula>79.1</formula>
      <formula>100</formula>
    </cfRule>
    <cfRule type="cellIs" dxfId="115" priority="215" stopIfTrue="1" operator="between">
      <formula>34.1</formula>
      <formula>79</formula>
    </cfRule>
    <cfRule type="cellIs" dxfId="114" priority="216" stopIfTrue="1" operator="between">
      <formula>13.1</formula>
      <formula>34</formula>
    </cfRule>
    <cfRule type="cellIs" dxfId="113" priority="217" stopIfTrue="1" operator="between">
      <formula>5.1</formula>
      <formula>13</formula>
    </cfRule>
    <cfRule type="cellIs" dxfId="112" priority="218" stopIfTrue="1" operator="between">
      <formula>0</formula>
      <formula>5</formula>
    </cfRule>
    <cfRule type="containsBlanks" dxfId="111" priority="219" stopIfTrue="1">
      <formula>LEN(TRIM(E451))=0</formula>
    </cfRule>
  </conditionalFormatting>
  <conditionalFormatting sqref="E450:P450">
    <cfRule type="containsBlanks" dxfId="110" priority="206" stopIfTrue="1">
      <formula>LEN(TRIM(E450))=0</formula>
    </cfRule>
    <cfRule type="cellIs" dxfId="109" priority="207" stopIfTrue="1" operator="between">
      <formula>79.1</formula>
      <formula>100</formula>
    </cfRule>
    <cfRule type="cellIs" dxfId="108" priority="208" stopIfTrue="1" operator="between">
      <formula>34.1</formula>
      <formula>79</formula>
    </cfRule>
    <cfRule type="cellIs" dxfId="107" priority="209" stopIfTrue="1" operator="between">
      <formula>13.1</formula>
      <formula>34</formula>
    </cfRule>
    <cfRule type="cellIs" dxfId="106" priority="210" stopIfTrue="1" operator="between">
      <formula>5.1</formula>
      <formula>13</formula>
    </cfRule>
    <cfRule type="cellIs" dxfId="105" priority="211" stopIfTrue="1" operator="between">
      <formula>0</formula>
      <formula>5</formula>
    </cfRule>
    <cfRule type="containsBlanks" dxfId="104" priority="212" stopIfTrue="1">
      <formula>LEN(TRIM(E450))=0</formula>
    </cfRule>
  </conditionalFormatting>
  <conditionalFormatting sqref="E460:H460">
    <cfRule type="containsBlanks" dxfId="103" priority="199" stopIfTrue="1">
      <formula>LEN(TRIM(E460))=0</formula>
    </cfRule>
    <cfRule type="cellIs" dxfId="102" priority="200" stopIfTrue="1" operator="between">
      <formula>79.1</formula>
      <formula>100</formula>
    </cfRule>
    <cfRule type="cellIs" dxfId="101" priority="201" stopIfTrue="1" operator="between">
      <formula>34.1</formula>
      <formula>79</formula>
    </cfRule>
    <cfRule type="cellIs" dxfId="100" priority="202" stopIfTrue="1" operator="between">
      <formula>13.1</formula>
      <formula>34</formula>
    </cfRule>
    <cfRule type="cellIs" dxfId="99" priority="203" stopIfTrue="1" operator="between">
      <formula>5.1</formula>
      <formula>13</formula>
    </cfRule>
    <cfRule type="cellIs" dxfId="98" priority="204" stopIfTrue="1" operator="between">
      <formula>0</formula>
      <formula>5</formula>
    </cfRule>
    <cfRule type="containsBlanks" dxfId="97" priority="205" stopIfTrue="1">
      <formula>LEN(TRIM(E460))=0</formula>
    </cfRule>
  </conditionalFormatting>
  <conditionalFormatting sqref="E454:O454">
    <cfRule type="containsBlanks" dxfId="96" priority="192" stopIfTrue="1">
      <formula>LEN(TRIM(E454))=0</formula>
    </cfRule>
    <cfRule type="cellIs" dxfId="95" priority="193" stopIfTrue="1" operator="between">
      <formula>79.1</formula>
      <formula>100</formula>
    </cfRule>
    <cfRule type="cellIs" dxfId="94" priority="194" stopIfTrue="1" operator="between">
      <formula>34.1</formula>
      <formula>79</formula>
    </cfRule>
    <cfRule type="cellIs" dxfId="93" priority="195" stopIfTrue="1" operator="between">
      <formula>13.1</formula>
      <formula>34</formula>
    </cfRule>
    <cfRule type="cellIs" dxfId="92" priority="196" stopIfTrue="1" operator="between">
      <formula>5.1</formula>
      <formula>13</formula>
    </cfRule>
    <cfRule type="cellIs" dxfId="91" priority="197" stopIfTrue="1" operator="between">
      <formula>0</formula>
      <formula>5</formula>
    </cfRule>
    <cfRule type="containsBlanks" dxfId="90" priority="198" stopIfTrue="1">
      <formula>LEN(TRIM(E454))=0</formula>
    </cfRule>
  </conditionalFormatting>
  <conditionalFormatting sqref="E464:P464">
    <cfRule type="containsBlanks" dxfId="89" priority="185" stopIfTrue="1">
      <formula>LEN(TRIM(E464))=0</formula>
    </cfRule>
    <cfRule type="cellIs" dxfId="88" priority="186" stopIfTrue="1" operator="between">
      <formula>79.1</formula>
      <formula>100</formula>
    </cfRule>
    <cfRule type="cellIs" dxfId="87" priority="187" stopIfTrue="1" operator="between">
      <formula>34.1</formula>
      <formula>79</formula>
    </cfRule>
    <cfRule type="cellIs" dxfId="86" priority="188" stopIfTrue="1" operator="between">
      <formula>13.1</formula>
      <formula>34</formula>
    </cfRule>
    <cfRule type="cellIs" dxfId="85" priority="189" stopIfTrue="1" operator="between">
      <formula>5.1</formula>
      <formula>13</formula>
    </cfRule>
    <cfRule type="cellIs" dxfId="84" priority="190" stopIfTrue="1" operator="between">
      <formula>0</formula>
      <formula>5</formula>
    </cfRule>
    <cfRule type="containsBlanks" dxfId="83" priority="191" stopIfTrue="1">
      <formula>LEN(TRIM(E464))=0</formula>
    </cfRule>
  </conditionalFormatting>
  <conditionalFormatting sqref="R221">
    <cfRule type="cellIs" dxfId="82" priority="183" stopIfTrue="1" operator="equal">
      <formula>"NO"</formula>
    </cfRule>
  </conditionalFormatting>
  <conditionalFormatting sqref="Q221">
    <cfRule type="containsBlanks" dxfId="81" priority="170" stopIfTrue="1">
      <formula>LEN(TRIM(Q221))=0</formula>
    </cfRule>
    <cfRule type="cellIs" dxfId="80" priority="171" stopIfTrue="1" operator="between">
      <formula>79.1</formula>
      <formula>100</formula>
    </cfRule>
    <cfRule type="cellIs" dxfId="79" priority="172" stopIfTrue="1" operator="between">
      <formula>34.1</formula>
      <formula>79</formula>
    </cfRule>
    <cfRule type="cellIs" dxfId="78" priority="173" stopIfTrue="1" operator="between">
      <formula>13.1</formula>
      <formula>34</formula>
    </cfRule>
    <cfRule type="cellIs" dxfId="77" priority="174" stopIfTrue="1" operator="between">
      <formula>5.1</formula>
      <formula>13</formula>
    </cfRule>
    <cfRule type="cellIs" dxfId="76" priority="175" stopIfTrue="1" operator="between">
      <formula>0</formula>
      <formula>5</formula>
    </cfRule>
    <cfRule type="containsBlanks" dxfId="75" priority="176" stopIfTrue="1">
      <formula>LEN(TRIM(Q221))=0</formula>
    </cfRule>
  </conditionalFormatting>
  <conditionalFormatting sqref="R222">
    <cfRule type="cellIs" dxfId="74" priority="168" stopIfTrue="1" operator="equal">
      <formula>"NO"</formula>
    </cfRule>
  </conditionalFormatting>
  <conditionalFormatting sqref="Q222">
    <cfRule type="containsBlanks" dxfId="73" priority="155" stopIfTrue="1">
      <formula>LEN(TRIM(Q222))=0</formula>
    </cfRule>
    <cfRule type="cellIs" dxfId="72" priority="156" stopIfTrue="1" operator="between">
      <formula>79.1</formula>
      <formula>100</formula>
    </cfRule>
    <cfRule type="cellIs" dxfId="71" priority="157" stopIfTrue="1" operator="between">
      <formula>34.1</formula>
      <formula>79</formula>
    </cfRule>
    <cfRule type="cellIs" dxfId="70" priority="158" stopIfTrue="1" operator="between">
      <formula>13.1</formula>
      <formula>34</formula>
    </cfRule>
    <cfRule type="cellIs" dxfId="69" priority="159" stopIfTrue="1" operator="between">
      <formula>5.1</formula>
      <formula>13</formula>
    </cfRule>
    <cfRule type="cellIs" dxfId="68" priority="160" stopIfTrue="1" operator="between">
      <formula>0</formula>
      <formula>5</formula>
    </cfRule>
    <cfRule type="containsBlanks" dxfId="67" priority="161" stopIfTrue="1">
      <formula>LEN(TRIM(Q222))=0</formula>
    </cfRule>
  </conditionalFormatting>
  <conditionalFormatting sqref="R12">
    <cfRule type="cellIs" dxfId="66" priority="102" stopIfTrue="1" operator="equal">
      <formula>"NO"</formula>
    </cfRule>
  </conditionalFormatting>
  <conditionalFormatting sqref="S12">
    <cfRule type="cellIs" dxfId="65" priority="101" stopIfTrue="1" operator="equal">
      <formula>"INVIABLE SANITARIAMENTE"</formula>
    </cfRule>
  </conditionalFormatting>
  <conditionalFormatting sqref="Q12">
    <cfRule type="containsBlanks" dxfId="64" priority="94" stopIfTrue="1">
      <formula>LEN(TRIM(Q12))=0</formula>
    </cfRule>
    <cfRule type="cellIs" dxfId="63" priority="95" stopIfTrue="1" operator="between">
      <formula>80.1</formula>
      <formula>100</formula>
    </cfRule>
    <cfRule type="cellIs" dxfId="62" priority="96" stopIfTrue="1" operator="between">
      <formula>35.1</formula>
      <formula>80</formula>
    </cfRule>
    <cfRule type="cellIs" dxfId="61" priority="97" stopIfTrue="1" operator="between">
      <formula>14.1</formula>
      <formula>35</formula>
    </cfRule>
    <cfRule type="cellIs" dxfId="60" priority="98" stopIfTrue="1" operator="between">
      <formula>5.1</formula>
      <formula>14</formula>
    </cfRule>
    <cfRule type="cellIs" dxfId="59" priority="99" stopIfTrue="1" operator="between">
      <formula>0</formula>
      <formula>5</formula>
    </cfRule>
    <cfRule type="containsBlanks" dxfId="58" priority="100" stopIfTrue="1">
      <formula>LEN(TRIM(Q12))=0</formula>
    </cfRule>
  </conditionalFormatting>
  <conditionalFormatting sqref="S12">
    <cfRule type="containsText" dxfId="57" priority="89" stopIfTrue="1" operator="containsText" text="INVIABLE SANITARIAMENTE">
      <formula>NOT(ISERROR(SEARCH("INVIABLE SANITARIAMENTE",S12)))</formula>
    </cfRule>
    <cfRule type="containsText" dxfId="56" priority="90" stopIfTrue="1" operator="containsText" text="ALTO">
      <formula>NOT(ISERROR(SEARCH("ALTO",S12)))</formula>
    </cfRule>
    <cfRule type="containsText" dxfId="55" priority="91" stopIfTrue="1" operator="containsText" text="MEDIO">
      <formula>NOT(ISERROR(SEARCH("MEDIO",S12)))</formula>
    </cfRule>
    <cfRule type="containsText" dxfId="54" priority="92" stopIfTrue="1" operator="containsText" text="BAJO">
      <formula>NOT(ISERROR(SEARCH("BAJO",S12)))</formula>
    </cfRule>
    <cfRule type="containsText" dxfId="53" priority="93" stopIfTrue="1" operator="containsText" text="SIN RIESGO">
      <formula>NOT(ISERROR(SEARCH("SIN RIESGO",S12)))</formula>
    </cfRule>
  </conditionalFormatting>
  <conditionalFormatting sqref="S12">
    <cfRule type="containsText" dxfId="52" priority="88" stopIfTrue="1" operator="containsText" text="SIN RIESGO">
      <formula>NOT(ISERROR(SEARCH("SIN RIESGO",S12)))</formula>
    </cfRule>
  </conditionalFormatting>
  <conditionalFormatting sqref="R13:R61 R69:R126">
    <cfRule type="cellIs" dxfId="51" priority="87" stopIfTrue="1" operator="equal">
      <formula>"NO"</formula>
    </cfRule>
  </conditionalFormatting>
  <conditionalFormatting sqref="S13:S548">
    <cfRule type="cellIs" dxfId="50" priority="86" stopIfTrue="1" operator="equal">
      <formula>"INVIABLE SANITARIAMENTE"</formula>
    </cfRule>
  </conditionalFormatting>
  <conditionalFormatting sqref="S13:S548">
    <cfRule type="containsText" dxfId="49" priority="74" stopIfTrue="1" operator="containsText" text="INVIABLE SANITARIAMENTE">
      <formula>NOT(ISERROR(SEARCH("INVIABLE SANITARIAMENTE",S13)))</formula>
    </cfRule>
    <cfRule type="containsText" dxfId="48" priority="75" stopIfTrue="1" operator="containsText" text="ALTO">
      <formula>NOT(ISERROR(SEARCH("ALTO",S13)))</formula>
    </cfRule>
    <cfRule type="containsText" dxfId="47" priority="76" stopIfTrue="1" operator="containsText" text="MEDIO">
      <formula>NOT(ISERROR(SEARCH("MEDIO",S13)))</formula>
    </cfRule>
    <cfRule type="containsText" dxfId="46" priority="77" stopIfTrue="1" operator="containsText" text="BAJO">
      <formula>NOT(ISERROR(SEARCH("BAJO",S13)))</formula>
    </cfRule>
    <cfRule type="containsText" dxfId="45" priority="78" stopIfTrue="1" operator="containsText" text="SIN RIESGO">
      <formula>NOT(ISERROR(SEARCH("SIN RIESGO",S13)))</formula>
    </cfRule>
  </conditionalFormatting>
  <conditionalFormatting sqref="S13:S548">
    <cfRule type="containsText" dxfId="44" priority="73" stopIfTrue="1" operator="containsText" text="SIN RIESGO">
      <formula>NOT(ISERROR(SEARCH("SIN RIESGO",S13)))</formula>
    </cfRule>
  </conditionalFormatting>
  <conditionalFormatting sqref="K12:P61">
    <cfRule type="containsBlanks" dxfId="43" priority="66" stopIfTrue="1">
      <formula>LEN(TRIM(K12))=0</formula>
    </cfRule>
    <cfRule type="cellIs" dxfId="42" priority="67" stopIfTrue="1" operator="between">
      <formula>80.1</formula>
      <formula>100</formula>
    </cfRule>
    <cfRule type="cellIs" dxfId="41" priority="68" stopIfTrue="1" operator="between">
      <formula>35.1</formula>
      <formula>80</formula>
    </cfRule>
    <cfRule type="cellIs" dxfId="40" priority="69" stopIfTrue="1" operator="between">
      <formula>14.1</formula>
      <formula>35</formula>
    </cfRule>
    <cfRule type="cellIs" dxfId="39" priority="70" stopIfTrue="1" operator="between">
      <formula>5.1</formula>
      <formula>14</formula>
    </cfRule>
    <cfRule type="cellIs" dxfId="38" priority="71" stopIfTrue="1" operator="between">
      <formula>0</formula>
      <formula>5</formula>
    </cfRule>
    <cfRule type="containsBlanks" dxfId="37" priority="72" stopIfTrue="1">
      <formula>LEN(TRIM(K12))=0</formula>
    </cfRule>
  </conditionalFormatting>
  <conditionalFormatting sqref="E12:J28 H29:J29 E29:F29 E30:J61">
    <cfRule type="containsBlanks" dxfId="36" priority="59" stopIfTrue="1">
      <formula>LEN(TRIM(E12))=0</formula>
    </cfRule>
    <cfRule type="cellIs" dxfId="35" priority="60" stopIfTrue="1" operator="between">
      <formula>80.1</formula>
      <formula>100</formula>
    </cfRule>
    <cfRule type="cellIs" dxfId="34" priority="61" stopIfTrue="1" operator="between">
      <formula>35.1</formula>
      <formula>80</formula>
    </cfRule>
    <cfRule type="cellIs" dxfId="33" priority="62" stopIfTrue="1" operator="between">
      <formula>14.1</formula>
      <formula>35</formula>
    </cfRule>
    <cfRule type="cellIs" dxfId="32" priority="63" stopIfTrue="1" operator="between">
      <formula>5.1</formula>
      <formula>14</formula>
    </cfRule>
    <cfRule type="cellIs" dxfId="31" priority="64" stopIfTrue="1" operator="between">
      <formula>0</formula>
      <formula>5</formula>
    </cfRule>
    <cfRule type="containsBlanks" dxfId="30" priority="65" stopIfTrue="1">
      <formula>LEN(TRIM(E12))=0</formula>
    </cfRule>
  </conditionalFormatting>
  <conditionalFormatting sqref="G29">
    <cfRule type="containsBlanks" dxfId="29" priority="52" stopIfTrue="1">
      <formula>LEN(TRIM(G29))=0</formula>
    </cfRule>
    <cfRule type="cellIs" dxfId="28" priority="53" stopIfTrue="1" operator="between">
      <formula>80.1</formula>
      <formula>100</formula>
    </cfRule>
    <cfRule type="cellIs" dxfId="27" priority="54" stopIfTrue="1" operator="between">
      <formula>35.1</formula>
      <formula>80</formula>
    </cfRule>
    <cfRule type="cellIs" dxfId="26" priority="55" stopIfTrue="1" operator="between">
      <formula>14.1</formula>
      <formula>35</formula>
    </cfRule>
    <cfRule type="cellIs" dxfId="25" priority="56" stopIfTrue="1" operator="between">
      <formula>5.1</formula>
      <formula>14</formula>
    </cfRule>
    <cfRule type="cellIs" dxfId="24" priority="57" stopIfTrue="1" operator="between">
      <formula>0</formula>
      <formula>5</formula>
    </cfRule>
    <cfRule type="containsBlanks" dxfId="23" priority="58" stopIfTrue="1">
      <formula>LEN(TRIM(G29))=0</formula>
    </cfRule>
  </conditionalFormatting>
  <conditionalFormatting sqref="R62:R68">
    <cfRule type="cellIs" dxfId="22" priority="51" stopIfTrue="1" operator="equal">
      <formula>"NO"</formula>
    </cfRule>
  </conditionalFormatting>
  <conditionalFormatting sqref="S62:S548">
    <cfRule type="cellIs" dxfId="21" priority="50" stopIfTrue="1" operator="equal">
      <formula>"INVIABLE SANITARIAMENTE"</formula>
    </cfRule>
  </conditionalFormatting>
  <conditionalFormatting sqref="E62:Q68">
    <cfRule type="containsBlanks" dxfId="20" priority="43" stopIfTrue="1">
      <formula>LEN(TRIM(E62))=0</formula>
    </cfRule>
    <cfRule type="cellIs" dxfId="19" priority="44" stopIfTrue="1" operator="between">
      <formula>80.1</formula>
      <formula>100</formula>
    </cfRule>
    <cfRule type="cellIs" dxfId="18" priority="45" stopIfTrue="1" operator="between">
      <formula>35.1</formula>
      <formula>80</formula>
    </cfRule>
    <cfRule type="cellIs" dxfId="17" priority="46" stopIfTrue="1" operator="between">
      <formula>14.1</formula>
      <formula>35</formula>
    </cfRule>
    <cfRule type="cellIs" dxfId="16" priority="47" stopIfTrue="1" operator="between">
      <formula>5.1</formula>
      <formula>14</formula>
    </cfRule>
    <cfRule type="cellIs" dxfId="15" priority="48" stopIfTrue="1" operator="between">
      <formula>0</formula>
      <formula>5</formula>
    </cfRule>
    <cfRule type="containsBlanks" dxfId="14" priority="49" stopIfTrue="1">
      <formula>LEN(TRIM(E62))=0</formula>
    </cfRule>
  </conditionalFormatting>
  <conditionalFormatting sqref="S62:S548">
    <cfRule type="containsText" dxfId="13" priority="38" stopIfTrue="1" operator="containsText" text="INVIABLE SANITARIAMENTE">
      <formula>NOT(ISERROR(SEARCH("INVIABLE SANITARIAMENTE",S62)))</formula>
    </cfRule>
    <cfRule type="containsText" dxfId="12" priority="39" stopIfTrue="1" operator="containsText" text="ALTO">
      <formula>NOT(ISERROR(SEARCH("ALTO",S62)))</formula>
    </cfRule>
    <cfRule type="containsText" dxfId="11" priority="40" stopIfTrue="1" operator="containsText" text="MEDIO">
      <formula>NOT(ISERROR(SEARCH("MEDIO",S62)))</formula>
    </cfRule>
    <cfRule type="containsText" dxfId="10" priority="41" stopIfTrue="1" operator="containsText" text="BAJO">
      <formula>NOT(ISERROR(SEARCH("BAJO",S62)))</formula>
    </cfRule>
    <cfRule type="containsText" dxfId="9" priority="42" stopIfTrue="1" operator="containsText" text="SIN RIESGO">
      <formula>NOT(ISERROR(SEARCH("SIN RIESGO",S62)))</formula>
    </cfRule>
  </conditionalFormatting>
  <conditionalFormatting sqref="S62:S548">
    <cfRule type="containsText" dxfId="8" priority="37" stopIfTrue="1" operator="containsText" text="SIN RIESGO">
      <formula>NOT(ISERROR(SEARCH("SIN RIESGO",S62)))</formula>
    </cfRule>
  </conditionalFormatting>
  <conditionalFormatting sqref="R410:R420">
    <cfRule type="cellIs" dxfId="7" priority="15" stopIfTrue="1" operator="equal">
      <formula>"NO"</formula>
    </cfRule>
  </conditionalFormatting>
  <conditionalFormatting sqref="E410:Q417 Q418:Q420">
    <cfRule type="containsBlanks" dxfId="6" priority="7" stopIfTrue="1">
      <formula>LEN(TRIM(E410))=0</formula>
    </cfRule>
    <cfRule type="cellIs" dxfId="5" priority="8" stopIfTrue="1" operator="between">
      <formula>80.1</formula>
      <formula>100</formula>
    </cfRule>
    <cfRule type="cellIs" dxfId="4" priority="9" stopIfTrue="1" operator="between">
      <formula>35.1</formula>
      <formula>80</formula>
    </cfRule>
    <cfRule type="cellIs" dxfId="3" priority="10" stopIfTrue="1" operator="between">
      <formula>14.1</formula>
      <formula>35</formula>
    </cfRule>
    <cfRule type="cellIs" dxfId="2" priority="11" stopIfTrue="1" operator="between">
      <formula>5.1</formula>
      <formula>14</formula>
    </cfRule>
    <cfRule type="cellIs" dxfId="1" priority="12" stopIfTrue="1" operator="between">
      <formula>0</formula>
      <formula>5</formula>
    </cfRule>
    <cfRule type="containsBlanks" dxfId="0" priority="13" stopIfTrue="1">
      <formula>LEN(TRIM(E410))=0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VALLE DE ABURRA</vt:lpstr>
      <vt:lpstr>URABA</vt:lpstr>
      <vt:lpstr>NORTE</vt:lpstr>
      <vt:lpstr>OCCIDENTE</vt:lpstr>
      <vt:lpstr>SUROESTE</vt:lpstr>
      <vt:lpstr>BAJO CAUCA</vt:lpstr>
      <vt:lpstr>MAGDALENA MEDIO</vt:lpstr>
      <vt:lpstr>NORDESTE</vt:lpstr>
      <vt:lpstr>ORIENTE</vt:lpstr>
      <vt:lpstr>CONSOLIDADO-ACUEDUCTOSRURALES1</vt:lpstr>
      <vt:lpstr>CONSOLIDADO-ACUEDUCTOSRURALES2</vt:lpstr>
      <vt:lpstr>Hoja1</vt:lpstr>
      <vt:lpstr>Recuperado_Hoja9</vt:lpstr>
      <vt:lpstr>'MAGDALENA MEDIO'!Títulos_a_imprimir</vt:lpstr>
    </vt:vector>
  </TitlesOfParts>
  <Company>DSSA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jtabaresm</dc:creator>
  <cp:lastModifiedBy>JHON WILLIAM TABARES MORALES</cp:lastModifiedBy>
  <cp:lastPrinted>2019-07-04T14:31:52Z</cp:lastPrinted>
  <dcterms:created xsi:type="dcterms:W3CDTF">2008-05-21T23:04:50Z</dcterms:created>
  <dcterms:modified xsi:type="dcterms:W3CDTF">2019-07-24T18:58:22Z</dcterms:modified>
</cp:coreProperties>
</file>